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Personal Docs/Additional_Files/"/>
    </mc:Choice>
  </mc:AlternateContent>
  <xr:revisionPtr revIDLastSave="3192" documentId="8_{9D2BF0B2-0CB8-9744-BA4C-E4E0488506C6}" xr6:coauthVersionLast="47" xr6:coauthVersionMax="47" xr10:uidLastSave="{C7250C9B-EBDD-E24A-9BC3-9B820F49A0E0}"/>
  <bookViews>
    <workbookView xWindow="0" yWindow="740" windowWidth="34560" windowHeight="21600" activeTab="4" xr2:uid="{2A7AFC1D-7E0C-814E-A391-7E79AB235532}"/>
  </bookViews>
  <sheets>
    <sheet name="Fund_Details" sheetId="1" r:id="rId1"/>
    <sheet name="Idle_MF" sheetId="2" r:id="rId2"/>
    <sheet name="New_Folios" sheetId="3" r:id="rId3"/>
    <sheet name="Large_Small_Cap" sheetId="4" r:id="rId4"/>
    <sheet name="Sheet1" sheetId="5" r:id="rId5"/>
  </sheets>
  <definedNames>
    <definedName name="_xlnm._FilterDatabase" localSheetId="0" hidden="1">Fund_Details!$W$203:$Z$220</definedName>
  </definedNames>
  <calcPr calcId="191029"/>
  <pivotCaches>
    <pivotCache cacheId="0" r:id="rId6"/>
    <pivotCache cacheId="1" r:id="rId7"/>
    <pivotCache cacheId="2" r:id="rId8"/>
    <pivotCache cacheId="3" r:id="rId9"/>
    <pivotCache cacheId="4" r:id="rId10"/>
    <pivotCache cacheId="5" r:id="rId11"/>
    <pivotCache cacheId="6" r:id="rId12"/>
    <pivotCache cacheId="7" r:id="rId13"/>
    <pivotCache cacheId="8" r:id="rId14"/>
    <pivotCache cacheId="9" r:id="rId15"/>
    <pivotCache cacheId="10" r:id="rId16"/>
    <pivotCache cacheId="11" r:id="rId17"/>
    <pivotCache cacheId="12" r:id="rId18"/>
    <pivotCache cacheId="13" r:id="rId19"/>
    <pivotCache cacheId="14" r:id="rId20"/>
    <pivotCache cacheId="15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5" l="1"/>
  <c r="B20" i="5"/>
  <c r="F20" i="5" s="1"/>
  <c r="B30" i="5"/>
  <c r="F30" i="5" s="1"/>
  <c r="B29" i="5"/>
  <c r="F29" i="5" s="1"/>
  <c r="B28" i="5"/>
  <c r="F28" i="5" s="1"/>
  <c r="B27" i="5"/>
  <c r="E27" i="5" s="1"/>
  <c r="B26" i="5"/>
  <c r="D26" i="5" s="1"/>
  <c r="B25" i="5"/>
  <c r="E25" i="5" s="1"/>
  <c r="B24" i="5"/>
  <c r="F24" i="5" s="1"/>
  <c r="F40" i="5"/>
  <c r="E42" i="5"/>
  <c r="B23" i="5"/>
  <c r="F23" i="5" s="1"/>
  <c r="B21" i="5"/>
  <c r="E21" i="5" s="1"/>
  <c r="B22" i="5"/>
  <c r="E22" i="5" s="1"/>
  <c r="D10" i="5"/>
  <c r="D9" i="5"/>
  <c r="F14" i="3"/>
  <c r="F38" i="3"/>
  <c r="D33" i="3"/>
  <c r="D32" i="3"/>
  <c r="T82" i="3"/>
  <c r="W75" i="3"/>
  <c r="V75" i="3"/>
  <c r="W74" i="3"/>
  <c r="V74" i="3"/>
  <c r="U74" i="3"/>
  <c r="W73" i="3"/>
  <c r="V73" i="3"/>
  <c r="U73" i="3"/>
  <c r="W72" i="3"/>
  <c r="V72" i="3"/>
  <c r="U72" i="3"/>
  <c r="W60" i="3"/>
  <c r="V60" i="3"/>
  <c r="U60" i="3"/>
  <c r="X60" i="3" s="1"/>
  <c r="T67" i="3"/>
  <c r="U62" i="3"/>
  <c r="V62" i="3"/>
  <c r="W62" i="3"/>
  <c r="U63" i="3"/>
  <c r="V63" i="3"/>
  <c r="W63" i="3"/>
  <c r="V64" i="3"/>
  <c r="W64" i="3"/>
  <c r="U65" i="3"/>
  <c r="V65" i="3"/>
  <c r="W65" i="3"/>
  <c r="U64" i="3"/>
  <c r="W61" i="3"/>
  <c r="V61" i="3"/>
  <c r="U61" i="3"/>
  <c r="W59" i="3"/>
  <c r="V59" i="3"/>
  <c r="U59" i="3"/>
  <c r="W58" i="3"/>
  <c r="U58" i="3"/>
  <c r="V58" i="3"/>
  <c r="U57" i="3"/>
  <c r="V57" i="3"/>
  <c r="W57" i="3"/>
  <c r="W56" i="3"/>
  <c r="V56" i="3"/>
  <c r="W55" i="3"/>
  <c r="V55" i="3"/>
  <c r="U55" i="3"/>
  <c r="W47" i="3"/>
  <c r="V47" i="3"/>
  <c r="T52" i="3"/>
  <c r="W50" i="3"/>
  <c r="V50" i="3"/>
  <c r="U50" i="3"/>
  <c r="W49" i="3"/>
  <c r="V49" i="3"/>
  <c r="U49" i="3"/>
  <c r="W48" i="3"/>
  <c r="V48" i="3"/>
  <c r="U48" i="3"/>
  <c r="W46" i="3"/>
  <c r="V46" i="3"/>
  <c r="U46" i="3"/>
  <c r="W45" i="3"/>
  <c r="V45" i="3"/>
  <c r="U45" i="3"/>
  <c r="W44" i="3"/>
  <c r="V44" i="3"/>
  <c r="U44" i="3"/>
  <c r="W43" i="3"/>
  <c r="V43" i="3"/>
  <c r="U43" i="3"/>
  <c r="W42" i="3"/>
  <c r="V30" i="3"/>
  <c r="U30" i="3"/>
  <c r="W30" i="3"/>
  <c r="V29" i="3"/>
  <c r="W29" i="3"/>
  <c r="U29" i="3"/>
  <c r="V28" i="3"/>
  <c r="U28" i="3"/>
  <c r="W28" i="3"/>
  <c r="T37" i="3"/>
  <c r="W35" i="3"/>
  <c r="V35" i="3"/>
  <c r="U35" i="3"/>
  <c r="W34" i="3"/>
  <c r="U34" i="3"/>
  <c r="V34" i="3"/>
  <c r="W33" i="3"/>
  <c r="U33" i="3"/>
  <c r="V33" i="3"/>
  <c r="W32" i="3"/>
  <c r="V32" i="3"/>
  <c r="W31" i="3"/>
  <c r="V31" i="3"/>
  <c r="U31" i="3"/>
  <c r="W27" i="3"/>
  <c r="D11" i="3"/>
  <c r="D10" i="3"/>
  <c r="E17" i="3"/>
  <c r="G59" i="2"/>
  <c r="G58" i="2"/>
  <c r="G57" i="2"/>
  <c r="G56" i="2"/>
  <c r="G55" i="2"/>
  <c r="G54" i="2"/>
  <c r="G53" i="2"/>
  <c r="G52" i="2"/>
  <c r="AB308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290" i="1"/>
  <c r="C45" i="2"/>
  <c r="D28" i="2"/>
  <c r="AA251" i="1"/>
  <c r="D16" i="2"/>
  <c r="AA252" i="1"/>
  <c r="AA249" i="1"/>
  <c r="AA248" i="1"/>
  <c r="AD229" i="1"/>
  <c r="AB229" i="1"/>
  <c r="AB228" i="1"/>
  <c r="AI68" i="1"/>
  <c r="AH68" i="1"/>
  <c r="AG68" i="1"/>
  <c r="Y21" i="1"/>
  <c r="Y13" i="1"/>
  <c r="Y55" i="1"/>
  <c r="Z37" i="1"/>
  <c r="Y24" i="1"/>
  <c r="AH32" i="1"/>
  <c r="AH31" i="1"/>
  <c r="G55" i="1"/>
  <c r="H54" i="1" s="1"/>
  <c r="G51" i="1"/>
  <c r="H50" i="1" s="1"/>
  <c r="G39" i="1"/>
  <c r="G43" i="1" s="1"/>
  <c r="G47" i="1"/>
  <c r="H46" i="1" s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32" i="1"/>
  <c r="N72" i="1"/>
  <c r="N73" i="1"/>
  <c r="N74" i="1"/>
  <c r="N75" i="1"/>
  <c r="N76" i="1"/>
  <c r="N77" i="1"/>
  <c r="N78" i="1"/>
  <c r="N79" i="1"/>
  <c r="N80" i="1"/>
  <c r="N71" i="1"/>
  <c r="M53" i="1"/>
  <c r="AE206" i="1"/>
  <c r="AF195" i="1"/>
  <c r="AF216" i="1"/>
  <c r="AE201" i="1"/>
  <c r="AF214" i="1"/>
  <c r="AF204" i="1"/>
  <c r="H50" i="3"/>
  <c r="G47" i="3"/>
  <c r="G50" i="3"/>
  <c r="F47" i="3"/>
  <c r="F50" i="3"/>
  <c r="H46" i="3"/>
  <c r="G46" i="3"/>
  <c r="F46" i="3"/>
  <c r="F49" i="3"/>
  <c r="H48" i="3"/>
  <c r="H51" i="3"/>
  <c r="G51" i="3"/>
  <c r="G49" i="3"/>
  <c r="H49" i="3"/>
  <c r="F51" i="3"/>
  <c r="H47" i="3"/>
  <c r="G48" i="3"/>
  <c r="F48" i="3"/>
  <c r="E28" i="5" l="1"/>
  <c r="D28" i="5"/>
  <c r="C28" i="5"/>
  <c r="G28" i="5" s="1"/>
  <c r="C27" i="5"/>
  <c r="D27" i="5"/>
  <c r="E26" i="5"/>
  <c r="C26" i="5"/>
  <c r="G26" i="5" s="1"/>
  <c r="C25" i="5"/>
  <c r="D25" i="5"/>
  <c r="F25" i="5"/>
  <c r="F22" i="5"/>
  <c r="C30" i="5"/>
  <c r="D30" i="5"/>
  <c r="E23" i="5"/>
  <c r="E30" i="5"/>
  <c r="C21" i="5"/>
  <c r="D23" i="5"/>
  <c r="B32" i="5"/>
  <c r="D21" i="5"/>
  <c r="F21" i="5"/>
  <c r="C23" i="5"/>
  <c r="C29" i="5"/>
  <c r="C24" i="5"/>
  <c r="D29" i="5"/>
  <c r="C22" i="5"/>
  <c r="D24" i="5"/>
  <c r="E29" i="5"/>
  <c r="D22" i="5"/>
  <c r="E24" i="5"/>
  <c r="D20" i="5"/>
  <c r="C20" i="5"/>
  <c r="E20" i="5"/>
  <c r="X73" i="3"/>
  <c r="I51" i="3"/>
  <c r="I49" i="3"/>
  <c r="I50" i="3"/>
  <c r="I48" i="3"/>
  <c r="I47" i="3"/>
  <c r="H53" i="3"/>
  <c r="G53" i="3"/>
  <c r="F53" i="3"/>
  <c r="I46" i="3"/>
  <c r="X72" i="3"/>
  <c r="X61" i="3"/>
  <c r="X74" i="3"/>
  <c r="V67" i="3"/>
  <c r="V68" i="3" s="1"/>
  <c r="X63" i="3"/>
  <c r="U75" i="3"/>
  <c r="X75" i="3" s="1"/>
  <c r="V82" i="3"/>
  <c r="V83" i="3" s="1"/>
  <c r="W82" i="3"/>
  <c r="W83" i="3" s="1"/>
  <c r="U82" i="3"/>
  <c r="U83" i="3" s="1"/>
  <c r="W67" i="3"/>
  <c r="W68" i="3" s="1"/>
  <c r="X64" i="3"/>
  <c r="X57" i="3"/>
  <c r="X58" i="3"/>
  <c r="X62" i="3"/>
  <c r="X55" i="3"/>
  <c r="U56" i="3"/>
  <c r="X56" i="3" s="1"/>
  <c r="X65" i="3"/>
  <c r="U67" i="3"/>
  <c r="U68" i="3" s="1"/>
  <c r="X59" i="3"/>
  <c r="U47" i="3"/>
  <c r="U52" i="3" s="1"/>
  <c r="W52" i="3"/>
  <c r="V52" i="3"/>
  <c r="W37" i="3"/>
  <c r="W38" i="3" s="1"/>
  <c r="V37" i="3"/>
  <c r="V38" i="3" s="1"/>
  <c r="U32" i="3"/>
  <c r="U37" i="3" s="1"/>
  <c r="U38" i="3" s="1"/>
  <c r="AB232" i="1"/>
  <c r="H39" i="1"/>
  <c r="N53" i="1"/>
  <c r="AF201" i="1"/>
  <c r="AF206" i="1"/>
  <c r="G27" i="5" l="1"/>
  <c r="G25" i="5"/>
  <c r="F31" i="5"/>
  <c r="G23" i="5"/>
  <c r="C31" i="5"/>
  <c r="E31" i="5"/>
  <c r="D31" i="5"/>
  <c r="G21" i="5"/>
  <c r="G22" i="5"/>
  <c r="G24" i="5"/>
  <c r="G29" i="5"/>
  <c r="G30" i="5"/>
  <c r="G20" i="5"/>
  <c r="I53" i="3"/>
  <c r="X82" i="3"/>
  <c r="X83" i="3" s="1"/>
  <c r="X67" i="3"/>
  <c r="AF222" i="1"/>
  <c r="AG201" i="1" s="1"/>
  <c r="G31" i="5" l="1"/>
  <c r="G32" i="5" s="1"/>
  <c r="E32" i="5"/>
  <c r="C32" i="5"/>
  <c r="F32" i="5"/>
  <c r="AG210" i="1"/>
  <c r="AG214" i="1"/>
  <c r="AG216" i="1"/>
  <c r="AG195" i="1"/>
  <c r="AG204" i="1"/>
  <c r="AG206" i="1"/>
  <c r="D32" i="5" l="1"/>
</calcChain>
</file>

<file path=xl/sharedStrings.xml><?xml version="1.0" encoding="utf-8"?>
<sst xmlns="http://schemas.openxmlformats.org/spreadsheetml/2006/main" count="1660" uniqueCount="264">
  <si>
    <t>Cancel Early Strategy Update</t>
  </si>
  <si>
    <t>Code Push &amp; Release</t>
  </si>
  <si>
    <t>EDM to be ready</t>
  </si>
  <si>
    <t>1/2 MCC with up to 10% overall txns</t>
  </si>
  <si>
    <t>Readout from Tanisha</t>
  </si>
  <si>
    <t>All MCC up to 25% txns</t>
  </si>
  <si>
    <t>All MCC up to 50% txns</t>
  </si>
  <si>
    <t>All MCC up to 100% txns</t>
  </si>
  <si>
    <t>Settlement team monitoring</t>
  </si>
  <si>
    <t>Release Date</t>
  </si>
  <si>
    <t>Comments</t>
  </si>
  <si>
    <t>Axis Mutual Fund</t>
  </si>
  <si>
    <t>Type of Fund</t>
  </si>
  <si>
    <t>Mid</t>
  </si>
  <si>
    <t>Amount</t>
  </si>
  <si>
    <t>Edelweiss Small Cap Fund</t>
  </si>
  <si>
    <t>Small</t>
  </si>
  <si>
    <t>HDFC Hybrid Equity Fund - Regular Plan - Growth</t>
  </si>
  <si>
    <t>hybrid</t>
  </si>
  <si>
    <t>HDFC Small Cap Fund - Direct Growth Plan</t>
  </si>
  <si>
    <t>ICICI Prudential Large &amp; Mid Cap Fund - Growth</t>
  </si>
  <si>
    <t>Large and Mid cap</t>
  </si>
  <si>
    <t>ICICI Prudential India Opportunities Fund - Growth</t>
  </si>
  <si>
    <t>ICICI Prudential Smallcap Fund - Regular Plan</t>
  </si>
  <si>
    <t>Invesco India Contra Fund - Direct Plan - Growth</t>
  </si>
  <si>
    <t>Contra</t>
  </si>
  <si>
    <t>Kotak Emerging Equity Fund-Growth</t>
  </si>
  <si>
    <t>Emerging</t>
  </si>
  <si>
    <t>Mirae Asset Emerging Bluechip Fund - Direct Plan - Growth</t>
  </si>
  <si>
    <t>Mirae Asset Large Cap Fund - Direct Plan - Growth</t>
  </si>
  <si>
    <t>Large</t>
  </si>
  <si>
    <t>Motilal Oswal S&amp;P 500 Index Fund (MOFSP500)</t>
  </si>
  <si>
    <t>Index</t>
  </si>
  <si>
    <t>Multicap</t>
  </si>
  <si>
    <t>Nippon India Multicap Fund</t>
  </si>
  <si>
    <t>Nippon India Growth Fund</t>
  </si>
  <si>
    <t>Nippon India Small Cap Fund</t>
  </si>
  <si>
    <t>Parag Parikh Flexi Cap Fund</t>
  </si>
  <si>
    <t>Large/Flexi</t>
  </si>
  <si>
    <t>SBI Blue Chip Fund</t>
  </si>
  <si>
    <t>Tata Small Cap Fund</t>
  </si>
  <si>
    <t xml:space="preserve">UTI Nifty 50 Index Fund </t>
  </si>
  <si>
    <t>Debt</t>
  </si>
  <si>
    <t>Fund Name</t>
  </si>
  <si>
    <t>Row Labels</t>
  </si>
  <si>
    <t>Grand Total</t>
  </si>
  <si>
    <t>Sum of Amount</t>
  </si>
  <si>
    <t>Sum of Amount2</t>
  </si>
  <si>
    <t>Large Cap</t>
  </si>
  <si>
    <t>Debt Fund 3</t>
  </si>
  <si>
    <t>Large &amp; Flexi Cap</t>
  </si>
  <si>
    <t>Amount_True</t>
  </si>
  <si>
    <t>Aditya Birla Sun life</t>
  </si>
  <si>
    <t>ICICI Prudential Ultra Short Term</t>
  </si>
  <si>
    <t>Kotak Mutul Fund</t>
  </si>
  <si>
    <t>Fund Details</t>
  </si>
  <si>
    <t>Axis Mutual Fund - Mid Cap</t>
  </si>
  <si>
    <t>Mid Cap</t>
  </si>
  <si>
    <t>Small Cap</t>
  </si>
  <si>
    <t>Hybrid</t>
  </si>
  <si>
    <t>Small/Growth</t>
  </si>
  <si>
    <t>Flexi/Large</t>
  </si>
  <si>
    <t>Large/Flexi Cap</t>
  </si>
  <si>
    <t>Mid Cap/Emerging</t>
  </si>
  <si>
    <t>Gap</t>
  </si>
  <si>
    <t>Large &amp; Mid Cap</t>
  </si>
  <si>
    <t>Index Fund</t>
  </si>
  <si>
    <t>Current Holding</t>
  </si>
  <si>
    <t>Target Holding</t>
  </si>
  <si>
    <t>Sum of Amount_True</t>
  </si>
  <si>
    <t>Sum of Amount_True2</t>
  </si>
  <si>
    <t>Multi Cap</t>
  </si>
  <si>
    <t>Fund Type</t>
  </si>
  <si>
    <t>% of Portfolio</t>
  </si>
  <si>
    <t>ICICI Ultra Short term</t>
  </si>
  <si>
    <t xml:space="preserve">Aditya Birla Life Savings </t>
  </si>
  <si>
    <t>Kotak Debt Fund</t>
  </si>
  <si>
    <t>Current Month</t>
  </si>
  <si>
    <t>Proposed</t>
  </si>
  <si>
    <t>Loan</t>
  </si>
  <si>
    <t>Mirae Asset Emerging Bluechip Fund - Proposed Plan</t>
  </si>
  <si>
    <t>Mirae Asset Focused Fund - Direct</t>
  </si>
  <si>
    <t>Large and Mid and Emerging Cap</t>
  </si>
  <si>
    <t>Final Strategy</t>
  </si>
  <si>
    <t>Rules to be updated
SALE - 18 MCCs
AS1/AS2 - 9 MCCs</t>
  </si>
  <si>
    <t>SALE/AS1/AS2 txns</t>
  </si>
  <si>
    <t>T2 - New Strategy</t>
  </si>
  <si>
    <t>EDM should be honored</t>
  </si>
  <si>
    <t>T1 - Existing</t>
  </si>
  <si>
    <t>T3 - Existing Strategy</t>
  </si>
  <si>
    <t>2 MCCs we will add</t>
  </si>
  <si>
    <t>All minus 2</t>
  </si>
  <si>
    <t>x`</t>
  </si>
  <si>
    <t>Direct</t>
  </si>
  <si>
    <t>Regular</t>
  </si>
  <si>
    <t>HDFC Focused 30 Fund</t>
  </si>
  <si>
    <t>Category</t>
  </si>
  <si>
    <t>Large, Mid and Emerging Cap</t>
  </si>
  <si>
    <t>Fund Category</t>
  </si>
  <si>
    <t>Scenario II</t>
  </si>
  <si>
    <t>Scenario III</t>
  </si>
  <si>
    <t>AXIS 25 Focused Fund</t>
  </si>
  <si>
    <t>Focused</t>
  </si>
  <si>
    <t>Sector</t>
  </si>
  <si>
    <t>ICICI Prudential Small cap Fund - Regular Plan</t>
  </si>
  <si>
    <t>SBI Contra</t>
  </si>
  <si>
    <t>Good</t>
  </si>
  <si>
    <t>To be discussed</t>
  </si>
  <si>
    <t>Quant Active Fund</t>
  </si>
  <si>
    <t>Parag Parikh Flexi Cap</t>
  </si>
  <si>
    <t>UTI Nifty 50</t>
  </si>
  <si>
    <t>Axis Mid Cap</t>
  </si>
  <si>
    <t>HDFC Small Cap</t>
  </si>
  <si>
    <t>Motilal Oswal S&amp;P</t>
  </si>
  <si>
    <t>Mirae Asset Large Cap</t>
  </si>
  <si>
    <t>Mirae Asset Emerging Blue Chip Fund</t>
  </si>
  <si>
    <t>Large and Mid Cap</t>
  </si>
  <si>
    <t>Edelweiss Small Cap</t>
  </si>
  <si>
    <t>Nippon India Small Cap</t>
  </si>
  <si>
    <t>ICICI Prudential Small Cap</t>
  </si>
  <si>
    <t>ICICI Prudential large &amp; Mid Cap</t>
  </si>
  <si>
    <t>ICICI Prudential India Opportunities Fund</t>
  </si>
  <si>
    <t>Tata Small Cap</t>
  </si>
  <si>
    <t>Kotak Emerging Equity Fund</t>
  </si>
  <si>
    <t>Quant Active Fund Growth Option Direct Plan</t>
  </si>
  <si>
    <t>Flexi Cap</t>
  </si>
  <si>
    <t>Focused Cap</t>
  </si>
  <si>
    <t>Category of Fund</t>
  </si>
  <si>
    <t>Fund Plan</t>
  </si>
  <si>
    <t xml:space="preserve">Quant Small Cap Fund - Direct </t>
  </si>
  <si>
    <t>ICICI Prudential India Opportunities Fund Regular Growth</t>
  </si>
  <si>
    <t>Baroda BNP Paribas India Consumption Fund Regular Growth</t>
  </si>
  <si>
    <t>Midcap</t>
  </si>
  <si>
    <t>Smallcap</t>
  </si>
  <si>
    <t>ICICI Prudential Large &amp; Mid Cap Fund Growth</t>
  </si>
  <si>
    <t>Large &amp; Midcap</t>
  </si>
  <si>
    <t>ICICI Prudential Smallcap</t>
  </si>
  <si>
    <t>Nippon India Smallcap</t>
  </si>
  <si>
    <t>Edelweiss Small Cap Fund Regular Growth</t>
  </si>
  <si>
    <t>Kotak Emerging Equity Fund - Direct Plan - Growth</t>
  </si>
  <si>
    <t>HDFC Focused 30 Fund -Direct Plan - Growth Option</t>
  </si>
  <si>
    <t>Nippon India Multi Cap Fund - Direct Plan - Growth</t>
  </si>
  <si>
    <t>Mirae Asset Emerging Bluechip Fund Direct Plan Growth</t>
  </si>
  <si>
    <t>UTI Nifty 50 Index Fund-Growth Option- Direct</t>
  </si>
  <si>
    <t>Largecap</t>
  </si>
  <si>
    <t>Axis Midcap Fund Direct Plan Growth</t>
  </si>
  <si>
    <t>Parag Parikh Flexi Cap Fund - Direct Plan Growth</t>
  </si>
  <si>
    <t>Flexicap</t>
  </si>
  <si>
    <t>Motilal Oswal S&amp;P 500 Index Fund Direct Growth</t>
  </si>
  <si>
    <t>Final Ratio</t>
  </si>
  <si>
    <t>Overlap</t>
  </si>
  <si>
    <t>UTI Nifty 50 Index Fund-Growth Option - Direct</t>
  </si>
  <si>
    <t>1,38,80,705.80</t>
  </si>
  <si>
    <t>Month</t>
  </si>
  <si>
    <t>PPFAS</t>
  </si>
  <si>
    <t>July</t>
  </si>
  <si>
    <t>Flexi</t>
  </si>
  <si>
    <t>UTI NIFTY50</t>
  </si>
  <si>
    <t>Motilal S&amp;P 500</t>
  </si>
  <si>
    <t>AXIS MidCap</t>
  </si>
  <si>
    <t>HDFC smallcap</t>
  </si>
  <si>
    <t>Miraeasset emerging bluechip</t>
  </si>
  <si>
    <t>Large and midcap</t>
  </si>
  <si>
    <t>Nippon India Multicap</t>
  </si>
  <si>
    <t>Kotak Emerging Equity</t>
  </si>
  <si>
    <t>Tata Small cap</t>
  </si>
  <si>
    <t>QuantActive</t>
  </si>
  <si>
    <t>Quant smallcap</t>
  </si>
  <si>
    <t>Edelweiss Smallcap</t>
  </si>
  <si>
    <t>ICICI Smallcap</t>
  </si>
  <si>
    <t>ICICI Large and Midcap</t>
  </si>
  <si>
    <t>Nippon India Growthfund</t>
  </si>
  <si>
    <t>ICICI India Opportunities Fund</t>
  </si>
  <si>
    <t>July Month</t>
  </si>
  <si>
    <t>S&amp;P 500</t>
  </si>
  <si>
    <t>Kotak Emerging</t>
  </si>
  <si>
    <t>Quant Small cap</t>
  </si>
  <si>
    <t>HDFC Small cap</t>
  </si>
  <si>
    <t>ICICI Pru</t>
  </si>
  <si>
    <t>Edelweiss</t>
  </si>
  <si>
    <t>Nippon India small cap</t>
  </si>
  <si>
    <t>Mirae Emerging</t>
  </si>
  <si>
    <t xml:space="preserve">Sector </t>
  </si>
  <si>
    <t>Nippon India Growth fund</t>
  </si>
  <si>
    <t>TATA smallcap</t>
  </si>
  <si>
    <t>TARGET</t>
  </si>
  <si>
    <t>Target Amount</t>
  </si>
  <si>
    <t>Sum of Target Amount</t>
  </si>
  <si>
    <t>Fund started date since</t>
  </si>
  <si>
    <t>Last SIP Date</t>
  </si>
  <si>
    <t>Kotak Savings Fund Direct Growth</t>
  </si>
  <si>
    <t>Aditya Birla Sun Life Savings Fund Direct Plan Growth</t>
  </si>
  <si>
    <t>Current Value - Jul'23</t>
  </si>
  <si>
    <t>ICICI Prudential Ultra Short Term Fund Direct Plan Growth</t>
  </si>
  <si>
    <t>Invesco India Contra Fund</t>
  </si>
  <si>
    <t>Mirae Asset Large Cap Fund Direct Plan Growth</t>
  </si>
  <si>
    <t>SBI Bluechip Fund Regular Growth</t>
  </si>
  <si>
    <t>HDFC Hybrid Equity Fund Growth</t>
  </si>
  <si>
    <t xml:space="preserve">Total </t>
  </si>
  <si>
    <t>Sum of Target Amount2</t>
  </si>
  <si>
    <t>Current State</t>
  </si>
  <si>
    <t>Stopped</t>
  </si>
  <si>
    <t>Ongoing</t>
  </si>
  <si>
    <t>SIP Amount</t>
  </si>
  <si>
    <t>Motilal Oswal S&amp;P 500</t>
  </si>
  <si>
    <t>Mirae Asset Emerging Bluechip</t>
  </si>
  <si>
    <t>Current Status</t>
  </si>
  <si>
    <t>SIP Frequency</t>
  </si>
  <si>
    <t>Monthly</t>
  </si>
  <si>
    <t>Weekly</t>
  </si>
  <si>
    <t>Bank Name</t>
  </si>
  <si>
    <t>HDFC</t>
  </si>
  <si>
    <t>ICICI</t>
  </si>
  <si>
    <t>Total Savings Account needed</t>
  </si>
  <si>
    <t>Kotak Emerging Equity Fund -Regular - Growth</t>
  </si>
  <si>
    <t>Fixing Funds</t>
  </si>
  <si>
    <t>Status</t>
  </si>
  <si>
    <t>To be transferred</t>
  </si>
  <si>
    <t>Nippon multicap, icici small cap, edelweiss small cap</t>
  </si>
  <si>
    <t>Proposed SIPs</t>
  </si>
  <si>
    <t>Sum of Proposed SIPs</t>
  </si>
  <si>
    <t>Sum of Proposed SIPs2</t>
  </si>
  <si>
    <t>SIP Start Date</t>
  </si>
  <si>
    <t>Category of Funds</t>
  </si>
  <si>
    <t>Frequency</t>
  </si>
  <si>
    <t>TATA Small Cap - Direct Plan - Growth</t>
  </si>
  <si>
    <t>NIPPON INDIA SMALL CAP FUND-DIRECT GROWTH</t>
  </si>
  <si>
    <t>Parag Parikh Flexi Cap Fund - Direct Plan</t>
  </si>
  <si>
    <t>HDFC Small Cap Fund - Direct Plan - Growth</t>
  </si>
  <si>
    <t>Sum of SIP Amount</t>
  </si>
  <si>
    <t>Quant Smallcap - Direct Plan Growth</t>
  </si>
  <si>
    <t>Quant Midcap - Direct Plan Growth</t>
  </si>
  <si>
    <t>Aggressive</t>
  </si>
  <si>
    <t>MONTH</t>
  </si>
  <si>
    <t>NIFTY 50 TRI</t>
  </si>
  <si>
    <t>NIFTY 250 SMALLCAP TRI</t>
  </si>
  <si>
    <t>Small as a % of Large Cap</t>
  </si>
  <si>
    <t>Value</t>
  </si>
  <si>
    <t>Style 1</t>
  </si>
  <si>
    <t>Style 2</t>
  </si>
  <si>
    <t>Growth</t>
  </si>
  <si>
    <t>Large and Midcap</t>
  </si>
  <si>
    <t>Proposed Move</t>
  </si>
  <si>
    <t>Value Discovery/Flexicap</t>
  </si>
  <si>
    <t>Motilal Oswal Large &amp; Midcap Fund</t>
  </si>
  <si>
    <t>Funds Name</t>
  </si>
  <si>
    <t>SIPs</t>
  </si>
  <si>
    <t>Sum of SIP Amount2</t>
  </si>
  <si>
    <t>ICICI Prudential Value discovery fund</t>
  </si>
  <si>
    <t>Mirae Asset Emerging bluechip</t>
  </si>
  <si>
    <t>Kotak Multicap Fund</t>
  </si>
  <si>
    <t>Large Cap Allocation</t>
  </si>
  <si>
    <t>Small Cap Allocation</t>
  </si>
  <si>
    <t>Mid Cap Allocation</t>
  </si>
  <si>
    <t>HDFC Flexi Cap Mutual Fund</t>
  </si>
  <si>
    <t>Mirae Asset Emerging blue chip fund</t>
  </si>
  <si>
    <t>Total</t>
  </si>
  <si>
    <t>Others</t>
  </si>
  <si>
    <t>Hdfc flexicap</t>
  </si>
  <si>
    <t>MOTILAL</t>
  </si>
  <si>
    <t>Quant</t>
  </si>
  <si>
    <t>Kotak</t>
  </si>
  <si>
    <t>NIPPON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</si>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</sst>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  <numFmt numFmtId="166" formatCode="[$-409]d\-mmm\-yy;@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8767"/>
      <name val="Helvetica Neue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5"/>
      <color rgb="FF1D222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35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5" fillId="0" borderId="0" xfId="0" applyFont="1"/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6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164" fontId="0" fillId="0" borderId="0" xfId="1" applyNumberFormat="1" applyFont="1"/>
    <xf numFmtId="0" fontId="0" fillId="2" borderId="0" xfId="0" applyFill="1" applyAlignment="1">
      <alignment horizontal="left"/>
    </xf>
    <xf numFmtId="164" fontId="0" fillId="2" borderId="0" xfId="0" applyNumberFormat="1" applyFill="1"/>
    <xf numFmtId="10" fontId="0" fillId="2" borderId="0" xfId="0" applyNumberFormat="1" applyFill="1"/>
    <xf numFmtId="0" fontId="0" fillId="3" borderId="0" xfId="0" applyFill="1" applyAlignment="1">
      <alignment horizontal="left"/>
    </xf>
    <xf numFmtId="164" fontId="0" fillId="3" borderId="0" xfId="0" applyNumberFormat="1" applyFill="1"/>
    <xf numFmtId="10" fontId="0" fillId="3" borderId="0" xfId="0" applyNumberFormat="1" applyFill="1"/>
    <xf numFmtId="0" fontId="0" fillId="5" borderId="0" xfId="0" applyFill="1" applyAlignment="1">
      <alignment horizontal="left"/>
    </xf>
    <xf numFmtId="164" fontId="0" fillId="5" borderId="0" xfId="0" applyNumberFormat="1" applyFill="1"/>
    <xf numFmtId="10" fontId="0" fillId="5" borderId="0" xfId="0" applyNumberFormat="1" applyFill="1"/>
    <xf numFmtId="0" fontId="0" fillId="6" borderId="0" xfId="0" applyFill="1" applyAlignment="1">
      <alignment horizontal="left"/>
    </xf>
    <xf numFmtId="164" fontId="0" fillId="6" borderId="0" xfId="0" applyNumberFormat="1" applyFill="1"/>
    <xf numFmtId="10" fontId="0" fillId="6" borderId="0" xfId="0" applyNumberFormat="1" applyFill="1"/>
    <xf numFmtId="0" fontId="4" fillId="4" borderId="0" xfId="0" applyFont="1" applyFill="1" applyAlignment="1">
      <alignment horizontal="left"/>
    </xf>
    <xf numFmtId="164" fontId="4" fillId="4" borderId="0" xfId="0" applyNumberFormat="1" applyFont="1" applyFill="1"/>
    <xf numFmtId="10" fontId="4" fillId="4" borderId="0" xfId="0" applyNumberFormat="1" applyFont="1" applyFill="1"/>
    <xf numFmtId="0" fontId="4" fillId="4" borderId="0" xfId="0" applyFont="1" applyFill="1"/>
    <xf numFmtId="10" fontId="3" fillId="0" borderId="0" xfId="0" applyNumberFormat="1" applyFont="1"/>
    <xf numFmtId="0" fontId="2" fillId="4" borderId="0" xfId="0" applyFont="1" applyFill="1"/>
    <xf numFmtId="10" fontId="2" fillId="4" borderId="0" xfId="0" applyNumberFormat="1" applyFont="1" applyFill="1"/>
    <xf numFmtId="0" fontId="0" fillId="7" borderId="0" xfId="0" applyFill="1"/>
    <xf numFmtId="164" fontId="0" fillId="0" borderId="0" xfId="1" applyNumberFormat="1" applyFont="1" applyFill="1"/>
    <xf numFmtId="0" fontId="0" fillId="8" borderId="0" xfId="0" applyFill="1"/>
    <xf numFmtId="164" fontId="0" fillId="8" borderId="0" xfId="1" applyNumberFormat="1" applyFont="1" applyFill="1"/>
    <xf numFmtId="0" fontId="0" fillId="2" borderId="0" xfId="0" applyFill="1"/>
    <xf numFmtId="164" fontId="0" fillId="2" borderId="0" xfId="1" applyNumberFormat="1" applyFont="1" applyFill="1"/>
    <xf numFmtId="9" fontId="0" fillId="0" borderId="0" xfId="0" applyNumberFormat="1"/>
    <xf numFmtId="0" fontId="6" fillId="2" borderId="0" xfId="0" applyFont="1" applyFill="1"/>
    <xf numFmtId="0" fontId="0" fillId="0" borderId="1" xfId="0" applyBorder="1" applyAlignment="1">
      <alignment wrapText="1"/>
    </xf>
    <xf numFmtId="164" fontId="0" fillId="0" borderId="0" xfId="1" quotePrefix="1" applyNumberFormat="1" applyFont="1" applyFill="1" applyBorder="1"/>
    <xf numFmtId="164" fontId="0" fillId="0" borderId="0" xfId="1" quotePrefix="1" applyNumberFormat="1" applyFont="1"/>
    <xf numFmtId="0" fontId="3" fillId="0" borderId="1" xfId="0" applyFont="1" applyBorder="1"/>
    <xf numFmtId="0" fontId="0" fillId="3" borderId="0" xfId="0" applyFill="1"/>
    <xf numFmtId="9" fontId="0" fillId="8" borderId="0" xfId="0" applyNumberFormat="1" applyFill="1"/>
    <xf numFmtId="10" fontId="0" fillId="8" borderId="0" xfId="0" applyNumberFormat="1" applyFill="1"/>
    <xf numFmtId="0" fontId="0" fillId="6" borderId="0" xfId="0" applyFill="1"/>
    <xf numFmtId="9" fontId="0" fillId="6" borderId="0" xfId="0" applyNumberFormat="1" applyFill="1"/>
    <xf numFmtId="0" fontId="0" fillId="9" borderId="0" xfId="0" applyFill="1"/>
    <xf numFmtId="9" fontId="0" fillId="9" borderId="0" xfId="0" applyNumberFormat="1" applyFill="1"/>
    <xf numFmtId="10" fontId="0" fillId="9" borderId="0" xfId="0" applyNumberFormat="1" applyFill="1"/>
    <xf numFmtId="9" fontId="0" fillId="3" borderId="0" xfId="0" applyNumberFormat="1" applyFill="1"/>
    <xf numFmtId="10" fontId="4" fillId="10" borderId="0" xfId="0" applyNumberFormat="1" applyFont="1" applyFill="1"/>
    <xf numFmtId="0" fontId="4" fillId="10" borderId="0" xfId="0" applyFont="1" applyFill="1"/>
    <xf numFmtId="9" fontId="4" fillId="10" borderId="0" xfId="0" applyNumberFormat="1" applyFont="1" applyFill="1"/>
    <xf numFmtId="0" fontId="4" fillId="11" borderId="0" xfId="0" applyFont="1" applyFill="1"/>
    <xf numFmtId="9" fontId="4" fillId="11" borderId="0" xfId="0" applyNumberFormat="1" applyFont="1" applyFill="1"/>
    <xf numFmtId="10" fontId="4" fillId="11" borderId="0" xfId="0" applyNumberFormat="1" applyFont="1" applyFill="1"/>
    <xf numFmtId="0" fontId="7" fillId="2" borderId="0" xfId="0" applyFont="1" applyFill="1"/>
    <xf numFmtId="164" fontId="7" fillId="2" borderId="0" xfId="1" applyNumberFormat="1" applyFont="1" applyFill="1"/>
    <xf numFmtId="0" fontId="7" fillId="0" borderId="0" xfId="0" applyFont="1"/>
    <xf numFmtId="164" fontId="7" fillId="0" borderId="0" xfId="1" applyNumberFormat="1" applyFont="1" applyFill="1"/>
    <xf numFmtId="164" fontId="0" fillId="7" borderId="0" xfId="1" applyNumberFormat="1" applyFont="1" applyFill="1"/>
    <xf numFmtId="0" fontId="0" fillId="12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14" borderId="0" xfId="0" applyNumberFormat="1" applyFill="1" applyAlignment="1">
      <alignment horizontal="center"/>
    </xf>
    <xf numFmtId="43" fontId="0" fillId="0" borderId="0" xfId="1" applyFont="1"/>
    <xf numFmtId="165" fontId="0" fillId="0" borderId="0" xfId="0" applyNumberFormat="1"/>
    <xf numFmtId="0" fontId="0" fillId="5" borderId="0" xfId="0" applyFill="1"/>
    <xf numFmtId="3" fontId="0" fillId="0" borderId="1" xfId="0" applyNumberFormat="1" applyBorder="1"/>
    <xf numFmtId="166" fontId="0" fillId="0" borderId="1" xfId="0" applyNumberFormat="1" applyBorder="1"/>
    <xf numFmtId="164" fontId="0" fillId="0" borderId="1" xfId="1" applyNumberFormat="1" applyFont="1" applyBorder="1"/>
    <xf numFmtId="3" fontId="3" fillId="0" borderId="1" xfId="0" applyNumberFormat="1" applyFont="1" applyBorder="1"/>
    <xf numFmtId="0" fontId="0" fillId="15" borderId="0" xfId="0" applyFill="1"/>
    <xf numFmtId="0" fontId="3" fillId="0" borderId="2" xfId="0" applyFont="1" applyBorder="1"/>
    <xf numFmtId="0" fontId="0" fillId="7" borderId="1" xfId="0" applyFill="1" applyBorder="1"/>
    <xf numFmtId="3" fontId="0" fillId="7" borderId="1" xfId="0" applyNumberFormat="1" applyFill="1" applyBorder="1"/>
    <xf numFmtId="166" fontId="0" fillId="7" borderId="1" xfId="0" applyNumberFormat="1" applyFill="1" applyBorder="1"/>
    <xf numFmtId="164" fontId="0" fillId="0" borderId="1" xfId="1" applyNumberFormat="1" applyFont="1" applyFill="1" applyBorder="1"/>
    <xf numFmtId="164" fontId="0" fillId="7" borderId="1" xfId="1" applyNumberFormat="1" applyFont="1" applyFill="1" applyBorder="1"/>
    <xf numFmtId="0" fontId="6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17" fontId="8" fillId="0" borderId="0" xfId="0" applyNumberFormat="1" applyFont="1"/>
    <xf numFmtId="4" fontId="8" fillId="0" borderId="0" xfId="0" applyNumberFormat="1" applyFont="1"/>
    <xf numFmtId="10" fontId="8" fillId="0" borderId="0" xfId="0" applyNumberFormat="1" applyFont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9" fontId="0" fillId="0" borderId="0" xfId="2" applyFont="1"/>
    <xf numFmtId="0" fontId="3" fillId="0" borderId="0" xfId="0" applyFont="1" applyAlignment="1">
      <alignment vertical="center"/>
    </xf>
    <xf numFmtId="0" fontId="0" fillId="15" borderId="0" xfId="0" applyFill="1" applyAlignment="1">
      <alignment horizontal="left"/>
    </xf>
    <xf numFmtId="10" fontId="0" fillId="15" borderId="0" xfId="0" applyNumberFormat="1" applyFill="1"/>
    <xf numFmtId="164" fontId="0" fillId="15" borderId="0" xfId="0" applyNumberFormat="1" applyFill="1"/>
    <xf numFmtId="0" fontId="3" fillId="0" borderId="0" xfId="0" applyFont="1" applyAlignment="1">
      <alignment horizontal="left" vertical="center"/>
    </xf>
    <xf numFmtId="10" fontId="0" fillId="0" borderId="0" xfId="2" applyNumberFormat="1" applyFont="1"/>
    <xf numFmtId="0" fontId="12" fillId="0" borderId="0" xfId="0" applyFont="1"/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0" fillId="0" borderId="0" xfId="0" applyAlignment="1">
      <alignment horizontal="left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86">
    <dxf>
      <numFmt numFmtId="164" formatCode="_(* #,##0_);_(* \(#,##0\);_(* &quot;-&quot;??_);_(@_)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color rgb="FFFF0000"/>
      </font>
    </dxf>
    <dxf>
      <fill>
        <patternFill patternType="solid">
          <bgColor theme="9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>
          <bgColor rgb="FFFF7355"/>
        </patternFill>
      </fill>
    </dxf>
    <dxf>
      <fill>
        <patternFill>
          <bgColor rgb="FFFF735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4" formatCode="0.00%"/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>
          <bgColor rgb="FFFF7355"/>
        </patternFill>
      </fill>
    </dxf>
    <dxf>
      <fill>
        <patternFill>
          <bgColor rgb="FFFF735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colors>
    <mruColors>
      <color rgb="FFD55568"/>
      <color rgb="FFFF7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8.xml"/><Relationship Id="rId18" Type="http://schemas.openxmlformats.org/officeDocument/2006/relationships/pivotCacheDefinition" Target="pivotCache/pivotCacheDefinition13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6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pivotCacheDefinition" Target="pivotCache/pivotCacheDefinition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1.xml"/><Relationship Id="rId20" Type="http://schemas.openxmlformats.org/officeDocument/2006/relationships/pivotCacheDefinition" Target="pivotCache/pivotCacheDefinition1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0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5.xml"/><Relationship Id="rId19" Type="http://schemas.openxmlformats.org/officeDocument/2006/relationships/pivotCacheDefinition" Target="pivotCache/pivotCacheDefinition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84"/>
              <c:layout>
                <c:manualLayout>
                  <c:x val="-6.1578946020212633E-2"/>
                  <c:y val="-1.28807316931756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07-154A-BCB7-1E4F65269719}"/>
                </c:ext>
              </c:extLst>
            </c:dLbl>
            <c:dLbl>
              <c:idx val="8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D07-154A-BCB7-1E4F65269719}"/>
                </c:ext>
              </c:extLst>
            </c:dLbl>
            <c:dLbl>
              <c:idx val="90"/>
              <c:layout>
                <c:manualLayout>
                  <c:x val="-3.0612243603430248E-2"/>
                  <c:y val="-6.85884745533472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07-154A-BCB7-1E4F652697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[1]Sheet2!$D$2:$D$92</c:f>
              <c:numCache>
                <c:formatCode>General</c:formatCode>
                <c:ptCount val="91"/>
                <c:pt idx="0">
                  <c:v>1</c:v>
                </c:pt>
                <c:pt idx="1">
                  <c:v>0.9409036735473254</c:v>
                </c:pt>
                <c:pt idx="2">
                  <c:v>0.95127798841348787</c:v>
                </c:pt>
                <c:pt idx="3">
                  <c:v>0.98093950354936021</c:v>
                </c:pt>
                <c:pt idx="4">
                  <c:v>0.95440009291372163</c:v>
                </c:pt>
                <c:pt idx="5">
                  <c:v>1.0009429682846942</c:v>
                </c:pt>
                <c:pt idx="6">
                  <c:v>0.99114683688656346</c:v>
                </c:pt>
                <c:pt idx="7">
                  <c:v>0.99311981802981053</c:v>
                </c:pt>
                <c:pt idx="8">
                  <c:v>1.010250336599233</c:v>
                </c:pt>
                <c:pt idx="9">
                  <c:v>1.0513556208971584</c:v>
                </c:pt>
                <c:pt idx="10">
                  <c:v>1.0091170669215708</c:v>
                </c:pt>
                <c:pt idx="11">
                  <c:v>0.99821601166605922</c:v>
                </c:pt>
                <c:pt idx="12">
                  <c:v>1.0201205792985497</c:v>
                </c:pt>
                <c:pt idx="13">
                  <c:v>1.0384669365643004</c:v>
                </c:pt>
                <c:pt idx="14">
                  <c:v>1.0571138924527506</c:v>
                </c:pt>
                <c:pt idx="15">
                  <c:v>1.1018738162687722</c:v>
                </c:pt>
                <c:pt idx="16">
                  <c:v>1.0664275557117484</c:v>
                </c:pt>
                <c:pt idx="17">
                  <c:v>1.0802321861924624</c:v>
                </c:pt>
                <c:pt idx="18">
                  <c:v>1.0645224800326469</c:v>
                </c:pt>
                <c:pt idx="19">
                  <c:v>1.0570456072573915</c:v>
                </c:pt>
                <c:pt idx="20">
                  <c:v>1.0613799859898241</c:v>
                </c:pt>
                <c:pt idx="21">
                  <c:v>1.0954248939310283</c:v>
                </c:pt>
                <c:pt idx="22">
                  <c:v>1.1296634427463066</c:v>
                </c:pt>
                <c:pt idx="23">
                  <c:v>1.1405038900136226</c:v>
                </c:pt>
                <c:pt idx="24">
                  <c:v>1.0830156393616908</c:v>
                </c:pt>
                <c:pt idx="25">
                  <c:v>1.0918522363225054</c:v>
                </c:pt>
                <c:pt idx="26">
                  <c:v>1.0493985527996073</c:v>
                </c:pt>
                <c:pt idx="27">
                  <c:v>1.0528961428880086</c:v>
                </c:pt>
                <c:pt idx="28">
                  <c:v>1.0053647947678579</c:v>
                </c:pt>
                <c:pt idx="29">
                  <c:v>0.93878014902512219</c:v>
                </c:pt>
                <c:pt idx="30">
                  <c:v>0.9132017150375199</c:v>
                </c:pt>
                <c:pt idx="31">
                  <c:v>0.91293152580894277</c:v>
                </c:pt>
                <c:pt idx="32">
                  <c:v>0.83271349082374424</c:v>
                </c:pt>
                <c:pt idx="33">
                  <c:v>0.85415458444597026</c:v>
                </c:pt>
                <c:pt idx="34">
                  <c:v>0.83159489358399952</c:v>
                </c:pt>
                <c:pt idx="35">
                  <c:v>0.8530657235528124</c:v>
                </c:pt>
                <c:pt idx="36">
                  <c:v>0.82356041625764065</c:v>
                </c:pt>
                <c:pt idx="37">
                  <c:v>0.80815915717567366</c:v>
                </c:pt>
                <c:pt idx="38">
                  <c:v>0.82946514203462551</c:v>
                </c:pt>
                <c:pt idx="39">
                  <c:v>0.81250686856058241</c:v>
                </c:pt>
                <c:pt idx="40">
                  <c:v>0.81270500480056829</c:v>
                </c:pt>
                <c:pt idx="41">
                  <c:v>0.78181243336209894</c:v>
                </c:pt>
                <c:pt idx="42">
                  <c:v>0.74226898140934661</c:v>
                </c:pt>
                <c:pt idx="43">
                  <c:v>0.72957453477457779</c:v>
                </c:pt>
                <c:pt idx="44">
                  <c:v>0.73207043800602845</c:v>
                </c:pt>
                <c:pt idx="45">
                  <c:v>0.72171196715033303</c:v>
                </c:pt>
                <c:pt idx="46">
                  <c:v>0.71851171299461825</c:v>
                </c:pt>
                <c:pt idx="47">
                  <c:v>0.71806665059167962</c:v>
                </c:pt>
                <c:pt idx="48">
                  <c:v>0.76958831581307774</c:v>
                </c:pt>
                <c:pt idx="49">
                  <c:v>0.76275696845747476</c:v>
                </c:pt>
                <c:pt idx="50">
                  <c:v>0.68983128153281181</c:v>
                </c:pt>
                <c:pt idx="51">
                  <c:v>0.65613315631871882</c:v>
                </c:pt>
                <c:pt idx="52">
                  <c:v>0.65734649521829913</c:v>
                </c:pt>
                <c:pt idx="53">
                  <c:v>0.69701331776940412</c:v>
                </c:pt>
                <c:pt idx="54">
                  <c:v>0.69314998389585458</c:v>
                </c:pt>
                <c:pt idx="55">
                  <c:v>0.74682860939289542</c:v>
                </c:pt>
                <c:pt idx="56">
                  <c:v>0.77477649096270851</c:v>
                </c:pt>
                <c:pt idx="57">
                  <c:v>0.75078653260374084</c:v>
                </c:pt>
                <c:pt idx="58">
                  <c:v>0.75527676112756825</c:v>
                </c:pt>
                <c:pt idx="59">
                  <c:v>0.76191724322497156</c:v>
                </c:pt>
                <c:pt idx="60">
                  <c:v>0.78439878708451116</c:v>
                </c:pt>
                <c:pt idx="61">
                  <c:v>0.81600911259291597</c:v>
                </c:pt>
                <c:pt idx="62">
                  <c:v>0.81374924237227386</c:v>
                </c:pt>
                <c:pt idx="63">
                  <c:v>0.84720136767993626</c:v>
                </c:pt>
                <c:pt idx="64">
                  <c:v>0.87079828532370795</c:v>
                </c:pt>
                <c:pt idx="65">
                  <c:v>0.90095334503760871</c:v>
                </c:pt>
                <c:pt idx="66">
                  <c:v>0.95821094391614325</c:v>
                </c:pt>
                <c:pt idx="67">
                  <c:v>0.87170396525316085</c:v>
                </c:pt>
                <c:pt idx="68">
                  <c:v>0.89083298842977543</c:v>
                </c:pt>
                <c:pt idx="69">
                  <c:v>0.88923190832141252</c:v>
                </c:pt>
                <c:pt idx="70">
                  <c:v>0.91114145920995182</c:v>
                </c:pt>
                <c:pt idx="71">
                  <c:v>0.93762200076197078</c:v>
                </c:pt>
                <c:pt idx="72">
                  <c:v>0.93952534506926033</c:v>
                </c:pt>
                <c:pt idx="73">
                  <c:v>0.88587861073725271</c:v>
                </c:pt>
                <c:pt idx="74">
                  <c:v>0.90364428761487225</c:v>
                </c:pt>
                <c:pt idx="75">
                  <c:v>0.91512895624094759</c:v>
                </c:pt>
                <c:pt idx="76">
                  <c:v>0.87294645565033824</c:v>
                </c:pt>
                <c:pt idx="77">
                  <c:v>0.85739023194959807</c:v>
                </c:pt>
                <c:pt idx="78">
                  <c:v>0.849168800826401</c:v>
                </c:pt>
                <c:pt idx="79">
                  <c:v>0.85688023954520676</c:v>
                </c:pt>
                <c:pt idx="80">
                  <c:v>0.87695532905730533</c:v>
                </c:pt>
                <c:pt idx="81">
                  <c:v>0.85834868788909147</c:v>
                </c:pt>
                <c:pt idx="82">
                  <c:v>0.85465268958242702</c:v>
                </c:pt>
                <c:pt idx="83">
                  <c:v>0.86663860943539983</c:v>
                </c:pt>
                <c:pt idx="84">
                  <c:v>0.87550436390824993</c:v>
                </c:pt>
                <c:pt idx="85">
                  <c:v>0.86711939927854509</c:v>
                </c:pt>
                <c:pt idx="86">
                  <c:v>0.8514941434993144</c:v>
                </c:pt>
                <c:pt idx="87">
                  <c:v>0.87027050438235976</c:v>
                </c:pt>
                <c:pt idx="88">
                  <c:v>0.88505479749300697</c:v>
                </c:pt>
                <c:pt idx="89">
                  <c:v>0.90211811092626448</c:v>
                </c:pt>
                <c:pt idx="90">
                  <c:v>0.93473697712448278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[1]Sheet2!$D$1</c15:sqref>
                        </c15:formulaRef>
                      </c:ext>
                    </c:extLst>
                    <c:strCache>
                      <c:ptCount val="1"/>
                      <c:pt idx="0">
                        <c:v>Small as a % of Large Cap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[1]Sheet2!$A$2:$A$92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42370</c:v>
                      </c:pt>
                      <c:pt idx="1">
                        <c:v>42401</c:v>
                      </c:pt>
                      <c:pt idx="2">
                        <c:v>42430</c:v>
                      </c:pt>
                      <c:pt idx="3">
                        <c:v>42461</c:v>
                      </c:pt>
                      <c:pt idx="4">
                        <c:v>42491</c:v>
                      </c:pt>
                      <c:pt idx="5">
                        <c:v>42522</c:v>
                      </c:pt>
                      <c:pt idx="6">
                        <c:v>42552</c:v>
                      </c:pt>
                      <c:pt idx="7">
                        <c:v>42583</c:v>
                      </c:pt>
                      <c:pt idx="8">
                        <c:v>42614</c:v>
                      </c:pt>
                      <c:pt idx="9">
                        <c:v>42644</c:v>
                      </c:pt>
                      <c:pt idx="10">
                        <c:v>42675</c:v>
                      </c:pt>
                      <c:pt idx="11">
                        <c:v>42705</c:v>
                      </c:pt>
                      <c:pt idx="12">
                        <c:v>42736</c:v>
                      </c:pt>
                      <c:pt idx="13">
                        <c:v>42767</c:v>
                      </c:pt>
                      <c:pt idx="14">
                        <c:v>42795</c:v>
                      </c:pt>
                      <c:pt idx="15">
                        <c:v>42826</c:v>
                      </c:pt>
                      <c:pt idx="16">
                        <c:v>42856</c:v>
                      </c:pt>
                      <c:pt idx="17">
                        <c:v>42887</c:v>
                      </c:pt>
                      <c:pt idx="18">
                        <c:v>42917</c:v>
                      </c:pt>
                      <c:pt idx="19">
                        <c:v>42948</c:v>
                      </c:pt>
                      <c:pt idx="20">
                        <c:v>42979</c:v>
                      </c:pt>
                      <c:pt idx="21">
                        <c:v>43009</c:v>
                      </c:pt>
                      <c:pt idx="22">
                        <c:v>43040</c:v>
                      </c:pt>
                      <c:pt idx="23">
                        <c:v>43070</c:v>
                      </c:pt>
                      <c:pt idx="24">
                        <c:v>43101</c:v>
                      </c:pt>
                      <c:pt idx="25">
                        <c:v>43132</c:v>
                      </c:pt>
                      <c:pt idx="26">
                        <c:v>43160</c:v>
                      </c:pt>
                      <c:pt idx="27">
                        <c:v>43191</c:v>
                      </c:pt>
                      <c:pt idx="28">
                        <c:v>43221</c:v>
                      </c:pt>
                      <c:pt idx="29">
                        <c:v>43252</c:v>
                      </c:pt>
                      <c:pt idx="30">
                        <c:v>43282</c:v>
                      </c:pt>
                      <c:pt idx="31">
                        <c:v>43313</c:v>
                      </c:pt>
                      <c:pt idx="32">
                        <c:v>43344</c:v>
                      </c:pt>
                      <c:pt idx="33">
                        <c:v>43374</c:v>
                      </c:pt>
                      <c:pt idx="34">
                        <c:v>43405</c:v>
                      </c:pt>
                      <c:pt idx="35">
                        <c:v>43435</c:v>
                      </c:pt>
                      <c:pt idx="36">
                        <c:v>43466</c:v>
                      </c:pt>
                      <c:pt idx="37">
                        <c:v>43497</c:v>
                      </c:pt>
                      <c:pt idx="38">
                        <c:v>43525</c:v>
                      </c:pt>
                      <c:pt idx="39">
                        <c:v>43556</c:v>
                      </c:pt>
                      <c:pt idx="40">
                        <c:v>43586</c:v>
                      </c:pt>
                      <c:pt idx="41">
                        <c:v>43617</c:v>
                      </c:pt>
                      <c:pt idx="42">
                        <c:v>43647</c:v>
                      </c:pt>
                      <c:pt idx="43">
                        <c:v>43678</c:v>
                      </c:pt>
                      <c:pt idx="44">
                        <c:v>43709</c:v>
                      </c:pt>
                      <c:pt idx="45">
                        <c:v>43739</c:v>
                      </c:pt>
                      <c:pt idx="46">
                        <c:v>43770</c:v>
                      </c:pt>
                      <c:pt idx="47">
                        <c:v>43800</c:v>
                      </c:pt>
                      <c:pt idx="48">
                        <c:v>43831</c:v>
                      </c:pt>
                      <c:pt idx="49">
                        <c:v>43862</c:v>
                      </c:pt>
                      <c:pt idx="50">
                        <c:v>43891</c:v>
                      </c:pt>
                      <c:pt idx="51">
                        <c:v>43922</c:v>
                      </c:pt>
                      <c:pt idx="52">
                        <c:v>43952</c:v>
                      </c:pt>
                      <c:pt idx="53">
                        <c:v>43983</c:v>
                      </c:pt>
                      <c:pt idx="54">
                        <c:v>44013</c:v>
                      </c:pt>
                      <c:pt idx="55">
                        <c:v>44044</c:v>
                      </c:pt>
                      <c:pt idx="56">
                        <c:v>44075</c:v>
                      </c:pt>
                      <c:pt idx="57">
                        <c:v>44105</c:v>
                      </c:pt>
                      <c:pt idx="58">
                        <c:v>44136</c:v>
                      </c:pt>
                      <c:pt idx="59">
                        <c:v>44166</c:v>
                      </c:pt>
                      <c:pt idx="60">
                        <c:v>44197</c:v>
                      </c:pt>
                      <c:pt idx="61">
                        <c:v>44228</c:v>
                      </c:pt>
                      <c:pt idx="62">
                        <c:v>44256</c:v>
                      </c:pt>
                      <c:pt idx="63">
                        <c:v>44287</c:v>
                      </c:pt>
                      <c:pt idx="64">
                        <c:v>44317</c:v>
                      </c:pt>
                      <c:pt idx="65">
                        <c:v>44348</c:v>
                      </c:pt>
                      <c:pt idx="66">
                        <c:v>44378</c:v>
                      </c:pt>
                      <c:pt idx="67">
                        <c:v>44409</c:v>
                      </c:pt>
                      <c:pt idx="68">
                        <c:v>44440</c:v>
                      </c:pt>
                      <c:pt idx="69">
                        <c:v>44470</c:v>
                      </c:pt>
                      <c:pt idx="70">
                        <c:v>44501</c:v>
                      </c:pt>
                      <c:pt idx="71">
                        <c:v>44531</c:v>
                      </c:pt>
                      <c:pt idx="72">
                        <c:v>44562</c:v>
                      </c:pt>
                      <c:pt idx="73">
                        <c:v>44593</c:v>
                      </c:pt>
                      <c:pt idx="74">
                        <c:v>44621</c:v>
                      </c:pt>
                      <c:pt idx="75">
                        <c:v>44652</c:v>
                      </c:pt>
                      <c:pt idx="76">
                        <c:v>44682</c:v>
                      </c:pt>
                      <c:pt idx="77">
                        <c:v>44713</c:v>
                      </c:pt>
                      <c:pt idx="78">
                        <c:v>44743</c:v>
                      </c:pt>
                      <c:pt idx="79">
                        <c:v>44774</c:v>
                      </c:pt>
                      <c:pt idx="80">
                        <c:v>44805</c:v>
                      </c:pt>
                      <c:pt idx="81">
                        <c:v>44835</c:v>
                      </c:pt>
                      <c:pt idx="82">
                        <c:v>44866</c:v>
                      </c:pt>
                      <c:pt idx="83">
                        <c:v>44896</c:v>
                      </c:pt>
                      <c:pt idx="84">
                        <c:v>44927</c:v>
                      </c:pt>
                      <c:pt idx="85">
                        <c:v>44958</c:v>
                      </c:pt>
                      <c:pt idx="86">
                        <c:v>44986</c:v>
                      </c:pt>
                      <c:pt idx="87">
                        <c:v>45017</c:v>
                      </c:pt>
                      <c:pt idx="88">
                        <c:v>45047</c:v>
                      </c:pt>
                      <c:pt idx="89">
                        <c:v>45078</c:v>
                      </c:pt>
                      <c:pt idx="90">
                        <c:v>45108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ED07-154A-BCB7-1E4F65269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510880"/>
        <c:axId val="726514000"/>
      </c:lineChart>
      <c:catAx>
        <c:axId val="72651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14000"/>
        <c:crosses val="autoZero"/>
        <c:auto val="1"/>
        <c:lblAlgn val="ctr"/>
        <c:lblOffset val="100"/>
        <c:noMultiLvlLbl val="1"/>
      </c:catAx>
      <c:valAx>
        <c:axId val="7265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1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770684</xdr:colOff>
      <xdr:row>2</xdr:row>
      <xdr:rowOff>21708</xdr:rowOff>
    </xdr:from>
    <xdr:to>
      <xdr:col>19</xdr:col>
      <xdr:colOff>151966</xdr:colOff>
      <xdr:row>30</xdr:row>
      <xdr:rowOff>162820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776D9C-CE6C-844B-8C46-905328A3F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101854" createdVersion="8" refreshedVersion="8" minRefreshableVersion="3" recordCount="19" xr:uid="{E31D442E-39FF-F640-B3B9-28D64D003439}">
  <cacheSource type="worksheet">
    <worksheetSource ref="W150:Z169" sheet="Fund_Details"/>
  </cacheSource>
  <cacheFields count="4">
    <cacheField name="Fund Name" numFmtId="0">
      <sharedItems containsBlank="1" count="21">
        <s v="Parag Parikh Flexi Cap"/>
        <s v="UTI Nifty 50"/>
        <s v="Axis Mid Cap"/>
        <s v="HDFC Small Cap"/>
        <s v="Motilal Oswal S&amp;P"/>
        <s v="Mirae Asset Large Cap"/>
        <s v="Mirae Asset Emerging Blue Chip Fund"/>
        <s v="Nippon India Multicap Fund"/>
        <s v="HDFC Focused 30 Fund"/>
        <s v="Nippon India Growth Fund"/>
        <s v="Edelweiss Small Cap"/>
        <s v="Nippon India Small Cap"/>
        <s v="ICICI Prudential Small Cap"/>
        <s v="ICICI Prudential large &amp; Mid Cap"/>
        <s v="ICICI Prudential India Opportunities Fund"/>
        <s v="Tata Small Cap"/>
        <s v="Kotak Emerging Equity Fund"/>
        <s v="Quant Active Fund Growth Option Direct Plan"/>
        <s v="Quant Small Cap Fund - Direct "/>
        <m u="1"/>
        <s v="Quant small cap" u="1"/>
      </sharedItems>
    </cacheField>
    <cacheField name="Category of Fund" numFmtId="0">
      <sharedItems containsBlank="1" count="9">
        <s v="Flexi Cap"/>
        <s v="Large Cap"/>
        <s v="Mid Cap"/>
        <s v="Small Cap"/>
        <s v="Large and Mid Cap"/>
        <s v="Multi Cap"/>
        <s v="Focused Cap"/>
        <s v="Sector"/>
        <m u="1"/>
      </sharedItems>
    </cacheField>
    <cacheField name="Amount_True" numFmtId="0">
      <sharedItems containsSemiMixedTypes="0" containsString="0" containsNumber="1" containsInteger="1" minValue="0" maxValue="51000"/>
    </cacheField>
    <cacheField name="Fund Pla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217593" createdVersion="8" refreshedVersion="8" minRefreshableVersion="3" recordCount="18" xr:uid="{7AAF74E1-94B1-4644-A770-B6D6D2E5423B}">
  <cacheSource type="worksheet">
    <worksheetSource ref="W121:Z139" sheet="Fund_Details"/>
  </cacheSource>
  <cacheFields count="4">
    <cacheField name="Fund Name" numFmtId="0">
      <sharedItems count="18">
        <s v="Parag Parikh Flexi Cap"/>
        <s v="UTI Nifty 50"/>
        <s v="Axis Mid Cap"/>
        <s v="HDFC Small Cap"/>
        <s v="Motilal Oswal S&amp;P"/>
        <s v="Mirae Asset Large Cap"/>
        <s v="Mirae Asset Emerging Blue Chip Fund"/>
        <s v="Nippon India Multicap Fund"/>
        <s v="HDFC Focused 30 Fund"/>
        <s v="Nippon India Growth Fund"/>
        <s v="Edelweiss Small Cap"/>
        <s v="Nippon India Small Cap"/>
        <s v="ICICI Prudential Small Cap"/>
        <s v="ICICI Prudential large &amp; Mid Cap"/>
        <s v="ICICI Prudential India Opportunities Fund"/>
        <s v="Tata Small Cap"/>
        <s v="Kotak Emerging Equity Fund"/>
        <s v="Quant Active Fund Growth Option Direct Plan"/>
      </sharedItems>
    </cacheField>
    <cacheField name="Category of Fund" numFmtId="0">
      <sharedItems count="8">
        <s v="Flexi Cap"/>
        <s v="Large Cap"/>
        <s v="Mid Cap"/>
        <s v="Small Cap"/>
        <s v="Large and Mid Cap"/>
        <s v="Multi Cap"/>
        <s v="Focused Cap"/>
        <s v="Sector"/>
      </sharedItems>
    </cacheField>
    <cacheField name="Amount_True" numFmtId="0">
      <sharedItems containsSemiMixedTypes="0" containsString="0" containsNumber="1" containsInteger="1" minValue="3500" maxValue="51000"/>
    </cacheField>
    <cacheField name="Fund Pla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333331" createdVersion="8" refreshedVersion="8" minRefreshableVersion="3" recordCount="22" xr:uid="{E111CCFA-CED3-5F46-9BFB-597567C62495}">
  <cacheSource type="worksheet">
    <worksheetSource ref="W85:Z107" sheet="Fund_Details"/>
  </cacheSource>
  <cacheFields count="5">
    <cacheField name="Fund Name" numFmtId="0">
      <sharedItems count="20">
        <s v="HDFC Small Cap Fund - Direct Growth Plan"/>
        <s v="Mirae Asset Large Cap Fund - Direct Plan - Growth"/>
        <s v="Invesco India Contra Fund - Direct Plan - Growth"/>
        <s v="Edelweiss Small Cap Fund"/>
        <s v="ICICI Prudential Large &amp; Mid Cap Fund - Growth"/>
        <s v="ICICI Prudential India Opportunities Fund - Growth"/>
        <s v="ICICI Prudential Small cap Fund - Regular Plan"/>
        <s v="Kotak Emerging Equity Fund-Growth"/>
        <s v="Nippon India Multicap Fund"/>
        <s v="Nippon India Growth Fund"/>
        <s v="Nippon India Small Cap Fund"/>
        <s v="Tata Small Cap Fund"/>
        <s v="Parag Parikh Flexi Cap Fund"/>
        <s v="Mirae Asset Emerging Bluechip Fund - Direct Plan - Growth"/>
        <s v="HDFC Focused 30 Fund"/>
        <s v="AXIS 25 Focused Fund"/>
        <s v="Axis Mutual Fund - Mid Cap"/>
        <s v="Motilal Oswal S&amp;P 500 Index Fund (MOFSP500)"/>
        <s v="UTI Nifty 50 Index Fund "/>
        <s v="Quant Active Fund"/>
      </sharedItems>
    </cacheField>
    <cacheField name="Type of Fund" numFmtId="0">
      <sharedItems containsBlank="1" count="12">
        <s v="Small Cap"/>
        <s v="Large Cap"/>
        <s v="Contra"/>
        <s v="Large and Mid cap"/>
        <s v="Sector"/>
        <s v="Mid Cap"/>
        <s v="Multicap"/>
        <s v="Flexi/Large"/>
        <s v="Focused"/>
        <s v="Index"/>
        <m u="1"/>
        <s v="Small/Growth" u="1"/>
      </sharedItems>
      <fieldGroup par="4"/>
    </cacheField>
    <cacheField name="Amount_True" numFmtId="164">
      <sharedItems containsSemiMixedTypes="0" containsString="0" containsNumber="1" containsInteger="1" minValue="0" maxValue="26000"/>
    </cacheField>
    <cacheField name="Category" numFmtId="0">
      <sharedItems/>
    </cacheField>
    <cacheField name="Type of Fund2" numFmtId="0" databaseField="0">
      <fieldGroup base="1">
        <discretePr count="12">
          <x v="6"/>
          <x v="7"/>
          <x v="0"/>
          <x v="1"/>
          <x v="8"/>
          <x v="2"/>
          <x v="3"/>
          <x v="7"/>
          <x v="4"/>
          <x v="5"/>
          <x v="9"/>
          <x v="6"/>
        </discretePr>
        <groupItems count="10">
          <s v="Contra"/>
          <s v="Large and Mid cap"/>
          <s v="Mid Cap"/>
          <s v="Multicap"/>
          <s v="Focused"/>
          <s v="Index"/>
          <s v="Group1"/>
          <s v="Group2"/>
          <s v="Sector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449077" createdVersion="8" refreshedVersion="8" minRefreshableVersion="3" recordCount="20" xr:uid="{F588A46A-2EBD-D84E-88B1-E0B2CB24130F}">
  <cacheSource type="worksheet">
    <worksheetSource ref="W59:Z79" sheet="Fund_Details"/>
  </cacheSource>
  <cacheFields count="5">
    <cacheField name="Fund Name" numFmtId="0">
      <sharedItems count="18">
        <s v="HDFC Small Cap Fund - Direct Growth Plan"/>
        <s v="Mirae Asset Large Cap Fund - Direct Plan - Growth"/>
        <s v="Invesco India Contra Fund - Direct Plan - Growth"/>
        <s v="Edelweiss Small Cap Fund"/>
        <s v="ICICI Prudential Large &amp; Mid Cap Fund - Growth"/>
        <s v="ICICI Prudential India Opportunities Fund - Growth"/>
        <s v="ICICI Prudential Smallcap Fund - Regular Plan"/>
        <s v="Kotak Emerging Equity Fund-Growth"/>
        <s v="Nippon India Multicap Fund"/>
        <s v="Nippon India Growth Fund"/>
        <s v="Nippon India Small Cap Fund"/>
        <s v="Tata Small Cap Fund"/>
        <s v="Parag Parikh Flexi Cap Fund"/>
        <s v="Mirae Asset Emerging Bluechip Fund - Direct Plan - Growth"/>
        <s v="HDFC Focused 30 Fund"/>
        <s v="Axis Mutual Fund - Mid Cap"/>
        <s v="Motilal Oswal S&amp;P 500 Index Fund (MOFSP500)"/>
        <s v="UTI Nifty 50 Index Fund "/>
      </sharedItems>
    </cacheField>
    <cacheField name="Type of Fund" numFmtId="0">
      <sharedItems containsBlank="1" count="12">
        <s v="Small Cap"/>
        <s v="Large Cap"/>
        <s v="Contra"/>
        <s v="Large and Mid cap"/>
        <s v="Flexi/Large"/>
        <s v="Mid Cap"/>
        <s v="Multicap"/>
        <s v="Small/Growth"/>
        <s v="Index"/>
        <s v="Large" u="1"/>
        <m u="1"/>
        <s v="Emerging" u="1"/>
      </sharedItems>
      <fieldGroup par="4"/>
    </cacheField>
    <cacheField name="Amount_True" numFmtId="164">
      <sharedItems containsSemiMixedTypes="0" containsString="0" containsNumber="1" containsInteger="1" minValue="2500" maxValue="30000"/>
    </cacheField>
    <cacheField name="Category" numFmtId="0">
      <sharedItems/>
    </cacheField>
    <cacheField name="Type of Fund2" numFmtId="0" databaseField="0">
      <fieldGroup base="1">
        <discretePr count="12">
          <x v="5"/>
          <x v="4"/>
          <x v="2"/>
          <x v="6"/>
          <x v="4"/>
          <x v="0"/>
          <x v="3"/>
          <x v="5"/>
          <x v="1"/>
          <x v="8"/>
          <x v="7"/>
          <x v="6"/>
        </discretePr>
        <groupItems count="9">
          <s v="Mid Cap"/>
          <s v="Index"/>
          <s v="Contra"/>
          <s v="Multicap"/>
          <s v="Group1"/>
          <s v="Group2"/>
          <s v="Group3"/>
          <m/>
          <s v="Large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564816" createdVersion="8" refreshedVersion="8" minRefreshableVersion="3" recordCount="16" xr:uid="{23A8C741-418B-034F-BD69-C814E8B4BB4F}">
  <cacheSource type="worksheet">
    <worksheetSource ref="W36:Y52" sheet="Fund_Details"/>
  </cacheSource>
  <cacheFields count="4">
    <cacheField name="Fund Name" numFmtId="0">
      <sharedItems count="15">
        <s v="HDFC Small Cap Fund - Direct Growth Plan"/>
        <s v="Mirae Asset Large Cap Fund - Direct Plan - Growth"/>
        <s v="Invesco India Contra Fund - Direct Plan - Growth"/>
        <s v="Edelweiss Small Cap Fund"/>
        <s v="ICICI Prudential Large &amp; Mid Cap Fund - Growth"/>
        <s v="ICICI Prudential India Opportunities Fund - Growth"/>
        <s v="ICICI Prudential Smallcap Fund - Regular Plan"/>
        <s v="Kotak Emerging Equity Fund-Growth"/>
        <s v="Nippon India Multicap Fund"/>
        <s v="Nippon India Growth Fund"/>
        <s v="Nippon India Small Cap Fund"/>
        <s v="Tata Small Cap Fund"/>
        <s v="Parag Parikh Flexi Cap Fund"/>
        <s v="Mirae Asset Emerging Bluechip Fund - Proposed Plan"/>
        <s v="Mirae Asset Focused Fund - Direct"/>
      </sharedItems>
    </cacheField>
    <cacheField name="Type of Fund" numFmtId="0">
      <sharedItems count="9">
        <s v="Small Cap"/>
        <s v="Large Cap"/>
        <s v="Contra"/>
        <s v="Large and Mid cap"/>
        <s v="Flexi/Large"/>
        <s v="Emerging"/>
        <s v="Multicap"/>
        <s v="Small/Growth"/>
        <s v="Large/Flexi" u="1"/>
      </sharedItems>
      <fieldGroup par="3"/>
    </cacheField>
    <cacheField name="Amount_True" numFmtId="164">
      <sharedItems containsSemiMixedTypes="0" containsString="0" containsNumber="1" containsInteger="1" minValue="4000" maxValue="25000"/>
    </cacheField>
    <cacheField name="Type of Fund2" numFmtId="0" databaseField="0">
      <fieldGroup base="1">
        <discretePr count="9">
          <x v="7"/>
          <x v="0"/>
          <x v="1"/>
          <x v="2"/>
          <x v="6"/>
          <x v="4"/>
          <x v="5"/>
          <x v="7"/>
          <x v="3"/>
        </discretePr>
        <groupItems count="8">
          <s v="Large Cap"/>
          <s v="Contra"/>
          <s v="Large and Mid cap"/>
          <s v="Large/Flexi"/>
          <s v="Emerging"/>
          <s v="Multicap"/>
          <s v="Flexi/Large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680554" createdVersion="8" refreshedVersion="8" minRefreshableVersion="3" recordCount="8" xr:uid="{D57D53C3-CF8B-324C-9C64-08B14070BA25}">
  <cacheSource type="worksheet">
    <worksheetSource ref="W14:Y22" sheet="Fund_Details"/>
  </cacheSource>
  <cacheFields count="3">
    <cacheField name="Fund Name" numFmtId="0">
      <sharedItems containsBlank="1"/>
    </cacheField>
    <cacheField name="Type of Fund" numFmtId="0">
      <sharedItems containsBlank="1" count="7">
        <s v="Mid Cap"/>
        <s v="Large and Mid cap"/>
        <s v="Index"/>
        <s v="Flexi/Large"/>
        <s v="Loan"/>
        <m/>
        <s v="Debt" u="1"/>
      </sharedItems>
    </cacheField>
    <cacheField name="Amount_True" numFmtId="164">
      <sharedItems containsString="0" containsBlank="1" containsNumber="1" containsInteger="1" minValue="3500" maxValue="21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796293" createdVersion="8" refreshedVersion="8" minRefreshableVersion="3" recordCount="8" xr:uid="{152DCC46-6F9F-7D4F-90FC-87651247113E}">
  <cacheSource type="worksheet">
    <worksheetSource ref="W25:Y33" sheet="Fund_Details"/>
  </cacheSource>
  <cacheFields count="3">
    <cacheField name="Fund Name" numFmtId="0">
      <sharedItems/>
    </cacheField>
    <cacheField name="Type of Fund" numFmtId="0">
      <sharedItems count="5">
        <s v="Mid Cap"/>
        <s v="Large and Mid cap"/>
        <s v="Index"/>
        <s v="Flexi/Large"/>
        <s v="Debt"/>
      </sharedItems>
    </cacheField>
    <cacheField name="Amount_True" numFmtId="164">
      <sharedItems containsSemiMixedTypes="0" containsString="0" containsNumber="1" containsInteger="1" minValue="5000" maxValue="2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912039" createdVersion="8" refreshedVersion="8" minRefreshableVersion="3" recordCount="19" xr:uid="{5C6359F1-1D79-DF4C-8B5D-893609023521}">
  <cacheSource type="worksheet">
    <worksheetSource ref="K31:N50" sheet="Fund_Details"/>
  </cacheSource>
  <cacheFields count="5">
    <cacheField name="Fund Name" numFmtId="0">
      <sharedItems count="19">
        <s v="Axis Mutual Fund - Mid Cap"/>
        <s v="Edelweiss Small Cap Fund"/>
        <s v="HDFC Hybrid Equity Fund - Regular Plan - Growth"/>
        <s v="HDFC Small Cap Fund - Direct Growth Plan"/>
        <s v="ICICI Prudential Large &amp; Mid Cap Fund - Growth"/>
        <s v="ICICI Prudential India Opportunities Fund - Growth"/>
        <s v="ICICI Prudential Smallcap Fund - Regular Plan"/>
        <s v="Invesco India Contra Fund - Direct Plan - Growth"/>
        <s v="Kotak Emerging Equity Fund-Growth"/>
        <s v="Mirae Asset Emerging Bluechip Fund - Direct Plan - Growth"/>
        <s v="Mirae Asset Large Cap Fund - Direct Plan - Growth"/>
        <s v="Motilal Oswal S&amp;P 500 Index Fund (MOFSP500)"/>
        <s v="Nippon India Multicap Fund"/>
        <s v="Nippon India Growth Fund"/>
        <s v="Nippon India Small Cap Fund"/>
        <s v="Parag Parikh Flexi Cap Fund"/>
        <s v="SBI Blue Chip Fund"/>
        <s v="Tata Small Cap Fund"/>
        <s v="UTI Nifty 50 Index Fund "/>
      </sharedItems>
    </cacheField>
    <cacheField name="Type of Fund" numFmtId="0">
      <sharedItems count="13">
        <s v="Mid Cap"/>
        <s v="Small Cap"/>
        <s v="Hybrid"/>
        <s v="Large and Mid cap"/>
        <s v="Small/Growth"/>
        <s v="Contra"/>
        <s v="Emerging"/>
        <s v="Large Cap"/>
        <s v="Index"/>
        <s v="Multicap"/>
        <s v="Flexi/Large"/>
        <s v="Growth" u="1"/>
        <s v="Small" u="1"/>
      </sharedItems>
      <fieldGroup par="4"/>
    </cacheField>
    <cacheField name="Amount_True" numFmtId="0">
      <sharedItems containsSemiMixedTypes="0" containsString="0" containsNumber="1" containsInteger="1" minValue="1000" maxValue="51000"/>
    </cacheField>
    <cacheField name="Amount" numFmtId="0">
      <sharedItems containsSemiMixedTypes="0" containsString="0" containsNumber="1" containsInteger="1" minValue="500" maxValue="25500"/>
    </cacheField>
    <cacheField name="Type of Fund2" numFmtId="0" databaseField="0">
      <fieldGroup base="1">
        <discretePr count="13">
          <x v="10"/>
          <x v="0"/>
          <x v="1"/>
          <x v="2"/>
          <x v="3"/>
          <x v="4"/>
          <x v="10"/>
          <x v="9"/>
          <x v="5"/>
          <x v="6"/>
          <x v="9"/>
          <x v="7"/>
          <x v="8"/>
        </discretePr>
        <groupItems count="11">
          <s v="Small Cap"/>
          <s v="Hybrid"/>
          <s v="Large and Mid cap"/>
          <s v="Small/Growth"/>
          <s v="Contra"/>
          <s v="Index"/>
          <s v="Multicap"/>
          <s v="Growth"/>
          <s v="Small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9027778" createdVersion="8" refreshedVersion="8" minRefreshableVersion="3" recordCount="13" xr:uid="{6C897D82-9B25-6546-A674-9B2BA38D9755}">
  <cacheSource type="worksheet">
    <worksheetSource ref="K70:N83" sheet="Fund_Details"/>
  </cacheSource>
  <cacheFields count="5">
    <cacheField name="Fund Name" numFmtId="0">
      <sharedItems count="13">
        <s v="Axis Mutual Fund"/>
        <s v="HDFC Hybrid Equity Fund - Regular Plan - Growth"/>
        <s v="HDFC Small Cap Fund - Direct Growth Plan"/>
        <s v="Invesco India Contra Fund - Direct Plan - Growth"/>
        <s v="Mirae Asset Emerging Bluechip Fund - Direct Plan - Growth"/>
        <s v="Mirae Asset Large Cap Fund - Direct Plan - Growth"/>
        <s v="Motilal Oswal S&amp;P 500 Index Fund (MOFSP500)"/>
        <s v="Parag Parikh Flexi Cap Fund"/>
        <s v="SBI Blue Chip Fund"/>
        <s v="UTI Nifty 50 Index Fund "/>
        <s v="Aditya Birla Sun life"/>
        <s v="ICICI Prudential Ultra Short Term"/>
        <s v="Kotak Mutul Fund"/>
      </sharedItems>
    </cacheField>
    <cacheField name="Type of Fund" numFmtId="0">
      <sharedItems count="8">
        <s v="Mid"/>
        <s v="hybrid"/>
        <s v="Small"/>
        <s v="Contra"/>
        <s v="Large"/>
        <s v="Index"/>
        <s v="Large/Flexi"/>
        <s v="Debt"/>
      </sharedItems>
      <fieldGroup par="4"/>
    </cacheField>
    <cacheField name="Amount_True" numFmtId="0">
      <sharedItems containsSemiMixedTypes="0" containsString="0" containsNumber="1" containsInteger="1" minValue="1000" maxValue="26000"/>
    </cacheField>
    <cacheField name="Amount" numFmtId="0">
      <sharedItems containsSemiMixedTypes="0" containsString="0" containsNumber="1" containsInteger="1" minValue="500" maxValue="13000"/>
    </cacheField>
    <cacheField name="Type of Fund2" numFmtId="0" databaseField="0">
      <fieldGroup base="1">
        <discretePr count="8">
          <x v="0"/>
          <x v="1"/>
          <x v="2"/>
          <x v="3"/>
          <x v="6"/>
          <x v="4"/>
          <x v="6"/>
          <x v="5"/>
        </discretePr>
        <groupItems count="7">
          <s v="Mid"/>
          <s v="hybrid"/>
          <s v="Small"/>
          <s v="Contra"/>
          <s v="Index"/>
          <s v="Debt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75908275463" createdVersion="8" refreshedVersion="8" minRefreshableVersion="3" recordCount="22" xr:uid="{D27B5FD0-2E63-E246-B9E4-F6FCD3CBA089}">
  <cacheSource type="worksheet">
    <worksheetSource ref="W176:Z198" sheet="Fund_Details"/>
  </cacheSource>
  <cacheFields count="4">
    <cacheField name="Fund Name" numFmtId="0">
      <sharedItems count="20">
        <s v="ICICI Prudential India Opportunities Fund Regular Growth"/>
        <s v="Baroda BNP Paribas India Consumption Fund Regular Growth"/>
        <s v="Kotak Emerging Equity Fund - Direct Plan - Growth"/>
        <s v="Tata Small Cap"/>
        <s v="Nippon India Multicap Fund"/>
        <s v="Nippon India Growth Fund"/>
        <s v="ICICI Prudential Large &amp; Mid Cap Fund Growth"/>
        <s v="ICICI Prudential Smallcap"/>
        <s v="Nippon India Smallcap"/>
        <s v="Edelweiss Small Cap Fund Regular Growth"/>
        <s v="HDFC Focused 30 Fund -Direct Plan - Growth Option"/>
        <s v="Nippon India Multi Cap Fund - Direct Plan - Growth"/>
        <s v="Mirae Asset Emerging Bluechip Fund Direct Plan Growth"/>
        <s v="UTI Nifty 50 Index Fund-Growth Option- Direct"/>
        <s v="Quant Active Fund Growth Option Direct Plan"/>
        <s v="Axis Midcap Fund Direct Plan Growth"/>
        <s v="Parag Parikh Flexi Cap Fund - Direct Plan Growth"/>
        <s v="Quant Small Cap Fund - Direct "/>
        <s v="Motilal Oswal S&amp;P 500 Index Fund Direct Growth"/>
        <s v="HDFC Small Cap"/>
      </sharedItems>
    </cacheField>
    <cacheField name="Category of Fund" numFmtId="0">
      <sharedItems count="8">
        <s v="Sector"/>
        <s v="Midcap"/>
        <s v="Smallcap"/>
        <s v="Multicap"/>
        <s v="Large &amp; Midcap"/>
        <s v="Focused"/>
        <s v="Largecap"/>
        <s v="Flexicap"/>
      </sharedItems>
    </cacheField>
    <cacheField name="Amount_True" numFmtId="0">
      <sharedItems containsSemiMixedTypes="0" containsString="0" containsNumber="1" containsInteger="1" minValue="0" maxValue="51000"/>
    </cacheField>
    <cacheField name="Fund Pla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0.363200810185" createdVersion="8" refreshedVersion="8" minRefreshableVersion="3" recordCount="15" xr:uid="{DC0236E4-D77A-4B4D-9834-B019BC4FB5F1}">
  <cacheSource type="worksheet">
    <worksheetSource ref="W246:AA261" sheet="Fund_Details"/>
  </cacheSource>
  <cacheFields count="5">
    <cacheField name="Fund Name" numFmtId="0">
      <sharedItems count="15">
        <s v="PPFAS"/>
        <s v="UTI NIFTY50"/>
        <s v="Motilal S&amp;P 500"/>
        <s v="AXIS MidCap"/>
        <s v="Kotak Emerging Equity"/>
        <s v="Nippon India Growth fund"/>
        <s v="Nippon India Multicap"/>
        <s v="Quant Active Fund"/>
        <s v="Miraeasset emerging bluechip"/>
        <s v="ICICI Large and Midcap"/>
        <s v="Quant smallcap"/>
        <s v="HDFC smallcap"/>
        <s v="Nippon India Smallcap"/>
        <s v="TATA smallcap"/>
        <s v="ICICI India Opportunities Fund"/>
      </sharedItems>
    </cacheField>
    <cacheField name="Month" numFmtId="0">
      <sharedItems/>
    </cacheField>
    <cacheField name="Category" numFmtId="0">
      <sharedItems count="7">
        <s v="Flexi"/>
        <s v="Large"/>
        <s v="Midcap"/>
        <s v="Multicap"/>
        <s v="Large and midcap"/>
        <s v="Smallcap"/>
        <s v="Sector"/>
      </sharedItems>
    </cacheField>
    <cacheField name="Amount" numFmtId="0">
      <sharedItems containsSemiMixedTypes="0" containsString="0" containsNumber="1" containsInteger="1" minValue="0" maxValue="51000"/>
    </cacheField>
    <cacheField name="Target Amount" numFmtId="0">
      <sharedItems containsSemiMixedTypes="0" containsString="0" containsNumber="1" containsInteger="1" minValue="0" maxValue="5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8.348222337961" createdVersion="8" refreshedVersion="8" minRefreshableVersion="3" recordCount="18" xr:uid="{631FCA5B-5DCB-914E-950F-865F972D98E8}">
  <cacheSource type="worksheet">
    <worksheetSource ref="V289:AD307" sheet="Fund_Details"/>
  </cacheSource>
  <cacheFields count="9">
    <cacheField name="Bank Name" numFmtId="0">
      <sharedItems/>
    </cacheField>
    <cacheField name="Fund Name" numFmtId="0">
      <sharedItems count="17">
        <s v="ICICI Prudential India Opportunities Fund Regular Growth"/>
        <s v="Kotak Emerging Equity Fund -Regular - Growth"/>
        <s v="Tata Small Cap"/>
        <s v="Nippon India Multicap Fund"/>
        <s v="Nippon India Growth Fund"/>
        <s v="ICICI Prudential Large &amp; Mid Cap Fund Growth"/>
        <s v="ICICI Prudential Smallcap"/>
        <s v="Nippon India Smallcap"/>
        <s v="Edelweiss Small Cap Fund Regular Growth"/>
        <s v="Kotak Emerging Equity Fund - Direct Plan - Growth"/>
        <s v="Nippon India Multi Cap Fund - Direct Plan - Growth"/>
        <s v="UTI Nifty 50 Index Fund-Growth Option- Direct"/>
        <s v="Axis Midcap Fund Direct Plan Growth"/>
        <s v="Parag Parikh Flexi Cap Fund - Direct Plan Growth"/>
        <s v="Quant Small Cap Fund - Direct "/>
        <s v="Motilal Oswal S&amp;P 500 Index Fund Direct Growth"/>
        <s v="HDFC Small Cap"/>
      </sharedItems>
    </cacheField>
    <cacheField name="Category of Fund" numFmtId="0">
      <sharedItems count="7">
        <s v="Sector"/>
        <s v="Midcap"/>
        <s v="Smallcap"/>
        <s v="Multicap"/>
        <s v="Large &amp; Midcap"/>
        <s v="Largecap"/>
        <s v="Flexicap"/>
      </sharedItems>
    </cacheField>
    <cacheField name="Fund Plan" numFmtId="0">
      <sharedItems/>
    </cacheField>
    <cacheField name="SIP Amount" numFmtId="0">
      <sharedItems containsSemiMixedTypes="0" containsString="0" containsNumber="1" containsInteger="1" minValue="2500" maxValue="51000"/>
    </cacheField>
    <cacheField name="SIP Frequency" numFmtId="0">
      <sharedItems/>
    </cacheField>
    <cacheField name="Total Savings Account needed" numFmtId="0">
      <sharedItems containsSemiMixedTypes="0" containsString="0" containsNumber="1" containsInteger="1" minValue="2500" maxValue="51000"/>
    </cacheField>
    <cacheField name="To be transferred" numFmtId="0">
      <sharedItems containsBlank="1"/>
    </cacheField>
    <cacheField name="Proposed SIPs" numFmtId="0">
      <sharedItems containsSemiMixedTypes="0" containsString="0" containsNumber="1" containsInteger="1" minValue="0" maxValue="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9.78730300926" createdVersion="8" refreshedVersion="8" minRefreshableVersion="3" recordCount="12" xr:uid="{7991D392-F3E7-BC4E-B0FF-54C48A7ECAE1}">
  <cacheSource type="worksheet">
    <worksheetSource ref="A1:G13" sheet="New_Folios"/>
  </cacheSource>
  <cacheFields count="7">
    <cacheField name="Bank Name" numFmtId="0">
      <sharedItems/>
    </cacheField>
    <cacheField name="SIP Start Date" numFmtId="16">
      <sharedItems containsSemiMixedTypes="0" containsNonDate="0" containsDate="1" containsString="0" minDate="2023-09-07T00:00:00" maxDate="2023-10-08T00:00:00"/>
    </cacheField>
    <cacheField name="Fund Name" numFmtId="0">
      <sharedItems count="11">
        <s v="Quant Midcap - Direct Plan Growth"/>
        <s v="Kotak Emerging Equity Fund - Direct Plan - Growth"/>
        <s v="TATA Small Cap - Direct Plan - Growth"/>
        <s v="Nippon India Multi Cap Fund - Direct Plan - Growth"/>
        <s v="Motilal Oswal Large &amp; Midcap Fund"/>
        <s v="Parag Parikh Flexi Cap Fund - Direct Plan"/>
        <s v="Quant Smallcap - Direct Plan Growth"/>
        <s v="NIPPON INDIA SMALL CAP FUND-DIRECT GROWTH"/>
        <s v="HDFC Small Cap Fund - Direct Plan - Growth"/>
        <s v="ICICI Prudential India Opportunities Fund Regular Growth"/>
        <s v="ICICI Prudential Value discovery fund"/>
      </sharedItems>
    </cacheField>
    <cacheField name="Type of Fund" numFmtId="0">
      <sharedItems/>
    </cacheField>
    <cacheField name="Category of Funds" numFmtId="0">
      <sharedItems count="7">
        <s v="Midcap"/>
        <s v="Smallcap"/>
        <s v="Multicap"/>
        <s v="Large &amp; Midcap"/>
        <s v="Flexicap"/>
        <s v="Sector"/>
        <s v="Largecap"/>
      </sharedItems>
    </cacheField>
    <cacheField name="SIP Amount" numFmtId="0">
      <sharedItems containsSemiMixedTypes="0" containsString="0" containsNumber="1" containsInteger="1" minValue="0" maxValue="51000"/>
    </cacheField>
    <cacheField name="Frequ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9.787539351855" createdVersion="8" refreshedVersion="8" minRefreshableVersion="3" recordCount="11" xr:uid="{AD034D2D-F9A7-A742-A5E3-68EACBABD4C1}">
  <cacheSource type="worksheet">
    <worksheetSource ref="A1:G12" sheet="New_Folios"/>
  </cacheSource>
  <cacheFields count="7">
    <cacheField name="Bank Name" numFmtId="0">
      <sharedItems/>
    </cacheField>
    <cacheField name="SIP Start Date" numFmtId="16">
      <sharedItems containsSemiMixedTypes="0" containsNonDate="0" containsDate="1" containsString="0" minDate="2023-09-07T00:00:00" maxDate="2023-10-08T00:00:00"/>
    </cacheField>
    <cacheField name="Fund Name" numFmtId="0">
      <sharedItems count="14">
        <s v="Quant Midcap - Direct Plan Growth"/>
        <s v="Kotak Emerging Equity Fund - Direct Plan - Growth"/>
        <s v="TATA Small Cap - Direct Plan - Growth"/>
        <s v="Nippon India Multi Cap Fund - Direct Plan - Growth"/>
        <s v="Motilal Oswal Large &amp; Midcap Fund"/>
        <s v="Parag Parikh Flexi Cap Fund - Direct Plan"/>
        <s v="Quant Smallcap - Direct Plan Growth"/>
        <s v="NIPPON INDIA SMALL CAP FUND-DIRECT GROWTH"/>
        <s v="HDFC Small Cap Fund - Direct Plan - Growth"/>
        <s v="ICICI Prudential India Opportunities Fund Regular Growth"/>
        <s v="UTI Nifty 50 Index Fund" u="1"/>
        <s v="ICICI Prudential Value Discovery Fund - Direct Plan - Growth" u="1"/>
        <s v="UTI Nifty 50 Index Fund-Growth Option- Direct" u="1"/>
        <s v="Motilal Oswal S&amp;P 500 Index Fund Direct Growth" u="1"/>
      </sharedItems>
    </cacheField>
    <cacheField name="Type of Fund" numFmtId="0">
      <sharedItems/>
    </cacheField>
    <cacheField name="Category of Funds" numFmtId="0">
      <sharedItems count="8">
        <s v="Midcap"/>
        <s v="Smallcap"/>
        <s v="Multicap"/>
        <s v="Large &amp; Midcap"/>
        <s v="Flexicap"/>
        <s v="Sector"/>
        <s v="Largecap" u="1"/>
        <s v="Value Fund" u="1"/>
      </sharedItems>
    </cacheField>
    <cacheField name="SIP Amount" numFmtId="0">
      <sharedItems containsSemiMixedTypes="0" containsString="0" containsNumber="1" containsInteger="1" minValue="0" maxValue="51000"/>
    </cacheField>
    <cacheField name="Frequ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34.981736805552" createdVersion="8" refreshedVersion="8" minRefreshableVersion="3" recordCount="12" xr:uid="{3619C816-21B3-3349-BF37-4A714287B297}">
  <cacheSource type="worksheet">
    <worksheetSource ref="A25:G37" sheet="New_Folios"/>
  </cacheSource>
  <cacheFields count="7">
    <cacheField name="Bank Name" numFmtId="0">
      <sharedItems/>
    </cacheField>
    <cacheField name="SIP Start Date" numFmtId="16">
      <sharedItems containsSemiMixedTypes="0" containsNonDate="0" containsDate="1" containsString="0" minDate="2023-09-07T00:00:00" maxDate="2023-12-08T00:00:00"/>
    </cacheField>
    <cacheField name="Fund Name" numFmtId="0">
      <sharedItems/>
    </cacheField>
    <cacheField name="Type of Fund" numFmtId="0">
      <sharedItems count="7">
        <s v="Flexicap"/>
        <s v="Multicap"/>
        <s v="Large &amp; Midcap"/>
        <s v="Midcap"/>
        <s v="Smallcap"/>
        <s v="Sector"/>
        <s v="Contra Fund" u="1"/>
      </sharedItems>
    </cacheField>
    <cacheField name="Category of Funds" numFmtId="0">
      <sharedItems/>
    </cacheField>
    <cacheField name="SIP Amount" numFmtId="0">
      <sharedItems containsSemiMixedTypes="0" containsString="0" containsNumber="1" containsInteger="1" minValue="0" maxValue="125000"/>
    </cacheField>
    <cacheField name="Frequ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36.846993749998" createdVersion="8" refreshedVersion="8" minRefreshableVersion="3" recordCount="12" xr:uid="{920BCF21-B09A-614E-A12C-5672494EDA72}">
  <cacheSource type="worksheet">
    <worksheetSource ref="A1:G12" sheet="Sheet1"/>
  </cacheSource>
  <cacheFields count="7">
    <cacheField name="Bank Name" numFmtId="0">
      <sharedItems/>
    </cacheField>
    <cacheField name="SIP Start Date" numFmtId="16">
      <sharedItems containsSemiMixedTypes="0" containsNonDate="0" containsDate="1" containsString="0" minDate="2023-09-07T00:00:00" maxDate="2023-10-08T00:00:00"/>
    </cacheField>
    <cacheField name="Fund Name" numFmtId="0">
      <sharedItems count="11">
        <s v="Quant Midcap - Direct Plan Growth"/>
        <s v="Kotak Emerging Equity Fund - Direct Plan - Growth"/>
        <s v="TATA Small Cap - Direct Plan - Growth"/>
        <s v="Nippon India Multi Cap Fund - Direct Plan - Growth"/>
        <s v="Motilal Oswal Large &amp; Midcap Fund"/>
        <s v="Parag Parikh Flexi Cap Fund - Direct Plan"/>
        <s v="Quant Smallcap - Direct Plan Growth"/>
        <s v="NIPPON INDIA SMALL CAP FUND-DIRECT GROWTH"/>
        <s v="HDFC Small Cap Fund - Direct Plan - Growth"/>
        <s v="ICICI Prudential India Opportunities Fund Regular Growth"/>
        <s v="Mirae Asset Emerging blue chip fund"/>
      </sharedItems>
    </cacheField>
    <cacheField name="Type of Fund" numFmtId="0">
      <sharedItems count="6">
        <s v="Midcap"/>
        <s v="Smallcap"/>
        <s v="Multicap"/>
        <s v="Large &amp; Midcap"/>
        <s v="Flexicap"/>
        <s v="Sector"/>
      </sharedItems>
    </cacheField>
    <cacheField name="Category of Funds" numFmtId="0">
      <sharedItems/>
    </cacheField>
    <cacheField name="SIP Amount" numFmtId="0">
      <sharedItems containsSemiMixedTypes="0" containsString="0" containsNumber="1" containsInteger="1" minValue="5000" maxValue="51000"/>
    </cacheField>
    <cacheField name="Frequ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n v="51000"/>
    <s v="Direct"/>
  </r>
  <r>
    <x v="1"/>
    <x v="1"/>
    <n v="26000"/>
    <s v="Direct"/>
  </r>
  <r>
    <x v="2"/>
    <x v="2"/>
    <n v="26000"/>
    <s v="Direct"/>
  </r>
  <r>
    <x v="3"/>
    <x v="3"/>
    <n v="0"/>
    <s v="Direct"/>
  </r>
  <r>
    <x v="4"/>
    <x v="1"/>
    <n v="26000"/>
    <s v="Direct"/>
  </r>
  <r>
    <x v="5"/>
    <x v="1"/>
    <n v="0"/>
    <s v="Direct"/>
  </r>
  <r>
    <x v="6"/>
    <x v="4"/>
    <n v="3500"/>
    <s v="Direct"/>
  </r>
  <r>
    <x v="7"/>
    <x v="5"/>
    <n v="22500"/>
    <s v="Direct"/>
  </r>
  <r>
    <x v="8"/>
    <x v="6"/>
    <n v="15000"/>
    <s v="Direct"/>
  </r>
  <r>
    <x v="9"/>
    <x v="2"/>
    <n v="5000"/>
    <s v="Regular"/>
  </r>
  <r>
    <x v="10"/>
    <x v="3"/>
    <n v="5000"/>
    <s v="Regular"/>
  </r>
  <r>
    <x v="11"/>
    <x v="3"/>
    <n v="5000"/>
    <s v="Regular"/>
  </r>
  <r>
    <x v="12"/>
    <x v="3"/>
    <n v="5000"/>
    <s v="Regular"/>
  </r>
  <r>
    <x v="13"/>
    <x v="4"/>
    <n v="5000"/>
    <s v="Regular"/>
  </r>
  <r>
    <x v="14"/>
    <x v="7"/>
    <n v="0"/>
    <s v="Regular"/>
  </r>
  <r>
    <x v="15"/>
    <x v="3"/>
    <n v="20000"/>
    <s v="Regular"/>
  </r>
  <r>
    <x v="16"/>
    <x v="2"/>
    <n v="18000"/>
    <s v="Regular"/>
  </r>
  <r>
    <x v="17"/>
    <x v="5"/>
    <n v="10000"/>
    <s v="Direct"/>
  </r>
  <r>
    <x v="18"/>
    <x v="3"/>
    <n v="10000"/>
    <s v="Direc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n v="51000"/>
    <s v="Direct"/>
  </r>
  <r>
    <x v="1"/>
    <x v="1"/>
    <n v="26000"/>
    <s v="Direct"/>
  </r>
  <r>
    <x v="2"/>
    <x v="2"/>
    <n v="26000"/>
    <s v="Direct"/>
  </r>
  <r>
    <x v="3"/>
    <x v="3"/>
    <n v="7000"/>
    <s v="Direct"/>
  </r>
  <r>
    <x v="4"/>
    <x v="1"/>
    <n v="26000"/>
    <s v="Direct"/>
  </r>
  <r>
    <x v="5"/>
    <x v="1"/>
    <n v="5000"/>
    <s v="Direct"/>
  </r>
  <r>
    <x v="6"/>
    <x v="4"/>
    <n v="3500"/>
    <s v="Direct"/>
  </r>
  <r>
    <x v="7"/>
    <x v="5"/>
    <n v="22500"/>
    <s v="Direct"/>
  </r>
  <r>
    <x v="8"/>
    <x v="6"/>
    <n v="15000"/>
    <s v="Direct"/>
  </r>
  <r>
    <x v="9"/>
    <x v="2"/>
    <n v="5000"/>
    <s v="Regular"/>
  </r>
  <r>
    <x v="10"/>
    <x v="3"/>
    <n v="5000"/>
    <s v="Regular"/>
  </r>
  <r>
    <x v="11"/>
    <x v="3"/>
    <n v="5000"/>
    <s v="Regular"/>
  </r>
  <r>
    <x v="12"/>
    <x v="3"/>
    <n v="5000"/>
    <s v="Regular"/>
  </r>
  <r>
    <x v="13"/>
    <x v="4"/>
    <n v="5000"/>
    <s v="Regular"/>
  </r>
  <r>
    <x v="14"/>
    <x v="7"/>
    <n v="5000"/>
    <s v="Regular"/>
  </r>
  <r>
    <x v="15"/>
    <x v="3"/>
    <n v="10000"/>
    <s v="Regular"/>
  </r>
  <r>
    <x v="16"/>
    <x v="2"/>
    <n v="10000"/>
    <s v="Regular"/>
  </r>
  <r>
    <x v="17"/>
    <x v="5"/>
    <n v="10000"/>
    <s v="Direct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7000"/>
    <s v="Direct"/>
  </r>
  <r>
    <x v="1"/>
    <x v="1"/>
    <n v="5000"/>
    <s v="Direct"/>
  </r>
  <r>
    <x v="2"/>
    <x v="2"/>
    <n v="0"/>
    <s v="Direct"/>
  </r>
  <r>
    <x v="3"/>
    <x v="0"/>
    <n v="5000"/>
    <s v="Regular"/>
  </r>
  <r>
    <x v="4"/>
    <x v="3"/>
    <n v="5000"/>
    <s v="Regular"/>
  </r>
  <r>
    <x v="5"/>
    <x v="4"/>
    <n v="5000"/>
    <s v="Regular"/>
  </r>
  <r>
    <x v="6"/>
    <x v="0"/>
    <n v="5000"/>
    <s v="Regular"/>
  </r>
  <r>
    <x v="7"/>
    <x v="5"/>
    <n v="5000"/>
    <s v="Regular"/>
  </r>
  <r>
    <x v="8"/>
    <x v="6"/>
    <n v="20000"/>
    <s v="Direct"/>
  </r>
  <r>
    <x v="9"/>
    <x v="5"/>
    <n v="5000"/>
    <s v="Regular"/>
  </r>
  <r>
    <x v="10"/>
    <x v="0"/>
    <n v="5000"/>
    <s v="Regular"/>
  </r>
  <r>
    <x v="11"/>
    <x v="0"/>
    <n v="10000"/>
    <s v="Regular"/>
  </r>
  <r>
    <x v="12"/>
    <x v="7"/>
    <n v="25000"/>
    <s v="Direct"/>
  </r>
  <r>
    <x v="13"/>
    <x v="3"/>
    <n v="0"/>
    <s v="Direct"/>
  </r>
  <r>
    <x v="14"/>
    <x v="8"/>
    <n v="7500"/>
    <s v="Direct"/>
  </r>
  <r>
    <x v="15"/>
    <x v="8"/>
    <n v="7500"/>
    <s v="Direct"/>
  </r>
  <r>
    <x v="16"/>
    <x v="5"/>
    <n v="26000"/>
    <s v="Direct"/>
  </r>
  <r>
    <x v="13"/>
    <x v="3"/>
    <n v="3500"/>
    <s v="Direct"/>
  </r>
  <r>
    <x v="17"/>
    <x v="9"/>
    <n v="26000"/>
    <s v="Direct"/>
  </r>
  <r>
    <x v="12"/>
    <x v="7"/>
    <n v="26000"/>
    <s v="Direct"/>
  </r>
  <r>
    <x v="18"/>
    <x v="9"/>
    <n v="26000"/>
    <s v="Direct"/>
  </r>
  <r>
    <x v="19"/>
    <x v="6"/>
    <n v="10000"/>
    <s v="Direct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7000"/>
    <s v="Direct"/>
  </r>
  <r>
    <x v="1"/>
    <x v="1"/>
    <n v="5000"/>
    <s v="Direct"/>
  </r>
  <r>
    <x v="2"/>
    <x v="2"/>
    <n v="4000"/>
    <s v="Direct"/>
  </r>
  <r>
    <x v="3"/>
    <x v="0"/>
    <n v="5000"/>
    <s v="Regular"/>
  </r>
  <r>
    <x v="4"/>
    <x v="3"/>
    <n v="5000"/>
    <s v="Regular"/>
  </r>
  <r>
    <x v="5"/>
    <x v="4"/>
    <n v="5000"/>
    <s v="Regular"/>
  </r>
  <r>
    <x v="6"/>
    <x v="0"/>
    <n v="5000"/>
    <s v="Regular"/>
  </r>
  <r>
    <x v="7"/>
    <x v="5"/>
    <n v="5000"/>
    <s v="Regular"/>
  </r>
  <r>
    <x v="8"/>
    <x v="6"/>
    <n v="30000"/>
    <s v="Direct"/>
  </r>
  <r>
    <x v="9"/>
    <x v="7"/>
    <n v="5000"/>
    <s v="Regular"/>
  </r>
  <r>
    <x v="10"/>
    <x v="0"/>
    <n v="5000"/>
    <s v="Regular"/>
  </r>
  <r>
    <x v="11"/>
    <x v="0"/>
    <n v="5000"/>
    <s v="Regular"/>
  </r>
  <r>
    <x v="12"/>
    <x v="4"/>
    <n v="25000"/>
    <s v="Direct"/>
  </r>
  <r>
    <x v="13"/>
    <x v="3"/>
    <n v="2500"/>
    <s v="Direct"/>
  </r>
  <r>
    <x v="14"/>
    <x v="4"/>
    <n v="15000"/>
    <s v="Direct"/>
  </r>
  <r>
    <x v="15"/>
    <x v="5"/>
    <n v="26000"/>
    <s v="Direct"/>
  </r>
  <r>
    <x v="13"/>
    <x v="3"/>
    <n v="3500"/>
    <s v="Direct"/>
  </r>
  <r>
    <x v="16"/>
    <x v="8"/>
    <n v="26000"/>
    <s v="Direct"/>
  </r>
  <r>
    <x v="12"/>
    <x v="4"/>
    <n v="26000"/>
    <s v="Direct"/>
  </r>
  <r>
    <x v="17"/>
    <x v="8"/>
    <n v="26000"/>
    <s v="Direct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7000"/>
  </r>
  <r>
    <x v="1"/>
    <x v="1"/>
    <n v="5000"/>
  </r>
  <r>
    <x v="2"/>
    <x v="2"/>
    <n v="4000"/>
  </r>
  <r>
    <x v="3"/>
    <x v="0"/>
    <n v="5000"/>
  </r>
  <r>
    <x v="4"/>
    <x v="3"/>
    <n v="5000"/>
  </r>
  <r>
    <x v="5"/>
    <x v="4"/>
    <n v="5000"/>
  </r>
  <r>
    <x v="6"/>
    <x v="0"/>
    <n v="5000"/>
  </r>
  <r>
    <x v="7"/>
    <x v="5"/>
    <n v="5000"/>
  </r>
  <r>
    <x v="8"/>
    <x v="6"/>
    <n v="5000"/>
  </r>
  <r>
    <x v="9"/>
    <x v="7"/>
    <n v="5000"/>
  </r>
  <r>
    <x v="10"/>
    <x v="0"/>
    <n v="5000"/>
  </r>
  <r>
    <x v="11"/>
    <x v="0"/>
    <n v="5000"/>
  </r>
  <r>
    <x v="12"/>
    <x v="4"/>
    <n v="25000"/>
  </r>
  <r>
    <x v="13"/>
    <x v="3"/>
    <n v="15000"/>
  </r>
  <r>
    <x v="14"/>
    <x v="3"/>
    <n v="20000"/>
  </r>
  <r>
    <x v="1"/>
    <x v="1"/>
    <n v="150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Axis Mutual Fund - Mid Cap"/>
    <x v="0"/>
    <n v="26000"/>
  </r>
  <r>
    <s v="Mirae Asset Emerging Bluechip Fund - Direct Plan - Growth"/>
    <x v="1"/>
    <n v="3500"/>
  </r>
  <r>
    <s v="Motilal Oswal S&amp;P 500 Index Fund (MOFSP500)"/>
    <x v="2"/>
    <n v="26000"/>
  </r>
  <r>
    <s v="Parag Parikh Flexi Cap Fund"/>
    <x v="3"/>
    <n v="26000"/>
  </r>
  <r>
    <s v="UTI Nifty 50 Index Fund "/>
    <x v="2"/>
    <n v="26000"/>
  </r>
  <r>
    <s v="Loan"/>
    <x v="4"/>
    <n v="105000"/>
  </r>
  <r>
    <m/>
    <x v="5"/>
    <n v="212500"/>
  </r>
  <r>
    <m/>
    <x v="5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Axis Mutual Fund - Mid Cap"/>
    <x v="0"/>
    <n v="25000"/>
  </r>
  <r>
    <s v="Mirae Asset Emerging Bluechip Fund - Direct Plan - Growth"/>
    <x v="1"/>
    <n v="5000"/>
  </r>
  <r>
    <s v="Motilal Oswal S&amp;P 500 Index Fund (MOFSP500)"/>
    <x v="2"/>
    <n v="25000"/>
  </r>
  <r>
    <s v="Parag Parikh Flexi Cap Fund"/>
    <x v="3"/>
    <n v="21000"/>
  </r>
  <r>
    <s v="UTI Nifty 50 Index Fund "/>
    <x v="2"/>
    <n v="25000"/>
  </r>
  <r>
    <s v="ICICI Ultra Short term"/>
    <x v="4"/>
    <n v="25000"/>
  </r>
  <r>
    <s v="Aditya Birla Life Savings "/>
    <x v="4"/>
    <n v="25000"/>
  </r>
  <r>
    <s v="Kotak Debt Fund"/>
    <x v="4"/>
    <n v="2500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n v="25000"/>
    <n v="12500"/>
  </r>
  <r>
    <x v="1"/>
    <x v="1"/>
    <n v="5000"/>
    <n v="2500"/>
  </r>
  <r>
    <x v="2"/>
    <x v="2"/>
    <n v="1000"/>
    <n v="500"/>
  </r>
  <r>
    <x v="3"/>
    <x v="1"/>
    <n v="5000"/>
    <n v="2500"/>
  </r>
  <r>
    <x v="4"/>
    <x v="3"/>
    <n v="5000"/>
    <n v="2500"/>
  </r>
  <r>
    <x v="5"/>
    <x v="4"/>
    <n v="5000"/>
    <n v="2500"/>
  </r>
  <r>
    <x v="6"/>
    <x v="1"/>
    <n v="5000"/>
    <n v="2500"/>
  </r>
  <r>
    <x v="7"/>
    <x v="5"/>
    <n v="4000"/>
    <n v="2000"/>
  </r>
  <r>
    <x v="8"/>
    <x v="6"/>
    <n v="5000"/>
    <n v="2500"/>
  </r>
  <r>
    <x v="9"/>
    <x v="7"/>
    <n v="3500"/>
    <n v="1750"/>
  </r>
  <r>
    <x v="10"/>
    <x v="7"/>
    <n v="2500"/>
    <n v="1250"/>
  </r>
  <r>
    <x v="11"/>
    <x v="8"/>
    <n v="25000"/>
    <n v="12500"/>
  </r>
  <r>
    <x v="12"/>
    <x v="9"/>
    <n v="5000"/>
    <n v="2500"/>
  </r>
  <r>
    <x v="13"/>
    <x v="4"/>
    <n v="5000"/>
    <n v="2500"/>
  </r>
  <r>
    <x v="14"/>
    <x v="1"/>
    <n v="5000"/>
    <n v="2500"/>
  </r>
  <r>
    <x v="15"/>
    <x v="10"/>
    <n v="51000"/>
    <n v="25500"/>
  </r>
  <r>
    <x v="16"/>
    <x v="7"/>
    <n v="1000"/>
    <n v="500"/>
  </r>
  <r>
    <x v="17"/>
    <x v="1"/>
    <n v="5000"/>
    <n v="2500"/>
  </r>
  <r>
    <x v="18"/>
    <x v="8"/>
    <n v="25000"/>
    <n v="1250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25000"/>
    <n v="12500"/>
  </r>
  <r>
    <x v="1"/>
    <x v="1"/>
    <n v="1000"/>
    <n v="500"/>
  </r>
  <r>
    <x v="2"/>
    <x v="2"/>
    <n v="7000"/>
    <n v="3500"/>
  </r>
  <r>
    <x v="3"/>
    <x v="3"/>
    <n v="4000"/>
    <n v="2000"/>
  </r>
  <r>
    <x v="4"/>
    <x v="4"/>
    <n v="4000"/>
    <n v="2000"/>
  </r>
  <r>
    <x v="5"/>
    <x v="4"/>
    <n v="4500"/>
    <n v="2250"/>
  </r>
  <r>
    <x v="6"/>
    <x v="5"/>
    <n v="25000"/>
    <n v="12500"/>
  </r>
  <r>
    <x v="7"/>
    <x v="6"/>
    <n v="26000"/>
    <n v="13000"/>
  </r>
  <r>
    <x v="8"/>
    <x v="4"/>
    <n v="1000"/>
    <n v="500"/>
  </r>
  <r>
    <x v="9"/>
    <x v="5"/>
    <n v="25000"/>
    <n v="12500"/>
  </r>
  <r>
    <x v="10"/>
    <x v="7"/>
    <n v="25000"/>
    <n v="10000"/>
  </r>
  <r>
    <x v="11"/>
    <x v="7"/>
    <n v="25000"/>
    <n v="10000"/>
  </r>
  <r>
    <x v="12"/>
    <x v="7"/>
    <n v="25000"/>
    <n v="1000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5000"/>
    <s v="Regular"/>
  </r>
  <r>
    <x v="1"/>
    <x v="0"/>
    <n v="0"/>
    <s v="Regular"/>
  </r>
  <r>
    <x v="2"/>
    <x v="1"/>
    <n v="5000"/>
    <s v="Regular"/>
  </r>
  <r>
    <x v="3"/>
    <x v="2"/>
    <n v="5000"/>
    <s v="Regular"/>
  </r>
  <r>
    <x v="4"/>
    <x v="3"/>
    <n v="2500"/>
    <s v="Regular"/>
  </r>
  <r>
    <x v="5"/>
    <x v="1"/>
    <n v="2500"/>
    <s v="Regular"/>
  </r>
  <r>
    <x v="6"/>
    <x v="4"/>
    <n v="5000"/>
    <s v="Regular"/>
  </r>
  <r>
    <x v="7"/>
    <x v="2"/>
    <n v="5000"/>
    <s v="Regular"/>
  </r>
  <r>
    <x v="8"/>
    <x v="2"/>
    <n v="5000"/>
    <s v="Regular"/>
  </r>
  <r>
    <x v="9"/>
    <x v="2"/>
    <n v="5000"/>
    <s v="Regular"/>
  </r>
  <r>
    <x v="2"/>
    <x v="1"/>
    <n v="13000"/>
    <s v="Direct"/>
  </r>
  <r>
    <x v="10"/>
    <x v="5"/>
    <n v="0"/>
    <s v="Direct"/>
  </r>
  <r>
    <x v="11"/>
    <x v="3"/>
    <n v="45000"/>
    <s v="Direct"/>
  </r>
  <r>
    <x v="12"/>
    <x v="4"/>
    <n v="3500"/>
    <s v="Direct"/>
  </r>
  <r>
    <x v="13"/>
    <x v="6"/>
    <n v="26000"/>
    <s v="Direct"/>
  </r>
  <r>
    <x v="14"/>
    <x v="3"/>
    <n v="0"/>
    <s v="Direct"/>
  </r>
  <r>
    <x v="15"/>
    <x v="1"/>
    <n v="26000"/>
    <s v="Direct"/>
  </r>
  <r>
    <x v="16"/>
    <x v="7"/>
    <n v="51000"/>
    <s v="Direct"/>
  </r>
  <r>
    <x v="17"/>
    <x v="2"/>
    <n v="16000"/>
    <s v="Direct"/>
  </r>
  <r>
    <x v="18"/>
    <x v="6"/>
    <n v="26000"/>
    <s v="Direct"/>
  </r>
  <r>
    <x v="3"/>
    <x v="2"/>
    <n v="0"/>
    <s v="Direct"/>
  </r>
  <r>
    <x v="19"/>
    <x v="2"/>
    <n v="20000"/>
    <s v="Direct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s v="July"/>
    <x v="0"/>
    <n v="51000"/>
    <n v="51000"/>
  </r>
  <r>
    <x v="1"/>
    <s v="July"/>
    <x v="1"/>
    <n v="26000"/>
    <n v="26000"/>
  </r>
  <r>
    <x v="2"/>
    <s v="July"/>
    <x v="1"/>
    <n v="26000"/>
    <n v="26000"/>
  </r>
  <r>
    <x v="3"/>
    <s v="July"/>
    <x v="2"/>
    <n v="26000"/>
    <n v="0"/>
  </r>
  <r>
    <x v="4"/>
    <s v="July"/>
    <x v="2"/>
    <n v="18000"/>
    <n v="44000"/>
  </r>
  <r>
    <x v="5"/>
    <s v="July"/>
    <x v="2"/>
    <n v="2500"/>
    <n v="2500"/>
  </r>
  <r>
    <x v="6"/>
    <s v="July"/>
    <x v="3"/>
    <n v="44000"/>
    <n v="46500"/>
  </r>
  <r>
    <x v="7"/>
    <s v="July"/>
    <x v="3"/>
    <n v="0"/>
    <n v="40000"/>
  </r>
  <r>
    <x v="8"/>
    <s v="July"/>
    <x v="4"/>
    <n v="3500"/>
    <n v="0"/>
  </r>
  <r>
    <x v="9"/>
    <s v="July"/>
    <x v="4"/>
    <n v="5000"/>
    <n v="0"/>
  </r>
  <r>
    <x v="10"/>
    <s v="July"/>
    <x v="5"/>
    <n v="20000"/>
    <n v="23500"/>
  </r>
  <r>
    <x v="11"/>
    <s v="July"/>
    <x v="5"/>
    <n v="20000"/>
    <n v="20000"/>
  </r>
  <r>
    <x v="12"/>
    <s v="July"/>
    <x v="5"/>
    <n v="15000"/>
    <n v="20000"/>
  </r>
  <r>
    <x v="13"/>
    <s v="July"/>
    <x v="5"/>
    <n v="20000"/>
    <n v="20000"/>
  </r>
  <r>
    <x v="14"/>
    <s v="July"/>
    <x v="6"/>
    <n v="5000"/>
    <n v="500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HDFC"/>
    <x v="0"/>
    <x v="0"/>
    <s v="Regular"/>
    <n v="5000"/>
    <s v="Monthly"/>
    <n v="5000"/>
    <m/>
    <n v="5000"/>
  </r>
  <r>
    <s v="HDFC"/>
    <x v="1"/>
    <x v="1"/>
    <s v="Regular"/>
    <n v="5000"/>
    <s v="Monthly"/>
    <n v="5000"/>
    <m/>
    <n v="0"/>
  </r>
  <r>
    <s v="HDFC"/>
    <x v="2"/>
    <x v="2"/>
    <s v="Regular"/>
    <n v="5000"/>
    <s v="Monthly"/>
    <n v="5000"/>
    <m/>
    <n v="0"/>
  </r>
  <r>
    <s v="ICICI"/>
    <x v="3"/>
    <x v="3"/>
    <s v="Regular"/>
    <n v="2500"/>
    <s v="Monthly"/>
    <n v="2500"/>
    <m/>
    <n v="0"/>
  </r>
  <r>
    <s v="ICICI"/>
    <x v="4"/>
    <x v="1"/>
    <s v="Regular"/>
    <n v="2500"/>
    <s v="Monthly"/>
    <n v="2500"/>
    <m/>
    <n v="10000"/>
  </r>
  <r>
    <s v="HDFC"/>
    <x v="5"/>
    <x v="4"/>
    <s v="Regular"/>
    <n v="5000"/>
    <s v="Monthly"/>
    <n v="5000"/>
    <m/>
    <n v="0"/>
  </r>
  <r>
    <s v="HDFC"/>
    <x v="6"/>
    <x v="2"/>
    <s v="Regular"/>
    <n v="5000"/>
    <s v="Monthly"/>
    <n v="5000"/>
    <m/>
    <n v="0"/>
  </r>
  <r>
    <s v="ICICI"/>
    <x v="7"/>
    <x v="2"/>
    <s v="Regular"/>
    <n v="5000"/>
    <s v="Monthly"/>
    <n v="5000"/>
    <s v="Nippon multicap, icici small cap, edelweiss small cap"/>
    <n v="20000"/>
  </r>
  <r>
    <s v="HDFC"/>
    <x v="8"/>
    <x v="2"/>
    <s v="Regular"/>
    <n v="5000"/>
    <s v="Monthly"/>
    <n v="5000"/>
    <m/>
    <n v="0"/>
  </r>
  <r>
    <s v="HDFC"/>
    <x v="9"/>
    <x v="1"/>
    <s v="Direct"/>
    <n v="13000"/>
    <s v="Monthly"/>
    <n v="13000"/>
    <m/>
    <n v="44000"/>
  </r>
  <r>
    <s v="HDFC"/>
    <x v="10"/>
    <x v="3"/>
    <s v="Direct"/>
    <n v="11000"/>
    <s v="Weekly"/>
    <n v="44000"/>
    <m/>
    <n v="80000"/>
  </r>
  <r>
    <s v="HDFC"/>
    <x v="11"/>
    <x v="5"/>
    <s v="Direct"/>
    <n v="26000"/>
    <s v="Monthly"/>
    <n v="26000"/>
    <m/>
    <n v="26000"/>
  </r>
  <r>
    <s v="HDFC"/>
    <x v="12"/>
    <x v="1"/>
    <s v="Direct"/>
    <n v="26000"/>
    <s v="Monthly"/>
    <n v="26000"/>
    <m/>
    <n v="0"/>
  </r>
  <r>
    <s v="HDFC"/>
    <x v="13"/>
    <x v="6"/>
    <s v="Direct"/>
    <n v="51000"/>
    <s v="Monthly"/>
    <n v="51000"/>
    <m/>
    <n v="51000"/>
  </r>
  <r>
    <s v="HDFC"/>
    <x v="14"/>
    <x v="2"/>
    <s v="Direct"/>
    <n v="5000"/>
    <s v="Weekly"/>
    <n v="20000"/>
    <m/>
    <n v="20000"/>
  </r>
  <r>
    <s v="HDFC"/>
    <x v="15"/>
    <x v="5"/>
    <s v="Direct"/>
    <n v="26000"/>
    <s v="Monthly"/>
    <n v="26000"/>
    <m/>
    <n v="26000"/>
  </r>
  <r>
    <s v="HDFC"/>
    <x v="2"/>
    <x v="2"/>
    <s v="Direct"/>
    <n v="5000"/>
    <s v="Weekly"/>
    <n v="20000"/>
    <m/>
    <n v="20000"/>
  </r>
  <r>
    <s v="HDFC"/>
    <x v="16"/>
    <x v="2"/>
    <s v="Direct"/>
    <n v="5000"/>
    <s v="Weekly"/>
    <n v="10000"/>
    <m/>
    <n v="1000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HDFC"/>
    <d v="2023-09-07T00:00:00"/>
    <x v="0"/>
    <s v="Midcap"/>
    <x v="0"/>
    <n v="18000"/>
    <s v="Monthly"/>
  </r>
  <r>
    <s v="HDFC"/>
    <d v="2023-09-07T00:00:00"/>
    <x v="1"/>
    <s v="Midcap"/>
    <x v="0"/>
    <n v="26000"/>
    <s v="Monthly"/>
  </r>
  <r>
    <s v="HDFC"/>
    <d v="2023-09-07T00:00:00"/>
    <x v="2"/>
    <s v="Smallcap"/>
    <x v="1"/>
    <n v="0"/>
    <s v="Monthly"/>
  </r>
  <r>
    <s v="HDFC"/>
    <d v="2023-10-07T00:00:00"/>
    <x v="3"/>
    <s v="Multicap"/>
    <x v="2"/>
    <n v="26000"/>
    <s v="Monthly"/>
  </r>
  <r>
    <s v="HDFC"/>
    <d v="2023-10-07T00:00:00"/>
    <x v="4"/>
    <s v="Large &amp; Midcap"/>
    <x v="3"/>
    <n v="26000"/>
    <s v="Monthly"/>
  </r>
  <r>
    <s v="HDFC"/>
    <d v="2023-09-07T00:00:00"/>
    <x v="5"/>
    <s v="Flexicap"/>
    <x v="4"/>
    <n v="51000"/>
    <s v="Monthly"/>
  </r>
  <r>
    <s v="HDFC"/>
    <d v="2023-09-07T00:00:00"/>
    <x v="6"/>
    <s v="Smallcap"/>
    <x v="1"/>
    <n v="20000"/>
    <s v="Monthly"/>
  </r>
  <r>
    <s v="HDFC"/>
    <d v="2023-09-15T00:00:00"/>
    <x v="3"/>
    <s v="Multicap"/>
    <x v="2"/>
    <n v="45000"/>
    <s v="Monthly"/>
  </r>
  <r>
    <s v="HDFC"/>
    <d v="2023-09-15T00:00:00"/>
    <x v="7"/>
    <s v="Smallcap"/>
    <x v="1"/>
    <n v="20000"/>
    <s v="Monthly"/>
  </r>
  <r>
    <s v="HDFC"/>
    <d v="2023-09-15T00:00:00"/>
    <x v="8"/>
    <s v="Smallcap"/>
    <x v="1"/>
    <n v="20000"/>
    <s v="Monthly"/>
  </r>
  <r>
    <s v="HDFC"/>
    <d v="2023-09-20T00:00:00"/>
    <x v="9"/>
    <s v="Sector"/>
    <x v="5"/>
    <n v="5000"/>
    <s v="Monthly"/>
  </r>
  <r>
    <s v="HDFC"/>
    <d v="2023-09-15T00:00:00"/>
    <x v="10"/>
    <s v="Largecap"/>
    <x v="6"/>
    <n v="26000"/>
    <s v="Monthly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HDFC"/>
    <d v="2023-09-07T00:00:00"/>
    <x v="0"/>
    <s v="Midcap"/>
    <x v="0"/>
    <n v="18000"/>
    <s v="Monthly"/>
  </r>
  <r>
    <s v="HDFC"/>
    <d v="2023-09-07T00:00:00"/>
    <x v="1"/>
    <s v="Midcap"/>
    <x v="0"/>
    <n v="26000"/>
    <s v="Monthly"/>
  </r>
  <r>
    <s v="HDFC"/>
    <d v="2023-09-07T00:00:00"/>
    <x v="2"/>
    <s v="Smallcap"/>
    <x v="1"/>
    <n v="0"/>
    <s v="Monthly"/>
  </r>
  <r>
    <s v="HDFC"/>
    <d v="2023-10-07T00:00:00"/>
    <x v="3"/>
    <s v="Multicap"/>
    <x v="2"/>
    <n v="26000"/>
    <s v="Monthly"/>
  </r>
  <r>
    <s v="HDFC"/>
    <d v="2023-10-07T00:00:00"/>
    <x v="4"/>
    <s v="Large &amp; Midcap"/>
    <x v="3"/>
    <n v="26000"/>
    <s v="Monthly"/>
  </r>
  <r>
    <s v="HDFC"/>
    <d v="2023-09-07T00:00:00"/>
    <x v="5"/>
    <s v="Flexicap"/>
    <x v="4"/>
    <n v="51000"/>
    <s v="Monthly"/>
  </r>
  <r>
    <s v="HDFC"/>
    <d v="2023-09-07T00:00:00"/>
    <x v="6"/>
    <s v="Smallcap"/>
    <x v="1"/>
    <n v="20000"/>
    <s v="Monthly"/>
  </r>
  <r>
    <s v="HDFC"/>
    <d v="2023-09-15T00:00:00"/>
    <x v="3"/>
    <s v="Multicap"/>
    <x v="2"/>
    <n v="45000"/>
    <s v="Monthly"/>
  </r>
  <r>
    <s v="HDFC"/>
    <d v="2023-09-15T00:00:00"/>
    <x v="7"/>
    <s v="Smallcap"/>
    <x v="1"/>
    <n v="20000"/>
    <s v="Monthly"/>
  </r>
  <r>
    <s v="HDFC"/>
    <d v="2023-09-15T00:00:00"/>
    <x v="8"/>
    <s v="Smallcap"/>
    <x v="1"/>
    <n v="20000"/>
    <s v="Monthly"/>
  </r>
  <r>
    <s v="HDFC"/>
    <d v="2023-09-20T00:00:00"/>
    <x v="9"/>
    <s v="Sector"/>
    <x v="5"/>
    <n v="5000"/>
    <s v="Monthly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HDFC"/>
    <d v="2023-09-07T00:00:00"/>
    <s v="Parag Parikh Flexi Cap Fund - Direct Plan"/>
    <x v="0"/>
    <s v="Flexicap"/>
    <n v="125000"/>
    <s v="Monthly"/>
  </r>
  <r>
    <s v="HDFC"/>
    <d v="2023-10-07T00:00:00"/>
    <s v="Nippon India Multi Cap Fund - Direct Plan - Growth"/>
    <x v="1"/>
    <s v="Multicap"/>
    <n v="71000"/>
    <s v="Monthly"/>
  </r>
  <r>
    <s v="HDFC"/>
    <d v="2023-10-07T00:00:00"/>
    <s v="Motilal Oswal Large &amp; Midcap Fund"/>
    <x v="2"/>
    <s v="Large &amp; Midcap"/>
    <n v="26000"/>
    <s v="Monthly"/>
  </r>
  <r>
    <s v="HDFC"/>
    <d v="2023-12-07T00:00:00"/>
    <s v="HDFC Flexi Cap Mutual Fund"/>
    <x v="0"/>
    <s v="Flexicap"/>
    <n v="50000"/>
    <s v="Monthly"/>
  </r>
  <r>
    <s v="HDFC"/>
    <d v="2023-09-07T00:00:00"/>
    <s v="Kotak Emerging Equity Fund - Direct Plan - Growth"/>
    <x v="3"/>
    <s v="Midcap"/>
    <n v="26000"/>
    <s v="Monthly"/>
  </r>
  <r>
    <s v="HDFC"/>
    <d v="2023-09-07T00:00:00"/>
    <s v="Quant Smallcap - Direct Plan Growth"/>
    <x v="4"/>
    <s v="Smallcap"/>
    <n v="20000"/>
    <s v="Monthly"/>
  </r>
  <r>
    <s v="HDFC"/>
    <d v="2023-09-15T00:00:00"/>
    <s v="NIPPON INDIA SMALL CAP FUND-DIRECT GROWTH"/>
    <x v="4"/>
    <s v="Smallcap"/>
    <n v="20000"/>
    <s v="Monthly"/>
  </r>
  <r>
    <s v="HDFC"/>
    <d v="2023-09-15T00:00:00"/>
    <s v="HDFC Small Cap Fund - Direct Plan - Growth"/>
    <x v="4"/>
    <s v="Smallcap"/>
    <n v="0"/>
    <s v="Monthly"/>
  </r>
  <r>
    <s v="HDFC"/>
    <d v="2023-09-07T00:00:00"/>
    <s v="TATA Small Cap - Direct Plan - Growth"/>
    <x v="4"/>
    <s v="Smallcap"/>
    <n v="20000"/>
    <s v="Monthly"/>
  </r>
  <r>
    <s v="HDFC"/>
    <d v="2023-09-07T00:00:00"/>
    <s v="Quant Midcap - Direct Plan Growth"/>
    <x v="3"/>
    <s v="Midcap"/>
    <n v="18000"/>
    <s v="Monthly"/>
  </r>
  <r>
    <s v="HDFC"/>
    <d v="2023-09-20T00:00:00"/>
    <s v="ICICI Prudential India Opportunities Fund Regular Growth"/>
    <x v="5"/>
    <s v="Sector"/>
    <n v="5000"/>
    <s v="Monthly"/>
  </r>
  <r>
    <s v="HDFC"/>
    <d v="2023-12-07T00:00:00"/>
    <s v="Mirae Asset Emerging blue chip fund"/>
    <x v="2"/>
    <s v="Large &amp; Midcap"/>
    <n v="26000"/>
    <s v="Monthly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HDFC"/>
    <d v="2023-09-07T00:00:00"/>
    <x v="0"/>
    <x v="0"/>
    <s v="Midcap"/>
    <n v="18000"/>
    <s v="Monthly"/>
  </r>
  <r>
    <s v="HDFC"/>
    <d v="2023-09-07T00:00:00"/>
    <x v="1"/>
    <x v="0"/>
    <s v="Midcap"/>
    <n v="26000"/>
    <s v="Monthly"/>
  </r>
  <r>
    <s v="HDFC"/>
    <d v="2023-09-07T00:00:00"/>
    <x v="2"/>
    <x v="1"/>
    <s v="Smallcap"/>
    <n v="20000"/>
    <s v="Monthly"/>
  </r>
  <r>
    <s v="HDFC"/>
    <d v="2023-10-07T00:00:00"/>
    <x v="3"/>
    <x v="2"/>
    <s v="Multicap"/>
    <n v="26000"/>
    <s v="Monthly"/>
  </r>
  <r>
    <s v="HDFC"/>
    <d v="2023-10-07T00:00:00"/>
    <x v="4"/>
    <x v="3"/>
    <s v="Large &amp; Midcap"/>
    <n v="26000"/>
    <s v="Monthly"/>
  </r>
  <r>
    <s v="HDFC"/>
    <d v="2023-09-07T00:00:00"/>
    <x v="5"/>
    <x v="4"/>
    <s v="Flexicap"/>
    <n v="51000"/>
    <s v="Monthly"/>
  </r>
  <r>
    <s v="HDFC"/>
    <d v="2023-09-07T00:00:00"/>
    <x v="6"/>
    <x v="1"/>
    <s v="Smallcap"/>
    <n v="20000"/>
    <s v="Monthly"/>
  </r>
  <r>
    <s v="HDFC"/>
    <d v="2023-09-15T00:00:00"/>
    <x v="3"/>
    <x v="2"/>
    <s v="Multicap"/>
    <n v="45000"/>
    <s v="Monthly"/>
  </r>
  <r>
    <s v="HDFC"/>
    <d v="2023-09-15T00:00:00"/>
    <x v="7"/>
    <x v="1"/>
    <s v="Smallcap"/>
    <n v="20000"/>
    <s v="Monthly"/>
  </r>
  <r>
    <s v="HDFC"/>
    <d v="2023-09-15T00:00:00"/>
    <x v="8"/>
    <x v="1"/>
    <s v="Smallcap"/>
    <n v="20000"/>
    <s v="Monthly"/>
  </r>
  <r>
    <s v="HDFC"/>
    <d v="2023-09-20T00:00:00"/>
    <x v="9"/>
    <x v="5"/>
    <s v="Sector"/>
    <n v="5000"/>
    <s v="Monthly"/>
  </r>
  <r>
    <s v="HDFC"/>
    <d v="2023-09-15T00:00:00"/>
    <x v="10"/>
    <x v="3"/>
    <s v="Large &amp; Midcap"/>
    <n v="25000"/>
    <s v="Monthl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D72A9-C142-A544-9BF1-74B7D72C8436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und Details">
  <location ref="B78:D86" firstHeaderRow="0" firstDataRow="1" firstDataCol="1"/>
  <pivotFields count="5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9">
        <item x="3"/>
        <item x="7"/>
        <item x="1"/>
        <item x="5"/>
        <item x="6"/>
        <item x="4"/>
        <item x="0"/>
        <item x="2"/>
        <item t="default"/>
      </items>
    </pivotField>
    <pivotField showAll="0"/>
    <pivotField dataField="1" showAll="0"/>
    <pivotField axis="axisRow" showAll="0" sortType="descending">
      <items count="8">
        <item sd="0" x="3"/>
        <item sd="0" x="5"/>
        <item sd="0" x="1"/>
        <item sd="0" x="4"/>
        <item n="Large &amp; Flexi Cap" sd="0" x="6"/>
        <item sd="0" x="0"/>
        <item sd="0"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2">
    <field x="4"/>
    <field x="0"/>
  </rowFields>
  <rowItems count="8">
    <i>
      <x v="1"/>
    </i>
    <i>
      <x v="3"/>
    </i>
    <i>
      <x v="4"/>
    </i>
    <i>
      <x v="5"/>
    </i>
    <i>
      <x v="6"/>
    </i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 numFmtId="164"/>
    <dataField name="Sum of Amount2" fld="3" showDataAs="percentOfCol" baseField="0" baseItem="0" numFmtId="10"/>
  </dataFields>
  <formats count="1"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0889D5-EDB1-594B-B85A-3FDFC9B69BD2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162:AD190" firstHeaderRow="0" firstDataRow="1" firstDataCol="1"/>
  <pivotFields count="4">
    <pivotField axis="axisRow" showAll="0">
      <items count="22">
        <item x="2"/>
        <item x="10"/>
        <item x="8"/>
        <item x="3"/>
        <item x="14"/>
        <item x="13"/>
        <item x="12"/>
        <item x="16"/>
        <item x="6"/>
        <item x="5"/>
        <item x="4"/>
        <item x="9"/>
        <item x="7"/>
        <item x="11"/>
        <item x="0"/>
        <item x="17"/>
        <item x="15"/>
        <item x="1"/>
        <item m="1" x="20"/>
        <item m="1" x="19"/>
        <item x="18"/>
        <item t="default"/>
      </items>
    </pivotField>
    <pivotField axis="axisRow" showAll="0" sortType="descending">
      <items count="10">
        <item x="0"/>
        <item x="6"/>
        <item x="4"/>
        <item x="1"/>
        <item x="2"/>
        <item x="5"/>
        <item x="7"/>
        <item x="3"/>
        <item m="1"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/>
  </pivotFields>
  <rowFields count="2">
    <field x="1"/>
    <field x="0"/>
  </rowFields>
  <rowItems count="28">
    <i>
      <x v="3"/>
    </i>
    <i r="1">
      <x v="9"/>
    </i>
    <i r="1">
      <x v="10"/>
    </i>
    <i r="1">
      <x v="17"/>
    </i>
    <i>
      <x/>
    </i>
    <i r="1">
      <x v="14"/>
    </i>
    <i>
      <x v="4"/>
    </i>
    <i r="1">
      <x/>
    </i>
    <i r="1">
      <x v="7"/>
    </i>
    <i r="1">
      <x v="11"/>
    </i>
    <i>
      <x v="7"/>
    </i>
    <i r="1">
      <x v="1"/>
    </i>
    <i r="1">
      <x v="3"/>
    </i>
    <i r="1">
      <x v="6"/>
    </i>
    <i r="1">
      <x v="13"/>
    </i>
    <i r="1">
      <x v="16"/>
    </i>
    <i r="1">
      <x v="20"/>
    </i>
    <i>
      <x v="5"/>
    </i>
    <i r="1">
      <x v="12"/>
    </i>
    <i r="1">
      <x v="15"/>
    </i>
    <i>
      <x v="1"/>
    </i>
    <i r="1">
      <x v="2"/>
    </i>
    <i>
      <x v="2"/>
    </i>
    <i r="1">
      <x v="5"/>
    </i>
    <i r="1">
      <x v="8"/>
    </i>
    <i>
      <x v="6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" fld="2" baseField="0" baseItem="0" numFmtId="164"/>
    <dataField name="Sum of Amount_True2" fld="2" showDataAs="percentOfCol" baseField="0" baseItem="0" numFmtId="10"/>
  </dataFields>
  <formats count="2">
    <format dxfId="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97D4D-698F-2145-95CA-160FA2612EC8}" name="PivotTable1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194:AD220" firstHeaderRow="0" firstDataRow="1" firstDataCol="1"/>
  <pivotFields count="4">
    <pivotField axis="axisRow" showAll="0">
      <items count="21">
        <item x="15"/>
        <item h="1" x="1"/>
        <item x="9"/>
        <item x="10"/>
        <item x="0"/>
        <item x="6"/>
        <item x="7"/>
        <item x="2"/>
        <item x="12"/>
        <item x="18"/>
        <item x="5"/>
        <item x="11"/>
        <item x="4"/>
        <item x="8"/>
        <item x="16"/>
        <item h="1" x="14"/>
        <item x="17"/>
        <item x="3"/>
        <item n="UTI Nifty 50 Index Fund-Growth Option - Direct" x="13"/>
        <item x="19"/>
        <item t="default"/>
      </items>
    </pivotField>
    <pivotField axis="axisRow" showAll="0" sortType="descending">
      <items count="9">
        <item x="7"/>
        <item sd="0" x="5"/>
        <item x="4"/>
        <item x="6"/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/>
  </pivotFields>
  <rowFields count="2">
    <field x="1"/>
    <field x="0"/>
  </rowFields>
  <rowItems count="26">
    <i>
      <x v="7"/>
    </i>
    <i r="1">
      <x v="2"/>
    </i>
    <i r="1">
      <x v="6"/>
    </i>
    <i r="1">
      <x v="13"/>
    </i>
    <i r="1">
      <x v="16"/>
    </i>
    <i r="1">
      <x v="17"/>
    </i>
    <i r="1">
      <x v="19"/>
    </i>
    <i>
      <x v="3"/>
    </i>
    <i r="1">
      <x v="9"/>
    </i>
    <i r="1">
      <x v="18"/>
    </i>
    <i>
      <x/>
    </i>
    <i r="1">
      <x v="14"/>
    </i>
    <i>
      <x v="5"/>
    </i>
    <i r="1">
      <x v="11"/>
    </i>
    <i r="1">
      <x v="12"/>
    </i>
    <i>
      <x v="4"/>
    </i>
    <i r="1">
      <x/>
    </i>
    <i r="1">
      <x v="7"/>
    </i>
    <i r="1">
      <x v="10"/>
    </i>
    <i>
      <x v="2"/>
    </i>
    <i r="1">
      <x v="5"/>
    </i>
    <i r="1">
      <x v="8"/>
    </i>
    <i>
      <x v="6"/>
    </i>
    <i r="1">
      <x v="4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" fld="2" baseField="0" baseItem="0" numFmtId="164"/>
    <dataField name="Sum of Amount_True2" fld="2" showDataAs="percentOfCol" baseField="0" baseItem="0" numFmtId="10"/>
  </dataFields>
  <formats count="9"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8">
      <pivotArea dataOnly="0" labelOnly="1" fieldPosition="0">
        <references count="2">
          <reference field="0" count="2">
            <x v="0"/>
            <x v="7"/>
          </reference>
          <reference field="1" count="1" selected="0">
            <x v="4"/>
          </reference>
        </references>
      </pivotArea>
    </format>
    <format dxfId="27">
      <pivotArea dataOnly="0" labelOnly="1" fieldPosition="0">
        <references count="2">
          <reference field="0" count="2">
            <x v="12"/>
            <x v="15"/>
          </reference>
          <reference field="1" count="1" selected="0">
            <x v="5"/>
          </reference>
        </references>
      </pivotArea>
    </format>
    <format dxfId="26">
      <pivotArea dataOnly="0" labelOnly="1" fieldPosition="0">
        <references count="2">
          <reference field="0" count="1">
            <x v="14"/>
          </reference>
          <reference field="1" count="1" selected="0">
            <x v="0"/>
          </reference>
        </references>
      </pivotArea>
    </format>
    <format dxfId="25">
      <pivotArea dataOnly="0" labelOnly="1" fieldPosition="0">
        <references count="2">
          <reference field="0" count="1">
            <x v="14"/>
          </reference>
          <reference field="1" count="1" selected="0">
            <x v="0"/>
          </reference>
        </references>
      </pivotArea>
    </format>
    <format dxfId="24">
      <pivotArea dataOnly="0" labelOnly="1" fieldPosition="0">
        <references count="2">
          <reference field="0" count="1">
            <x v="18"/>
          </reference>
          <reference field="1" count="1" selected="0">
            <x v="3"/>
          </reference>
        </references>
      </pivotArea>
    </format>
    <format dxfId="23">
      <pivotArea dataOnly="0" labelOnly="1" fieldPosition="0">
        <references count="2">
          <reference field="0" count="2">
            <x v="2"/>
            <x v="6"/>
          </reference>
          <reference field="1" count="1" selected="0">
            <x v="7"/>
          </reference>
        </references>
      </pivotArea>
    </format>
    <format dxfId="22">
      <pivotArea dataOnly="0" labelOnly="1" fieldPosition="0">
        <references count="2">
          <reference field="0" count="1">
            <x v="16"/>
          </reference>
          <reference field="1" count="1" selected="0">
            <x v="7"/>
          </reference>
        </references>
      </pivotArea>
    </format>
    <format dxfId="21">
      <pivotArea dataOnly="0" labelOnly="1" fieldPosition="0">
        <references count="2">
          <reference field="0" count="1">
            <x v="3"/>
          </reference>
          <reference field="1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64F92-21BE-6B4A-A00F-875A8993818F}" name="PivotTable1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265:Y284" firstHeaderRow="0" firstDataRow="1" firstDataCol="1"/>
  <pivotFields count="5">
    <pivotField axis="axisRow" showAll="0">
      <items count="16">
        <item h="1" x="3"/>
        <item x="11"/>
        <item x="14"/>
        <item x="9"/>
        <item x="4"/>
        <item x="8"/>
        <item x="2"/>
        <item x="5"/>
        <item x="6"/>
        <item x="12"/>
        <item x="0"/>
        <item x="7"/>
        <item x="10"/>
        <item x="13"/>
        <item x="1"/>
        <item t="default"/>
      </items>
    </pivotField>
    <pivotField showAll="0"/>
    <pivotField axis="axisRow" showAll="0" sortType="descending">
      <items count="8">
        <item x="0"/>
        <item x="1"/>
        <item h="1" x="4"/>
        <item x="2"/>
        <item x="3"/>
        <item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2">
    <field x="2"/>
    <field x="0"/>
  </rowFields>
  <rowItems count="19">
    <i>
      <x v="4"/>
    </i>
    <i r="1">
      <x v="8"/>
    </i>
    <i r="1">
      <x v="11"/>
    </i>
    <i>
      <x v="6"/>
    </i>
    <i r="1">
      <x v="1"/>
    </i>
    <i r="1">
      <x v="9"/>
    </i>
    <i r="1">
      <x v="12"/>
    </i>
    <i r="1">
      <x v="13"/>
    </i>
    <i>
      <x v="1"/>
    </i>
    <i r="1">
      <x v="6"/>
    </i>
    <i r="1">
      <x v="14"/>
    </i>
    <i>
      <x/>
    </i>
    <i r="1">
      <x v="10"/>
    </i>
    <i>
      <x v="3"/>
    </i>
    <i r="1">
      <x v="4"/>
    </i>
    <i r="1">
      <x v="7"/>
    </i>
    <i>
      <x v="5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arget Amount" fld="4" baseField="0" baseItem="0"/>
    <dataField name="Sum of Target Amount2" fld="4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FF63AE-0AD6-974A-AF1C-1FC416E5253C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122:AD141" firstHeaderRow="0" firstDataRow="1" firstDataCol="1"/>
  <pivotFields count="5">
    <pivotField axis="axisRow" showAll="0">
      <items count="21">
        <item h="1" x="15"/>
        <item x="16"/>
        <item x="3"/>
        <item x="14"/>
        <item x="0"/>
        <item x="5"/>
        <item x="4"/>
        <item h="1" x="2"/>
        <item x="7"/>
        <item x="13"/>
        <item x="1"/>
        <item x="17"/>
        <item x="9"/>
        <item x="8"/>
        <item x="10"/>
        <item x="12"/>
        <item x="11"/>
        <item x="18"/>
        <item x="6"/>
        <item x="19"/>
        <item t="default"/>
      </items>
    </pivotField>
    <pivotField showAll="0">
      <items count="13">
        <item x="2"/>
        <item x="7"/>
        <item x="9"/>
        <item x="3"/>
        <item x="1"/>
        <item x="5"/>
        <item x="6"/>
        <item x="0"/>
        <item m="1" x="11"/>
        <item x="8"/>
        <item x="4"/>
        <item m="1" x="10"/>
        <item t="default"/>
      </items>
    </pivotField>
    <pivotField dataField="1" numFmtId="164" showAll="0"/>
    <pivotField showAll="0"/>
    <pivotField showAll="0">
      <items count="11">
        <item sd="0" x="0"/>
        <item n="Flexi/Large" x="7"/>
        <item x="5"/>
        <item x="1"/>
        <item x="2"/>
        <item x="3"/>
        <item n="Small Cap" x="6"/>
        <item x="4"/>
        <item x="8"/>
        <item x="9"/>
        <item t="default"/>
      </items>
    </pivotField>
  </pivotFields>
  <rowFields count="1">
    <field x="0"/>
  </rowFields>
  <rowItems count="19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2" fld="2" baseField="0" baseItem="0" numFmtId="164"/>
    <dataField name="Sum of Amount_True" fld="2" showDataAs="percentOfCol" baseField="0" baseItem="0" numFmtId="10"/>
  </dataFields>
  <formats count="1">
    <format dxfId="3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432B0D-8BE4-D44D-82B8-944B6737E8FC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36:AC44" firstHeaderRow="1" firstDataRow="1" firstDataCol="1"/>
  <pivotFields count="4">
    <pivotField axis="axisRow" showAll="0">
      <items count="16">
        <item x="3"/>
        <item x="0"/>
        <item x="5"/>
        <item x="4"/>
        <item x="6"/>
        <item x="2"/>
        <item x="7"/>
        <item x="13"/>
        <item x="14"/>
        <item x="1"/>
        <item x="9"/>
        <item x="8"/>
        <item x="10"/>
        <item x="12"/>
        <item x="11"/>
        <item t="default"/>
      </items>
    </pivotField>
    <pivotField showAll="0">
      <items count="10">
        <item x="2"/>
        <item x="5"/>
        <item x="4"/>
        <item x="3"/>
        <item x="1"/>
        <item m="1" x="8"/>
        <item x="6"/>
        <item x="7"/>
        <item x="0"/>
        <item t="default"/>
      </items>
    </pivotField>
    <pivotField dataField="1" numFmtId="164" showAll="0"/>
    <pivotField axis="axisRow" showAll="0" sortType="descending">
      <items count="9">
        <item sd="0" x="1"/>
        <item sd="0" x="4"/>
        <item sd="0" x="2"/>
        <item sd="0" x="0"/>
        <item sd="0" x="6"/>
        <item sd="0" x="3"/>
        <item sd="0" x="5"/>
        <item n="Small Cap" sd="0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8">
    <i>
      <x v="2"/>
    </i>
    <i>
      <x v="7"/>
    </i>
    <i>
      <x v="4"/>
    </i>
    <i>
      <x v="3"/>
    </i>
    <i>
      <x v="1"/>
    </i>
    <i>
      <x v="6"/>
    </i>
    <i>
      <x/>
    </i>
    <i t="grand">
      <x/>
    </i>
  </rowItems>
  <colItems count="1">
    <i/>
  </colItems>
  <dataFields count="1">
    <dataField name="Sum of Amount_True" fld="2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F854B9-55F1-0A43-BC5F-DFC8D472B017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60:AD86" firstHeaderRow="0" firstDataRow="1" firstDataCol="1"/>
  <pivotFields count="5">
    <pivotField axis="axisRow" showAll="0">
      <items count="19">
        <item x="15"/>
        <item x="3"/>
        <item x="0"/>
        <item x="5"/>
        <item x="4"/>
        <item x="6"/>
        <item x="2"/>
        <item x="7"/>
        <item x="13"/>
        <item x="1"/>
        <item x="16"/>
        <item x="9"/>
        <item x="8"/>
        <item x="10"/>
        <item x="12"/>
        <item x="11"/>
        <item x="17"/>
        <item x="14"/>
        <item t="default"/>
      </items>
    </pivotField>
    <pivotField showAll="0">
      <items count="13">
        <item x="2"/>
        <item m="1" x="11"/>
        <item x="1"/>
        <item x="4"/>
        <item x="8"/>
        <item x="3"/>
        <item x="5"/>
        <item x="6"/>
        <item x="0"/>
        <item x="7"/>
        <item m="1" x="10"/>
        <item m="1" x="9"/>
        <item t="default"/>
      </items>
    </pivotField>
    <pivotField dataField="1" numFmtId="164" showAll="0"/>
    <pivotField showAll="0"/>
    <pivotField axis="axisRow" showAll="0">
      <items count="10">
        <item x="2"/>
        <item n="Flexi/Large" x="4"/>
        <item x="1"/>
        <item n="Large and Mid and Emerging Cap" x="6"/>
        <item x="0"/>
        <item x="3"/>
        <item n="Small Cap" x="5"/>
        <item h="1" sd="0" x="7"/>
        <item h="1" x="8"/>
        <item t="default"/>
      </items>
    </pivotField>
  </pivotFields>
  <rowFields count="2">
    <field x="4"/>
    <field x="0"/>
  </rowFields>
  <rowItems count="26">
    <i>
      <x/>
    </i>
    <i r="1">
      <x v="6"/>
    </i>
    <i>
      <x v="1"/>
    </i>
    <i r="1">
      <x v="3"/>
    </i>
    <i r="1">
      <x v="9"/>
    </i>
    <i r="1">
      <x v="14"/>
    </i>
    <i r="1">
      <x v="17"/>
    </i>
    <i>
      <x v="2"/>
    </i>
    <i r="1">
      <x v="10"/>
    </i>
    <i r="1">
      <x v="16"/>
    </i>
    <i>
      <x v="3"/>
    </i>
    <i r="1">
      <x v="4"/>
    </i>
    <i r="1">
      <x v="8"/>
    </i>
    <i>
      <x v="4"/>
    </i>
    <i r="1">
      <x/>
    </i>
    <i r="1">
      <x v="7"/>
    </i>
    <i>
      <x v="5"/>
    </i>
    <i r="1">
      <x v="12"/>
    </i>
    <i>
      <x v="6"/>
    </i>
    <i r="1">
      <x v="1"/>
    </i>
    <i r="1">
      <x v="2"/>
    </i>
    <i r="1">
      <x v="5"/>
    </i>
    <i r="1">
      <x v="11"/>
    </i>
    <i r="1">
      <x v="13"/>
    </i>
    <i r="1"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" fld="2" showDataAs="percentOfCol" baseField="0" baseItem="0" numFmtId="10"/>
    <dataField name="Sum of Amount_True2" fld="2" baseField="0" baseItem="0" numFmtId="164"/>
  </dataFields>
  <formats count="1">
    <format dxfId="3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17673-44EA-7E49-BE68-E47973DB2F24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1:D60" firstHeaderRow="0" firstDataRow="1" firstDataCol="1"/>
  <pivotFields count="5">
    <pivotField axis="axisRow" showAll="0">
      <items count="20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x="13"/>
        <item x="12"/>
        <item x="14"/>
        <item x="15"/>
        <item x="16"/>
        <item x="17"/>
        <item x="18"/>
        <item t="default"/>
      </items>
    </pivotField>
    <pivotField showAll="0">
      <items count="14">
        <item x="5"/>
        <item x="6"/>
        <item x="10"/>
        <item x="7"/>
        <item x="2"/>
        <item x="8"/>
        <item x="3"/>
        <item x="0"/>
        <item x="9"/>
        <item m="1" x="12"/>
        <item m="1" x="11"/>
        <item x="1"/>
        <item x="4"/>
        <item t="default"/>
      </items>
    </pivotField>
    <pivotField showAll="0"/>
    <pivotField dataField="1" showAll="0"/>
    <pivotField axis="axisRow" showAll="0" sortType="descending">
      <items count="12">
        <item x="4"/>
        <item n="Mid Cap/Emerging" x="10"/>
        <item n="Large/Flexi Cap" x="9"/>
        <item x="1"/>
        <item x="5"/>
        <item x="2"/>
        <item x="6"/>
        <item x="8"/>
        <item sd="0" x="7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2">
    <field x="4"/>
    <field x="0"/>
  </rowFields>
  <rowItems count="29">
    <i>
      <x v="2"/>
    </i>
    <i r="1">
      <x v="9"/>
    </i>
    <i r="1">
      <x v="10"/>
    </i>
    <i r="1">
      <x v="15"/>
    </i>
    <i r="1">
      <x v="16"/>
    </i>
    <i>
      <x v="4"/>
    </i>
    <i r="1">
      <x v="11"/>
    </i>
    <i r="1">
      <x v="18"/>
    </i>
    <i>
      <x v="1"/>
    </i>
    <i r="1">
      <x/>
    </i>
    <i r="1">
      <x v="8"/>
    </i>
    <i>
      <x v="9"/>
    </i>
    <i r="1">
      <x v="1"/>
    </i>
    <i r="1">
      <x v="3"/>
    </i>
    <i r="1">
      <x v="6"/>
    </i>
    <i r="1">
      <x v="14"/>
    </i>
    <i r="1">
      <x v="17"/>
    </i>
    <i>
      <x v="10"/>
    </i>
    <i r="1">
      <x v="4"/>
    </i>
    <i r="1">
      <x v="12"/>
    </i>
    <i>
      <x v="6"/>
    </i>
    <i r="1">
      <x v="13"/>
    </i>
    <i>
      <x v="5"/>
    </i>
    <i r="1">
      <x v="5"/>
    </i>
    <i>
      <x/>
    </i>
    <i r="1">
      <x v="7"/>
    </i>
    <i>
      <x v="3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Sum of Amount2" fld="3" showDataAs="percentOfCol" baseField="0" baseItem="0" numFmtId="10"/>
  </dataFields>
  <formats count="24">
    <format dxfId="55">
      <pivotArea outline="0" collapsedLevelsAreSubtotals="1" fieldPosition="0"/>
    </format>
    <format dxfId="54">
      <pivotArea outline="0" fieldPosition="0">
        <references count="1">
          <reference field="4294967294" count="1">
            <x v="1"/>
          </reference>
        </references>
      </pivotArea>
    </format>
    <format dxfId="53">
      <pivotArea collapsedLevelsAreSubtotals="1" fieldPosition="0">
        <references count="1">
          <reference field="4" count="1">
            <x v="9"/>
          </reference>
        </references>
      </pivotArea>
    </format>
    <format dxfId="52">
      <pivotArea dataOnly="0" labelOnly="1" fieldPosition="0">
        <references count="1">
          <reference field="4" count="1">
            <x v="9"/>
          </reference>
        </references>
      </pivotArea>
    </format>
    <format dxfId="51">
      <pivotArea collapsedLevelsAreSubtotals="1" fieldPosition="0">
        <references count="1">
          <reference field="4" count="1">
            <x v="10"/>
          </reference>
        </references>
      </pivotArea>
    </format>
    <format dxfId="50">
      <pivotArea dataOnly="0" labelOnly="1" fieldPosition="0">
        <references count="1">
          <reference field="4" count="1">
            <x v="10"/>
          </reference>
        </references>
      </pivotArea>
    </format>
    <format dxfId="49">
      <pivotArea collapsedLevelsAreSubtotals="1" fieldPosition="0">
        <references count="1">
          <reference field="4" count="1">
            <x v="1"/>
          </reference>
        </references>
      </pivotArea>
    </format>
    <format dxfId="48">
      <pivotArea dataOnly="0" labelOnly="1" fieldPosition="0">
        <references count="1">
          <reference field="4" count="1">
            <x v="1"/>
          </reference>
        </references>
      </pivotArea>
    </format>
    <format dxfId="47">
      <pivotArea collapsedLevelsAreSubtotals="1" fieldPosition="0">
        <references count="1">
          <reference field="4" count="1">
            <x v="1"/>
          </reference>
        </references>
      </pivotArea>
    </format>
    <format dxfId="46">
      <pivotArea dataOnly="0" labelOnly="1" fieldPosition="0">
        <references count="1">
          <reference field="4" count="1">
            <x v="1"/>
          </reference>
        </references>
      </pivotArea>
    </format>
    <format dxfId="45">
      <pivotArea collapsedLevelsAreSubtotals="1" fieldPosition="0">
        <references count="1">
          <reference field="4" count="1">
            <x v="4"/>
          </reference>
        </references>
      </pivotArea>
    </format>
    <format dxfId="44">
      <pivotArea dataOnly="0" labelOnly="1" fieldPosition="0">
        <references count="1">
          <reference field="4" count="1">
            <x v="4"/>
          </reference>
        </references>
      </pivotArea>
    </format>
    <format dxfId="43">
      <pivotArea collapsedLevelsAreSubtotals="1" fieldPosition="0">
        <references count="1">
          <reference field="4" count="1">
            <x v="4"/>
          </reference>
        </references>
      </pivotArea>
    </format>
    <format dxfId="42">
      <pivotArea dataOnly="0" labelOnly="1" fieldPosition="0">
        <references count="1">
          <reference field="4" count="1">
            <x v="4"/>
          </reference>
        </references>
      </pivotArea>
    </format>
    <format dxfId="41">
      <pivotArea collapsedLevelsAreSubtotals="1" fieldPosition="0">
        <references count="1">
          <reference field="4" count="1">
            <x v="2"/>
          </reference>
        </references>
      </pivotArea>
    </format>
    <format dxfId="40">
      <pivotArea dataOnly="0" labelOnly="1" fieldPosition="0">
        <references count="1">
          <reference field="4" count="1">
            <x v="2"/>
          </reference>
        </references>
      </pivotArea>
    </format>
    <format dxfId="39">
      <pivotArea collapsedLevelsAreSubtotals="1" fieldPosition="0">
        <references count="1">
          <reference field="4" count="1">
            <x v="3"/>
          </reference>
        </references>
      </pivotArea>
    </format>
    <format dxfId="38">
      <pivotArea dataOnly="0" labelOnly="1" fieldPosition="0">
        <references count="1">
          <reference field="4" count="1">
            <x v="3"/>
          </reference>
        </references>
      </pivotArea>
    </format>
    <format dxfId="37">
      <pivotArea collapsedLevelsAreSubtotals="1" fieldPosition="0">
        <references count="1">
          <reference field="4" count="1">
            <x v="3"/>
          </reference>
        </references>
      </pivotArea>
    </format>
    <format dxfId="36">
      <pivotArea dataOnly="0" labelOnly="1" fieldPosition="0">
        <references count="1">
          <reference field="4" count="1">
            <x v="3"/>
          </reference>
        </references>
      </pivotArea>
    </format>
    <format dxfId="35">
      <pivotArea collapsedLevelsAreSubtotals="1" fieldPosition="0">
        <references count="1">
          <reference field="4" count="1">
            <x v="0"/>
          </reference>
        </references>
      </pivotArea>
    </format>
    <format dxfId="34">
      <pivotArea dataOnly="0" labelOnly="1" fieldPosition="0">
        <references count="1">
          <reference field="4" count="1">
            <x v="0"/>
          </reference>
        </references>
      </pivotArea>
    </format>
    <format dxfId="33">
      <pivotArea collapsedLevelsAreSubtotals="1" fieldPosition="0">
        <references count="1">
          <reference field="4" count="1">
            <x v="0"/>
          </reference>
        </references>
      </pivotArea>
    </format>
    <format dxfId="32">
      <pivotArea dataOnly="0" labelOnly="1" fieldPosition="0">
        <references count="1"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46DD50-948A-0843-8748-584E7A782662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25:AC31" firstHeaderRow="0" firstDataRow="1" firstDataCol="1"/>
  <pivotFields count="3">
    <pivotField showAll="0"/>
    <pivotField axis="axisRow" showAll="0" sortType="descending">
      <items count="6"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numFmtId="164" showAll="0"/>
  </pivotFields>
  <rowFields count="1">
    <field x="1"/>
  </rowFields>
  <rowItems count="6">
    <i>
      <x/>
    </i>
    <i>
      <x v="2"/>
    </i>
    <i>
      <x v="4"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2" fld="2" baseField="0" baseItem="0" numFmtId="164"/>
    <dataField name="Sum of Amount_True" fld="2" showDataAs="percentOfCol" baseField="0" baseItem="0" numFmtId="10"/>
  </dataFields>
  <formats count="1">
    <format dxfId="5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A7C5DD-362E-3541-80CC-4BBF83A77D39}" name="PivotTable1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312:Z319" firstHeaderRow="0" firstDataRow="1" firstDataCol="1"/>
  <pivotFields count="9">
    <pivotField showAll="0"/>
    <pivotField showAll="0">
      <items count="18">
        <item h="1" x="12"/>
        <item h="1" x="8"/>
        <item x="16"/>
        <item x="0"/>
        <item h="1" x="5"/>
        <item h="1" x="6"/>
        <item x="9"/>
        <item h="1" x="1"/>
        <item x="15"/>
        <item x="4"/>
        <item x="10"/>
        <item h="1" x="3"/>
        <item x="7"/>
        <item x="13"/>
        <item x="14"/>
        <item x="2"/>
        <item x="11"/>
        <item t="default"/>
      </items>
    </pivotField>
    <pivotField axis="axisRow" showAll="0" sortType="descending">
      <items count="8">
        <item x="6"/>
        <item h="1" x="4"/>
        <item x="5"/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7">
    <i>
      <x v="4"/>
    </i>
    <i>
      <x v="6"/>
    </i>
    <i>
      <x v="3"/>
    </i>
    <i>
      <x v="2"/>
    </i>
    <i>
      <x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posed SIPs" fld="8" baseField="0" baseItem="0" numFmtId="164"/>
    <dataField name="Sum of Proposed SIPs2" fld="8" showDataAs="percentOfCol" baseField="0" baseItem="0" numFmtId="10"/>
  </dataFields>
  <formats count="1">
    <format dxfId="5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A96030-7F08-FB47-9A24-E278D9866DEE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14:AC19" firstHeaderRow="0" firstDataRow="1" firstDataCol="1"/>
  <pivotFields count="3">
    <pivotField showAll="0"/>
    <pivotField axis="axisRow" showAll="0" sortType="descending">
      <items count="8">
        <item h="1" m="1" x="6"/>
        <item x="3"/>
        <item x="2"/>
        <item x="1"/>
        <item x="0"/>
        <item h="1" x="5"/>
        <item h="1"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numFmtId="164" showAll="0"/>
  </pivotFields>
  <rowFields count="1">
    <field x="1"/>
  </rowFields>
  <rowItems count="5">
    <i>
      <x v="2"/>
    </i>
    <i>
      <x v="1"/>
    </i>
    <i>
      <x v="4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2" fld="2" baseField="0" baseItem="0" numFmtId="164"/>
    <dataField name="Sum of Amount_True" fld="2" showDataAs="percentOfCol" baseField="0" baseItem="0" numFmtId="10"/>
  </dataFields>
  <formats count="1">
    <format dxfId="5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D01B4-5540-1146-B889-CFA9C648C94A}" name="PivotTable1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334:Z352" firstHeaderRow="0" firstDataRow="1" firstDataCol="1"/>
  <pivotFields count="9">
    <pivotField showAll="0"/>
    <pivotField axis="axisRow" showAll="0">
      <items count="18">
        <item h="1" x="12"/>
        <item h="1" x="8"/>
        <item x="16"/>
        <item x="0"/>
        <item h="1" x="5"/>
        <item h="1" x="6"/>
        <item x="9"/>
        <item h="1" x="1"/>
        <item x="15"/>
        <item x="4"/>
        <item x="10"/>
        <item h="1" x="3"/>
        <item x="7"/>
        <item x="13"/>
        <item x="14"/>
        <item x="2"/>
        <item x="11"/>
        <item t="default"/>
      </items>
    </pivotField>
    <pivotField axis="axisRow" showAll="0" sortType="descending">
      <items count="8">
        <item x="6"/>
        <item x="4"/>
        <item x="5"/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2">
    <field x="2"/>
    <field x="1"/>
  </rowFields>
  <rowItems count="18">
    <i>
      <x v="4"/>
    </i>
    <i r="1">
      <x v="10"/>
    </i>
    <i>
      <x v="6"/>
    </i>
    <i r="1">
      <x v="2"/>
    </i>
    <i r="1">
      <x v="12"/>
    </i>
    <i r="1">
      <x v="14"/>
    </i>
    <i r="1">
      <x v="15"/>
    </i>
    <i>
      <x v="3"/>
    </i>
    <i r="1">
      <x v="6"/>
    </i>
    <i r="1">
      <x v="9"/>
    </i>
    <i>
      <x v="2"/>
    </i>
    <i r="1">
      <x v="8"/>
    </i>
    <i r="1">
      <x v="16"/>
    </i>
    <i>
      <x/>
    </i>
    <i r="1">
      <x v="13"/>
    </i>
    <i>
      <x v="5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posed SIPs" fld="8" baseField="0" baseItem="0" numFmtId="164"/>
    <dataField name="Sum of Proposed SIPs2" fld="8" showDataAs="percentOfCol" baseField="0" baseItem="0" numFmtId="10"/>
  </dataFields>
  <formats count="1">
    <format dxfId="5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CADECD-8EA7-9F4C-967A-C3105E1190BD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89:AD118" firstHeaderRow="0" firstDataRow="1" firstDataCol="1"/>
  <pivotFields count="5">
    <pivotField axis="axisRow" showAll="0">
      <items count="21">
        <item x="15"/>
        <item x="16"/>
        <item x="3"/>
        <item x="14"/>
        <item x="0"/>
        <item x="5"/>
        <item x="4"/>
        <item x="2"/>
        <item x="7"/>
        <item x="13"/>
        <item x="1"/>
        <item x="17"/>
        <item x="9"/>
        <item x="8"/>
        <item x="10"/>
        <item x="12"/>
        <item x="11"/>
        <item x="18"/>
        <item x="6"/>
        <item x="19"/>
        <item t="default"/>
      </items>
    </pivotField>
    <pivotField showAll="0">
      <items count="13">
        <item x="2"/>
        <item x="7"/>
        <item x="9"/>
        <item x="3"/>
        <item x="1"/>
        <item x="5"/>
        <item x="6"/>
        <item x="0"/>
        <item m="1" x="11"/>
        <item x="8"/>
        <item x="4"/>
        <item m="1" x="10"/>
        <item t="default"/>
      </items>
    </pivotField>
    <pivotField dataField="1" numFmtId="164" showAll="0"/>
    <pivotField showAll="0"/>
    <pivotField axis="axisRow" showAll="0">
      <items count="11">
        <item sd="0" x="0"/>
        <item n="Flexi/Large" x="7"/>
        <item x="5"/>
        <item x="1"/>
        <item x="2"/>
        <item x="3"/>
        <item n="Small Cap" x="6"/>
        <item x="4"/>
        <item x="8"/>
        <item x="9"/>
        <item t="default"/>
      </items>
    </pivotField>
  </pivotFields>
  <rowFields count="2">
    <field x="4"/>
    <field x="0"/>
  </rowFields>
  <rowItems count="29">
    <i>
      <x/>
    </i>
    <i>
      <x v="1"/>
    </i>
    <i r="1">
      <x v="10"/>
    </i>
    <i r="1">
      <x v="15"/>
    </i>
    <i>
      <x v="2"/>
    </i>
    <i r="1">
      <x v="11"/>
    </i>
    <i r="1">
      <x v="17"/>
    </i>
    <i>
      <x v="3"/>
    </i>
    <i r="1">
      <x v="6"/>
    </i>
    <i r="1">
      <x v="9"/>
    </i>
    <i>
      <x v="4"/>
    </i>
    <i r="1">
      <x v="1"/>
    </i>
    <i r="1">
      <x v="8"/>
    </i>
    <i r="1">
      <x v="12"/>
    </i>
    <i>
      <x v="5"/>
    </i>
    <i r="1">
      <x v="13"/>
    </i>
    <i r="1">
      <x v="19"/>
    </i>
    <i>
      <x v="6"/>
    </i>
    <i r="1">
      <x v="2"/>
    </i>
    <i r="1">
      <x v="4"/>
    </i>
    <i r="1">
      <x v="14"/>
    </i>
    <i r="1">
      <x v="16"/>
    </i>
    <i r="1">
      <x v="18"/>
    </i>
    <i>
      <x v="7"/>
    </i>
    <i r="1">
      <x/>
    </i>
    <i r="1">
      <x v="3"/>
    </i>
    <i>
      <x v="8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2" fld="2" baseField="0" baseItem="0" numFmtId="164"/>
    <dataField name="Sum of Amount_True" fld="2" showDataAs="percentOfCol" baseField="0" baseItem="0" numFmtId="10"/>
  </dataFields>
  <formats count="1">
    <format dxfId="6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87DC2-180B-FE4D-9B26-3930961A61BC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31:S60" firstHeaderRow="0" firstDataRow="1" firstDataCol="1"/>
  <pivotFields count="5">
    <pivotField axis="axisRow" showAll="0">
      <items count="20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x="13"/>
        <item x="12"/>
        <item x="14"/>
        <item x="15"/>
        <item x="16"/>
        <item x="17"/>
        <item x="18"/>
        <item t="default"/>
      </items>
    </pivotField>
    <pivotField showAll="0">
      <items count="14">
        <item x="5"/>
        <item x="6"/>
        <item x="10"/>
        <item x="7"/>
        <item x="2"/>
        <item x="8"/>
        <item x="3"/>
        <item x="0"/>
        <item x="9"/>
        <item m="1" x="12"/>
        <item m="1" x="11"/>
        <item x="1"/>
        <item x="4"/>
        <item t="default"/>
      </items>
    </pivotField>
    <pivotField dataField="1" showAll="0"/>
    <pivotField showAll="0"/>
    <pivotField axis="axisRow" showAll="0">
      <items count="12">
        <item x="4"/>
        <item n="Mid Cap/Emerging" x="10"/>
        <item n="Large/Flexi Cap" x="9"/>
        <item x="1"/>
        <item x="5"/>
        <item x="2"/>
        <item x="6"/>
        <item x="8"/>
        <item sd="0" x="7"/>
        <item x="0"/>
        <item x="3"/>
        <item t="default"/>
      </items>
    </pivotField>
  </pivotFields>
  <rowFields count="2">
    <field x="4"/>
    <field x="0"/>
  </rowFields>
  <rowItems count="29">
    <i>
      <x/>
    </i>
    <i r="1">
      <x v="7"/>
    </i>
    <i>
      <x v="1"/>
    </i>
    <i r="1">
      <x/>
    </i>
    <i r="1">
      <x v="8"/>
    </i>
    <i>
      <x v="2"/>
    </i>
    <i r="1">
      <x v="9"/>
    </i>
    <i r="1">
      <x v="10"/>
    </i>
    <i r="1">
      <x v="15"/>
    </i>
    <i r="1">
      <x v="16"/>
    </i>
    <i>
      <x v="3"/>
    </i>
    <i r="1">
      <x v="2"/>
    </i>
    <i>
      <x v="4"/>
    </i>
    <i r="1">
      <x v="11"/>
    </i>
    <i r="1">
      <x v="18"/>
    </i>
    <i>
      <x v="5"/>
    </i>
    <i r="1">
      <x v="5"/>
    </i>
    <i>
      <x v="6"/>
    </i>
    <i r="1">
      <x v="13"/>
    </i>
    <i>
      <x v="9"/>
    </i>
    <i r="1">
      <x v="1"/>
    </i>
    <i r="1">
      <x v="3"/>
    </i>
    <i r="1">
      <x v="6"/>
    </i>
    <i r="1">
      <x v="14"/>
    </i>
    <i r="1">
      <x v="17"/>
    </i>
    <i>
      <x v="10"/>
    </i>
    <i r="1">
      <x v="4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" fld="2" baseField="0" baseItem="0"/>
    <dataField name="Sum of Amount_True2" fld="2" showDataAs="percentOfCol" baseField="0" baseItem="0" numFmtId="10"/>
  </dataFields>
  <formats count="24">
    <format dxfId="84">
      <pivotArea outline="0" collapsedLevelsAreSubtotals="1" fieldPosition="0"/>
    </format>
    <format dxfId="83">
      <pivotArea collapsedLevelsAreSubtotals="1" fieldPosition="0">
        <references count="1">
          <reference field="4" count="1">
            <x v="9"/>
          </reference>
        </references>
      </pivotArea>
    </format>
    <format dxfId="82">
      <pivotArea dataOnly="0" labelOnly="1" fieldPosition="0">
        <references count="1">
          <reference field="4" count="1">
            <x v="9"/>
          </reference>
        </references>
      </pivotArea>
    </format>
    <format dxfId="81">
      <pivotArea collapsedLevelsAreSubtotals="1" fieldPosition="0">
        <references count="1">
          <reference field="4" count="1">
            <x v="10"/>
          </reference>
        </references>
      </pivotArea>
    </format>
    <format dxfId="80">
      <pivotArea dataOnly="0" labelOnly="1" fieldPosition="0">
        <references count="1">
          <reference field="4" count="1">
            <x v="10"/>
          </reference>
        </references>
      </pivotArea>
    </format>
    <format dxfId="79">
      <pivotArea collapsedLevelsAreSubtotals="1" fieldPosition="0">
        <references count="1">
          <reference field="4" count="1">
            <x v="1"/>
          </reference>
        </references>
      </pivotArea>
    </format>
    <format dxfId="78">
      <pivotArea dataOnly="0" labelOnly="1" fieldPosition="0">
        <references count="1">
          <reference field="4" count="1">
            <x v="1"/>
          </reference>
        </references>
      </pivotArea>
    </format>
    <format dxfId="77">
      <pivotArea collapsedLevelsAreSubtotals="1" fieldPosition="0">
        <references count="1">
          <reference field="4" count="1">
            <x v="1"/>
          </reference>
        </references>
      </pivotArea>
    </format>
    <format dxfId="76">
      <pivotArea dataOnly="0" labelOnly="1" fieldPosition="0">
        <references count="1">
          <reference field="4" count="1">
            <x v="1"/>
          </reference>
        </references>
      </pivotArea>
    </format>
    <format dxfId="75">
      <pivotArea collapsedLevelsAreSubtotals="1" fieldPosition="0">
        <references count="1">
          <reference field="4" count="1">
            <x v="4"/>
          </reference>
        </references>
      </pivotArea>
    </format>
    <format dxfId="74">
      <pivotArea dataOnly="0" labelOnly="1" fieldPosition="0">
        <references count="1">
          <reference field="4" count="1">
            <x v="4"/>
          </reference>
        </references>
      </pivotArea>
    </format>
    <format dxfId="73">
      <pivotArea collapsedLevelsAreSubtotals="1" fieldPosition="0">
        <references count="1">
          <reference field="4" count="1">
            <x v="4"/>
          </reference>
        </references>
      </pivotArea>
    </format>
    <format dxfId="72">
      <pivotArea dataOnly="0" labelOnly="1" fieldPosition="0">
        <references count="1">
          <reference field="4" count="1">
            <x v="4"/>
          </reference>
        </references>
      </pivotArea>
    </format>
    <format dxfId="71">
      <pivotArea collapsedLevelsAreSubtotals="1" fieldPosition="0">
        <references count="1">
          <reference field="4" count="1">
            <x v="2"/>
          </reference>
        </references>
      </pivotArea>
    </format>
    <format dxfId="70">
      <pivotArea dataOnly="0" labelOnly="1" fieldPosition="0">
        <references count="1">
          <reference field="4" count="1">
            <x v="2"/>
          </reference>
        </references>
      </pivotArea>
    </format>
    <format dxfId="69">
      <pivotArea collapsedLevelsAreSubtotals="1" fieldPosition="0">
        <references count="1">
          <reference field="4" count="1">
            <x v="3"/>
          </reference>
        </references>
      </pivotArea>
    </format>
    <format dxfId="68">
      <pivotArea dataOnly="0" labelOnly="1" fieldPosition="0">
        <references count="1">
          <reference field="4" count="1">
            <x v="3"/>
          </reference>
        </references>
      </pivotArea>
    </format>
    <format dxfId="67">
      <pivotArea collapsedLevelsAreSubtotals="1" fieldPosition="0">
        <references count="1">
          <reference field="4" count="1">
            <x v="3"/>
          </reference>
        </references>
      </pivotArea>
    </format>
    <format dxfId="66">
      <pivotArea dataOnly="0" labelOnly="1" fieldPosition="0">
        <references count="1">
          <reference field="4" count="1">
            <x v="3"/>
          </reference>
        </references>
      </pivotArea>
    </format>
    <format dxfId="65">
      <pivotArea collapsedLevelsAreSubtotals="1" fieldPosition="0">
        <references count="1">
          <reference field="4" count="1">
            <x v="0"/>
          </reference>
        </references>
      </pivotArea>
    </format>
    <format dxfId="64">
      <pivotArea dataOnly="0" labelOnly="1" fieldPosition="0">
        <references count="1">
          <reference field="4" count="1">
            <x v="0"/>
          </reference>
        </references>
      </pivotArea>
    </format>
    <format dxfId="63">
      <pivotArea collapsedLevelsAreSubtotals="1" fieldPosition="0">
        <references count="1">
          <reference field="4" count="1">
            <x v="0"/>
          </reference>
        </references>
      </pivotArea>
    </format>
    <format dxfId="62">
      <pivotArea dataOnly="0" labelOnly="1" fieldPosition="0">
        <references count="1">
          <reference field="4" count="1">
            <x v="0"/>
          </reference>
        </references>
      </pivotArea>
    </format>
    <format dxfId="61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8542C7-737F-EC40-9087-20309F1D1C38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145:AD154" firstHeaderRow="0" firstDataRow="1" firstDataCol="1"/>
  <pivotFields count="4">
    <pivotField axis="axisRow" showAll="0">
      <items count="19">
        <item x="2"/>
        <item x="10"/>
        <item x="8"/>
        <item x="3"/>
        <item x="14"/>
        <item x="13"/>
        <item x="12"/>
        <item x="16"/>
        <item x="6"/>
        <item x="5"/>
        <item x="4"/>
        <item x="9"/>
        <item x="7"/>
        <item x="11"/>
        <item x="0"/>
        <item x="17"/>
        <item x="15"/>
        <item x="1"/>
        <item t="default"/>
      </items>
    </pivotField>
    <pivotField axis="axisRow" showAll="0" sortType="descending">
      <items count="9">
        <item sd="0" x="0"/>
        <item sd="0" x="6"/>
        <item sd="0" x="4"/>
        <item sd="0" x="1"/>
        <item sd="0" x="2"/>
        <item sd="0" x="5"/>
        <item sd="0" x="7"/>
        <item sd="0"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/>
  </pivotFields>
  <rowFields count="2">
    <field x="1"/>
    <field x="0"/>
  </rowFields>
  <rowItems count="9">
    <i>
      <x v="3"/>
    </i>
    <i>
      <x/>
    </i>
    <i>
      <x v="4"/>
    </i>
    <i>
      <x v="5"/>
    </i>
    <i>
      <x v="7"/>
    </i>
    <i>
      <x v="1"/>
    </i>
    <i>
      <x v="2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" fld="2" baseField="0" baseItem="0" numFmtId="164"/>
    <dataField name="Sum of Amount_True2" fld="2" showDataAs="percentOfCol" baseField="0" baseItem="0" numFmtId="10"/>
  </dataFields>
  <formats count="1">
    <format dxfId="8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34E26-A084-514F-8A49-C9D2F33981D7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5:E52" firstHeaderRow="0" firstDataRow="1" firstDataCol="1"/>
  <pivotFields count="7">
    <pivotField showAll="0"/>
    <pivotField numFmtId="16" showAll="0"/>
    <pivotField showAll="0"/>
    <pivotField axis="axisRow" showAll="0" sortType="descending">
      <items count="8">
        <item x="0"/>
        <item x="2"/>
        <item x="3"/>
        <item x="1"/>
        <item x="5"/>
        <item x="4"/>
        <item m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3"/>
  </rowFields>
  <rowItems count="7">
    <i>
      <x/>
    </i>
    <i>
      <x v="3"/>
    </i>
    <i>
      <x v="5"/>
    </i>
    <i>
      <x v="1"/>
    </i>
    <i>
      <x v="2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IP Amount" fld="5" baseField="0" baseItem="0" numFmtId="164"/>
    <dataField name="Sum of SIP Amount2" fld="5" showDataAs="percentOfCol" baseField="0" baseItem="0" numFmtId="10"/>
  </dataFields>
  <formats count="1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294E62-2A37-A64F-ACC1-C13C227E7F2A}" name="PivotTable1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N23" firstHeaderRow="0" firstDataRow="1" firstDataCol="1"/>
  <pivotFields count="7">
    <pivotField showAll="0"/>
    <pivotField numFmtId="16" showAll="0"/>
    <pivotField axis="axisRow" showAll="0">
      <items count="12">
        <item x="8"/>
        <item x="1"/>
        <item x="3"/>
        <item x="7"/>
        <item x="5"/>
        <item x="2"/>
        <item x="9"/>
        <item x="6"/>
        <item x="0"/>
        <item x="4"/>
        <item x="10"/>
        <item t="default"/>
      </items>
    </pivotField>
    <pivotField showAll="0"/>
    <pivotField axis="axisRow" showAll="0" sortType="descending">
      <items count="8">
        <item x="4"/>
        <item x="6"/>
        <item x="0"/>
        <item x="2"/>
        <item x="1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2">
    <field x="4"/>
    <field x="2"/>
  </rowFields>
  <rowItems count="19">
    <i>
      <x v="3"/>
    </i>
    <i r="1">
      <x v="2"/>
    </i>
    <i>
      <x v="4"/>
    </i>
    <i r="1">
      <x/>
    </i>
    <i r="1">
      <x v="3"/>
    </i>
    <i r="1">
      <x v="5"/>
    </i>
    <i r="1">
      <x v="7"/>
    </i>
    <i>
      <x/>
    </i>
    <i r="1">
      <x v="4"/>
    </i>
    <i>
      <x v="2"/>
    </i>
    <i r="1">
      <x v="1"/>
    </i>
    <i r="1">
      <x v="8"/>
    </i>
    <i>
      <x v="1"/>
    </i>
    <i r="1">
      <x v="10"/>
    </i>
    <i>
      <x v="6"/>
    </i>
    <i r="1">
      <x v="9"/>
    </i>
    <i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IP Amount" fld="5" showDataAs="percentOfCol" baseField="0" baseItem="0" numFmtId="10"/>
    <dataField name="Sum of SIP Amount2" fld="5" baseField="0" baseItem="0" numFmtId="164"/>
  </dataFields>
  <formats count="5"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">
      <pivotArea collapsedLevelsAreSubtotals="1" fieldPosition="0">
        <references count="1">
          <reference field="4" count="1">
            <x v="0"/>
          </reference>
        </references>
      </pivotArea>
    </format>
    <format dxfId="3">
      <pivotArea dataOnly="0" labelOnly="1" fieldPosition="0">
        <references count="1">
          <reference field="4" count="1">
            <x v="0"/>
          </reference>
        </references>
      </pivotArea>
    </format>
    <format dxfId="2">
      <pivotArea collapsedLevelsAreSubtotals="1" fieldPosition="0">
        <references count="1">
          <reference field="4" count="1">
            <x v="6"/>
          </reference>
        </references>
      </pivotArea>
    </format>
    <format dxfId="1">
      <pivotArea dataOnly="0" labelOnly="1" fieldPosition="0">
        <references count="1">
          <reference field="4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9FC5E5-7778-0B42-A655-0A4E2A7E30A3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5:M42" firstHeaderRow="1" firstDataRow="1" firstDataCol="1"/>
  <pivotFields count="7">
    <pivotField showAll="0"/>
    <pivotField numFmtId="16" showAll="0"/>
    <pivotField axis="axisRow" showAll="0">
      <items count="15">
        <item x="8"/>
        <item x="1"/>
        <item m="1" x="13"/>
        <item x="3"/>
        <item x="7"/>
        <item x="5"/>
        <item x="2"/>
        <item m="1" x="12"/>
        <item x="9"/>
        <item x="6"/>
        <item x="0"/>
        <item x="4"/>
        <item m="1" x="11"/>
        <item m="1" x="10"/>
        <item t="default"/>
      </items>
    </pivotField>
    <pivotField showAll="0"/>
    <pivotField axis="axisRow" showAll="0" sortType="descending">
      <items count="9">
        <item x="4"/>
        <item m="1" x="6"/>
        <item x="0"/>
        <item x="2"/>
        <item x="1"/>
        <item x="5"/>
        <item x="3"/>
        <item m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2">
    <field x="4"/>
    <field x="2"/>
  </rowFields>
  <rowItems count="17">
    <i>
      <x v="3"/>
    </i>
    <i r="1">
      <x v="3"/>
    </i>
    <i>
      <x v="4"/>
    </i>
    <i r="1">
      <x/>
    </i>
    <i r="1">
      <x v="4"/>
    </i>
    <i r="1">
      <x v="6"/>
    </i>
    <i r="1">
      <x v="9"/>
    </i>
    <i>
      <x/>
    </i>
    <i r="1">
      <x v="5"/>
    </i>
    <i>
      <x v="2"/>
    </i>
    <i r="1">
      <x v="1"/>
    </i>
    <i r="1">
      <x v="10"/>
    </i>
    <i>
      <x v="6"/>
    </i>
    <i r="1">
      <x v="11"/>
    </i>
    <i>
      <x v="5"/>
    </i>
    <i r="1">
      <x v="8"/>
    </i>
    <i t="grand">
      <x/>
    </i>
  </rowItems>
  <colItems count="1">
    <i/>
  </colItems>
  <dataFields count="1">
    <dataField name="Sum of SIP Amount" fld="5" baseField="0" baseItem="0" numFmtId="164"/>
  </dataFields>
  <formats count="12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4" type="button" dataOnly="0" labelOnly="1" outline="0" axis="axisRow" fieldPosition="0"/>
    </format>
    <format dxfId="14">
      <pivotArea dataOnly="0" labelOnly="1" fieldPosition="0">
        <references count="1">
          <reference field="4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2">
          <reference field="2" count="4">
            <x v="0"/>
            <x v="4"/>
            <x v="6"/>
            <x v="9"/>
          </reference>
          <reference field="4" count="1" selected="0">
            <x v="4"/>
          </reference>
        </references>
      </pivotArea>
    </format>
    <format dxfId="11">
      <pivotArea dataOnly="0" labelOnly="1" fieldPosition="0">
        <references count="2">
          <reference field="2" count="2">
            <x v="2"/>
            <x v="7"/>
          </reference>
          <reference field="4" count="1" selected="0">
            <x v="1"/>
          </reference>
        </references>
      </pivotArea>
    </format>
    <format dxfId="10">
      <pivotArea dataOnly="0" labelOnly="1" fieldPosition="0">
        <references count="2">
          <reference field="2" count="1">
            <x v="5"/>
          </reference>
          <reference field="4" count="1" selected="0">
            <x v="0"/>
          </reference>
        </references>
      </pivotArea>
    </format>
    <format dxfId="9">
      <pivotArea dataOnly="0" labelOnly="1" fieldPosition="0">
        <references count="2">
          <reference field="2" count="1">
            <x v="3"/>
          </reference>
          <reference field="4" count="1" selected="0">
            <x v="3"/>
          </reference>
        </references>
      </pivotArea>
    </format>
    <format dxfId="8">
      <pivotArea dataOnly="0" labelOnly="1" fieldPosition="0">
        <references count="2">
          <reference field="2" count="2">
            <x v="1"/>
            <x v="10"/>
          </reference>
          <reference field="4" count="1" selected="0">
            <x v="2"/>
          </reference>
        </references>
      </pivotArea>
    </format>
    <format dxfId="7">
      <pivotArea dataOnly="0" labelOnly="1" fieldPosition="0">
        <references count="2">
          <reference field="2" count="1">
            <x v="8"/>
          </reference>
          <reference field="4" count="1" selected="0">
            <x v="5"/>
          </reference>
        </references>
      </pivotArea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0CFDF5-FF04-3548-B9B6-62ED21580238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20" firstHeaderRow="1" firstDataRow="1" firstDataCol="1"/>
  <pivotFields count="7">
    <pivotField showAll="0"/>
    <pivotField numFmtId="16" showAll="0"/>
    <pivotField axis="axisRow" showAll="0">
      <items count="12">
        <item x="8"/>
        <item x="9"/>
        <item x="1"/>
        <item x="10"/>
        <item x="4"/>
        <item x="3"/>
        <item x="7"/>
        <item x="5"/>
        <item x="0"/>
        <item x="6"/>
        <item x="2"/>
        <item t="default"/>
      </items>
    </pivotField>
    <pivotField axis="axisRow" showAll="0" sortType="descending">
      <items count="7">
        <item x="4"/>
        <item x="3"/>
        <item x="0"/>
        <item x="2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2">
    <field x="3"/>
    <field x="2"/>
  </rowFields>
  <rowItems count="18">
    <i>
      <x v="5"/>
    </i>
    <i r="1">
      <x/>
    </i>
    <i r="1">
      <x v="6"/>
    </i>
    <i r="1">
      <x v="9"/>
    </i>
    <i r="1">
      <x v="10"/>
    </i>
    <i>
      <x v="3"/>
    </i>
    <i r="1">
      <x v="5"/>
    </i>
    <i>
      <x/>
    </i>
    <i r="1">
      <x v="7"/>
    </i>
    <i>
      <x v="1"/>
    </i>
    <i r="1">
      <x v="3"/>
    </i>
    <i r="1">
      <x v="4"/>
    </i>
    <i>
      <x v="2"/>
    </i>
    <i r="1">
      <x v="2"/>
    </i>
    <i r="1">
      <x v="8"/>
    </i>
    <i>
      <x v="4"/>
    </i>
    <i r="1">
      <x v="1"/>
    </i>
    <i t="grand">
      <x/>
    </i>
  </rowItems>
  <colItems count="1">
    <i/>
  </colItems>
  <dataFields count="1">
    <dataField name="Sum of SIP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2EF5-69F2-BD42-8E21-7D94CA7B57A4}">
  <dimension ref="B1:AI352"/>
  <sheetViews>
    <sheetView topLeftCell="R281" zoomScale="160" workbookViewId="0">
      <selection activeCell="V289" sqref="V289:AD307"/>
    </sheetView>
  </sheetViews>
  <sheetFormatPr baseColWidth="10" defaultRowHeight="16" x14ac:dyDescent="0.2"/>
  <cols>
    <col min="2" max="2" width="17.83203125" bestFit="1" customWidth="1"/>
    <col min="3" max="3" width="14.5" bestFit="1" customWidth="1"/>
    <col min="4" max="4" width="15.5" bestFit="1" customWidth="1"/>
    <col min="5" max="5" width="15" customWidth="1"/>
    <col min="6" max="6" width="22.5" bestFit="1" customWidth="1"/>
    <col min="7" max="7" width="14.33203125" bestFit="1" customWidth="1"/>
    <col min="8" max="8" width="24" bestFit="1" customWidth="1"/>
    <col min="9" max="9" width="17.33203125" bestFit="1" customWidth="1"/>
    <col min="11" max="11" width="50.83203125" bestFit="1" customWidth="1"/>
    <col min="12" max="12" width="16.33203125" bestFit="1" customWidth="1"/>
    <col min="13" max="13" width="25" bestFit="1" customWidth="1"/>
    <col min="17" max="17" width="55.33203125" bestFit="1" customWidth="1"/>
    <col min="18" max="18" width="19.6640625" bestFit="1" customWidth="1"/>
    <col min="19" max="19" width="20.6640625" bestFit="1" customWidth="1"/>
    <col min="23" max="23" width="52.5" bestFit="1" customWidth="1"/>
    <col min="24" max="24" width="13" bestFit="1" customWidth="1"/>
    <col min="25" max="25" width="19" bestFit="1" customWidth="1"/>
    <col min="26" max="26" width="20" bestFit="1" customWidth="1"/>
    <col min="27" max="27" width="16.5" bestFit="1" customWidth="1"/>
    <col min="28" max="28" width="55.33203125" bestFit="1" customWidth="1"/>
    <col min="29" max="29" width="18.83203125" bestFit="1" customWidth="1"/>
    <col min="30" max="30" width="19.83203125" bestFit="1" customWidth="1"/>
    <col min="31" max="31" width="19.33203125" customWidth="1"/>
    <col min="32" max="32" width="28.6640625" bestFit="1" customWidth="1"/>
    <col min="33" max="33" width="18.83203125" bestFit="1" customWidth="1"/>
    <col min="34" max="34" width="12.5" bestFit="1" customWidth="1"/>
  </cols>
  <sheetData>
    <row r="1" spans="2:29" ht="19" x14ac:dyDescent="0.2">
      <c r="B1" s="1"/>
    </row>
    <row r="2" spans="2:29" ht="19" x14ac:dyDescent="0.2">
      <c r="B2" s="1"/>
    </row>
    <row r="3" spans="2:29" ht="19" x14ac:dyDescent="0.2">
      <c r="B3" s="1"/>
    </row>
    <row r="4" spans="2:29" ht="19" x14ac:dyDescent="0.2">
      <c r="B4" s="1"/>
    </row>
    <row r="5" spans="2:29" ht="19" x14ac:dyDescent="0.2">
      <c r="B5" s="1"/>
    </row>
    <row r="6" spans="2:29" ht="19" x14ac:dyDescent="0.2">
      <c r="B6" s="1"/>
      <c r="K6" s="5" t="s">
        <v>0</v>
      </c>
      <c r="L6" s="5" t="s">
        <v>9</v>
      </c>
      <c r="M6" s="5" t="s">
        <v>10</v>
      </c>
    </row>
    <row r="7" spans="2:29" ht="19" x14ac:dyDescent="0.2">
      <c r="B7" s="1"/>
      <c r="K7" s="3" t="s">
        <v>1</v>
      </c>
      <c r="L7" s="4">
        <v>45023</v>
      </c>
      <c r="M7" s="3"/>
    </row>
    <row r="8" spans="2:29" ht="51" x14ac:dyDescent="0.2">
      <c r="B8" s="1"/>
      <c r="K8" s="3" t="s">
        <v>2</v>
      </c>
      <c r="L8" s="4">
        <v>45022</v>
      </c>
      <c r="M8" s="39" t="s">
        <v>84</v>
      </c>
    </row>
    <row r="9" spans="2:29" ht="19" x14ac:dyDescent="0.2">
      <c r="B9" s="1"/>
      <c r="K9" s="3" t="s">
        <v>3</v>
      </c>
      <c r="L9" s="4">
        <v>45026</v>
      </c>
      <c r="M9" s="42" t="s">
        <v>85</v>
      </c>
    </row>
    <row r="10" spans="2:29" x14ac:dyDescent="0.2">
      <c r="K10" s="3" t="s">
        <v>4</v>
      </c>
      <c r="L10" s="4">
        <v>45029</v>
      </c>
      <c r="M10" s="3" t="s">
        <v>85</v>
      </c>
    </row>
    <row r="11" spans="2:29" x14ac:dyDescent="0.2">
      <c r="K11" s="3" t="s">
        <v>5</v>
      </c>
      <c r="L11" s="4">
        <v>45033</v>
      </c>
      <c r="M11" s="3" t="s">
        <v>85</v>
      </c>
    </row>
    <row r="12" spans="2:29" x14ac:dyDescent="0.2">
      <c r="K12" s="3" t="s">
        <v>4</v>
      </c>
      <c r="L12" s="4">
        <v>45036</v>
      </c>
      <c r="M12" s="3" t="s">
        <v>85</v>
      </c>
    </row>
    <row r="13" spans="2:29" x14ac:dyDescent="0.2">
      <c r="K13" s="3" t="s">
        <v>6</v>
      </c>
      <c r="L13" s="4">
        <v>45040</v>
      </c>
      <c r="M13" s="3" t="s">
        <v>8</v>
      </c>
      <c r="W13" s="2" t="s">
        <v>77</v>
      </c>
      <c r="Y13" s="9">
        <f>SUM(Y15:Y19)</f>
        <v>107500</v>
      </c>
      <c r="Z13" s="9"/>
    </row>
    <row r="14" spans="2:29" x14ac:dyDescent="0.2">
      <c r="K14" s="3" t="s">
        <v>7</v>
      </c>
      <c r="L14" s="4">
        <v>45042</v>
      </c>
      <c r="M14" s="3" t="s">
        <v>8</v>
      </c>
      <c r="W14" s="2" t="s">
        <v>43</v>
      </c>
      <c r="X14" s="2" t="s">
        <v>12</v>
      </c>
      <c r="Y14" s="2" t="s">
        <v>51</v>
      </c>
      <c r="AA14" s="6" t="s">
        <v>44</v>
      </c>
      <c r="AB14" t="s">
        <v>70</v>
      </c>
      <c r="AC14" t="s">
        <v>69</v>
      </c>
    </row>
    <row r="15" spans="2:29" x14ac:dyDescent="0.2">
      <c r="W15" t="s">
        <v>56</v>
      </c>
      <c r="X15" t="s">
        <v>57</v>
      </c>
      <c r="Y15" s="32">
        <v>26000</v>
      </c>
      <c r="AA15" s="7" t="s">
        <v>32</v>
      </c>
      <c r="AB15" s="9">
        <v>52000</v>
      </c>
      <c r="AC15" s="8">
        <v>0.48372093023255813</v>
      </c>
    </row>
    <row r="16" spans="2:29" x14ac:dyDescent="0.2">
      <c r="W16" t="s">
        <v>28</v>
      </c>
      <c r="X16" t="s">
        <v>21</v>
      </c>
      <c r="Y16" s="32">
        <v>3500</v>
      </c>
      <c r="AA16" s="7" t="s">
        <v>61</v>
      </c>
      <c r="AB16" s="9">
        <v>26000</v>
      </c>
      <c r="AC16" s="8">
        <v>0.24186046511627907</v>
      </c>
    </row>
    <row r="17" spans="2:34" x14ac:dyDescent="0.2">
      <c r="W17" s="33" t="s">
        <v>31</v>
      </c>
      <c r="X17" s="33" t="s">
        <v>32</v>
      </c>
      <c r="Y17" s="34">
        <v>26000</v>
      </c>
      <c r="AA17" s="7" t="s">
        <v>57</v>
      </c>
      <c r="AB17" s="9">
        <v>26000</v>
      </c>
      <c r="AC17" s="8">
        <v>0.24186046511627907</v>
      </c>
    </row>
    <row r="18" spans="2:34" x14ac:dyDescent="0.2">
      <c r="W18" t="s">
        <v>37</v>
      </c>
      <c r="X18" t="s">
        <v>61</v>
      </c>
      <c r="Y18" s="32">
        <v>26000</v>
      </c>
      <c r="AA18" s="7" t="s">
        <v>21</v>
      </c>
      <c r="AB18" s="9">
        <v>3500</v>
      </c>
      <c r="AC18" s="8">
        <v>3.255813953488372E-2</v>
      </c>
    </row>
    <row r="19" spans="2:34" x14ac:dyDescent="0.2">
      <c r="F19" s="2" t="s">
        <v>92</v>
      </c>
      <c r="G19" s="2"/>
      <c r="H19" s="2"/>
      <c r="I19" s="2" t="s">
        <v>10</v>
      </c>
      <c r="W19" s="33" t="s">
        <v>41</v>
      </c>
      <c r="X19" s="33" t="s">
        <v>32</v>
      </c>
      <c r="Y19" s="34">
        <v>26000</v>
      </c>
      <c r="AA19" s="7" t="s">
        <v>45</v>
      </c>
      <c r="AB19" s="9">
        <v>107500</v>
      </c>
      <c r="AC19" s="8">
        <v>1</v>
      </c>
    </row>
    <row r="20" spans="2:34" x14ac:dyDescent="0.2">
      <c r="F20" t="s">
        <v>88</v>
      </c>
      <c r="G20" s="41">
        <v>80</v>
      </c>
      <c r="H20" t="s">
        <v>87</v>
      </c>
      <c r="I20" t="s">
        <v>91</v>
      </c>
      <c r="W20" t="s">
        <v>79</v>
      </c>
      <c r="X20" t="s">
        <v>79</v>
      </c>
      <c r="Y20" s="32">
        <v>105000</v>
      </c>
    </row>
    <row r="21" spans="2:34" x14ac:dyDescent="0.2">
      <c r="F21" t="s">
        <v>86</v>
      </c>
      <c r="G21" s="40">
        <v>10</v>
      </c>
      <c r="H21" t="s">
        <v>87</v>
      </c>
      <c r="I21" t="s">
        <v>90</v>
      </c>
      <c r="Y21" s="32">
        <f>SUM(Y15:Y20)</f>
        <v>212500</v>
      </c>
    </row>
    <row r="22" spans="2:34" x14ac:dyDescent="0.2">
      <c r="F22" t="s">
        <v>89</v>
      </c>
      <c r="G22" s="11">
        <v>10</v>
      </c>
      <c r="H22" t="s">
        <v>87</v>
      </c>
      <c r="I22" t="s">
        <v>91</v>
      </c>
      <c r="Y22" s="32"/>
    </row>
    <row r="24" spans="2:34" x14ac:dyDescent="0.2">
      <c r="W24" s="2" t="s">
        <v>78</v>
      </c>
      <c r="Y24" s="9">
        <f>SUM(Y26:Y33)</f>
        <v>176000</v>
      </c>
    </row>
    <row r="25" spans="2:34" x14ac:dyDescent="0.2">
      <c r="W25" s="2" t="s">
        <v>43</v>
      </c>
      <c r="X25" s="2" t="s">
        <v>12</v>
      </c>
      <c r="Y25" s="2" t="s">
        <v>51</v>
      </c>
      <c r="AA25" s="6" t="s">
        <v>44</v>
      </c>
      <c r="AB25" t="s">
        <v>70</v>
      </c>
      <c r="AC25" t="s">
        <v>69</v>
      </c>
    </row>
    <row r="26" spans="2:34" x14ac:dyDescent="0.2">
      <c r="W26" t="s">
        <v>56</v>
      </c>
      <c r="X26" t="s">
        <v>57</v>
      </c>
      <c r="Y26" s="32">
        <v>25000</v>
      </c>
      <c r="AA26" s="7" t="s">
        <v>42</v>
      </c>
      <c r="AB26" s="9">
        <v>75000</v>
      </c>
      <c r="AC26" s="8">
        <v>0.42613636363636365</v>
      </c>
    </row>
    <row r="27" spans="2:34" x14ac:dyDescent="0.2">
      <c r="W27" t="s">
        <v>28</v>
      </c>
      <c r="X27" t="s">
        <v>21</v>
      </c>
      <c r="Y27" s="32">
        <v>5000</v>
      </c>
      <c r="AA27" s="7" t="s">
        <v>32</v>
      </c>
      <c r="AB27" s="9">
        <v>50000</v>
      </c>
      <c r="AC27" s="8">
        <v>0.28409090909090912</v>
      </c>
    </row>
    <row r="28" spans="2:34" x14ac:dyDescent="0.2">
      <c r="W28" t="s">
        <v>31</v>
      </c>
      <c r="X28" t="s">
        <v>32</v>
      </c>
      <c r="Y28" s="32">
        <v>25000</v>
      </c>
      <c r="AA28" s="7" t="s">
        <v>57</v>
      </c>
      <c r="AB28" s="9">
        <v>25000</v>
      </c>
      <c r="AC28" s="8">
        <v>0.14204545454545456</v>
      </c>
      <c r="AG28" s="2" t="s">
        <v>72</v>
      </c>
      <c r="AH28" s="2" t="s">
        <v>73</v>
      </c>
    </row>
    <row r="29" spans="2:34" x14ac:dyDescent="0.2">
      <c r="W29" t="s">
        <v>37</v>
      </c>
      <c r="X29" t="s">
        <v>61</v>
      </c>
      <c r="Y29" s="32">
        <v>21000</v>
      </c>
      <c r="AA29" s="7" t="s">
        <v>61</v>
      </c>
      <c r="AB29" s="9">
        <v>21000</v>
      </c>
      <c r="AC29" s="8">
        <v>0.11931818181818182</v>
      </c>
      <c r="AG29" s="31" t="s">
        <v>38</v>
      </c>
      <c r="AH29" s="31">
        <v>35.22</v>
      </c>
    </row>
    <row r="30" spans="2:34" x14ac:dyDescent="0.2">
      <c r="F30" s="11"/>
      <c r="W30" t="s">
        <v>41</v>
      </c>
      <c r="X30" t="s">
        <v>32</v>
      </c>
      <c r="Y30" s="32">
        <v>25000</v>
      </c>
      <c r="AA30" s="7" t="s">
        <v>21</v>
      </c>
      <c r="AB30" s="9">
        <v>5000</v>
      </c>
      <c r="AC30" s="8">
        <v>2.8409090909090908E-2</v>
      </c>
      <c r="AG30" s="31" t="s">
        <v>32</v>
      </c>
      <c r="AH30" s="31">
        <v>21.74</v>
      </c>
    </row>
    <row r="31" spans="2:34" x14ac:dyDescent="0.2">
      <c r="B31" s="6" t="s">
        <v>44</v>
      </c>
      <c r="C31" t="s">
        <v>46</v>
      </c>
      <c r="D31" t="s">
        <v>47</v>
      </c>
      <c r="K31" s="2" t="s">
        <v>43</v>
      </c>
      <c r="L31" s="2" t="s">
        <v>12</v>
      </c>
      <c r="M31" s="2" t="s">
        <v>51</v>
      </c>
      <c r="N31" s="2" t="s">
        <v>14</v>
      </c>
      <c r="Q31" s="6" t="s">
        <v>44</v>
      </c>
      <c r="R31" t="s">
        <v>69</v>
      </c>
      <c r="S31" t="s">
        <v>70</v>
      </c>
      <c r="W31" t="s">
        <v>74</v>
      </c>
      <c r="X31" t="s">
        <v>42</v>
      </c>
      <c r="Y31" s="32">
        <v>25000</v>
      </c>
      <c r="AA31" s="7" t="s">
        <v>45</v>
      </c>
      <c r="AB31" s="9">
        <v>176000</v>
      </c>
      <c r="AC31" s="8">
        <v>1</v>
      </c>
      <c r="AD31" s="8"/>
      <c r="AE31" s="8"/>
      <c r="AF31" s="8"/>
      <c r="AG31" t="s">
        <v>58</v>
      </c>
      <c r="AH31">
        <f>10.87+4.35</f>
        <v>15.219999999999999</v>
      </c>
    </row>
    <row r="32" spans="2:34" x14ac:dyDescent="0.2">
      <c r="B32" s="21" t="s">
        <v>62</v>
      </c>
      <c r="C32" s="22">
        <v>29000</v>
      </c>
      <c r="D32" s="23">
        <v>0.30851063829787234</v>
      </c>
      <c r="F32" s="2"/>
      <c r="K32" t="s">
        <v>56</v>
      </c>
      <c r="L32" t="s">
        <v>57</v>
      </c>
      <c r="M32">
        <v>25000</v>
      </c>
      <c r="N32">
        <f>M32/2</f>
        <v>12500</v>
      </c>
      <c r="Q32" s="24" t="s">
        <v>25</v>
      </c>
      <c r="R32" s="25">
        <v>4000</v>
      </c>
      <c r="S32" s="26">
        <v>2.1276595744680851E-2</v>
      </c>
      <c r="W32" t="s">
        <v>75</v>
      </c>
      <c r="X32" t="s">
        <v>42</v>
      </c>
      <c r="Y32" s="32">
        <v>25000</v>
      </c>
      <c r="AD32" s="8"/>
      <c r="AE32" s="8"/>
      <c r="AF32" s="8"/>
      <c r="AG32" t="s">
        <v>57</v>
      </c>
      <c r="AH32">
        <f>10.87+2.17</f>
        <v>13.04</v>
      </c>
    </row>
    <row r="33" spans="2:34" x14ac:dyDescent="0.2">
      <c r="B33" s="10" t="s">
        <v>28</v>
      </c>
      <c r="C33" s="9">
        <v>1750</v>
      </c>
      <c r="D33" s="8">
        <v>1.8617021276595744E-2</v>
      </c>
      <c r="K33" t="s">
        <v>15</v>
      </c>
      <c r="L33" t="s">
        <v>58</v>
      </c>
      <c r="M33">
        <v>5000</v>
      </c>
      <c r="N33">
        <f t="shared" ref="N33:N50" si="0">M33/2</f>
        <v>2500</v>
      </c>
      <c r="Q33" s="10" t="s">
        <v>24</v>
      </c>
      <c r="R33" s="9">
        <v>4000</v>
      </c>
      <c r="S33" s="8">
        <v>2.1276595744680851E-2</v>
      </c>
      <c r="W33" t="s">
        <v>76</v>
      </c>
      <c r="X33" t="s">
        <v>42</v>
      </c>
      <c r="Y33" s="32">
        <v>25000</v>
      </c>
      <c r="AD33" s="8"/>
      <c r="AE33" s="8"/>
      <c r="AF33" s="8"/>
      <c r="AG33" t="s">
        <v>65</v>
      </c>
      <c r="AH33">
        <v>10.87</v>
      </c>
    </row>
    <row r="34" spans="2:34" x14ac:dyDescent="0.2">
      <c r="B34" s="10" t="s">
        <v>29</v>
      </c>
      <c r="C34" s="9">
        <v>1250</v>
      </c>
      <c r="D34" s="8">
        <v>1.3297872340425532E-2</v>
      </c>
      <c r="K34" t="s">
        <v>17</v>
      </c>
      <c r="L34" t="s">
        <v>59</v>
      </c>
      <c r="M34">
        <v>1000</v>
      </c>
      <c r="N34">
        <f t="shared" si="0"/>
        <v>500</v>
      </c>
      <c r="Q34" s="15" t="s">
        <v>63</v>
      </c>
      <c r="R34" s="16">
        <v>30000</v>
      </c>
      <c r="S34" s="17">
        <v>0.15957446808510639</v>
      </c>
      <c r="AD34" s="8"/>
      <c r="AE34" s="8"/>
      <c r="AF34" s="8"/>
      <c r="AG34" t="s">
        <v>71</v>
      </c>
      <c r="AH34">
        <v>2.17</v>
      </c>
    </row>
    <row r="35" spans="2:34" x14ac:dyDescent="0.2">
      <c r="B35" s="10" t="s">
        <v>37</v>
      </c>
      <c r="C35" s="9">
        <v>25500</v>
      </c>
      <c r="D35" s="8">
        <v>0.27127659574468083</v>
      </c>
      <c r="K35" t="s">
        <v>19</v>
      </c>
      <c r="L35" t="s">
        <v>58</v>
      </c>
      <c r="M35">
        <v>5000</v>
      </c>
      <c r="N35">
        <f t="shared" si="0"/>
        <v>2500</v>
      </c>
      <c r="Q35" s="10" t="s">
        <v>56</v>
      </c>
      <c r="R35" s="9">
        <v>25000</v>
      </c>
      <c r="S35" s="8">
        <v>0.13297872340425532</v>
      </c>
      <c r="AD35" s="8"/>
      <c r="AE35" s="8"/>
      <c r="AF35" s="8"/>
      <c r="AG35" t="s">
        <v>25</v>
      </c>
      <c r="AH35">
        <v>1.74</v>
      </c>
    </row>
    <row r="36" spans="2:34" x14ac:dyDescent="0.2">
      <c r="B36" s="10" t="s">
        <v>39</v>
      </c>
      <c r="C36" s="9">
        <v>500</v>
      </c>
      <c r="D36" s="8">
        <v>5.3191489361702126E-3</v>
      </c>
      <c r="K36" t="s">
        <v>20</v>
      </c>
      <c r="L36" t="s">
        <v>21</v>
      </c>
      <c r="M36">
        <v>5000</v>
      </c>
      <c r="N36">
        <f t="shared" si="0"/>
        <v>2500</v>
      </c>
      <c r="Q36" s="10" t="s">
        <v>26</v>
      </c>
      <c r="R36" s="9">
        <v>5000</v>
      </c>
      <c r="S36" s="8">
        <v>2.6595744680851064E-2</v>
      </c>
      <c r="W36" s="2" t="s">
        <v>43</v>
      </c>
      <c r="X36" s="2" t="s">
        <v>12</v>
      </c>
      <c r="Y36" s="2" t="s">
        <v>51</v>
      </c>
      <c r="Z36">
        <v>75000</v>
      </c>
      <c r="AB36" s="6" t="s">
        <v>44</v>
      </c>
      <c r="AC36" t="s">
        <v>69</v>
      </c>
      <c r="AE36" s="8"/>
      <c r="AF36" s="8"/>
    </row>
    <row r="37" spans="2:34" x14ac:dyDescent="0.2">
      <c r="B37" s="18" t="s">
        <v>32</v>
      </c>
      <c r="C37" s="19">
        <v>25000</v>
      </c>
      <c r="D37" s="20">
        <v>0.26595744680851063</v>
      </c>
      <c r="K37" t="s">
        <v>22</v>
      </c>
      <c r="L37" t="s">
        <v>60</v>
      </c>
      <c r="M37">
        <v>5000</v>
      </c>
      <c r="N37">
        <f t="shared" si="0"/>
        <v>2500</v>
      </c>
      <c r="Q37" s="21" t="s">
        <v>62</v>
      </c>
      <c r="R37" s="22">
        <v>58000</v>
      </c>
      <c r="S37" s="23">
        <v>0.30851063829787234</v>
      </c>
      <c r="W37" t="s">
        <v>19</v>
      </c>
      <c r="X37" t="s">
        <v>58</v>
      </c>
      <c r="Y37" s="11">
        <v>7000</v>
      </c>
      <c r="Z37" s="9">
        <f>Z36-(SUM(Y49:Y54))</f>
        <v>0</v>
      </c>
      <c r="AB37" s="7" t="s">
        <v>21</v>
      </c>
      <c r="AC37" s="8">
        <v>0.29411764705882354</v>
      </c>
    </row>
    <row r="38" spans="2:34" x14ac:dyDescent="0.2">
      <c r="B38" s="10" t="s">
        <v>31</v>
      </c>
      <c r="C38" s="9">
        <v>12500</v>
      </c>
      <c r="D38" s="8">
        <v>0.13297872340425532</v>
      </c>
      <c r="G38" s="2" t="s">
        <v>67</v>
      </c>
      <c r="H38" s="2" t="s">
        <v>68</v>
      </c>
      <c r="K38" t="s">
        <v>23</v>
      </c>
      <c r="L38" t="s">
        <v>58</v>
      </c>
      <c r="M38">
        <v>5000</v>
      </c>
      <c r="N38">
        <f t="shared" si="0"/>
        <v>2500</v>
      </c>
      <c r="Q38" s="10" t="s">
        <v>28</v>
      </c>
      <c r="R38" s="9">
        <v>3500</v>
      </c>
      <c r="S38" s="8">
        <v>1.8617021276595744E-2</v>
      </c>
      <c r="W38" t="s">
        <v>29</v>
      </c>
      <c r="X38" t="s">
        <v>48</v>
      </c>
      <c r="Y38" s="11">
        <v>5000</v>
      </c>
      <c r="AB38" s="7" t="s">
        <v>58</v>
      </c>
      <c r="AC38" s="8">
        <v>0.23529411764705882</v>
      </c>
    </row>
    <row r="39" spans="2:34" x14ac:dyDescent="0.2">
      <c r="B39" s="10" t="s">
        <v>41</v>
      </c>
      <c r="C39" s="9">
        <v>12500</v>
      </c>
      <c r="D39" s="8">
        <v>0.13297872340425532</v>
      </c>
      <c r="F39" s="2" t="s">
        <v>57</v>
      </c>
      <c r="G39" s="28">
        <f>SUM(G40:G42)</f>
        <v>0.2099</v>
      </c>
      <c r="H39" s="28">
        <f>G39+G43</f>
        <v>0.3</v>
      </c>
      <c r="K39" t="s">
        <v>24</v>
      </c>
      <c r="L39" t="s">
        <v>25</v>
      </c>
      <c r="M39">
        <v>4000</v>
      </c>
      <c r="N39">
        <f t="shared" si="0"/>
        <v>2000</v>
      </c>
      <c r="Q39" s="10" t="s">
        <v>29</v>
      </c>
      <c r="R39" s="9">
        <v>2500</v>
      </c>
      <c r="S39" s="8">
        <v>1.3297872340425532E-2</v>
      </c>
      <c r="W39" t="s">
        <v>24</v>
      </c>
      <c r="X39" t="s">
        <v>25</v>
      </c>
      <c r="Y39" s="11">
        <v>4000</v>
      </c>
      <c r="AB39" s="7" t="s">
        <v>61</v>
      </c>
      <c r="AC39" s="8">
        <v>0.22058823529411764</v>
      </c>
    </row>
    <row r="40" spans="2:34" x14ac:dyDescent="0.2">
      <c r="B40" s="15" t="s">
        <v>63</v>
      </c>
      <c r="C40" s="16">
        <v>15000</v>
      </c>
      <c r="D40" s="17">
        <v>0.15957446808510639</v>
      </c>
      <c r="F40" t="s">
        <v>57</v>
      </c>
      <c r="G40" s="8">
        <v>0.1575</v>
      </c>
      <c r="K40" t="s">
        <v>26</v>
      </c>
      <c r="L40" t="s">
        <v>27</v>
      </c>
      <c r="M40">
        <v>5000</v>
      </c>
      <c r="N40">
        <f t="shared" si="0"/>
        <v>2500</v>
      </c>
      <c r="Q40" s="10" t="s">
        <v>37</v>
      </c>
      <c r="R40" s="9">
        <v>51000</v>
      </c>
      <c r="S40" s="8">
        <v>0.27127659574468083</v>
      </c>
      <c r="W40" t="s">
        <v>15</v>
      </c>
      <c r="X40" t="s">
        <v>58</v>
      </c>
      <c r="Y40" s="11">
        <v>5000</v>
      </c>
      <c r="AB40" s="7" t="s">
        <v>48</v>
      </c>
      <c r="AC40" s="8">
        <v>0.14705882352941177</v>
      </c>
    </row>
    <row r="41" spans="2:34" x14ac:dyDescent="0.2">
      <c r="B41" s="10" t="s">
        <v>56</v>
      </c>
      <c r="C41" s="9">
        <v>12500</v>
      </c>
      <c r="D41" s="8">
        <v>0.13297872340425532</v>
      </c>
      <c r="F41" t="s">
        <v>33</v>
      </c>
      <c r="G41" s="8">
        <v>2.6200000000000001E-2</v>
      </c>
      <c r="K41" t="s">
        <v>28</v>
      </c>
      <c r="L41" t="s">
        <v>48</v>
      </c>
      <c r="M41">
        <v>3500</v>
      </c>
      <c r="N41">
        <f t="shared" si="0"/>
        <v>1750</v>
      </c>
      <c r="Q41" s="10" t="s">
        <v>39</v>
      </c>
      <c r="R41" s="9">
        <v>1000</v>
      </c>
      <c r="S41" s="8">
        <v>5.3191489361702126E-3</v>
      </c>
      <c r="W41" t="s">
        <v>20</v>
      </c>
      <c r="X41" t="s">
        <v>21</v>
      </c>
      <c r="Y41" s="11">
        <v>5000</v>
      </c>
      <c r="AB41" s="7" t="s">
        <v>27</v>
      </c>
      <c r="AC41" s="8">
        <v>3.6764705882352942E-2</v>
      </c>
    </row>
    <row r="42" spans="2:34" x14ac:dyDescent="0.2">
      <c r="B42" s="10" t="s">
        <v>26</v>
      </c>
      <c r="C42" s="9">
        <v>2500</v>
      </c>
      <c r="D42" s="8">
        <v>2.6595744680851064E-2</v>
      </c>
      <c r="F42" t="s">
        <v>65</v>
      </c>
      <c r="G42" s="8">
        <v>2.6200000000000001E-2</v>
      </c>
      <c r="K42" t="s">
        <v>29</v>
      </c>
      <c r="L42" t="s">
        <v>48</v>
      </c>
      <c r="M42">
        <v>2500</v>
      </c>
      <c r="N42">
        <f t="shared" si="0"/>
        <v>1250</v>
      </c>
      <c r="Q42" s="24" t="s">
        <v>59</v>
      </c>
      <c r="R42" s="25">
        <v>1000</v>
      </c>
      <c r="S42" s="26">
        <v>5.3191489361702126E-3</v>
      </c>
      <c r="W42" t="s">
        <v>22</v>
      </c>
      <c r="X42" t="s">
        <v>61</v>
      </c>
      <c r="Y42" s="11">
        <v>5000</v>
      </c>
      <c r="AB42" s="7" t="s">
        <v>33</v>
      </c>
      <c r="AC42" s="8">
        <v>3.6764705882352942E-2</v>
      </c>
    </row>
    <row r="43" spans="2:34" x14ac:dyDescent="0.2">
      <c r="B43" s="12" t="s">
        <v>58</v>
      </c>
      <c r="C43" s="13">
        <v>12500</v>
      </c>
      <c r="D43" s="14">
        <v>0.13297872340425532</v>
      </c>
      <c r="F43" s="29" t="s">
        <v>64</v>
      </c>
      <c r="G43" s="30">
        <f>0.3-G39</f>
        <v>9.0099999999999986E-2</v>
      </c>
      <c r="K43" t="s">
        <v>31</v>
      </c>
      <c r="L43" t="s">
        <v>32</v>
      </c>
      <c r="M43">
        <v>25000</v>
      </c>
      <c r="N43">
        <f t="shared" si="0"/>
        <v>12500</v>
      </c>
      <c r="Q43" s="10" t="s">
        <v>17</v>
      </c>
      <c r="R43" s="9">
        <v>1000</v>
      </c>
      <c r="S43" s="8">
        <v>5.3191489361702126E-3</v>
      </c>
      <c r="W43" t="s">
        <v>23</v>
      </c>
      <c r="X43" t="s">
        <v>58</v>
      </c>
      <c r="Y43" s="11">
        <v>5000</v>
      </c>
      <c r="AB43" s="7" t="s">
        <v>25</v>
      </c>
      <c r="AC43" s="8">
        <v>2.9411764705882353E-2</v>
      </c>
    </row>
    <row r="44" spans="2:34" x14ac:dyDescent="0.2">
      <c r="B44" s="10" t="s">
        <v>15</v>
      </c>
      <c r="C44" s="9">
        <v>2500</v>
      </c>
      <c r="D44" s="8">
        <v>2.6595744680851064E-2</v>
      </c>
      <c r="K44" t="s">
        <v>34</v>
      </c>
      <c r="L44" t="s">
        <v>33</v>
      </c>
      <c r="M44">
        <v>5000</v>
      </c>
      <c r="N44">
        <f t="shared" si="0"/>
        <v>2500</v>
      </c>
      <c r="Q44" s="18" t="s">
        <v>32</v>
      </c>
      <c r="R44" s="19">
        <v>50000</v>
      </c>
      <c r="S44" s="20">
        <v>0.26595744680851063</v>
      </c>
      <c r="W44" t="s">
        <v>26</v>
      </c>
      <c r="X44" t="s">
        <v>27</v>
      </c>
      <c r="Y44" s="11">
        <v>5000</v>
      </c>
      <c r="AB44" s="7" t="s">
        <v>45</v>
      </c>
      <c r="AC44" s="8">
        <v>1</v>
      </c>
    </row>
    <row r="45" spans="2:34" x14ac:dyDescent="0.2">
      <c r="B45" s="10" t="s">
        <v>19</v>
      </c>
      <c r="C45" s="9">
        <v>2500</v>
      </c>
      <c r="D45" s="8">
        <v>2.6595744680851064E-2</v>
      </c>
      <c r="K45" t="s">
        <v>35</v>
      </c>
      <c r="L45" t="s">
        <v>60</v>
      </c>
      <c r="M45">
        <v>5000</v>
      </c>
      <c r="N45">
        <f t="shared" si="0"/>
        <v>2500</v>
      </c>
      <c r="Q45" s="10" t="s">
        <v>31</v>
      </c>
      <c r="R45" s="9">
        <v>25000</v>
      </c>
      <c r="S45" s="8">
        <v>0.13297872340425532</v>
      </c>
      <c r="W45" t="s">
        <v>34</v>
      </c>
      <c r="X45" t="s">
        <v>33</v>
      </c>
      <c r="Y45" s="11">
        <v>5000</v>
      </c>
    </row>
    <row r="46" spans="2:34" x14ac:dyDescent="0.2">
      <c r="B46" s="10" t="s">
        <v>23</v>
      </c>
      <c r="C46" s="9">
        <v>2500</v>
      </c>
      <c r="D46" s="8">
        <v>2.6595744680851064E-2</v>
      </c>
      <c r="F46" s="2" t="s">
        <v>58</v>
      </c>
      <c r="G46" s="28">
        <v>0.1837</v>
      </c>
      <c r="H46" s="28">
        <f>G46+G47</f>
        <v>0.3</v>
      </c>
      <c r="K46" t="s">
        <v>36</v>
      </c>
      <c r="L46" t="s">
        <v>58</v>
      </c>
      <c r="M46">
        <v>5000</v>
      </c>
      <c r="N46">
        <f t="shared" si="0"/>
        <v>2500</v>
      </c>
      <c r="Q46" s="10" t="s">
        <v>41</v>
      </c>
      <c r="R46" s="9">
        <v>25000</v>
      </c>
      <c r="S46" s="8">
        <v>0.13297872340425532</v>
      </c>
      <c r="W46" t="s">
        <v>35</v>
      </c>
      <c r="X46" t="s">
        <v>60</v>
      </c>
      <c r="Y46" s="11">
        <v>5000</v>
      </c>
    </row>
    <row r="47" spans="2:34" x14ac:dyDescent="0.2">
      <c r="B47" s="10" t="s">
        <v>36</v>
      </c>
      <c r="C47" s="9">
        <v>2500</v>
      </c>
      <c r="D47" s="8">
        <v>2.6595744680851064E-2</v>
      </c>
      <c r="F47" s="29" t="s">
        <v>64</v>
      </c>
      <c r="G47" s="30">
        <f>0.3-G46</f>
        <v>0.11629999999999999</v>
      </c>
      <c r="K47" t="s">
        <v>37</v>
      </c>
      <c r="L47" t="s">
        <v>61</v>
      </c>
      <c r="M47">
        <v>51000</v>
      </c>
      <c r="N47">
        <f t="shared" si="0"/>
        <v>25500</v>
      </c>
      <c r="Q47" s="7" t="s">
        <v>21</v>
      </c>
      <c r="R47" s="9">
        <v>5000</v>
      </c>
      <c r="S47" s="8">
        <v>2.6595744680851064E-2</v>
      </c>
      <c r="W47" t="s">
        <v>36</v>
      </c>
      <c r="X47" t="s">
        <v>58</v>
      </c>
      <c r="Y47" s="11">
        <v>5000</v>
      </c>
    </row>
    <row r="48" spans="2:34" x14ac:dyDescent="0.2">
      <c r="B48" s="10" t="s">
        <v>40</v>
      </c>
      <c r="C48" s="9">
        <v>2500</v>
      </c>
      <c r="D48" s="8">
        <v>2.6595744680851064E-2</v>
      </c>
      <c r="G48" s="8"/>
      <c r="K48" t="s">
        <v>39</v>
      </c>
      <c r="L48" t="s">
        <v>48</v>
      </c>
      <c r="M48">
        <v>1000</v>
      </c>
      <c r="N48">
        <f t="shared" si="0"/>
        <v>500</v>
      </c>
      <c r="Q48" s="10" t="s">
        <v>20</v>
      </c>
      <c r="R48" s="9">
        <v>5000</v>
      </c>
      <c r="S48" s="8">
        <v>2.6595744680851064E-2</v>
      </c>
      <c r="W48" t="s">
        <v>40</v>
      </c>
      <c r="X48" t="s">
        <v>58</v>
      </c>
      <c r="Y48" s="11">
        <v>5000</v>
      </c>
    </row>
    <row r="49" spans="2:35" x14ac:dyDescent="0.2">
      <c r="B49" s="12" t="s">
        <v>60</v>
      </c>
      <c r="C49" s="13">
        <v>5000</v>
      </c>
      <c r="D49" s="14">
        <v>5.3191489361702128E-2</v>
      </c>
      <c r="K49" t="s">
        <v>40</v>
      </c>
      <c r="L49" t="s">
        <v>58</v>
      </c>
      <c r="M49">
        <v>5000</v>
      </c>
      <c r="N49">
        <f t="shared" si="0"/>
        <v>2500</v>
      </c>
      <c r="Q49" s="7" t="s">
        <v>33</v>
      </c>
      <c r="R49" s="9">
        <v>5000</v>
      </c>
      <c r="S49" s="8">
        <v>2.6595744680851064E-2</v>
      </c>
      <c r="W49" t="s">
        <v>37</v>
      </c>
      <c r="X49" t="s">
        <v>61</v>
      </c>
      <c r="Y49" s="32">
        <v>25000</v>
      </c>
    </row>
    <row r="50" spans="2:35" x14ac:dyDescent="0.2">
      <c r="B50" s="10" t="s">
        <v>22</v>
      </c>
      <c r="C50" s="9">
        <v>2500</v>
      </c>
      <c r="D50" s="8">
        <v>2.6595744680851064E-2</v>
      </c>
      <c r="F50" s="2" t="s">
        <v>66</v>
      </c>
      <c r="G50" s="28">
        <v>0.26250000000000001</v>
      </c>
      <c r="H50" s="8">
        <f>G50+G51</f>
        <v>0</v>
      </c>
      <c r="K50" t="s">
        <v>41</v>
      </c>
      <c r="L50" t="s">
        <v>32</v>
      </c>
      <c r="M50">
        <v>25000</v>
      </c>
      <c r="N50">
        <f t="shared" si="0"/>
        <v>12500</v>
      </c>
      <c r="Q50" s="10" t="s">
        <v>34</v>
      </c>
      <c r="R50" s="9">
        <v>5000</v>
      </c>
      <c r="S50" s="8">
        <v>2.6595744680851064E-2</v>
      </c>
      <c r="W50" s="35" t="s">
        <v>80</v>
      </c>
      <c r="X50" s="35" t="s">
        <v>21</v>
      </c>
      <c r="Y50" s="36">
        <v>15000</v>
      </c>
    </row>
    <row r="51" spans="2:35" x14ac:dyDescent="0.2">
      <c r="B51" s="10" t="s">
        <v>35</v>
      </c>
      <c r="C51" s="9">
        <v>2500</v>
      </c>
      <c r="D51" s="8">
        <v>2.6595744680851064E-2</v>
      </c>
      <c r="F51" s="27" t="s">
        <v>64</v>
      </c>
      <c r="G51" s="26">
        <f>-G50</f>
        <v>-0.26250000000000001</v>
      </c>
      <c r="Q51" s="12" t="s">
        <v>58</v>
      </c>
      <c r="R51" s="13">
        <v>25000</v>
      </c>
      <c r="S51" s="14">
        <v>0.13297872340425532</v>
      </c>
      <c r="W51" s="35" t="s">
        <v>81</v>
      </c>
      <c r="X51" s="35" t="s">
        <v>21</v>
      </c>
      <c r="Y51" s="36">
        <v>20000</v>
      </c>
    </row>
    <row r="52" spans="2:35" x14ac:dyDescent="0.2">
      <c r="B52" s="7" t="s">
        <v>33</v>
      </c>
      <c r="C52" s="9">
        <v>2500</v>
      </c>
      <c r="D52" s="8">
        <v>2.6595744680851064E-2</v>
      </c>
      <c r="Q52" s="10" t="s">
        <v>15</v>
      </c>
      <c r="R52" s="9">
        <v>5000</v>
      </c>
      <c r="S52" s="8">
        <v>2.6595744680851064E-2</v>
      </c>
      <c r="W52" s="35" t="s">
        <v>29</v>
      </c>
      <c r="X52" s="35" t="s">
        <v>48</v>
      </c>
      <c r="Y52" s="36">
        <v>15000</v>
      </c>
    </row>
    <row r="53" spans="2:35" x14ac:dyDescent="0.2">
      <c r="B53" s="10" t="s">
        <v>34</v>
      </c>
      <c r="C53" s="9">
        <v>2500</v>
      </c>
      <c r="D53" s="8">
        <v>2.6595744680851064E-2</v>
      </c>
      <c r="M53">
        <f>SUM(M32:M51)</f>
        <v>188000</v>
      </c>
      <c r="N53">
        <f>SUM(N32:N51)</f>
        <v>94000</v>
      </c>
      <c r="Q53" s="10" t="s">
        <v>19</v>
      </c>
      <c r="R53" s="9">
        <v>5000</v>
      </c>
      <c r="S53" s="8">
        <v>2.6595744680851064E-2</v>
      </c>
    </row>
    <row r="54" spans="2:35" x14ac:dyDescent="0.2">
      <c r="B54" s="7" t="s">
        <v>21</v>
      </c>
      <c r="C54" s="9">
        <v>2500</v>
      </c>
      <c r="D54" s="8">
        <v>2.6595744680851064E-2</v>
      </c>
      <c r="F54" s="2" t="s">
        <v>50</v>
      </c>
      <c r="G54" s="28">
        <v>0.31759999999999999</v>
      </c>
      <c r="H54" s="28">
        <f>G54+G55</f>
        <v>0.4</v>
      </c>
      <c r="Q54" s="10" t="s">
        <v>23</v>
      </c>
      <c r="R54" s="9">
        <v>5000</v>
      </c>
      <c r="S54" s="8">
        <v>2.6595744680851064E-2</v>
      </c>
    </row>
    <row r="55" spans="2:35" x14ac:dyDescent="0.2">
      <c r="B55" s="10" t="s">
        <v>20</v>
      </c>
      <c r="C55" s="9">
        <v>2500</v>
      </c>
      <c r="D55" s="8">
        <v>2.6595744680851064E-2</v>
      </c>
      <c r="F55" s="27" t="s">
        <v>64</v>
      </c>
      <c r="G55" s="26">
        <f>0.4-G54</f>
        <v>8.2400000000000029E-2</v>
      </c>
      <c r="I55" s="28"/>
      <c r="Q55" s="10" t="s">
        <v>36</v>
      </c>
      <c r="R55" s="9">
        <v>5000</v>
      </c>
      <c r="S55" s="8">
        <v>2.6595744680851064E-2</v>
      </c>
      <c r="Y55" s="9">
        <f>SUM(Y37:Y54)</f>
        <v>136000</v>
      </c>
    </row>
    <row r="56" spans="2:35" x14ac:dyDescent="0.2">
      <c r="B56" s="24" t="s">
        <v>25</v>
      </c>
      <c r="C56" s="25">
        <v>2000</v>
      </c>
      <c r="D56" s="26">
        <v>2.1276595744680851E-2</v>
      </c>
      <c r="K56" s="2" t="s">
        <v>43</v>
      </c>
      <c r="L56" s="2" t="s">
        <v>12</v>
      </c>
      <c r="M56" s="2" t="s">
        <v>14</v>
      </c>
      <c r="Q56" s="10" t="s">
        <v>40</v>
      </c>
      <c r="R56" s="9">
        <v>5000</v>
      </c>
      <c r="S56" s="8">
        <v>2.6595744680851064E-2</v>
      </c>
    </row>
    <row r="57" spans="2:35" x14ac:dyDescent="0.2">
      <c r="B57" s="10" t="s">
        <v>24</v>
      </c>
      <c r="C57" s="9">
        <v>2000</v>
      </c>
      <c r="D57" s="8">
        <v>2.1276595744680851E-2</v>
      </c>
      <c r="K57" t="s">
        <v>11</v>
      </c>
      <c r="L57" t="s">
        <v>13</v>
      </c>
      <c r="M57">
        <v>25000</v>
      </c>
      <c r="Q57" s="12" t="s">
        <v>60</v>
      </c>
      <c r="R57" s="13">
        <v>10000</v>
      </c>
      <c r="S57" s="14">
        <v>5.3191489361702128E-2</v>
      </c>
      <c r="W57" s="38" t="s">
        <v>83</v>
      </c>
    </row>
    <row r="58" spans="2:35" x14ac:dyDescent="0.2">
      <c r="B58" s="24" t="s">
        <v>59</v>
      </c>
      <c r="C58" s="25">
        <v>500</v>
      </c>
      <c r="D58" s="26">
        <v>5.3191489361702126E-3</v>
      </c>
      <c r="K58" t="s">
        <v>17</v>
      </c>
      <c r="L58" t="s">
        <v>18</v>
      </c>
      <c r="M58">
        <v>1000</v>
      </c>
      <c r="Q58" s="10" t="s">
        <v>22</v>
      </c>
      <c r="R58" s="9">
        <v>5000</v>
      </c>
      <c r="S58" s="8">
        <v>2.6595744680851064E-2</v>
      </c>
    </row>
    <row r="59" spans="2:35" x14ac:dyDescent="0.2">
      <c r="B59" s="10" t="s">
        <v>17</v>
      </c>
      <c r="C59" s="9">
        <v>500</v>
      </c>
      <c r="D59" s="8">
        <v>5.3191489361702126E-3</v>
      </c>
      <c r="K59" t="s">
        <v>19</v>
      </c>
      <c r="L59" t="s">
        <v>16</v>
      </c>
      <c r="M59">
        <v>7000</v>
      </c>
      <c r="Q59" s="10" t="s">
        <v>35</v>
      </c>
      <c r="R59" s="9">
        <v>5000</v>
      </c>
      <c r="S59" s="8">
        <v>2.6595744680851064E-2</v>
      </c>
      <c r="W59" s="2" t="s">
        <v>43</v>
      </c>
      <c r="X59" s="2" t="s">
        <v>12</v>
      </c>
      <c r="Y59" s="2" t="s">
        <v>51</v>
      </c>
      <c r="Z59" s="2" t="s">
        <v>96</v>
      </c>
    </row>
    <row r="60" spans="2:35" x14ac:dyDescent="0.2">
      <c r="B60" s="7" t="s">
        <v>45</v>
      </c>
      <c r="C60" s="9">
        <v>94000</v>
      </c>
      <c r="D60" s="8">
        <v>1</v>
      </c>
      <c r="K60" t="s">
        <v>24</v>
      </c>
      <c r="L60" t="s">
        <v>25</v>
      </c>
      <c r="M60">
        <v>4000</v>
      </c>
      <c r="Q60" s="7" t="s">
        <v>45</v>
      </c>
      <c r="R60" s="9">
        <v>188000</v>
      </c>
      <c r="S60" s="8">
        <v>1</v>
      </c>
      <c r="W60" t="s">
        <v>19</v>
      </c>
      <c r="X60" t="s">
        <v>58</v>
      </c>
      <c r="Y60" s="32">
        <v>7000</v>
      </c>
      <c r="Z60" t="s">
        <v>93</v>
      </c>
      <c r="AB60" s="6" t="s">
        <v>44</v>
      </c>
      <c r="AC60" t="s">
        <v>69</v>
      </c>
      <c r="AD60" t="s">
        <v>70</v>
      </c>
      <c r="AF60" s="2" t="s">
        <v>98</v>
      </c>
      <c r="AG60" s="2" t="s">
        <v>69</v>
      </c>
      <c r="AH60" s="2" t="s">
        <v>99</v>
      </c>
      <c r="AI60" t="s">
        <v>100</v>
      </c>
    </row>
    <row r="61" spans="2:35" x14ac:dyDescent="0.2">
      <c r="K61" t="s">
        <v>28</v>
      </c>
      <c r="L61" t="s">
        <v>30</v>
      </c>
      <c r="M61">
        <v>4000</v>
      </c>
      <c r="W61" t="s">
        <v>29</v>
      </c>
      <c r="X61" t="s">
        <v>48</v>
      </c>
      <c r="Y61" s="32">
        <v>5000</v>
      </c>
      <c r="Z61" t="s">
        <v>93</v>
      </c>
      <c r="AB61" s="7" t="s">
        <v>25</v>
      </c>
      <c r="AC61" s="8">
        <v>1.6949152542372881E-2</v>
      </c>
      <c r="AD61" s="9">
        <v>4000</v>
      </c>
      <c r="AF61" s="33" t="s">
        <v>61</v>
      </c>
      <c r="AG61" s="44">
        <v>0.35</v>
      </c>
      <c r="AH61" s="45">
        <v>0.33629999999999999</v>
      </c>
      <c r="AI61" s="45">
        <v>0.32200000000000001</v>
      </c>
    </row>
    <row r="62" spans="2:35" x14ac:dyDescent="0.2">
      <c r="K62" t="s">
        <v>29</v>
      </c>
      <c r="L62" t="s">
        <v>30</v>
      </c>
      <c r="M62">
        <v>4500</v>
      </c>
      <c r="W62" t="s">
        <v>24</v>
      </c>
      <c r="X62" t="s">
        <v>25</v>
      </c>
      <c r="Y62" s="32">
        <v>4000</v>
      </c>
      <c r="Z62" t="s">
        <v>93</v>
      </c>
      <c r="AB62" s="10" t="s">
        <v>24</v>
      </c>
      <c r="AC62" s="8">
        <v>1.6949152542372881E-2</v>
      </c>
      <c r="AD62" s="9">
        <v>4000</v>
      </c>
      <c r="AF62" s="46" t="s">
        <v>32</v>
      </c>
      <c r="AG62" s="47">
        <v>0.24</v>
      </c>
      <c r="AH62" s="47">
        <v>0.23</v>
      </c>
      <c r="AI62" s="23">
        <v>0.22020000000000001</v>
      </c>
    </row>
    <row r="63" spans="2:35" x14ac:dyDescent="0.2">
      <c r="K63" t="s">
        <v>31</v>
      </c>
      <c r="L63" t="s">
        <v>32</v>
      </c>
      <c r="M63">
        <v>25000</v>
      </c>
      <c r="W63" t="s">
        <v>15</v>
      </c>
      <c r="X63" t="s">
        <v>58</v>
      </c>
      <c r="Y63" s="32">
        <v>5000</v>
      </c>
      <c r="Z63" t="s">
        <v>94</v>
      </c>
      <c r="AB63" s="7" t="s">
        <v>61</v>
      </c>
      <c r="AC63" s="8">
        <v>0.32203389830508472</v>
      </c>
      <c r="AD63" s="9">
        <v>76000</v>
      </c>
      <c r="AF63" s="48" t="s">
        <v>58</v>
      </c>
      <c r="AG63" s="49">
        <v>0.15</v>
      </c>
      <c r="AH63" s="50">
        <v>0.1416</v>
      </c>
      <c r="AI63" s="50">
        <v>0.1356</v>
      </c>
    </row>
    <row r="64" spans="2:35" x14ac:dyDescent="0.2">
      <c r="K64" t="s">
        <v>37</v>
      </c>
      <c r="L64" t="s">
        <v>38</v>
      </c>
      <c r="M64">
        <v>26000</v>
      </c>
      <c r="W64" t="s">
        <v>20</v>
      </c>
      <c r="X64" t="s">
        <v>21</v>
      </c>
      <c r="Y64" s="32">
        <v>5000</v>
      </c>
      <c r="Z64" t="s">
        <v>94</v>
      </c>
      <c r="AB64" s="10" t="s">
        <v>22</v>
      </c>
      <c r="AC64" s="8">
        <v>2.1186440677966101E-2</v>
      </c>
      <c r="AD64" s="9">
        <v>5000</v>
      </c>
      <c r="AF64" s="43" t="s">
        <v>57</v>
      </c>
      <c r="AG64" s="51">
        <v>0.14000000000000001</v>
      </c>
      <c r="AH64" s="17">
        <v>0.13719999999999999</v>
      </c>
      <c r="AI64" s="17">
        <v>0.13139999999999999</v>
      </c>
    </row>
    <row r="65" spans="2:35" x14ac:dyDescent="0.2">
      <c r="K65" t="s">
        <v>39</v>
      </c>
      <c r="L65" t="s">
        <v>30</v>
      </c>
      <c r="M65">
        <v>1000</v>
      </c>
      <c r="W65" t="s">
        <v>22</v>
      </c>
      <c r="X65" t="s">
        <v>61</v>
      </c>
      <c r="Y65" s="32">
        <v>5000</v>
      </c>
      <c r="Z65" t="s">
        <v>94</v>
      </c>
      <c r="AB65" s="10" t="s">
        <v>29</v>
      </c>
      <c r="AC65" s="8">
        <v>2.1186440677966101E-2</v>
      </c>
      <c r="AD65" s="9">
        <v>5000</v>
      </c>
      <c r="AF65" s="43" t="s">
        <v>97</v>
      </c>
      <c r="AG65" s="51">
        <v>5.4699999999999999E-2</v>
      </c>
      <c r="AH65" s="17">
        <v>4.87E-2</v>
      </c>
      <c r="AI65" s="17">
        <v>4.6600000000000003E-2</v>
      </c>
    </row>
    <row r="66" spans="2:35" x14ac:dyDescent="0.2">
      <c r="K66" t="s">
        <v>41</v>
      </c>
      <c r="L66" t="s">
        <v>32</v>
      </c>
      <c r="M66">
        <v>25000</v>
      </c>
      <c r="W66" t="s">
        <v>23</v>
      </c>
      <c r="X66" t="s">
        <v>58</v>
      </c>
      <c r="Y66" s="32">
        <v>5000</v>
      </c>
      <c r="Z66" t="s">
        <v>94</v>
      </c>
      <c r="AB66" s="10" t="s">
        <v>37</v>
      </c>
      <c r="AC66" s="8">
        <v>0.21610169491525424</v>
      </c>
      <c r="AD66" s="9">
        <v>51000</v>
      </c>
      <c r="AF66" s="53" t="s">
        <v>33</v>
      </c>
      <c r="AG66" s="54">
        <v>0.05</v>
      </c>
      <c r="AH66" s="52">
        <v>8.8499999999999995E-2</v>
      </c>
      <c r="AI66" s="52">
        <v>0.12709999999999999</v>
      </c>
    </row>
    <row r="67" spans="2:35" x14ac:dyDescent="0.2">
      <c r="K67" t="s">
        <v>49</v>
      </c>
      <c r="L67" t="s">
        <v>42</v>
      </c>
      <c r="M67">
        <v>75000</v>
      </c>
      <c r="W67" t="s">
        <v>26</v>
      </c>
      <c r="X67" t="s">
        <v>57</v>
      </c>
      <c r="Y67" s="32">
        <v>5000</v>
      </c>
      <c r="Z67" t="s">
        <v>94</v>
      </c>
      <c r="AB67" s="10" t="s">
        <v>95</v>
      </c>
      <c r="AC67" s="8">
        <v>6.3559322033898302E-2</v>
      </c>
      <c r="AD67" s="9">
        <v>15000</v>
      </c>
      <c r="AF67" s="55" t="s">
        <v>25</v>
      </c>
      <c r="AG67" s="56">
        <v>1.6666666666666666E-2</v>
      </c>
      <c r="AH67" s="57">
        <v>1.7000000000000001E-2</v>
      </c>
      <c r="AI67" s="57">
        <v>1.7000000000000001E-2</v>
      </c>
    </row>
    <row r="68" spans="2:35" x14ac:dyDescent="0.2">
      <c r="W68" s="58" t="s">
        <v>34</v>
      </c>
      <c r="X68" s="58" t="s">
        <v>33</v>
      </c>
      <c r="Y68" s="59">
        <v>30000</v>
      </c>
      <c r="Z68" s="58" t="s">
        <v>93</v>
      </c>
      <c r="AB68" s="7" t="s">
        <v>32</v>
      </c>
      <c r="AC68" s="8">
        <v>0.22033898305084745</v>
      </c>
      <c r="AD68" s="9">
        <v>52000</v>
      </c>
      <c r="AF68" t="s">
        <v>45</v>
      </c>
      <c r="AG68" s="37">
        <f>SUM(AG61:AG67)</f>
        <v>1.0013666666666667</v>
      </c>
      <c r="AH68" s="37">
        <f>SUM(AH61:AH67)</f>
        <v>0.99929999999999997</v>
      </c>
      <c r="AI68" s="37">
        <f>SUM(AI61:AI67)</f>
        <v>0.9998999999999999</v>
      </c>
    </row>
    <row r="69" spans="2:35" x14ac:dyDescent="0.2">
      <c r="W69" t="s">
        <v>35</v>
      </c>
      <c r="X69" t="s">
        <v>60</v>
      </c>
      <c r="Y69" s="32">
        <v>5000</v>
      </c>
      <c r="Z69" t="s">
        <v>94</v>
      </c>
      <c r="AB69" s="10" t="s">
        <v>31</v>
      </c>
      <c r="AC69" s="8">
        <v>0.11016949152542373</v>
      </c>
      <c r="AD69" s="9">
        <v>26000</v>
      </c>
    </row>
    <row r="70" spans="2:35" x14ac:dyDescent="0.2">
      <c r="K70" s="2" t="s">
        <v>43</v>
      </c>
      <c r="L70" s="2" t="s">
        <v>12</v>
      </c>
      <c r="M70" s="2" t="s">
        <v>51</v>
      </c>
      <c r="N70" s="2" t="s">
        <v>14</v>
      </c>
      <c r="W70" t="s">
        <v>36</v>
      </c>
      <c r="X70" t="s">
        <v>58</v>
      </c>
      <c r="Y70" s="32">
        <v>5000</v>
      </c>
      <c r="Z70" t="s">
        <v>94</v>
      </c>
      <c r="AB70" s="10" t="s">
        <v>41</v>
      </c>
      <c r="AC70" s="8">
        <v>0.11016949152542373</v>
      </c>
      <c r="AD70" s="9">
        <v>26000</v>
      </c>
    </row>
    <row r="71" spans="2:35" x14ac:dyDescent="0.2">
      <c r="K71" t="s">
        <v>11</v>
      </c>
      <c r="L71" t="s">
        <v>13</v>
      </c>
      <c r="M71">
        <v>25000</v>
      </c>
      <c r="N71">
        <f>M71/2</f>
        <v>12500</v>
      </c>
      <c r="W71" t="s">
        <v>40</v>
      </c>
      <c r="X71" t="s">
        <v>58</v>
      </c>
      <c r="Y71" s="32">
        <v>5000</v>
      </c>
      <c r="Z71" t="s">
        <v>94</v>
      </c>
      <c r="AB71" s="7" t="s">
        <v>82</v>
      </c>
      <c r="AC71" s="8">
        <v>4.6610169491525424E-2</v>
      </c>
      <c r="AD71" s="9">
        <v>11000</v>
      </c>
    </row>
    <row r="72" spans="2:35" x14ac:dyDescent="0.2">
      <c r="K72" t="s">
        <v>17</v>
      </c>
      <c r="L72" t="s">
        <v>18</v>
      </c>
      <c r="M72">
        <v>1000</v>
      </c>
      <c r="N72">
        <f t="shared" ref="N72:N80" si="1">M72/2</f>
        <v>500</v>
      </c>
      <c r="W72" t="s">
        <v>37</v>
      </c>
      <c r="X72" t="s">
        <v>61</v>
      </c>
      <c r="Y72" s="32">
        <v>25000</v>
      </c>
      <c r="Z72" t="s">
        <v>93</v>
      </c>
      <c r="AB72" s="10" t="s">
        <v>20</v>
      </c>
      <c r="AC72" s="8">
        <v>2.1186440677966101E-2</v>
      </c>
      <c r="AD72" s="9">
        <v>5000</v>
      </c>
    </row>
    <row r="73" spans="2:35" x14ac:dyDescent="0.2">
      <c r="K73" t="s">
        <v>19</v>
      </c>
      <c r="L73" t="s">
        <v>16</v>
      </c>
      <c r="M73">
        <v>7000</v>
      </c>
      <c r="N73">
        <f t="shared" si="1"/>
        <v>3500</v>
      </c>
      <c r="W73" s="58" t="s">
        <v>28</v>
      </c>
      <c r="X73" s="58" t="s">
        <v>21</v>
      </c>
      <c r="Y73" s="59">
        <v>2500</v>
      </c>
      <c r="Z73" s="58" t="s">
        <v>93</v>
      </c>
      <c r="AB73" s="10" t="s">
        <v>28</v>
      </c>
      <c r="AC73" s="8">
        <v>2.5423728813559324E-2</v>
      </c>
      <c r="AD73" s="9">
        <v>6000</v>
      </c>
    </row>
    <row r="74" spans="2:35" x14ac:dyDescent="0.2">
      <c r="K74" t="s">
        <v>24</v>
      </c>
      <c r="L74" t="s">
        <v>25</v>
      </c>
      <c r="M74">
        <v>4000</v>
      </c>
      <c r="N74">
        <f t="shared" si="1"/>
        <v>2000</v>
      </c>
      <c r="W74" s="58" t="s">
        <v>95</v>
      </c>
      <c r="X74" s="58" t="s">
        <v>61</v>
      </c>
      <c r="Y74" s="59">
        <v>15000</v>
      </c>
      <c r="Z74" s="58" t="s">
        <v>93</v>
      </c>
      <c r="AB74" s="7" t="s">
        <v>57</v>
      </c>
      <c r="AC74" s="8">
        <v>0.13135593220338984</v>
      </c>
      <c r="AD74" s="9">
        <v>31000</v>
      </c>
    </row>
    <row r="75" spans="2:35" x14ac:dyDescent="0.2">
      <c r="K75" t="s">
        <v>28</v>
      </c>
      <c r="L75" t="s">
        <v>30</v>
      </c>
      <c r="M75">
        <v>4000</v>
      </c>
      <c r="N75">
        <f t="shared" si="1"/>
        <v>2000</v>
      </c>
      <c r="W75" t="s">
        <v>56</v>
      </c>
      <c r="X75" t="s">
        <v>57</v>
      </c>
      <c r="Y75" s="32">
        <v>26000</v>
      </c>
      <c r="Z75" t="s">
        <v>93</v>
      </c>
      <c r="AB75" s="10" t="s">
        <v>56</v>
      </c>
      <c r="AC75" s="8">
        <v>0.11016949152542373</v>
      </c>
      <c r="AD75" s="9">
        <v>26000</v>
      </c>
    </row>
    <row r="76" spans="2:35" x14ac:dyDescent="0.2">
      <c r="K76" t="s">
        <v>29</v>
      </c>
      <c r="L76" t="s">
        <v>30</v>
      </c>
      <c r="M76">
        <v>4500</v>
      </c>
      <c r="N76">
        <f t="shared" si="1"/>
        <v>2250</v>
      </c>
      <c r="W76" t="s">
        <v>28</v>
      </c>
      <c r="X76" t="s">
        <v>21</v>
      </c>
      <c r="Y76" s="32">
        <v>3500</v>
      </c>
      <c r="Z76" t="s">
        <v>93</v>
      </c>
      <c r="AB76" s="10" t="s">
        <v>26</v>
      </c>
      <c r="AC76" s="8">
        <v>2.1186440677966101E-2</v>
      </c>
      <c r="AD76" s="9">
        <v>5000</v>
      </c>
    </row>
    <row r="77" spans="2:35" x14ac:dyDescent="0.2">
      <c r="K77" t="s">
        <v>31</v>
      </c>
      <c r="L77" t="s">
        <v>32</v>
      </c>
      <c r="M77">
        <v>25000</v>
      </c>
      <c r="N77">
        <f t="shared" si="1"/>
        <v>12500</v>
      </c>
      <c r="W77" t="s">
        <v>31</v>
      </c>
      <c r="X77" t="s">
        <v>32</v>
      </c>
      <c r="Y77" s="32">
        <v>26000</v>
      </c>
      <c r="Z77" t="s">
        <v>93</v>
      </c>
      <c r="AB77" s="7" t="s">
        <v>33</v>
      </c>
      <c r="AC77" s="8">
        <v>0.1271186440677966</v>
      </c>
      <c r="AD77" s="9">
        <v>30000</v>
      </c>
    </row>
    <row r="78" spans="2:35" x14ac:dyDescent="0.2">
      <c r="B78" s="6" t="s">
        <v>55</v>
      </c>
      <c r="C78" t="s">
        <v>46</v>
      </c>
      <c r="D78" t="s">
        <v>47</v>
      </c>
      <c r="K78" t="s">
        <v>37</v>
      </c>
      <c r="L78" t="s">
        <v>38</v>
      </c>
      <c r="M78">
        <v>26000</v>
      </c>
      <c r="N78">
        <f t="shared" si="1"/>
        <v>13000</v>
      </c>
      <c r="W78" t="s">
        <v>37</v>
      </c>
      <c r="X78" t="s">
        <v>61</v>
      </c>
      <c r="Y78" s="32">
        <v>26000</v>
      </c>
      <c r="Z78" t="s">
        <v>93</v>
      </c>
      <c r="AB78" s="10" t="s">
        <v>34</v>
      </c>
      <c r="AC78" s="8">
        <v>0.1271186440677966</v>
      </c>
      <c r="AD78" s="9">
        <v>30000</v>
      </c>
    </row>
    <row r="79" spans="2:35" x14ac:dyDescent="0.2">
      <c r="B79" s="7" t="s">
        <v>42</v>
      </c>
      <c r="C79" s="9">
        <v>30000</v>
      </c>
      <c r="D79" s="8">
        <v>0.32876712328767121</v>
      </c>
      <c r="E79" s="8"/>
      <c r="K79" t="s">
        <v>39</v>
      </c>
      <c r="L79" t="s">
        <v>30</v>
      </c>
      <c r="M79">
        <v>1000</v>
      </c>
      <c r="N79">
        <f t="shared" si="1"/>
        <v>500</v>
      </c>
      <c r="W79" t="s">
        <v>41</v>
      </c>
      <c r="X79" t="s">
        <v>32</v>
      </c>
      <c r="Y79" s="32">
        <v>26000</v>
      </c>
      <c r="Z79" t="s">
        <v>93</v>
      </c>
      <c r="AB79" s="7" t="s">
        <v>58</v>
      </c>
      <c r="AC79" s="8">
        <v>0.13559322033898305</v>
      </c>
      <c r="AD79" s="9">
        <v>32000</v>
      </c>
    </row>
    <row r="80" spans="2:35" x14ac:dyDescent="0.2">
      <c r="B80" s="7" t="s">
        <v>32</v>
      </c>
      <c r="C80" s="9">
        <v>25000</v>
      </c>
      <c r="D80" s="8">
        <v>0.27397260273972601</v>
      </c>
      <c r="E80" s="8"/>
      <c r="K80" t="s">
        <v>41</v>
      </c>
      <c r="L80" t="s">
        <v>32</v>
      </c>
      <c r="M80">
        <v>25000</v>
      </c>
      <c r="N80">
        <f t="shared" si="1"/>
        <v>12500</v>
      </c>
      <c r="Y80" s="32"/>
      <c r="AB80" s="10" t="s">
        <v>15</v>
      </c>
      <c r="AC80" s="8">
        <v>2.1186440677966101E-2</v>
      </c>
      <c r="AD80" s="9">
        <v>5000</v>
      </c>
    </row>
    <row r="81" spans="2:30" x14ac:dyDescent="0.2">
      <c r="B81" s="7" t="s">
        <v>50</v>
      </c>
      <c r="C81" s="9">
        <v>17750</v>
      </c>
      <c r="D81" s="8">
        <v>0.19452054794520549</v>
      </c>
      <c r="E81" s="8"/>
      <c r="K81" t="s">
        <v>52</v>
      </c>
      <c r="L81" t="s">
        <v>42</v>
      </c>
      <c r="M81">
        <v>25000</v>
      </c>
      <c r="N81">
        <v>10000</v>
      </c>
      <c r="AB81" s="10" t="s">
        <v>19</v>
      </c>
      <c r="AC81" s="8">
        <v>2.9661016949152543E-2</v>
      </c>
      <c r="AD81" s="9">
        <v>7000</v>
      </c>
    </row>
    <row r="82" spans="2:30" x14ac:dyDescent="0.2">
      <c r="B82" s="7" t="s">
        <v>13</v>
      </c>
      <c r="C82" s="9">
        <v>12500</v>
      </c>
      <c r="D82" s="8">
        <v>0.13698630136986301</v>
      </c>
      <c r="E82" s="8"/>
      <c r="K82" t="s">
        <v>53</v>
      </c>
      <c r="L82" t="s">
        <v>42</v>
      </c>
      <c r="M82">
        <v>25000</v>
      </c>
      <c r="N82">
        <v>10000</v>
      </c>
      <c r="AB82" s="10" t="s">
        <v>23</v>
      </c>
      <c r="AC82" s="8">
        <v>2.1186440677966101E-2</v>
      </c>
      <c r="AD82" s="9">
        <v>5000</v>
      </c>
    </row>
    <row r="83" spans="2:30" x14ac:dyDescent="0.2">
      <c r="B83" s="7" t="s">
        <v>16</v>
      </c>
      <c r="C83" s="9">
        <v>3500</v>
      </c>
      <c r="D83" s="8">
        <v>3.8356164383561646E-2</v>
      </c>
      <c r="E83" s="8"/>
      <c r="K83" t="s">
        <v>54</v>
      </c>
      <c r="L83" t="s">
        <v>42</v>
      </c>
      <c r="M83">
        <v>25000</v>
      </c>
      <c r="N83">
        <v>10000</v>
      </c>
      <c r="AB83" s="10" t="s">
        <v>35</v>
      </c>
      <c r="AC83" s="8">
        <v>2.1186440677966101E-2</v>
      </c>
      <c r="AD83" s="9">
        <v>5000</v>
      </c>
    </row>
    <row r="84" spans="2:30" x14ac:dyDescent="0.2">
      <c r="B84" s="7" t="s">
        <v>25</v>
      </c>
      <c r="C84" s="9">
        <v>2000</v>
      </c>
      <c r="D84" s="8">
        <v>2.1917808219178082E-2</v>
      </c>
      <c r="E84" s="8"/>
      <c r="AB84" s="10" t="s">
        <v>36</v>
      </c>
      <c r="AC84" s="8">
        <v>2.1186440677966101E-2</v>
      </c>
      <c r="AD84" s="9">
        <v>5000</v>
      </c>
    </row>
    <row r="85" spans="2:30" x14ac:dyDescent="0.2">
      <c r="B85" s="7" t="s">
        <v>18</v>
      </c>
      <c r="C85" s="9">
        <v>500</v>
      </c>
      <c r="D85" s="8">
        <v>5.4794520547945206E-3</v>
      </c>
      <c r="E85" s="8"/>
      <c r="W85" s="2" t="s">
        <v>43</v>
      </c>
      <c r="X85" s="2" t="s">
        <v>12</v>
      </c>
      <c r="Y85" s="2" t="s">
        <v>51</v>
      </c>
      <c r="Z85" s="2" t="s">
        <v>96</v>
      </c>
      <c r="AB85" s="10" t="s">
        <v>40</v>
      </c>
      <c r="AC85" s="8">
        <v>2.1186440677966101E-2</v>
      </c>
      <c r="AD85" s="9">
        <v>5000</v>
      </c>
    </row>
    <row r="86" spans="2:30" x14ac:dyDescent="0.2">
      <c r="B86" s="7" t="s">
        <v>45</v>
      </c>
      <c r="C86" s="9">
        <v>91250</v>
      </c>
      <c r="D86" s="8">
        <v>1</v>
      </c>
      <c r="E86" s="8"/>
      <c r="W86" t="s">
        <v>19</v>
      </c>
      <c r="X86" t="s">
        <v>58</v>
      </c>
      <c r="Y86" s="32">
        <v>7000</v>
      </c>
      <c r="Z86" t="s">
        <v>93</v>
      </c>
      <c r="AB86" s="7" t="s">
        <v>45</v>
      </c>
      <c r="AC86" s="8">
        <v>1</v>
      </c>
      <c r="AD86" s="9">
        <v>236000</v>
      </c>
    </row>
    <row r="87" spans="2:30" x14ac:dyDescent="0.2">
      <c r="W87" t="s">
        <v>29</v>
      </c>
      <c r="X87" t="s">
        <v>48</v>
      </c>
      <c r="Y87" s="32">
        <v>5000</v>
      </c>
      <c r="Z87" t="s">
        <v>93</v>
      </c>
    </row>
    <row r="88" spans="2:30" x14ac:dyDescent="0.2">
      <c r="V88" t="s">
        <v>105</v>
      </c>
      <c r="W88" t="s">
        <v>24</v>
      </c>
      <c r="X88" t="s">
        <v>25</v>
      </c>
      <c r="Y88" s="32">
        <v>0</v>
      </c>
      <c r="Z88" t="s">
        <v>93</v>
      </c>
    </row>
    <row r="89" spans="2:30" x14ac:dyDescent="0.2">
      <c r="W89" t="s">
        <v>15</v>
      </c>
      <c r="X89" t="s">
        <v>58</v>
      </c>
      <c r="Y89" s="32">
        <v>5000</v>
      </c>
      <c r="Z89" t="s">
        <v>94</v>
      </c>
      <c r="AB89" s="6" t="s">
        <v>44</v>
      </c>
      <c r="AC89" t="s">
        <v>70</v>
      </c>
      <c r="AD89" t="s">
        <v>69</v>
      </c>
    </row>
    <row r="90" spans="2:30" x14ac:dyDescent="0.2">
      <c r="W90" t="s">
        <v>20</v>
      </c>
      <c r="X90" t="s">
        <v>21</v>
      </c>
      <c r="Y90" s="32">
        <v>5000</v>
      </c>
      <c r="Z90" t="s">
        <v>94</v>
      </c>
      <c r="AB90" s="7" t="s">
        <v>25</v>
      </c>
      <c r="AC90" s="9">
        <v>0</v>
      </c>
      <c r="AD90" s="8">
        <v>0</v>
      </c>
    </row>
    <row r="91" spans="2:30" x14ac:dyDescent="0.2">
      <c r="W91" t="s">
        <v>22</v>
      </c>
      <c r="X91" t="s">
        <v>103</v>
      </c>
      <c r="Y91" s="32">
        <v>5000</v>
      </c>
      <c r="Z91" t="s">
        <v>94</v>
      </c>
      <c r="AB91" s="7" t="s">
        <v>61</v>
      </c>
      <c r="AC91" s="9">
        <v>56000</v>
      </c>
      <c r="AD91" s="8">
        <v>0.23880597014925373</v>
      </c>
    </row>
    <row r="92" spans="2:30" x14ac:dyDescent="0.2">
      <c r="W92" t="s">
        <v>104</v>
      </c>
      <c r="X92" t="s">
        <v>58</v>
      </c>
      <c r="Y92" s="32">
        <v>5000</v>
      </c>
      <c r="Z92" t="s">
        <v>94</v>
      </c>
      <c r="AB92" s="10" t="s">
        <v>29</v>
      </c>
      <c r="AC92" s="9">
        <v>5000</v>
      </c>
      <c r="AD92" s="8">
        <v>2.1321961620469083E-2</v>
      </c>
    </row>
    <row r="93" spans="2:30" x14ac:dyDescent="0.2">
      <c r="V93" t="s">
        <v>106</v>
      </c>
      <c r="W93" t="s">
        <v>26</v>
      </c>
      <c r="X93" t="s">
        <v>57</v>
      </c>
      <c r="Y93" s="32">
        <v>5000</v>
      </c>
      <c r="Z93" t="s">
        <v>94</v>
      </c>
      <c r="AB93" s="10" t="s">
        <v>37</v>
      </c>
      <c r="AC93" s="9">
        <v>51000</v>
      </c>
      <c r="AD93" s="8">
        <v>0.21748400852878466</v>
      </c>
    </row>
    <row r="94" spans="2:30" x14ac:dyDescent="0.2">
      <c r="V94" t="s">
        <v>106</v>
      </c>
      <c r="W94" s="60" t="s">
        <v>34</v>
      </c>
      <c r="X94" s="60" t="s">
        <v>33</v>
      </c>
      <c r="Y94" s="61">
        <v>20000</v>
      </c>
      <c r="Z94" s="60" t="s">
        <v>93</v>
      </c>
      <c r="AB94" s="7" t="s">
        <v>32</v>
      </c>
      <c r="AC94" s="9">
        <v>52000</v>
      </c>
      <c r="AD94" s="8">
        <v>0.22174840085287847</v>
      </c>
    </row>
    <row r="95" spans="2:30" x14ac:dyDescent="0.2">
      <c r="W95" t="s">
        <v>35</v>
      </c>
      <c r="X95" t="s">
        <v>57</v>
      </c>
      <c r="Y95" s="32">
        <v>5000</v>
      </c>
      <c r="Z95" t="s">
        <v>94</v>
      </c>
      <c r="AB95" s="10" t="s">
        <v>31</v>
      </c>
      <c r="AC95" s="9">
        <v>26000</v>
      </c>
      <c r="AD95" s="8">
        <v>0.11087420042643924</v>
      </c>
    </row>
    <row r="96" spans="2:30" x14ac:dyDescent="0.2">
      <c r="W96" t="s">
        <v>36</v>
      </c>
      <c r="X96" t="s">
        <v>58</v>
      </c>
      <c r="Y96" s="32">
        <v>5000</v>
      </c>
      <c r="Z96" t="s">
        <v>94</v>
      </c>
      <c r="AB96" s="10" t="s">
        <v>41</v>
      </c>
      <c r="AC96" s="9">
        <v>26000</v>
      </c>
      <c r="AD96" s="8">
        <v>0.11087420042643924</v>
      </c>
    </row>
    <row r="97" spans="23:30" x14ac:dyDescent="0.2">
      <c r="W97" t="s">
        <v>40</v>
      </c>
      <c r="X97" t="s">
        <v>58</v>
      </c>
      <c r="Y97" s="32">
        <v>10000</v>
      </c>
      <c r="Z97" t="s">
        <v>94</v>
      </c>
      <c r="AB97" s="7" t="s">
        <v>21</v>
      </c>
      <c r="AC97" s="9">
        <v>8500</v>
      </c>
      <c r="AD97" s="8">
        <v>3.6247334754797439E-2</v>
      </c>
    </row>
    <row r="98" spans="23:30" x14ac:dyDescent="0.2">
      <c r="W98" t="s">
        <v>37</v>
      </c>
      <c r="X98" t="s">
        <v>61</v>
      </c>
      <c r="Y98" s="32">
        <v>25000</v>
      </c>
      <c r="Z98" t="s">
        <v>93</v>
      </c>
      <c r="AB98" s="10" t="s">
        <v>20</v>
      </c>
      <c r="AC98" s="9">
        <v>5000</v>
      </c>
      <c r="AD98" s="8">
        <v>2.1321961620469083E-2</v>
      </c>
    </row>
    <row r="99" spans="23:30" x14ac:dyDescent="0.2">
      <c r="W99" s="60" t="s">
        <v>28</v>
      </c>
      <c r="X99" s="60" t="s">
        <v>21</v>
      </c>
      <c r="Y99" s="61">
        <v>0</v>
      </c>
      <c r="Z99" s="60" t="s">
        <v>93</v>
      </c>
      <c r="AB99" s="10" t="s">
        <v>28</v>
      </c>
      <c r="AC99" s="9">
        <v>3500</v>
      </c>
      <c r="AD99" s="8">
        <v>1.4925373134328358E-2</v>
      </c>
    </row>
    <row r="100" spans="23:30" x14ac:dyDescent="0.2">
      <c r="W100" s="60" t="s">
        <v>95</v>
      </c>
      <c r="X100" s="60" t="s">
        <v>102</v>
      </c>
      <c r="Y100" s="61">
        <v>7500</v>
      </c>
      <c r="Z100" s="60" t="s">
        <v>93</v>
      </c>
      <c r="AB100" s="7" t="s">
        <v>57</v>
      </c>
      <c r="AC100" s="9">
        <v>36000</v>
      </c>
      <c r="AD100" s="8">
        <v>0.15351812366737741</v>
      </c>
    </row>
    <row r="101" spans="23:30" x14ac:dyDescent="0.2">
      <c r="W101" t="s">
        <v>101</v>
      </c>
      <c r="X101" s="60" t="s">
        <v>102</v>
      </c>
      <c r="Y101" s="61">
        <v>7500</v>
      </c>
      <c r="Z101" s="60" t="s">
        <v>93</v>
      </c>
      <c r="AB101" s="10" t="s">
        <v>56</v>
      </c>
      <c r="AC101" s="9">
        <v>26000</v>
      </c>
      <c r="AD101" s="8">
        <v>0.11087420042643924</v>
      </c>
    </row>
    <row r="102" spans="23:30" x14ac:dyDescent="0.2">
      <c r="W102" t="s">
        <v>56</v>
      </c>
      <c r="X102" t="s">
        <v>57</v>
      </c>
      <c r="Y102" s="32">
        <v>26000</v>
      </c>
      <c r="Z102" t="s">
        <v>93</v>
      </c>
      <c r="AB102" s="10" t="s">
        <v>26</v>
      </c>
      <c r="AC102" s="9">
        <v>5000</v>
      </c>
      <c r="AD102" s="8">
        <v>2.1321961620469083E-2</v>
      </c>
    </row>
    <row r="103" spans="23:30" x14ac:dyDescent="0.2">
      <c r="W103" t="s">
        <v>28</v>
      </c>
      <c r="X103" t="s">
        <v>21</v>
      </c>
      <c r="Y103" s="32">
        <v>3500</v>
      </c>
      <c r="Z103" t="s">
        <v>93</v>
      </c>
      <c r="AB103" s="10" t="s">
        <v>35</v>
      </c>
      <c r="AC103" s="9">
        <v>5000</v>
      </c>
      <c r="AD103" s="8">
        <v>2.1321961620469083E-2</v>
      </c>
    </row>
    <row r="104" spans="23:30" x14ac:dyDescent="0.2">
      <c r="W104" t="s">
        <v>31</v>
      </c>
      <c r="X104" t="s">
        <v>32</v>
      </c>
      <c r="Y104" s="32">
        <v>26000</v>
      </c>
      <c r="Z104" t="s">
        <v>93</v>
      </c>
      <c r="AB104" s="7" t="s">
        <v>33</v>
      </c>
      <c r="AC104" s="9">
        <v>30000</v>
      </c>
      <c r="AD104" s="8">
        <v>0.1279317697228145</v>
      </c>
    </row>
    <row r="105" spans="23:30" x14ac:dyDescent="0.2">
      <c r="W105" t="s">
        <v>37</v>
      </c>
      <c r="X105" t="s">
        <v>61</v>
      </c>
      <c r="Y105" s="32">
        <v>26000</v>
      </c>
      <c r="Z105" t="s">
        <v>93</v>
      </c>
      <c r="AB105" s="10" t="s">
        <v>34</v>
      </c>
      <c r="AC105" s="9">
        <v>20000</v>
      </c>
      <c r="AD105" s="8">
        <v>8.5287846481876331E-2</v>
      </c>
    </row>
    <row r="106" spans="23:30" x14ac:dyDescent="0.2">
      <c r="W106" t="s">
        <v>41</v>
      </c>
      <c r="X106" t="s">
        <v>32</v>
      </c>
      <c r="Y106" s="32">
        <v>26000</v>
      </c>
      <c r="Z106" t="s">
        <v>93</v>
      </c>
      <c r="AB106" s="10" t="s">
        <v>108</v>
      </c>
      <c r="AC106" s="9">
        <v>10000</v>
      </c>
      <c r="AD106" s="8">
        <v>4.2643923240938165E-2</v>
      </c>
    </row>
    <row r="107" spans="23:30" x14ac:dyDescent="0.2">
      <c r="W107" t="s">
        <v>108</v>
      </c>
      <c r="X107" t="s">
        <v>33</v>
      </c>
      <c r="Y107" s="32">
        <v>10000</v>
      </c>
      <c r="Z107" t="s">
        <v>93</v>
      </c>
      <c r="AB107" s="7" t="s">
        <v>58</v>
      </c>
      <c r="AC107" s="9">
        <v>32000</v>
      </c>
      <c r="AD107" s="8">
        <v>0.13646055437100213</v>
      </c>
    </row>
    <row r="108" spans="23:30" x14ac:dyDescent="0.2">
      <c r="AB108" s="10" t="s">
        <v>15</v>
      </c>
      <c r="AC108" s="9">
        <v>5000</v>
      </c>
      <c r="AD108" s="8">
        <v>2.1321961620469083E-2</v>
      </c>
    </row>
    <row r="109" spans="23:30" x14ac:dyDescent="0.2">
      <c r="AB109" s="10" t="s">
        <v>19</v>
      </c>
      <c r="AC109" s="9">
        <v>7000</v>
      </c>
      <c r="AD109" s="8">
        <v>2.9850746268656716E-2</v>
      </c>
    </row>
    <row r="110" spans="23:30" x14ac:dyDescent="0.2">
      <c r="AB110" s="10" t="s">
        <v>36</v>
      </c>
      <c r="AC110" s="9">
        <v>5000</v>
      </c>
      <c r="AD110" s="8">
        <v>2.1321961620469083E-2</v>
      </c>
    </row>
    <row r="111" spans="23:30" x14ac:dyDescent="0.2">
      <c r="AB111" s="10" t="s">
        <v>40</v>
      </c>
      <c r="AC111" s="9">
        <v>10000</v>
      </c>
      <c r="AD111" s="8">
        <v>4.2643923240938165E-2</v>
      </c>
    </row>
    <row r="112" spans="23:30" x14ac:dyDescent="0.2">
      <c r="AB112" s="10" t="s">
        <v>104</v>
      </c>
      <c r="AC112" s="9">
        <v>5000</v>
      </c>
      <c r="AD112" s="8">
        <v>2.1321961620469083E-2</v>
      </c>
    </row>
    <row r="113" spans="22:30" x14ac:dyDescent="0.2">
      <c r="AB113" s="7" t="s">
        <v>102</v>
      </c>
      <c r="AC113" s="9">
        <v>15000</v>
      </c>
      <c r="AD113" s="8">
        <v>6.3965884861407252E-2</v>
      </c>
    </row>
    <row r="114" spans="22:30" x14ac:dyDescent="0.2">
      <c r="V114" t="s">
        <v>107</v>
      </c>
      <c r="W114" s="31" t="s">
        <v>40</v>
      </c>
      <c r="X114" s="31" t="s">
        <v>58</v>
      </c>
      <c r="Y114" s="62">
        <v>10000</v>
      </c>
      <c r="Z114" s="31" t="s">
        <v>93</v>
      </c>
      <c r="AB114" s="10" t="s">
        <v>101</v>
      </c>
      <c r="AC114" s="9">
        <v>7500</v>
      </c>
      <c r="AD114" s="8">
        <v>3.1982942430703626E-2</v>
      </c>
    </row>
    <row r="115" spans="22:30" x14ac:dyDescent="0.2">
      <c r="W115" s="31" t="s">
        <v>26</v>
      </c>
      <c r="X115" s="31" t="s">
        <v>57</v>
      </c>
      <c r="Y115" s="62">
        <v>5000</v>
      </c>
      <c r="Z115" s="31" t="s">
        <v>94</v>
      </c>
      <c r="AB115" s="10" t="s">
        <v>95</v>
      </c>
      <c r="AC115" s="9">
        <v>7500</v>
      </c>
      <c r="AD115" s="8">
        <v>3.1982942430703626E-2</v>
      </c>
    </row>
    <row r="116" spans="22:30" x14ac:dyDescent="0.2">
      <c r="AB116" s="7" t="s">
        <v>103</v>
      </c>
      <c r="AC116" s="9">
        <v>5000</v>
      </c>
      <c r="AD116" s="8">
        <v>2.1321961620469083E-2</v>
      </c>
    </row>
    <row r="117" spans="22:30" x14ac:dyDescent="0.2">
      <c r="AB117" s="10" t="s">
        <v>22</v>
      </c>
      <c r="AC117" s="9">
        <v>5000</v>
      </c>
      <c r="AD117" s="8">
        <v>2.1321961620469083E-2</v>
      </c>
    </row>
    <row r="118" spans="22:30" x14ac:dyDescent="0.2">
      <c r="AB118" s="7" t="s">
        <v>45</v>
      </c>
      <c r="AC118" s="9">
        <v>234500</v>
      </c>
      <c r="AD118" s="8">
        <v>1</v>
      </c>
    </row>
    <row r="121" spans="22:30" x14ac:dyDescent="0.2">
      <c r="W121" s="2" t="s">
        <v>43</v>
      </c>
      <c r="X121" s="2" t="s">
        <v>127</v>
      </c>
      <c r="Y121" s="2" t="s">
        <v>51</v>
      </c>
      <c r="Z121" s="2" t="s">
        <v>128</v>
      </c>
    </row>
    <row r="122" spans="22:30" x14ac:dyDescent="0.2">
      <c r="W122" t="s">
        <v>109</v>
      </c>
      <c r="X122" t="s">
        <v>125</v>
      </c>
      <c r="Y122">
        <v>51000</v>
      </c>
      <c r="Z122" t="s">
        <v>93</v>
      </c>
      <c r="AB122" s="6" t="s">
        <v>44</v>
      </c>
      <c r="AC122" t="s">
        <v>70</v>
      </c>
      <c r="AD122" t="s">
        <v>69</v>
      </c>
    </row>
    <row r="123" spans="22:30" x14ac:dyDescent="0.2">
      <c r="W123" t="s">
        <v>110</v>
      </c>
      <c r="X123" t="s">
        <v>48</v>
      </c>
      <c r="Y123">
        <v>26000</v>
      </c>
      <c r="Z123" t="s">
        <v>93</v>
      </c>
      <c r="AB123" s="7" t="s">
        <v>56</v>
      </c>
      <c r="AC123" s="9">
        <v>26000</v>
      </c>
      <c r="AD123" s="8">
        <v>0.11453744493392071</v>
      </c>
    </row>
    <row r="124" spans="22:30" x14ac:dyDescent="0.2">
      <c r="W124" t="s">
        <v>111</v>
      </c>
      <c r="X124" t="s">
        <v>57</v>
      </c>
      <c r="Y124">
        <v>26000</v>
      </c>
      <c r="Z124" t="s">
        <v>93</v>
      </c>
      <c r="AB124" s="7" t="s">
        <v>15</v>
      </c>
      <c r="AC124" s="9">
        <v>5000</v>
      </c>
      <c r="AD124" s="8">
        <v>2.2026431718061675E-2</v>
      </c>
    </row>
    <row r="125" spans="22:30" x14ac:dyDescent="0.2">
      <c r="W125" t="s">
        <v>112</v>
      </c>
      <c r="X125" t="s">
        <v>58</v>
      </c>
      <c r="Y125">
        <v>7000</v>
      </c>
      <c r="Z125" t="s">
        <v>93</v>
      </c>
      <c r="AB125" s="7" t="s">
        <v>95</v>
      </c>
      <c r="AC125" s="9">
        <v>7500</v>
      </c>
      <c r="AD125" s="8">
        <v>3.3039647577092511E-2</v>
      </c>
    </row>
    <row r="126" spans="22:30" x14ac:dyDescent="0.2">
      <c r="W126" t="s">
        <v>113</v>
      </c>
      <c r="X126" t="s">
        <v>48</v>
      </c>
      <c r="Y126">
        <v>26000</v>
      </c>
      <c r="Z126" t="s">
        <v>93</v>
      </c>
      <c r="AB126" s="7" t="s">
        <v>19</v>
      </c>
      <c r="AC126" s="9">
        <v>7000</v>
      </c>
      <c r="AD126" s="8">
        <v>3.0837004405286344E-2</v>
      </c>
    </row>
    <row r="127" spans="22:30" x14ac:dyDescent="0.2">
      <c r="W127" t="s">
        <v>114</v>
      </c>
      <c r="X127" t="s">
        <v>48</v>
      </c>
      <c r="Y127">
        <v>5000</v>
      </c>
      <c r="Z127" t="s">
        <v>93</v>
      </c>
      <c r="AB127" s="7" t="s">
        <v>22</v>
      </c>
      <c r="AC127" s="9">
        <v>5000</v>
      </c>
      <c r="AD127" s="8">
        <v>2.2026431718061675E-2</v>
      </c>
    </row>
    <row r="128" spans="22:30" x14ac:dyDescent="0.2">
      <c r="W128" t="s">
        <v>115</v>
      </c>
      <c r="X128" t="s">
        <v>116</v>
      </c>
      <c r="Y128">
        <v>3500</v>
      </c>
      <c r="Z128" t="s">
        <v>93</v>
      </c>
      <c r="AB128" s="7" t="s">
        <v>20</v>
      </c>
      <c r="AC128" s="9">
        <v>5000</v>
      </c>
      <c r="AD128" s="8">
        <v>2.2026431718061675E-2</v>
      </c>
    </row>
    <row r="129" spans="23:30" x14ac:dyDescent="0.2">
      <c r="W129" t="s">
        <v>34</v>
      </c>
      <c r="X129" t="s">
        <v>71</v>
      </c>
      <c r="Y129">
        <v>22500</v>
      </c>
      <c r="Z129" t="s">
        <v>93</v>
      </c>
      <c r="AB129" s="7" t="s">
        <v>26</v>
      </c>
      <c r="AC129" s="9">
        <v>5000</v>
      </c>
      <c r="AD129" s="8">
        <v>2.2026431718061675E-2</v>
      </c>
    </row>
    <row r="130" spans="23:30" x14ac:dyDescent="0.2">
      <c r="W130" t="s">
        <v>95</v>
      </c>
      <c r="X130" t="s">
        <v>126</v>
      </c>
      <c r="Y130">
        <v>15000</v>
      </c>
      <c r="Z130" t="s">
        <v>93</v>
      </c>
      <c r="AB130" s="7" t="s">
        <v>28</v>
      </c>
      <c r="AC130" s="9">
        <v>3500</v>
      </c>
      <c r="AD130" s="8">
        <v>1.5418502202643172E-2</v>
      </c>
    </row>
    <row r="131" spans="23:30" x14ac:dyDescent="0.2">
      <c r="W131" t="s">
        <v>35</v>
      </c>
      <c r="X131" t="s">
        <v>57</v>
      </c>
      <c r="Y131">
        <v>5000</v>
      </c>
      <c r="Z131" t="s">
        <v>94</v>
      </c>
      <c r="AB131" s="7" t="s">
        <v>29</v>
      </c>
      <c r="AC131" s="9">
        <v>5000</v>
      </c>
      <c r="AD131" s="8">
        <v>2.2026431718061675E-2</v>
      </c>
    </row>
    <row r="132" spans="23:30" x14ac:dyDescent="0.2">
      <c r="W132" t="s">
        <v>117</v>
      </c>
      <c r="X132" t="s">
        <v>58</v>
      </c>
      <c r="Y132">
        <v>5000</v>
      </c>
      <c r="Z132" t="s">
        <v>94</v>
      </c>
      <c r="AB132" s="7" t="s">
        <v>31</v>
      </c>
      <c r="AC132" s="9">
        <v>26000</v>
      </c>
      <c r="AD132" s="8">
        <v>0.11453744493392071</v>
      </c>
    </row>
    <row r="133" spans="23:30" x14ac:dyDescent="0.2">
      <c r="W133" t="s">
        <v>118</v>
      </c>
      <c r="X133" t="s">
        <v>58</v>
      </c>
      <c r="Y133">
        <v>5000</v>
      </c>
      <c r="Z133" t="s">
        <v>94</v>
      </c>
      <c r="AB133" s="7" t="s">
        <v>35</v>
      </c>
      <c r="AC133" s="9">
        <v>5000</v>
      </c>
      <c r="AD133" s="8">
        <v>2.2026431718061675E-2</v>
      </c>
    </row>
    <row r="134" spans="23:30" x14ac:dyDescent="0.2">
      <c r="W134" t="s">
        <v>119</v>
      </c>
      <c r="X134" t="s">
        <v>58</v>
      </c>
      <c r="Y134">
        <v>5000</v>
      </c>
      <c r="Z134" t="s">
        <v>94</v>
      </c>
      <c r="AB134" s="7" t="s">
        <v>34</v>
      </c>
      <c r="AC134" s="9">
        <v>20000</v>
      </c>
      <c r="AD134" s="8">
        <v>8.8105726872246701E-2</v>
      </c>
    </row>
    <row r="135" spans="23:30" x14ac:dyDescent="0.2">
      <c r="W135" t="s">
        <v>120</v>
      </c>
      <c r="X135" t="s">
        <v>116</v>
      </c>
      <c r="Y135">
        <v>5000</v>
      </c>
      <c r="Z135" t="s">
        <v>94</v>
      </c>
      <c r="AB135" s="7" t="s">
        <v>36</v>
      </c>
      <c r="AC135" s="9">
        <v>5000</v>
      </c>
      <c r="AD135" s="8">
        <v>2.2026431718061675E-2</v>
      </c>
    </row>
    <row r="136" spans="23:30" x14ac:dyDescent="0.2">
      <c r="W136" t="s">
        <v>121</v>
      </c>
      <c r="X136" t="s">
        <v>103</v>
      </c>
      <c r="Y136">
        <v>5000</v>
      </c>
      <c r="Z136" t="s">
        <v>94</v>
      </c>
      <c r="AB136" s="7" t="s">
        <v>37</v>
      </c>
      <c r="AC136" s="9">
        <v>51000</v>
      </c>
      <c r="AD136" s="8">
        <v>0.22466960352422907</v>
      </c>
    </row>
    <row r="137" spans="23:30" x14ac:dyDescent="0.2">
      <c r="W137" t="s">
        <v>122</v>
      </c>
      <c r="X137" t="s">
        <v>58</v>
      </c>
      <c r="Y137">
        <v>10000</v>
      </c>
      <c r="Z137" t="s">
        <v>94</v>
      </c>
      <c r="AB137" s="7" t="s">
        <v>40</v>
      </c>
      <c r="AC137" s="9">
        <v>10000</v>
      </c>
      <c r="AD137" s="8">
        <v>4.405286343612335E-2</v>
      </c>
    </row>
    <row r="138" spans="23:30" x14ac:dyDescent="0.2">
      <c r="W138" t="s">
        <v>123</v>
      </c>
      <c r="X138" t="s">
        <v>57</v>
      </c>
      <c r="Y138">
        <v>10000</v>
      </c>
      <c r="Z138" t="s">
        <v>94</v>
      </c>
      <c r="AB138" s="7" t="s">
        <v>41</v>
      </c>
      <c r="AC138" s="9">
        <v>26000</v>
      </c>
      <c r="AD138" s="8">
        <v>0.11453744493392071</v>
      </c>
    </row>
    <row r="139" spans="23:30" x14ac:dyDescent="0.2">
      <c r="W139" t="s">
        <v>124</v>
      </c>
      <c r="X139" t="s">
        <v>71</v>
      </c>
      <c r="Y139">
        <v>10000</v>
      </c>
      <c r="Z139" t="s">
        <v>93</v>
      </c>
      <c r="AB139" s="7" t="s">
        <v>104</v>
      </c>
      <c r="AC139" s="9">
        <v>5000</v>
      </c>
      <c r="AD139" s="8">
        <v>2.2026431718061675E-2</v>
      </c>
    </row>
    <row r="140" spans="23:30" x14ac:dyDescent="0.2">
      <c r="AB140" s="7" t="s">
        <v>108</v>
      </c>
      <c r="AC140" s="9">
        <v>10000</v>
      </c>
      <c r="AD140" s="8">
        <v>4.405286343612335E-2</v>
      </c>
    </row>
    <row r="141" spans="23:30" x14ac:dyDescent="0.2">
      <c r="AB141" s="7" t="s">
        <v>45</v>
      </c>
      <c r="AC141" s="9">
        <v>227000</v>
      </c>
      <c r="AD141" s="8">
        <v>1</v>
      </c>
    </row>
    <row r="145" spans="23:30" x14ac:dyDescent="0.2">
      <c r="AB145" s="6" t="s">
        <v>44</v>
      </c>
      <c r="AC145" t="s">
        <v>69</v>
      </c>
      <c r="AD145" t="s">
        <v>70</v>
      </c>
    </row>
    <row r="146" spans="23:30" x14ac:dyDescent="0.2">
      <c r="AB146" s="7" t="s">
        <v>48</v>
      </c>
      <c r="AC146" s="9">
        <v>57000</v>
      </c>
      <c r="AD146" s="8">
        <v>0.23553719008264462</v>
      </c>
    </row>
    <row r="147" spans="23:30" x14ac:dyDescent="0.2">
      <c r="AB147" s="7" t="s">
        <v>125</v>
      </c>
      <c r="AC147" s="9">
        <v>51000</v>
      </c>
      <c r="AD147" s="8">
        <v>0.21074380165289255</v>
      </c>
    </row>
    <row r="148" spans="23:30" x14ac:dyDescent="0.2">
      <c r="AB148" s="7" t="s">
        <v>57</v>
      </c>
      <c r="AC148" s="9">
        <v>41000</v>
      </c>
      <c r="AD148" s="8">
        <v>0.16942148760330578</v>
      </c>
    </row>
    <row r="149" spans="23:30" x14ac:dyDescent="0.2">
      <c r="AB149" s="7" t="s">
        <v>71</v>
      </c>
      <c r="AC149" s="9">
        <v>32500</v>
      </c>
      <c r="AD149" s="8">
        <v>0.13429752066115702</v>
      </c>
    </row>
    <row r="150" spans="23:30" x14ac:dyDescent="0.2">
      <c r="W150" s="2" t="s">
        <v>43</v>
      </c>
      <c r="X150" s="2" t="s">
        <v>127</v>
      </c>
      <c r="Y150" s="2" t="s">
        <v>51</v>
      </c>
      <c r="Z150" s="2" t="s">
        <v>128</v>
      </c>
      <c r="AB150" s="7" t="s">
        <v>58</v>
      </c>
      <c r="AC150" s="9">
        <v>32000</v>
      </c>
      <c r="AD150" s="8">
        <v>0.13223140495867769</v>
      </c>
    </row>
    <row r="151" spans="23:30" x14ac:dyDescent="0.2">
      <c r="W151" s="35" t="s">
        <v>109</v>
      </c>
      <c r="X151" s="35" t="s">
        <v>125</v>
      </c>
      <c r="Y151" s="35">
        <v>51000</v>
      </c>
      <c r="Z151" s="35" t="s">
        <v>93</v>
      </c>
      <c r="AA151">
        <v>25000</v>
      </c>
      <c r="AB151" s="7" t="s">
        <v>126</v>
      </c>
      <c r="AC151" s="9">
        <v>15000</v>
      </c>
      <c r="AD151" s="8">
        <v>6.1983471074380167E-2</v>
      </c>
    </row>
    <row r="152" spans="23:30" x14ac:dyDescent="0.2">
      <c r="W152" s="35" t="s">
        <v>110</v>
      </c>
      <c r="X152" s="35" t="s">
        <v>48</v>
      </c>
      <c r="Y152" s="35">
        <v>26000</v>
      </c>
      <c r="Z152" s="35" t="s">
        <v>93</v>
      </c>
      <c r="AB152" s="7" t="s">
        <v>116</v>
      </c>
      <c r="AC152" s="9">
        <v>8500</v>
      </c>
      <c r="AD152" s="8">
        <v>3.5123966942148761E-2</v>
      </c>
    </row>
    <row r="153" spans="23:30" x14ac:dyDescent="0.2">
      <c r="W153" s="35" t="s">
        <v>111</v>
      </c>
      <c r="X153" s="35" t="s">
        <v>57</v>
      </c>
      <c r="Y153" s="35">
        <v>26000</v>
      </c>
      <c r="Z153" s="35" t="s">
        <v>93</v>
      </c>
      <c r="AB153" s="7" t="s">
        <v>103</v>
      </c>
      <c r="AC153" s="9">
        <v>5000</v>
      </c>
      <c r="AD153" s="8">
        <v>2.0661157024793389E-2</v>
      </c>
    </row>
    <row r="154" spans="23:30" x14ac:dyDescent="0.2">
      <c r="W154" t="s">
        <v>112</v>
      </c>
      <c r="X154" t="s">
        <v>58</v>
      </c>
      <c r="Y154">
        <v>0</v>
      </c>
      <c r="Z154" t="s">
        <v>93</v>
      </c>
      <c r="AB154" s="7" t="s">
        <v>45</v>
      </c>
      <c r="AC154" s="9">
        <v>242000</v>
      </c>
      <c r="AD154" s="8">
        <v>1</v>
      </c>
    </row>
    <row r="155" spans="23:30" x14ac:dyDescent="0.2">
      <c r="W155" s="35" t="s">
        <v>113</v>
      </c>
      <c r="X155" s="35" t="s">
        <v>48</v>
      </c>
      <c r="Y155" s="35">
        <v>26000</v>
      </c>
      <c r="Z155" s="35" t="s">
        <v>93</v>
      </c>
    </row>
    <row r="156" spans="23:30" x14ac:dyDescent="0.2">
      <c r="W156" t="s">
        <v>114</v>
      </c>
      <c r="X156" t="s">
        <v>48</v>
      </c>
      <c r="Y156">
        <v>0</v>
      </c>
      <c r="Z156" t="s">
        <v>93</v>
      </c>
    </row>
    <row r="157" spans="23:30" x14ac:dyDescent="0.2">
      <c r="W157" t="s">
        <v>115</v>
      </c>
      <c r="X157" t="s">
        <v>116</v>
      </c>
      <c r="Y157">
        <v>3500</v>
      </c>
      <c r="Z157" t="s">
        <v>93</v>
      </c>
    </row>
    <row r="158" spans="23:30" x14ac:dyDescent="0.2">
      <c r="W158" t="s">
        <v>34</v>
      </c>
      <c r="X158" t="s">
        <v>71</v>
      </c>
      <c r="Y158">
        <v>22500</v>
      </c>
      <c r="Z158" t="s">
        <v>93</v>
      </c>
    </row>
    <row r="159" spans="23:30" x14ac:dyDescent="0.2">
      <c r="W159" t="s">
        <v>95</v>
      </c>
      <c r="X159" t="s">
        <v>126</v>
      </c>
      <c r="Y159">
        <v>15000</v>
      </c>
      <c r="Z159" t="s">
        <v>93</v>
      </c>
    </row>
    <row r="160" spans="23:30" x14ac:dyDescent="0.2">
      <c r="W160" t="s">
        <v>35</v>
      </c>
      <c r="X160" t="s">
        <v>57</v>
      </c>
      <c r="Y160">
        <v>5000</v>
      </c>
      <c r="Z160" t="s">
        <v>94</v>
      </c>
    </row>
    <row r="161" spans="23:30" x14ac:dyDescent="0.2">
      <c r="W161" t="s">
        <v>117</v>
      </c>
      <c r="X161" t="s">
        <v>58</v>
      </c>
      <c r="Y161">
        <v>5000</v>
      </c>
      <c r="Z161" t="s">
        <v>94</v>
      </c>
    </row>
    <row r="162" spans="23:30" x14ac:dyDescent="0.2">
      <c r="W162" t="s">
        <v>118</v>
      </c>
      <c r="X162" t="s">
        <v>58</v>
      </c>
      <c r="Y162">
        <v>5000</v>
      </c>
      <c r="Z162" t="s">
        <v>94</v>
      </c>
      <c r="AB162" s="6" t="s">
        <v>44</v>
      </c>
      <c r="AC162" s="9" t="s">
        <v>69</v>
      </c>
      <c r="AD162" t="s">
        <v>70</v>
      </c>
    </row>
    <row r="163" spans="23:30" x14ac:dyDescent="0.2">
      <c r="W163" t="s">
        <v>119</v>
      </c>
      <c r="X163" t="s">
        <v>58</v>
      </c>
      <c r="Y163">
        <v>5000</v>
      </c>
      <c r="Z163" t="s">
        <v>94</v>
      </c>
      <c r="AB163" s="7" t="s">
        <v>48</v>
      </c>
      <c r="AC163" s="9">
        <v>52000</v>
      </c>
      <c r="AD163" s="8">
        <v>0.20553359683794467</v>
      </c>
    </row>
    <row r="164" spans="23:30" x14ac:dyDescent="0.2">
      <c r="W164" t="s">
        <v>120</v>
      </c>
      <c r="X164" t="s">
        <v>116</v>
      </c>
      <c r="Y164">
        <v>5000</v>
      </c>
      <c r="Z164" t="s">
        <v>94</v>
      </c>
      <c r="AB164" s="10" t="s">
        <v>114</v>
      </c>
      <c r="AC164" s="9">
        <v>0</v>
      </c>
      <c r="AD164" s="8">
        <v>0</v>
      </c>
    </row>
    <row r="165" spans="23:30" x14ac:dyDescent="0.2">
      <c r="W165" t="s">
        <v>121</v>
      </c>
      <c r="X165" t="s">
        <v>103</v>
      </c>
      <c r="Y165">
        <v>0</v>
      </c>
      <c r="Z165" t="s">
        <v>94</v>
      </c>
      <c r="AB165" s="10" t="s">
        <v>113</v>
      </c>
      <c r="AC165" s="9">
        <v>26000</v>
      </c>
      <c r="AD165" s="8">
        <v>0.10276679841897234</v>
      </c>
    </row>
    <row r="166" spans="23:30" x14ac:dyDescent="0.2">
      <c r="W166" t="s">
        <v>122</v>
      </c>
      <c r="X166" t="s">
        <v>58</v>
      </c>
      <c r="Y166">
        <v>20000</v>
      </c>
      <c r="Z166" t="s">
        <v>94</v>
      </c>
      <c r="AB166" s="10" t="s">
        <v>110</v>
      </c>
      <c r="AC166" s="9">
        <v>26000</v>
      </c>
      <c r="AD166" s="8">
        <v>0.10276679841897234</v>
      </c>
    </row>
    <row r="167" spans="23:30" x14ac:dyDescent="0.2">
      <c r="W167" t="s">
        <v>123</v>
      </c>
      <c r="X167" t="s">
        <v>57</v>
      </c>
      <c r="Y167">
        <v>18000</v>
      </c>
      <c r="Z167" t="s">
        <v>94</v>
      </c>
      <c r="AB167" s="7" t="s">
        <v>125</v>
      </c>
      <c r="AC167" s="9">
        <v>51000</v>
      </c>
      <c r="AD167" s="8">
        <v>0.20158102766798419</v>
      </c>
    </row>
    <row r="168" spans="23:30" x14ac:dyDescent="0.2">
      <c r="W168" t="s">
        <v>124</v>
      </c>
      <c r="X168" t="s">
        <v>71</v>
      </c>
      <c r="Y168">
        <v>10000</v>
      </c>
      <c r="Z168" t="s">
        <v>93</v>
      </c>
      <c r="AB168" s="10" t="s">
        <v>109</v>
      </c>
      <c r="AC168" s="9">
        <v>51000</v>
      </c>
      <c r="AD168" s="8">
        <v>0.20158102766798419</v>
      </c>
    </row>
    <row r="169" spans="23:30" x14ac:dyDescent="0.2">
      <c r="W169" t="s">
        <v>129</v>
      </c>
      <c r="X169" t="s">
        <v>58</v>
      </c>
      <c r="Y169">
        <v>10000</v>
      </c>
      <c r="Z169" t="s">
        <v>93</v>
      </c>
      <c r="AB169" s="7" t="s">
        <v>57</v>
      </c>
      <c r="AC169" s="9">
        <v>49000</v>
      </c>
      <c r="AD169" s="8">
        <v>0.19367588932806323</v>
      </c>
    </row>
    <row r="170" spans="23:30" x14ac:dyDescent="0.2">
      <c r="AB170" s="10" t="s">
        <v>111</v>
      </c>
      <c r="AC170" s="9">
        <v>26000</v>
      </c>
      <c r="AD170" s="8">
        <v>0.10276679841897234</v>
      </c>
    </row>
    <row r="171" spans="23:30" x14ac:dyDescent="0.2">
      <c r="AB171" s="10" t="s">
        <v>123</v>
      </c>
      <c r="AC171" s="9">
        <v>18000</v>
      </c>
      <c r="AD171" s="8">
        <v>7.1146245059288543E-2</v>
      </c>
    </row>
    <row r="172" spans="23:30" x14ac:dyDescent="0.2">
      <c r="AB172" s="10" t="s">
        <v>35</v>
      </c>
      <c r="AC172" s="9">
        <v>5000</v>
      </c>
      <c r="AD172" s="8">
        <v>1.9762845849802372E-2</v>
      </c>
    </row>
    <row r="173" spans="23:30" x14ac:dyDescent="0.2">
      <c r="AB173" s="7" t="s">
        <v>58</v>
      </c>
      <c r="AC173" s="9">
        <v>45000</v>
      </c>
      <c r="AD173" s="8">
        <v>0.17786561264822134</v>
      </c>
    </row>
    <row r="174" spans="23:30" x14ac:dyDescent="0.2">
      <c r="AB174" s="10" t="s">
        <v>117</v>
      </c>
      <c r="AC174" s="9">
        <v>5000</v>
      </c>
      <c r="AD174" s="8">
        <v>1.9762845849802372E-2</v>
      </c>
    </row>
    <row r="175" spans="23:30" x14ac:dyDescent="0.2">
      <c r="W175" s="38" t="s">
        <v>149</v>
      </c>
      <c r="AB175" s="10" t="s">
        <v>112</v>
      </c>
      <c r="AC175" s="9">
        <v>0</v>
      </c>
      <c r="AD175" s="8">
        <v>0</v>
      </c>
    </row>
    <row r="176" spans="23:30" x14ac:dyDescent="0.2">
      <c r="W176" s="38" t="s">
        <v>43</v>
      </c>
      <c r="X176" s="38" t="s">
        <v>127</v>
      </c>
      <c r="Y176" s="38" t="s">
        <v>51</v>
      </c>
      <c r="Z176" s="38" t="s">
        <v>128</v>
      </c>
      <c r="AB176" s="10" t="s">
        <v>119</v>
      </c>
      <c r="AC176" s="9">
        <v>5000</v>
      </c>
      <c r="AD176" s="8">
        <v>1.9762845849802372E-2</v>
      </c>
    </row>
    <row r="177" spans="23:30" x14ac:dyDescent="0.2">
      <c r="W177" s="35" t="s">
        <v>130</v>
      </c>
      <c r="X177" s="35" t="s">
        <v>103</v>
      </c>
      <c r="Y177" s="35">
        <v>5000</v>
      </c>
      <c r="Z177" s="35" t="s">
        <v>94</v>
      </c>
      <c r="AB177" s="10" t="s">
        <v>118</v>
      </c>
      <c r="AC177" s="9">
        <v>5000</v>
      </c>
      <c r="AD177" s="8">
        <v>1.9762845849802372E-2</v>
      </c>
    </row>
    <row r="178" spans="23:30" x14ac:dyDescent="0.2">
      <c r="W178" t="s">
        <v>131</v>
      </c>
      <c r="X178" t="s">
        <v>103</v>
      </c>
      <c r="Y178">
        <v>0</v>
      </c>
      <c r="Z178" t="s">
        <v>94</v>
      </c>
      <c r="AB178" s="10" t="s">
        <v>122</v>
      </c>
      <c r="AC178" s="9">
        <v>20000</v>
      </c>
      <c r="AD178" s="8">
        <v>7.9051383399209488E-2</v>
      </c>
    </row>
    <row r="179" spans="23:30" x14ac:dyDescent="0.2">
      <c r="W179" s="78" t="s">
        <v>139</v>
      </c>
      <c r="X179" s="78" t="s">
        <v>132</v>
      </c>
      <c r="Y179" s="78">
        <v>5000</v>
      </c>
      <c r="Z179" s="78" t="s">
        <v>94</v>
      </c>
      <c r="AB179" s="10" t="s">
        <v>129</v>
      </c>
      <c r="AC179" s="9">
        <v>10000</v>
      </c>
      <c r="AD179" s="8">
        <v>3.9525691699604744E-2</v>
      </c>
    </row>
    <row r="180" spans="23:30" x14ac:dyDescent="0.2">
      <c r="W180" s="35" t="s">
        <v>122</v>
      </c>
      <c r="X180" s="35" t="s">
        <v>133</v>
      </c>
      <c r="Y180" s="35">
        <v>5000</v>
      </c>
      <c r="Z180" s="35" t="s">
        <v>94</v>
      </c>
      <c r="AB180" s="7" t="s">
        <v>71</v>
      </c>
      <c r="AC180" s="9">
        <v>32500</v>
      </c>
      <c r="AD180" s="8">
        <v>0.12845849802371542</v>
      </c>
    </row>
    <row r="181" spans="23:30" x14ac:dyDescent="0.2">
      <c r="W181" s="78" t="s">
        <v>34</v>
      </c>
      <c r="X181" s="78" t="s">
        <v>33</v>
      </c>
      <c r="Y181" s="78">
        <v>2500</v>
      </c>
      <c r="Z181" s="78" t="s">
        <v>94</v>
      </c>
      <c r="AB181" s="10" t="s">
        <v>34</v>
      </c>
      <c r="AC181" s="9">
        <v>22500</v>
      </c>
      <c r="AD181" s="8">
        <v>8.8932806324110672E-2</v>
      </c>
    </row>
    <row r="182" spans="23:30" x14ac:dyDescent="0.2">
      <c r="W182" s="78" t="s">
        <v>35</v>
      </c>
      <c r="X182" s="78" t="s">
        <v>132</v>
      </c>
      <c r="Y182" s="78">
        <v>2500</v>
      </c>
      <c r="Z182" s="78" t="s">
        <v>94</v>
      </c>
      <c r="AB182" s="10" t="s">
        <v>124</v>
      </c>
      <c r="AC182" s="9">
        <v>10000</v>
      </c>
      <c r="AD182" s="8">
        <v>3.9525691699604744E-2</v>
      </c>
    </row>
    <row r="183" spans="23:30" x14ac:dyDescent="0.2">
      <c r="W183" s="78" t="s">
        <v>134</v>
      </c>
      <c r="X183" s="78" t="s">
        <v>135</v>
      </c>
      <c r="Y183" s="78">
        <v>5000</v>
      </c>
      <c r="Z183" s="78" t="s">
        <v>94</v>
      </c>
      <c r="AB183" s="7" t="s">
        <v>126</v>
      </c>
      <c r="AC183" s="9">
        <v>15000</v>
      </c>
      <c r="AD183" s="8">
        <v>5.9288537549407112E-2</v>
      </c>
    </row>
    <row r="184" spans="23:30" x14ac:dyDescent="0.2">
      <c r="W184" s="35" t="s">
        <v>136</v>
      </c>
      <c r="X184" s="35" t="s">
        <v>133</v>
      </c>
      <c r="Y184" s="35">
        <v>5000</v>
      </c>
      <c r="Z184" s="35" t="s">
        <v>94</v>
      </c>
      <c r="AB184" s="10" t="s">
        <v>95</v>
      </c>
      <c r="AC184" s="9">
        <v>15000</v>
      </c>
      <c r="AD184" s="8">
        <v>5.9288537549407112E-2</v>
      </c>
    </row>
    <row r="185" spans="23:30" x14ac:dyDescent="0.2">
      <c r="W185" s="35" t="s">
        <v>137</v>
      </c>
      <c r="X185" s="35" t="s">
        <v>133</v>
      </c>
      <c r="Y185" s="35">
        <v>5000</v>
      </c>
      <c r="Z185" s="35" t="s">
        <v>94</v>
      </c>
      <c r="AB185" s="7" t="s">
        <v>116</v>
      </c>
      <c r="AC185" s="9">
        <v>8500</v>
      </c>
      <c r="AD185" s="8">
        <v>3.3596837944664032E-2</v>
      </c>
    </row>
    <row r="186" spans="23:30" x14ac:dyDescent="0.2">
      <c r="W186" s="35" t="s">
        <v>138</v>
      </c>
      <c r="X186" s="35" t="s">
        <v>133</v>
      </c>
      <c r="Y186" s="35">
        <v>5000</v>
      </c>
      <c r="Z186" s="35" t="s">
        <v>94</v>
      </c>
      <c r="AB186" s="10" t="s">
        <v>120</v>
      </c>
      <c r="AC186" s="9">
        <v>5000</v>
      </c>
      <c r="AD186" s="8">
        <v>1.9762845849802372E-2</v>
      </c>
    </row>
    <row r="187" spans="23:30" x14ac:dyDescent="0.2">
      <c r="W187" t="s">
        <v>139</v>
      </c>
      <c r="X187" t="s">
        <v>132</v>
      </c>
      <c r="Y187">
        <v>13000</v>
      </c>
      <c r="Z187" t="s">
        <v>93</v>
      </c>
      <c r="AB187" s="10" t="s">
        <v>115</v>
      </c>
      <c r="AC187" s="9">
        <v>3500</v>
      </c>
      <c r="AD187" s="8">
        <v>1.383399209486166E-2</v>
      </c>
    </row>
    <row r="188" spans="23:30" x14ac:dyDescent="0.2">
      <c r="W188" t="s">
        <v>140</v>
      </c>
      <c r="X188" t="s">
        <v>102</v>
      </c>
      <c r="Y188">
        <v>0</v>
      </c>
      <c r="Z188" t="s">
        <v>93</v>
      </c>
      <c r="AB188" s="7" t="s">
        <v>103</v>
      </c>
      <c r="AC188" s="9">
        <v>0</v>
      </c>
      <c r="AD188" s="8">
        <v>0</v>
      </c>
    </row>
    <row r="189" spans="23:30" x14ac:dyDescent="0.2">
      <c r="W189" t="s">
        <v>141</v>
      </c>
      <c r="X189" t="s">
        <v>33</v>
      </c>
      <c r="Y189">
        <v>45000</v>
      </c>
      <c r="Z189" t="s">
        <v>93</v>
      </c>
      <c r="AB189" s="10" t="s">
        <v>121</v>
      </c>
      <c r="AC189" s="9">
        <v>0</v>
      </c>
      <c r="AD189" s="8">
        <v>0</v>
      </c>
    </row>
    <row r="190" spans="23:30" x14ac:dyDescent="0.2">
      <c r="W190" t="s">
        <v>142</v>
      </c>
      <c r="X190" t="s">
        <v>135</v>
      </c>
      <c r="Y190">
        <v>3500</v>
      </c>
      <c r="Z190" t="s">
        <v>93</v>
      </c>
      <c r="AB190" s="7" t="s">
        <v>45</v>
      </c>
      <c r="AC190" s="9">
        <v>253000</v>
      </c>
      <c r="AD190" s="8">
        <v>1</v>
      </c>
    </row>
    <row r="191" spans="23:30" x14ac:dyDescent="0.2">
      <c r="W191" t="s">
        <v>143</v>
      </c>
      <c r="X191" t="s">
        <v>144</v>
      </c>
      <c r="Y191">
        <v>26000</v>
      </c>
      <c r="Z191" t="s">
        <v>93</v>
      </c>
    </row>
    <row r="192" spans="23:30" x14ac:dyDescent="0.2">
      <c r="W192" t="s">
        <v>124</v>
      </c>
      <c r="X192" t="s">
        <v>33</v>
      </c>
      <c r="Y192">
        <v>0</v>
      </c>
      <c r="Z192" t="s">
        <v>93</v>
      </c>
    </row>
    <row r="193" spans="23:33" x14ac:dyDescent="0.2">
      <c r="W193" t="s">
        <v>145</v>
      </c>
      <c r="X193" t="s">
        <v>132</v>
      </c>
      <c r="Y193">
        <v>26000</v>
      </c>
      <c r="Z193" t="s">
        <v>93</v>
      </c>
    </row>
    <row r="194" spans="23:33" x14ac:dyDescent="0.2">
      <c r="W194" t="s">
        <v>146</v>
      </c>
      <c r="X194" t="s">
        <v>147</v>
      </c>
      <c r="Y194">
        <v>51000</v>
      </c>
      <c r="Z194" t="s">
        <v>93</v>
      </c>
      <c r="AA194" s="67" t="s">
        <v>150</v>
      </c>
      <c r="AB194" s="6" t="s">
        <v>44</v>
      </c>
      <c r="AC194" t="s">
        <v>69</v>
      </c>
      <c r="AD194" t="s">
        <v>70</v>
      </c>
    </row>
    <row r="195" spans="23:33" x14ac:dyDescent="0.2">
      <c r="W195" t="s">
        <v>129</v>
      </c>
      <c r="X195" t="s">
        <v>133</v>
      </c>
      <c r="Y195">
        <v>16000</v>
      </c>
      <c r="Z195" t="s">
        <v>93</v>
      </c>
      <c r="AA195" s="68"/>
      <c r="AB195" s="7" t="s">
        <v>133</v>
      </c>
      <c r="AC195" s="9">
        <v>56000</v>
      </c>
      <c r="AD195" s="8">
        <v>0.21013133208255161</v>
      </c>
      <c r="AE195">
        <v>8125</v>
      </c>
      <c r="AF195">
        <f>GETPIVOTDATA("Sum of Amount_True",$AB$194,"Category of Fund","Smallcap")+AE195</f>
        <v>64125</v>
      </c>
      <c r="AG195" s="37">
        <f>AF195/$AF$222</f>
        <v>0.25246062992125984</v>
      </c>
    </row>
    <row r="196" spans="23:33" x14ac:dyDescent="0.2">
      <c r="W196" t="s">
        <v>148</v>
      </c>
      <c r="X196" t="s">
        <v>144</v>
      </c>
      <c r="Y196">
        <v>26000</v>
      </c>
      <c r="Z196" t="s">
        <v>93</v>
      </c>
      <c r="AA196" s="108">
        <v>0.21</v>
      </c>
      <c r="AB196" s="65" t="s">
        <v>138</v>
      </c>
      <c r="AC196" s="9">
        <v>5000</v>
      </c>
      <c r="AD196" s="8">
        <v>1.8761726078799251E-2</v>
      </c>
      <c r="AG196" s="37"/>
    </row>
    <row r="197" spans="23:33" x14ac:dyDescent="0.2">
      <c r="W197" t="s">
        <v>122</v>
      </c>
      <c r="X197" t="s">
        <v>133</v>
      </c>
      <c r="Y197">
        <v>0</v>
      </c>
      <c r="Z197" t="s">
        <v>93</v>
      </c>
      <c r="AA197" s="108"/>
      <c r="AB197" s="65" t="s">
        <v>136</v>
      </c>
      <c r="AC197" s="9">
        <v>5000</v>
      </c>
      <c r="AD197" s="8">
        <v>1.8761726078799251E-2</v>
      </c>
      <c r="AG197" s="37"/>
    </row>
    <row r="198" spans="23:33" x14ac:dyDescent="0.2">
      <c r="W198" t="s">
        <v>112</v>
      </c>
      <c r="X198" t="s">
        <v>133</v>
      </c>
      <c r="Y198">
        <v>20000</v>
      </c>
      <c r="Z198" t="s">
        <v>93</v>
      </c>
      <c r="AA198" s="68"/>
      <c r="AB198" s="10" t="s">
        <v>137</v>
      </c>
      <c r="AC198" s="9">
        <v>5000</v>
      </c>
      <c r="AD198" s="8">
        <v>1.8761726078799251E-2</v>
      </c>
      <c r="AG198" s="37"/>
    </row>
    <row r="199" spans="23:33" x14ac:dyDescent="0.2">
      <c r="AA199" s="70">
        <v>0.38</v>
      </c>
      <c r="AB199" s="66" t="s">
        <v>129</v>
      </c>
      <c r="AC199" s="9">
        <v>16000</v>
      </c>
      <c r="AD199" s="8">
        <v>6.0037523452157598E-2</v>
      </c>
      <c r="AG199" s="37"/>
    </row>
    <row r="200" spans="23:33" x14ac:dyDescent="0.2">
      <c r="AA200" s="68"/>
      <c r="AB200" s="10" t="s">
        <v>122</v>
      </c>
      <c r="AC200" s="9">
        <v>5000</v>
      </c>
      <c r="AD200" s="8">
        <v>1.8761726078799251E-2</v>
      </c>
      <c r="AG200" s="37"/>
    </row>
    <row r="201" spans="23:33" x14ac:dyDescent="0.2">
      <c r="AA201" s="68"/>
      <c r="AB201" s="10" t="s">
        <v>112</v>
      </c>
      <c r="AC201" s="9">
        <v>20000</v>
      </c>
      <c r="AD201" s="8">
        <v>7.5046904315197005E-2</v>
      </c>
      <c r="AE201">
        <f>GETPIVOTDATA("Sum of Amount_True",$AB$194,"Category of Fund","Multicap")*0.25</f>
        <v>11875</v>
      </c>
      <c r="AF201">
        <f>GETPIVOTDATA("Sum of Amount_True",$AB$194,"Category of Fund","Largecap")+AE201</f>
        <v>63875</v>
      </c>
      <c r="AG201" s="37">
        <f>AF201/$AF$222</f>
        <v>0.2514763779527559</v>
      </c>
    </row>
    <row r="202" spans="23:33" x14ac:dyDescent="0.2">
      <c r="W202" s="2" t="s">
        <v>173</v>
      </c>
      <c r="AA202" s="68"/>
      <c r="AB202" s="7" t="s">
        <v>144</v>
      </c>
      <c r="AC202" s="9">
        <v>52000</v>
      </c>
      <c r="AD202" s="8">
        <v>0.1951219512195122</v>
      </c>
      <c r="AG202" s="37"/>
    </row>
    <row r="203" spans="23:33" x14ac:dyDescent="0.2">
      <c r="W203" t="s">
        <v>43</v>
      </c>
      <c r="X203" t="s">
        <v>153</v>
      </c>
      <c r="Y203" t="s">
        <v>96</v>
      </c>
      <c r="Z203" t="s">
        <v>14</v>
      </c>
      <c r="AA203" s="69">
        <v>0.3</v>
      </c>
      <c r="AB203" s="10" t="s">
        <v>148</v>
      </c>
      <c r="AC203" s="9">
        <v>26000</v>
      </c>
      <c r="AD203" s="8">
        <v>9.7560975609756101E-2</v>
      </c>
      <c r="AG203" s="37"/>
    </row>
    <row r="204" spans="23:33" x14ac:dyDescent="0.2">
      <c r="W204" t="s">
        <v>154</v>
      </c>
      <c r="X204" t="s">
        <v>155</v>
      </c>
      <c r="Y204" t="s">
        <v>156</v>
      </c>
      <c r="Z204">
        <v>51000</v>
      </c>
      <c r="AA204" s="68"/>
      <c r="AB204" s="64" t="s">
        <v>151</v>
      </c>
      <c r="AC204" s="9">
        <v>26000</v>
      </c>
      <c r="AD204" s="8">
        <v>9.7560975609756101E-2</v>
      </c>
      <c r="AF204">
        <f>GETPIVOTDATA("Sum of Amount_True",$AB$194,"Category of Fund","Flexicap")</f>
        <v>51000</v>
      </c>
      <c r="AG204" s="37">
        <f>AF204/$AF$222</f>
        <v>0.20078740157480315</v>
      </c>
    </row>
    <row r="205" spans="23:33" x14ac:dyDescent="0.2">
      <c r="W205" t="s">
        <v>157</v>
      </c>
      <c r="X205" t="s">
        <v>155</v>
      </c>
      <c r="Y205" t="s">
        <v>30</v>
      </c>
      <c r="Z205">
        <v>26000</v>
      </c>
      <c r="AA205" s="68"/>
      <c r="AB205" s="7" t="s">
        <v>147</v>
      </c>
      <c r="AC205" s="9">
        <v>51000</v>
      </c>
      <c r="AD205" s="8">
        <v>0.19136960600375236</v>
      </c>
      <c r="AG205" s="37"/>
    </row>
    <row r="206" spans="23:33" x14ac:dyDescent="0.2">
      <c r="W206" t="s">
        <v>158</v>
      </c>
      <c r="X206" t="s">
        <v>155</v>
      </c>
      <c r="Y206" t="s">
        <v>30</v>
      </c>
      <c r="Z206">
        <v>26000</v>
      </c>
      <c r="AA206" s="68"/>
      <c r="AB206" s="64" t="s">
        <v>146</v>
      </c>
      <c r="AC206" s="9">
        <v>51000</v>
      </c>
      <c r="AD206" s="8">
        <v>0.19136960600375236</v>
      </c>
      <c r="AE206">
        <f>GETPIVOTDATA("Sum of Amount_True",$AB$194,"Category of Fund","Multicap")*0.25</f>
        <v>11875</v>
      </c>
      <c r="AF206">
        <f>GETPIVOTDATA("Sum of Amount_True",$AB$194,"Category of Fund","Midcap")+AE206</f>
        <v>58375</v>
      </c>
      <c r="AG206" s="37">
        <f>AF206/$AF$222</f>
        <v>0.2298228346456693</v>
      </c>
    </row>
    <row r="207" spans="23:33" x14ac:dyDescent="0.2">
      <c r="W207" t="s">
        <v>159</v>
      </c>
      <c r="X207" t="s">
        <v>155</v>
      </c>
      <c r="Y207" t="s">
        <v>132</v>
      </c>
      <c r="Z207">
        <v>26000</v>
      </c>
      <c r="AB207" s="7" t="s">
        <v>33</v>
      </c>
      <c r="AC207" s="9">
        <v>47500</v>
      </c>
      <c r="AD207" s="8">
        <v>0.17823639774859287</v>
      </c>
      <c r="AG207" s="37"/>
    </row>
    <row r="208" spans="23:33" x14ac:dyDescent="0.2">
      <c r="W208" t="s">
        <v>160</v>
      </c>
      <c r="X208" t="s">
        <v>155</v>
      </c>
      <c r="Y208" t="s">
        <v>133</v>
      </c>
      <c r="Z208">
        <v>34500</v>
      </c>
      <c r="AA208" s="108">
        <v>0.21</v>
      </c>
      <c r="AB208" s="10" t="s">
        <v>141</v>
      </c>
      <c r="AC208" s="9">
        <v>45000</v>
      </c>
      <c r="AD208" s="8">
        <v>0.16885553470919323</v>
      </c>
      <c r="AG208" s="37"/>
    </row>
    <row r="209" spans="23:33" x14ac:dyDescent="0.2">
      <c r="W209" t="s">
        <v>161</v>
      </c>
      <c r="X209" t="s">
        <v>155</v>
      </c>
      <c r="Y209" t="s">
        <v>162</v>
      </c>
      <c r="Z209">
        <v>3500</v>
      </c>
      <c r="AA209" s="108"/>
      <c r="AB209" s="63" t="s">
        <v>34</v>
      </c>
      <c r="AC209" s="9">
        <v>2500</v>
      </c>
      <c r="AD209" s="8">
        <v>9.3808630393996256E-3</v>
      </c>
      <c r="AG209" s="37"/>
    </row>
    <row r="210" spans="23:33" x14ac:dyDescent="0.2">
      <c r="W210" t="s">
        <v>163</v>
      </c>
      <c r="X210" t="s">
        <v>155</v>
      </c>
      <c r="Y210" t="s">
        <v>33</v>
      </c>
      <c r="Z210">
        <v>37500</v>
      </c>
      <c r="AA210" s="68"/>
      <c r="AB210" s="7" t="s">
        <v>132</v>
      </c>
      <c r="AC210" s="9">
        <v>46500</v>
      </c>
      <c r="AD210" s="8">
        <v>0.17448405253283303</v>
      </c>
      <c r="AE210">
        <v>8125</v>
      </c>
      <c r="AF210">
        <v>8125</v>
      </c>
      <c r="AG210" s="37">
        <f>AF210/$AF$222</f>
        <v>3.1988188976377951E-2</v>
      </c>
    </row>
    <row r="211" spans="23:33" x14ac:dyDescent="0.2">
      <c r="W211" t="s">
        <v>164</v>
      </c>
      <c r="X211" t="s">
        <v>155</v>
      </c>
      <c r="Y211" t="s">
        <v>132</v>
      </c>
      <c r="Z211">
        <v>18000</v>
      </c>
      <c r="AA211" s="108">
        <v>0.32</v>
      </c>
      <c r="AB211" s="63" t="s">
        <v>145</v>
      </c>
      <c r="AC211" s="9">
        <v>26000</v>
      </c>
      <c r="AD211" s="8">
        <v>9.7560975609756101E-2</v>
      </c>
      <c r="AG211" s="37"/>
    </row>
    <row r="212" spans="23:33" x14ac:dyDescent="0.2">
      <c r="W212" t="s">
        <v>165</v>
      </c>
      <c r="X212" t="s">
        <v>155</v>
      </c>
      <c r="Y212" t="s">
        <v>133</v>
      </c>
      <c r="Z212">
        <v>10000</v>
      </c>
      <c r="AA212" s="108"/>
      <c r="AB212" s="63" t="s">
        <v>139</v>
      </c>
      <c r="AC212" s="9">
        <v>18000</v>
      </c>
      <c r="AD212" s="8">
        <v>6.7542213883677302E-2</v>
      </c>
      <c r="AG212" s="37"/>
    </row>
    <row r="213" spans="23:33" x14ac:dyDescent="0.2">
      <c r="W213" t="s">
        <v>166</v>
      </c>
      <c r="X213" t="s">
        <v>155</v>
      </c>
      <c r="Y213" t="s">
        <v>33</v>
      </c>
      <c r="Z213">
        <v>2500</v>
      </c>
      <c r="AA213" s="70">
        <v>0.38</v>
      </c>
      <c r="AB213" s="10" t="s">
        <v>35</v>
      </c>
      <c r="AC213" s="9">
        <v>2500</v>
      </c>
      <c r="AD213" s="8">
        <v>9.3808630393996256E-3</v>
      </c>
      <c r="AG213" s="37"/>
    </row>
    <row r="214" spans="23:33" x14ac:dyDescent="0.2">
      <c r="W214" t="s">
        <v>167</v>
      </c>
      <c r="X214" t="s">
        <v>155</v>
      </c>
      <c r="Y214" t="s">
        <v>133</v>
      </c>
      <c r="Z214">
        <v>18500</v>
      </c>
      <c r="AB214" s="7" t="s">
        <v>135</v>
      </c>
      <c r="AC214" s="9">
        <v>8500</v>
      </c>
      <c r="AD214" s="8">
        <v>3.1894934333958722E-2</v>
      </c>
      <c r="AF214">
        <f>GETPIVOTDATA("Sum of Amount_True",$AB$194,"Category of Fund","Focused")</f>
        <v>0</v>
      </c>
      <c r="AG214" s="37">
        <f>AF214/$AF$222</f>
        <v>0</v>
      </c>
    </row>
    <row r="215" spans="23:33" x14ac:dyDescent="0.2">
      <c r="W215" t="s">
        <v>137</v>
      </c>
      <c r="X215" t="s">
        <v>155</v>
      </c>
      <c r="Y215" t="s">
        <v>133</v>
      </c>
      <c r="Z215">
        <v>5000</v>
      </c>
      <c r="AB215" s="10" t="s">
        <v>134</v>
      </c>
      <c r="AC215" s="9">
        <v>5000</v>
      </c>
      <c r="AD215" s="8">
        <v>1.8761726078799251E-2</v>
      </c>
      <c r="AG215" s="37"/>
    </row>
    <row r="216" spans="23:33" x14ac:dyDescent="0.2">
      <c r="W216" s="35" t="s">
        <v>168</v>
      </c>
      <c r="X216" s="35" t="s">
        <v>155</v>
      </c>
      <c r="Y216" s="35" t="s">
        <v>133</v>
      </c>
      <c r="Z216" s="35">
        <v>5000</v>
      </c>
      <c r="AB216" s="10" t="s">
        <v>142</v>
      </c>
      <c r="AC216" s="9">
        <v>3500</v>
      </c>
      <c r="AD216" s="8">
        <v>1.3133208255159476E-2</v>
      </c>
      <c r="AF216">
        <f>GETPIVOTDATA("Sum of Amount_True",$AB$194,"Category of Fund","Large &amp; Midcap")</f>
        <v>8500</v>
      </c>
      <c r="AG216" s="37">
        <f>AF216/$AF$222</f>
        <v>3.3464566929133861E-2</v>
      </c>
    </row>
    <row r="217" spans="23:33" x14ac:dyDescent="0.2">
      <c r="W217" s="35" t="s">
        <v>169</v>
      </c>
      <c r="X217" s="35" t="s">
        <v>155</v>
      </c>
      <c r="Y217" s="35" t="s">
        <v>133</v>
      </c>
      <c r="Z217" s="35">
        <v>5000</v>
      </c>
      <c r="AB217" s="7" t="s">
        <v>103</v>
      </c>
      <c r="AC217" s="9">
        <v>5000</v>
      </c>
      <c r="AD217" s="8">
        <v>1.8761726078799251E-2</v>
      </c>
    </row>
    <row r="218" spans="23:33" x14ac:dyDescent="0.2">
      <c r="W218" t="s">
        <v>170</v>
      </c>
      <c r="X218" t="s">
        <v>155</v>
      </c>
      <c r="Y218" t="s">
        <v>162</v>
      </c>
      <c r="Z218">
        <v>5000</v>
      </c>
      <c r="AB218" s="10" t="s">
        <v>130</v>
      </c>
      <c r="AC218" s="9">
        <v>5000</v>
      </c>
      <c r="AD218" s="8">
        <v>1.8761726078799251E-2</v>
      </c>
    </row>
    <row r="219" spans="23:33" x14ac:dyDescent="0.2">
      <c r="W219" t="s">
        <v>171</v>
      </c>
      <c r="X219" t="s">
        <v>155</v>
      </c>
      <c r="Y219" t="s">
        <v>132</v>
      </c>
      <c r="Z219">
        <v>2500</v>
      </c>
      <c r="AB219" s="7" t="s">
        <v>102</v>
      </c>
      <c r="AC219" s="9">
        <v>0</v>
      </c>
      <c r="AD219" s="8">
        <v>0</v>
      </c>
    </row>
    <row r="220" spans="23:33" x14ac:dyDescent="0.2">
      <c r="W220" t="s">
        <v>172</v>
      </c>
      <c r="X220" t="s">
        <v>155</v>
      </c>
      <c r="Y220" t="s">
        <v>103</v>
      </c>
      <c r="Z220">
        <v>5000</v>
      </c>
      <c r="AB220" s="7" t="s">
        <v>45</v>
      </c>
      <c r="AC220" s="9">
        <v>266500</v>
      </c>
      <c r="AD220" s="8">
        <v>1</v>
      </c>
    </row>
    <row r="222" spans="23:33" x14ac:dyDescent="0.2">
      <c r="AF222">
        <f>SUM(AF195:AF221)</f>
        <v>254000</v>
      </c>
    </row>
    <row r="226" spans="23:30" x14ac:dyDescent="0.2">
      <c r="W226" s="109" t="s">
        <v>48</v>
      </c>
      <c r="X226" s="35" t="s">
        <v>110</v>
      </c>
    </row>
    <row r="227" spans="23:30" x14ac:dyDescent="0.2">
      <c r="W227" s="109"/>
      <c r="X227" s="35" t="s">
        <v>174</v>
      </c>
    </row>
    <row r="228" spans="23:30" x14ac:dyDescent="0.2">
      <c r="W228" t="s">
        <v>125</v>
      </c>
      <c r="X228" s="35" t="s">
        <v>154</v>
      </c>
      <c r="AB228">
        <f>82*0.4</f>
        <v>32.800000000000004</v>
      </c>
      <c r="AC228" s="71" t="s">
        <v>152</v>
      </c>
      <c r="AD228" s="11">
        <v>13880705</v>
      </c>
    </row>
    <row r="229" spans="23:30" x14ac:dyDescent="0.2">
      <c r="W229" s="107" t="s">
        <v>57</v>
      </c>
      <c r="X229" s="35" t="s">
        <v>175</v>
      </c>
      <c r="AB229">
        <f>82</f>
        <v>82</v>
      </c>
      <c r="AD229" s="72">
        <f>AD228*1.4</f>
        <v>19432987</v>
      </c>
    </row>
    <row r="230" spans="23:30" x14ac:dyDescent="0.2">
      <c r="W230" s="107"/>
      <c r="X230" s="73" t="s">
        <v>111</v>
      </c>
      <c r="AD230" s="72"/>
    </row>
    <row r="231" spans="23:30" x14ac:dyDescent="0.2">
      <c r="W231" s="107"/>
      <c r="X231" s="35" t="s">
        <v>35</v>
      </c>
      <c r="AD231" s="72"/>
    </row>
    <row r="232" spans="23:30" x14ac:dyDescent="0.2">
      <c r="W232" t="s">
        <v>71</v>
      </c>
      <c r="X232" s="35" t="s">
        <v>163</v>
      </c>
      <c r="AB232">
        <f>SUM(AB228:AB229)</f>
        <v>114.80000000000001</v>
      </c>
    </row>
    <row r="233" spans="23:30" x14ac:dyDescent="0.2">
      <c r="W233" s="107" t="s">
        <v>58</v>
      </c>
      <c r="X233" s="35" t="s">
        <v>165</v>
      </c>
    </row>
    <row r="234" spans="23:30" x14ac:dyDescent="0.2">
      <c r="W234" s="107"/>
      <c r="X234" s="35" t="s">
        <v>176</v>
      </c>
    </row>
    <row r="235" spans="23:30" x14ac:dyDescent="0.2">
      <c r="W235" s="107"/>
      <c r="X235" s="35" t="s">
        <v>177</v>
      </c>
    </row>
    <row r="236" spans="23:30" x14ac:dyDescent="0.2">
      <c r="W236" s="107"/>
      <c r="X236" s="73" t="s">
        <v>178</v>
      </c>
    </row>
    <row r="237" spans="23:30" x14ac:dyDescent="0.2">
      <c r="W237" s="107"/>
      <c r="X237" s="73" t="s">
        <v>179</v>
      </c>
    </row>
    <row r="238" spans="23:30" x14ac:dyDescent="0.2">
      <c r="W238" s="107"/>
      <c r="X238" s="35" t="s">
        <v>180</v>
      </c>
    </row>
    <row r="239" spans="23:30" x14ac:dyDescent="0.2">
      <c r="W239" s="107" t="s">
        <v>65</v>
      </c>
      <c r="X239" s="73" t="s">
        <v>178</v>
      </c>
    </row>
    <row r="240" spans="23:30" x14ac:dyDescent="0.2">
      <c r="W240" s="107"/>
      <c r="X240" s="73" t="s">
        <v>181</v>
      </c>
    </row>
    <row r="241" spans="23:27" x14ac:dyDescent="0.2">
      <c r="W241" t="s">
        <v>182</v>
      </c>
      <c r="X241" t="s">
        <v>178</v>
      </c>
    </row>
    <row r="245" spans="23:27" x14ac:dyDescent="0.2">
      <c r="W245" s="2" t="s">
        <v>185</v>
      </c>
    </row>
    <row r="246" spans="23:27" x14ac:dyDescent="0.2">
      <c r="W246" t="s">
        <v>43</v>
      </c>
      <c r="X246" t="s">
        <v>153</v>
      </c>
      <c r="Y246" t="s">
        <v>96</v>
      </c>
      <c r="Z246" t="s">
        <v>14</v>
      </c>
      <c r="AA246" t="s">
        <v>186</v>
      </c>
    </row>
    <row r="247" spans="23:27" x14ac:dyDescent="0.2">
      <c r="W247" t="s">
        <v>154</v>
      </c>
      <c r="X247" t="s">
        <v>155</v>
      </c>
      <c r="Y247" t="s">
        <v>156</v>
      </c>
      <c r="Z247">
        <v>51000</v>
      </c>
      <c r="AA247">
        <v>51000</v>
      </c>
    </row>
    <row r="248" spans="23:27" x14ac:dyDescent="0.2">
      <c r="W248" t="s">
        <v>157</v>
      </c>
      <c r="X248" t="s">
        <v>155</v>
      </c>
      <c r="Y248" t="s">
        <v>30</v>
      </c>
      <c r="Z248">
        <v>26000</v>
      </c>
      <c r="AA248">
        <f>Z248</f>
        <v>26000</v>
      </c>
    </row>
    <row r="249" spans="23:27" x14ac:dyDescent="0.2">
      <c r="W249" t="s">
        <v>158</v>
      </c>
      <c r="X249" t="s">
        <v>155</v>
      </c>
      <c r="Y249" t="s">
        <v>30</v>
      </c>
      <c r="Z249">
        <v>26000</v>
      </c>
      <c r="AA249">
        <f>Z249</f>
        <v>26000</v>
      </c>
    </row>
    <row r="250" spans="23:27" x14ac:dyDescent="0.2">
      <c r="W250" t="s">
        <v>159</v>
      </c>
      <c r="X250" t="s">
        <v>155</v>
      </c>
      <c r="Y250" t="s">
        <v>132</v>
      </c>
      <c r="Z250">
        <v>26000</v>
      </c>
      <c r="AA250">
        <v>0</v>
      </c>
    </row>
    <row r="251" spans="23:27" x14ac:dyDescent="0.2">
      <c r="W251" t="s">
        <v>164</v>
      </c>
      <c r="X251" t="s">
        <v>155</v>
      </c>
      <c r="Y251" t="s">
        <v>132</v>
      </c>
      <c r="Z251">
        <v>18000</v>
      </c>
      <c r="AA251">
        <f>SUM(Z250:Z251)</f>
        <v>44000</v>
      </c>
    </row>
    <row r="252" spans="23:27" x14ac:dyDescent="0.2">
      <c r="W252" t="s">
        <v>183</v>
      </c>
      <c r="X252" t="s">
        <v>155</v>
      </c>
      <c r="Y252" t="s">
        <v>132</v>
      </c>
      <c r="Z252">
        <v>2500</v>
      </c>
      <c r="AA252">
        <f>Z252</f>
        <v>2500</v>
      </c>
    </row>
    <row r="253" spans="23:27" x14ac:dyDescent="0.2">
      <c r="W253" t="s">
        <v>163</v>
      </c>
      <c r="X253" t="s">
        <v>155</v>
      </c>
      <c r="Y253" t="s">
        <v>33</v>
      </c>
      <c r="Z253">
        <v>44000</v>
      </c>
      <c r="AA253">
        <v>46500</v>
      </c>
    </row>
    <row r="254" spans="23:27" x14ac:dyDescent="0.2">
      <c r="W254" t="s">
        <v>108</v>
      </c>
      <c r="X254" t="s">
        <v>155</v>
      </c>
      <c r="Y254" t="s">
        <v>33</v>
      </c>
      <c r="Z254">
        <v>0</v>
      </c>
      <c r="AA254">
        <v>40000</v>
      </c>
    </row>
    <row r="255" spans="23:27" x14ac:dyDescent="0.2">
      <c r="W255" t="s">
        <v>161</v>
      </c>
      <c r="X255" t="s">
        <v>155</v>
      </c>
      <c r="Y255" t="s">
        <v>162</v>
      </c>
      <c r="Z255">
        <v>3500</v>
      </c>
      <c r="AA255">
        <v>0</v>
      </c>
    </row>
    <row r="256" spans="23:27" x14ac:dyDescent="0.2">
      <c r="W256" t="s">
        <v>170</v>
      </c>
      <c r="X256" t="s">
        <v>155</v>
      </c>
      <c r="Y256" t="s">
        <v>162</v>
      </c>
      <c r="Z256">
        <v>5000</v>
      </c>
      <c r="AA256">
        <v>0</v>
      </c>
    </row>
    <row r="257" spans="23:27" x14ac:dyDescent="0.2">
      <c r="W257" t="s">
        <v>167</v>
      </c>
      <c r="X257" t="s">
        <v>155</v>
      </c>
      <c r="Y257" t="s">
        <v>133</v>
      </c>
      <c r="Z257">
        <v>20000</v>
      </c>
      <c r="AA257">
        <v>23500</v>
      </c>
    </row>
    <row r="258" spans="23:27" x14ac:dyDescent="0.2">
      <c r="W258" t="s">
        <v>160</v>
      </c>
      <c r="X258" t="s">
        <v>155</v>
      </c>
      <c r="Y258" t="s">
        <v>133</v>
      </c>
      <c r="Z258">
        <v>20000</v>
      </c>
      <c r="AA258">
        <v>20000</v>
      </c>
    </row>
    <row r="259" spans="23:27" x14ac:dyDescent="0.2">
      <c r="W259" t="s">
        <v>137</v>
      </c>
      <c r="X259" t="s">
        <v>155</v>
      </c>
      <c r="Y259" t="s">
        <v>133</v>
      </c>
      <c r="Z259">
        <v>15000</v>
      </c>
      <c r="AA259">
        <v>20000</v>
      </c>
    </row>
    <row r="260" spans="23:27" x14ac:dyDescent="0.2">
      <c r="W260" t="s">
        <v>184</v>
      </c>
      <c r="X260" t="s">
        <v>155</v>
      </c>
      <c r="Y260" t="s">
        <v>133</v>
      </c>
      <c r="Z260">
        <v>20000</v>
      </c>
      <c r="AA260">
        <v>20000</v>
      </c>
    </row>
    <row r="261" spans="23:27" x14ac:dyDescent="0.2">
      <c r="W261" t="s">
        <v>172</v>
      </c>
      <c r="X261" t="s">
        <v>155</v>
      </c>
      <c r="Y261" t="s">
        <v>103</v>
      </c>
      <c r="Z261">
        <v>5000</v>
      </c>
      <c r="AA261">
        <v>5000</v>
      </c>
    </row>
    <row r="265" spans="23:27" x14ac:dyDescent="0.2">
      <c r="W265" s="6" t="s">
        <v>44</v>
      </c>
      <c r="X265" t="s">
        <v>187</v>
      </c>
      <c r="Y265" t="s">
        <v>199</v>
      </c>
    </row>
    <row r="266" spans="23:27" x14ac:dyDescent="0.2">
      <c r="W266" s="7" t="s">
        <v>33</v>
      </c>
      <c r="X266">
        <v>86500</v>
      </c>
      <c r="Y266" s="8">
        <v>0.26656394453004623</v>
      </c>
    </row>
    <row r="267" spans="23:27" x14ac:dyDescent="0.2">
      <c r="W267" s="10" t="s">
        <v>163</v>
      </c>
      <c r="X267">
        <v>46500</v>
      </c>
      <c r="Y267" s="8">
        <v>0.53757225433526012</v>
      </c>
    </row>
    <row r="268" spans="23:27" x14ac:dyDescent="0.2">
      <c r="W268" s="10" t="s">
        <v>108</v>
      </c>
      <c r="X268">
        <v>40000</v>
      </c>
      <c r="Y268" s="8">
        <v>0.46242774566473988</v>
      </c>
    </row>
    <row r="269" spans="23:27" x14ac:dyDescent="0.2">
      <c r="W269" s="7" t="s">
        <v>133</v>
      </c>
      <c r="X269">
        <v>83500</v>
      </c>
      <c r="Y269" s="8">
        <v>0.25731895223420648</v>
      </c>
    </row>
    <row r="270" spans="23:27" x14ac:dyDescent="0.2">
      <c r="W270" s="10" t="s">
        <v>160</v>
      </c>
      <c r="X270">
        <v>20000</v>
      </c>
      <c r="Y270" s="8">
        <v>0.23952095808383234</v>
      </c>
    </row>
    <row r="271" spans="23:27" x14ac:dyDescent="0.2">
      <c r="W271" s="10" t="s">
        <v>137</v>
      </c>
      <c r="X271">
        <v>20000</v>
      </c>
      <c r="Y271" s="8">
        <v>0.23952095808383234</v>
      </c>
    </row>
    <row r="272" spans="23:27" x14ac:dyDescent="0.2">
      <c r="W272" s="10" t="s">
        <v>167</v>
      </c>
      <c r="X272">
        <v>23500</v>
      </c>
      <c r="Y272" s="8">
        <v>0.28143712574850299</v>
      </c>
    </row>
    <row r="273" spans="23:25" x14ac:dyDescent="0.2">
      <c r="W273" s="10" t="s">
        <v>184</v>
      </c>
      <c r="X273">
        <v>20000</v>
      </c>
      <c r="Y273" s="8">
        <v>0.23952095808383234</v>
      </c>
    </row>
    <row r="274" spans="23:25" x14ac:dyDescent="0.2">
      <c r="W274" s="7" t="s">
        <v>30</v>
      </c>
      <c r="X274">
        <v>52000</v>
      </c>
      <c r="Y274" s="8">
        <v>0.16024653312788906</v>
      </c>
    </row>
    <row r="275" spans="23:25" x14ac:dyDescent="0.2">
      <c r="W275" s="10" t="s">
        <v>158</v>
      </c>
      <c r="X275">
        <v>26000</v>
      </c>
      <c r="Y275" s="8">
        <v>0.5</v>
      </c>
    </row>
    <row r="276" spans="23:25" x14ac:dyDescent="0.2">
      <c r="W276" s="10" t="s">
        <v>157</v>
      </c>
      <c r="X276">
        <v>26000</v>
      </c>
      <c r="Y276" s="8">
        <v>0.5</v>
      </c>
    </row>
    <row r="277" spans="23:25" x14ac:dyDescent="0.2">
      <c r="W277" s="7" t="s">
        <v>156</v>
      </c>
      <c r="X277">
        <v>51000</v>
      </c>
      <c r="Y277" s="8">
        <v>0.15716486902927582</v>
      </c>
    </row>
    <row r="278" spans="23:25" x14ac:dyDescent="0.2">
      <c r="W278" s="10" t="s">
        <v>154</v>
      </c>
      <c r="X278">
        <v>51000</v>
      </c>
      <c r="Y278" s="8">
        <v>1</v>
      </c>
    </row>
    <row r="279" spans="23:25" x14ac:dyDescent="0.2">
      <c r="W279" s="7" t="s">
        <v>132</v>
      </c>
      <c r="X279">
        <v>46500</v>
      </c>
      <c r="Y279" s="8">
        <v>0.14329738058551617</v>
      </c>
    </row>
    <row r="280" spans="23:25" x14ac:dyDescent="0.2">
      <c r="W280" s="10" t="s">
        <v>164</v>
      </c>
      <c r="X280">
        <v>44000</v>
      </c>
      <c r="Y280" s="8">
        <v>0.94623655913978499</v>
      </c>
    </row>
    <row r="281" spans="23:25" x14ac:dyDescent="0.2">
      <c r="W281" s="10" t="s">
        <v>183</v>
      </c>
      <c r="X281">
        <v>2500</v>
      </c>
      <c r="Y281" s="8">
        <v>5.3763440860215055E-2</v>
      </c>
    </row>
    <row r="282" spans="23:25" x14ac:dyDescent="0.2">
      <c r="W282" s="7" t="s">
        <v>103</v>
      </c>
      <c r="X282">
        <v>5000</v>
      </c>
      <c r="Y282" s="8">
        <v>1.5408320493066256E-2</v>
      </c>
    </row>
    <row r="283" spans="23:25" x14ac:dyDescent="0.2">
      <c r="W283" s="10" t="s">
        <v>172</v>
      </c>
      <c r="X283">
        <v>5000</v>
      </c>
      <c r="Y283" s="8">
        <v>1</v>
      </c>
    </row>
    <row r="284" spans="23:25" x14ac:dyDescent="0.2">
      <c r="W284" s="7" t="s">
        <v>45</v>
      </c>
      <c r="X284">
        <v>324500</v>
      </c>
      <c r="Y284" s="8">
        <v>1</v>
      </c>
    </row>
    <row r="288" spans="23:25" x14ac:dyDescent="0.2">
      <c r="W288" s="38" t="s">
        <v>149</v>
      </c>
    </row>
    <row r="289" spans="22:30" x14ac:dyDescent="0.2">
      <c r="V289" s="85" t="s">
        <v>210</v>
      </c>
      <c r="W289" s="85" t="s">
        <v>43</v>
      </c>
      <c r="X289" s="85" t="s">
        <v>127</v>
      </c>
      <c r="Y289" s="85" t="s">
        <v>128</v>
      </c>
      <c r="Z289" s="85" t="s">
        <v>203</v>
      </c>
      <c r="AA289" s="85" t="s">
        <v>207</v>
      </c>
      <c r="AB289" s="85" t="s">
        <v>213</v>
      </c>
      <c r="AC289" s="85" t="s">
        <v>217</v>
      </c>
      <c r="AD289" s="85" t="s">
        <v>219</v>
      </c>
    </row>
    <row r="290" spans="22:30" x14ac:dyDescent="0.2">
      <c r="V290" t="s">
        <v>211</v>
      </c>
      <c r="W290" t="s">
        <v>130</v>
      </c>
      <c r="X290" t="s">
        <v>103</v>
      </c>
      <c r="Y290" t="s">
        <v>94</v>
      </c>
      <c r="Z290">
        <v>5000</v>
      </c>
      <c r="AA290" t="s">
        <v>208</v>
      </c>
      <c r="AB290">
        <f>IF(AA290="Monthly", Z290,Z290*4)</f>
        <v>5000</v>
      </c>
      <c r="AD290">
        <v>5000</v>
      </c>
    </row>
    <row r="291" spans="22:30" x14ac:dyDescent="0.2">
      <c r="V291" s="60" t="s">
        <v>211</v>
      </c>
      <c r="W291" s="60" t="s">
        <v>214</v>
      </c>
      <c r="X291" s="60" t="s">
        <v>132</v>
      </c>
      <c r="Y291" s="60" t="s">
        <v>94</v>
      </c>
      <c r="Z291" s="60">
        <v>5000</v>
      </c>
      <c r="AA291" s="60" t="s">
        <v>208</v>
      </c>
      <c r="AB291" s="60">
        <f t="shared" ref="AB291:AB306" si="2">IF(AA291="Monthly", Z291,Z291*4)</f>
        <v>5000</v>
      </c>
      <c r="AD291">
        <v>0</v>
      </c>
    </row>
    <row r="292" spans="22:30" x14ac:dyDescent="0.2">
      <c r="V292" s="60" t="s">
        <v>211</v>
      </c>
      <c r="W292" s="60" t="s">
        <v>122</v>
      </c>
      <c r="X292" s="60" t="s">
        <v>133</v>
      </c>
      <c r="Y292" s="60" t="s">
        <v>94</v>
      </c>
      <c r="Z292" s="60">
        <v>5000</v>
      </c>
      <c r="AA292" s="60" t="s">
        <v>208</v>
      </c>
      <c r="AB292" s="60">
        <f t="shared" si="2"/>
        <v>5000</v>
      </c>
      <c r="AD292">
        <v>0</v>
      </c>
    </row>
    <row r="293" spans="22:30" x14ac:dyDescent="0.2">
      <c r="V293" s="60" t="s">
        <v>212</v>
      </c>
      <c r="W293" s="60" t="s">
        <v>34</v>
      </c>
      <c r="X293" s="60" t="s">
        <v>33</v>
      </c>
      <c r="Y293" s="60" t="s">
        <v>94</v>
      </c>
      <c r="Z293" s="60">
        <v>2500</v>
      </c>
      <c r="AA293" s="60" t="s">
        <v>208</v>
      </c>
      <c r="AB293" s="60">
        <f t="shared" si="2"/>
        <v>2500</v>
      </c>
      <c r="AD293">
        <v>0</v>
      </c>
    </row>
    <row r="294" spans="22:30" x14ac:dyDescent="0.2">
      <c r="V294" s="60" t="s">
        <v>212</v>
      </c>
      <c r="W294" s="60" t="s">
        <v>35</v>
      </c>
      <c r="X294" s="60" t="s">
        <v>132</v>
      </c>
      <c r="Y294" s="60" t="s">
        <v>94</v>
      </c>
      <c r="Z294" s="60">
        <v>2500</v>
      </c>
      <c r="AA294" s="60" t="s">
        <v>208</v>
      </c>
      <c r="AB294" s="60">
        <f t="shared" si="2"/>
        <v>2500</v>
      </c>
      <c r="AD294">
        <v>10000</v>
      </c>
    </row>
    <row r="295" spans="22:30" x14ac:dyDescent="0.2">
      <c r="V295" s="60" t="s">
        <v>211</v>
      </c>
      <c r="W295" s="60" t="s">
        <v>134</v>
      </c>
      <c r="X295" s="60" t="s">
        <v>135</v>
      </c>
      <c r="Y295" s="60" t="s">
        <v>94</v>
      </c>
      <c r="Z295" s="60">
        <v>5000</v>
      </c>
      <c r="AA295" s="60" t="s">
        <v>208</v>
      </c>
      <c r="AB295" s="60">
        <f t="shared" si="2"/>
        <v>5000</v>
      </c>
      <c r="AD295">
        <v>0</v>
      </c>
    </row>
    <row r="296" spans="22:30" x14ac:dyDescent="0.2">
      <c r="V296" s="60" t="s">
        <v>211</v>
      </c>
      <c r="W296" s="60" t="s">
        <v>136</v>
      </c>
      <c r="X296" s="60" t="s">
        <v>133</v>
      </c>
      <c r="Y296" s="60" t="s">
        <v>94</v>
      </c>
      <c r="Z296" s="60">
        <v>5000</v>
      </c>
      <c r="AA296" s="60" t="s">
        <v>208</v>
      </c>
      <c r="AB296" s="60">
        <f t="shared" si="2"/>
        <v>5000</v>
      </c>
      <c r="AD296">
        <v>0</v>
      </c>
    </row>
    <row r="297" spans="22:30" x14ac:dyDescent="0.2">
      <c r="V297" s="60" t="s">
        <v>212</v>
      </c>
      <c r="W297" s="60" t="s">
        <v>137</v>
      </c>
      <c r="X297" s="60" t="s">
        <v>133</v>
      </c>
      <c r="Y297" s="60" t="s">
        <v>94</v>
      </c>
      <c r="Z297" s="60">
        <v>5000</v>
      </c>
      <c r="AA297" s="60" t="s">
        <v>208</v>
      </c>
      <c r="AB297" s="60">
        <f t="shared" si="2"/>
        <v>5000</v>
      </c>
      <c r="AC297" s="60" t="s">
        <v>218</v>
      </c>
      <c r="AD297">
        <v>20000</v>
      </c>
    </row>
    <row r="298" spans="22:30" x14ac:dyDescent="0.2">
      <c r="V298" s="60" t="s">
        <v>211</v>
      </c>
      <c r="W298" s="60" t="s">
        <v>138</v>
      </c>
      <c r="X298" s="60" t="s">
        <v>133</v>
      </c>
      <c r="Y298" s="60" t="s">
        <v>94</v>
      </c>
      <c r="Z298" s="60">
        <v>5000</v>
      </c>
      <c r="AA298" s="60" t="s">
        <v>208</v>
      </c>
      <c r="AB298" s="60">
        <f t="shared" si="2"/>
        <v>5000</v>
      </c>
      <c r="AD298">
        <v>0</v>
      </c>
    </row>
    <row r="299" spans="22:30" x14ac:dyDescent="0.2">
      <c r="V299" t="s">
        <v>211</v>
      </c>
      <c r="W299" t="s">
        <v>139</v>
      </c>
      <c r="X299" t="s">
        <v>132</v>
      </c>
      <c r="Y299" t="s">
        <v>93</v>
      </c>
      <c r="Z299">
        <v>13000</v>
      </c>
      <c r="AA299" t="s">
        <v>208</v>
      </c>
      <c r="AB299">
        <f t="shared" si="2"/>
        <v>13000</v>
      </c>
      <c r="AD299">
        <v>44000</v>
      </c>
    </row>
    <row r="300" spans="22:30" x14ac:dyDescent="0.2">
      <c r="V300" t="s">
        <v>211</v>
      </c>
      <c r="W300" t="s">
        <v>141</v>
      </c>
      <c r="X300" t="s">
        <v>33</v>
      </c>
      <c r="Y300" t="s">
        <v>93</v>
      </c>
      <c r="Z300">
        <v>11000</v>
      </c>
      <c r="AA300" t="s">
        <v>209</v>
      </c>
      <c r="AB300">
        <f t="shared" si="2"/>
        <v>44000</v>
      </c>
      <c r="AD300">
        <v>80000</v>
      </c>
    </row>
    <row r="301" spans="22:30" x14ac:dyDescent="0.2">
      <c r="V301" t="s">
        <v>211</v>
      </c>
      <c r="W301" t="s">
        <v>143</v>
      </c>
      <c r="X301" t="s">
        <v>144</v>
      </c>
      <c r="Y301" t="s">
        <v>93</v>
      </c>
      <c r="Z301">
        <v>26000</v>
      </c>
      <c r="AA301" t="s">
        <v>208</v>
      </c>
      <c r="AB301">
        <f t="shared" si="2"/>
        <v>26000</v>
      </c>
      <c r="AD301">
        <v>26000</v>
      </c>
    </row>
    <row r="302" spans="22:30" x14ac:dyDescent="0.2">
      <c r="V302" t="s">
        <v>211</v>
      </c>
      <c r="W302" t="s">
        <v>145</v>
      </c>
      <c r="X302" t="s">
        <v>132</v>
      </c>
      <c r="Y302" t="s">
        <v>93</v>
      </c>
      <c r="Z302">
        <v>26000</v>
      </c>
      <c r="AA302" t="s">
        <v>208</v>
      </c>
      <c r="AB302">
        <f t="shared" si="2"/>
        <v>26000</v>
      </c>
      <c r="AD302">
        <v>0</v>
      </c>
    </row>
    <row r="303" spans="22:30" x14ac:dyDescent="0.2">
      <c r="V303" t="s">
        <v>211</v>
      </c>
      <c r="W303" t="s">
        <v>146</v>
      </c>
      <c r="X303" t="s">
        <v>147</v>
      </c>
      <c r="Y303" t="s">
        <v>93</v>
      </c>
      <c r="Z303">
        <v>51000</v>
      </c>
      <c r="AA303" t="s">
        <v>208</v>
      </c>
      <c r="AB303">
        <f t="shared" si="2"/>
        <v>51000</v>
      </c>
      <c r="AD303">
        <v>51000</v>
      </c>
    </row>
    <row r="304" spans="22:30" x14ac:dyDescent="0.2">
      <c r="V304" t="s">
        <v>211</v>
      </c>
      <c r="W304" t="s">
        <v>129</v>
      </c>
      <c r="X304" t="s">
        <v>133</v>
      </c>
      <c r="Y304" t="s">
        <v>93</v>
      </c>
      <c r="Z304">
        <v>5000</v>
      </c>
      <c r="AA304" t="s">
        <v>209</v>
      </c>
      <c r="AB304">
        <f t="shared" si="2"/>
        <v>20000</v>
      </c>
      <c r="AD304">
        <v>20000</v>
      </c>
    </row>
    <row r="305" spans="22:30" x14ac:dyDescent="0.2">
      <c r="V305" t="s">
        <v>211</v>
      </c>
      <c r="W305" t="s">
        <v>148</v>
      </c>
      <c r="X305" t="s">
        <v>144</v>
      </c>
      <c r="Y305" t="s">
        <v>93</v>
      </c>
      <c r="Z305">
        <v>26000</v>
      </c>
      <c r="AA305" t="s">
        <v>208</v>
      </c>
      <c r="AB305">
        <f t="shared" si="2"/>
        <v>26000</v>
      </c>
      <c r="AD305">
        <v>26000</v>
      </c>
    </row>
    <row r="306" spans="22:30" x14ac:dyDescent="0.2">
      <c r="V306" t="s">
        <v>211</v>
      </c>
      <c r="W306" t="s">
        <v>122</v>
      </c>
      <c r="X306" t="s">
        <v>133</v>
      </c>
      <c r="Y306" t="s">
        <v>93</v>
      </c>
      <c r="Z306">
        <v>5000</v>
      </c>
      <c r="AA306" t="s">
        <v>209</v>
      </c>
      <c r="AB306">
        <f t="shared" si="2"/>
        <v>20000</v>
      </c>
      <c r="AD306">
        <v>20000</v>
      </c>
    </row>
    <row r="307" spans="22:30" x14ac:dyDescent="0.2">
      <c r="V307" t="s">
        <v>211</v>
      </c>
      <c r="W307" t="s">
        <v>112</v>
      </c>
      <c r="X307" t="s">
        <v>133</v>
      </c>
      <c r="Y307" t="s">
        <v>93</v>
      </c>
      <c r="Z307">
        <v>5000</v>
      </c>
      <c r="AA307" t="s">
        <v>209</v>
      </c>
      <c r="AB307">
        <v>10000</v>
      </c>
      <c r="AD307">
        <v>10000</v>
      </c>
    </row>
    <row r="308" spans="22:30" x14ac:dyDescent="0.2">
      <c r="AB308">
        <f>SUM(AB290:AB307)</f>
        <v>276000</v>
      </c>
    </row>
    <row r="312" spans="22:30" x14ac:dyDescent="0.2">
      <c r="X312" s="6" t="s">
        <v>44</v>
      </c>
      <c r="Y312" t="s">
        <v>220</v>
      </c>
      <c r="Z312" t="s">
        <v>221</v>
      </c>
    </row>
    <row r="313" spans="22:30" x14ac:dyDescent="0.2">
      <c r="X313" s="7" t="s">
        <v>33</v>
      </c>
      <c r="Y313" s="9">
        <v>80000</v>
      </c>
      <c r="Z313" s="8">
        <v>0.25641025641025639</v>
      </c>
    </row>
    <row r="314" spans="22:30" x14ac:dyDescent="0.2">
      <c r="X314" s="7" t="s">
        <v>133</v>
      </c>
      <c r="Y314" s="9">
        <v>70000</v>
      </c>
      <c r="Z314" s="8">
        <v>0.22435897435897437</v>
      </c>
    </row>
    <row r="315" spans="22:30" x14ac:dyDescent="0.2">
      <c r="X315" s="7" t="s">
        <v>132</v>
      </c>
      <c r="Y315" s="9">
        <v>54000</v>
      </c>
      <c r="Z315" s="8">
        <v>0.17307692307692307</v>
      </c>
    </row>
    <row r="316" spans="22:30" x14ac:dyDescent="0.2">
      <c r="X316" s="7" t="s">
        <v>144</v>
      </c>
      <c r="Y316" s="9">
        <v>52000</v>
      </c>
      <c r="Z316" s="8">
        <v>0.16666666666666666</v>
      </c>
    </row>
    <row r="317" spans="22:30" x14ac:dyDescent="0.2">
      <c r="X317" s="7" t="s">
        <v>147</v>
      </c>
      <c r="Y317" s="9">
        <v>51000</v>
      </c>
      <c r="Z317" s="8">
        <v>0.16346153846153846</v>
      </c>
    </row>
    <row r="318" spans="22:30" x14ac:dyDescent="0.2">
      <c r="X318" s="7" t="s">
        <v>103</v>
      </c>
      <c r="Y318" s="9">
        <v>5000</v>
      </c>
      <c r="Z318" s="8">
        <v>1.6025641025641024E-2</v>
      </c>
    </row>
    <row r="319" spans="22:30" x14ac:dyDescent="0.2">
      <c r="X319" s="7" t="s">
        <v>45</v>
      </c>
      <c r="Y319" s="9">
        <v>312000</v>
      </c>
      <c r="Z319" s="8">
        <v>1</v>
      </c>
    </row>
    <row r="334" spans="24:26" x14ac:dyDescent="0.2">
      <c r="X334" s="6" t="s">
        <v>44</v>
      </c>
      <c r="Y334" t="s">
        <v>220</v>
      </c>
      <c r="Z334" t="s">
        <v>221</v>
      </c>
    </row>
    <row r="335" spans="24:26" x14ac:dyDescent="0.2">
      <c r="X335" s="7" t="s">
        <v>33</v>
      </c>
      <c r="Y335" s="9">
        <v>80000</v>
      </c>
      <c r="Z335" s="8">
        <v>0.25641025641025639</v>
      </c>
    </row>
    <row r="336" spans="24:26" x14ac:dyDescent="0.2">
      <c r="X336" s="10" t="s">
        <v>141</v>
      </c>
      <c r="Y336" s="9">
        <v>80000</v>
      </c>
      <c r="Z336" s="8">
        <v>0.25641025641025639</v>
      </c>
    </row>
    <row r="337" spans="24:26" x14ac:dyDescent="0.2">
      <c r="X337" s="7" t="s">
        <v>133</v>
      </c>
      <c r="Y337" s="9">
        <v>70000</v>
      </c>
      <c r="Z337" s="8">
        <v>0.22435897435897437</v>
      </c>
    </row>
    <row r="338" spans="24:26" x14ac:dyDescent="0.2">
      <c r="X338" s="10" t="s">
        <v>112</v>
      </c>
      <c r="Y338" s="9">
        <v>10000</v>
      </c>
      <c r="Z338" s="8">
        <v>3.2051282051282048E-2</v>
      </c>
    </row>
    <row r="339" spans="24:26" x14ac:dyDescent="0.2">
      <c r="X339" s="10" t="s">
        <v>137</v>
      </c>
      <c r="Y339" s="9">
        <v>20000</v>
      </c>
      <c r="Z339" s="8">
        <v>6.4102564102564097E-2</v>
      </c>
    </row>
    <row r="340" spans="24:26" x14ac:dyDescent="0.2">
      <c r="X340" s="10" t="s">
        <v>129</v>
      </c>
      <c r="Y340" s="9">
        <v>20000</v>
      </c>
      <c r="Z340" s="8">
        <v>6.4102564102564097E-2</v>
      </c>
    </row>
    <row r="341" spans="24:26" x14ac:dyDescent="0.2">
      <c r="X341" s="10" t="s">
        <v>122</v>
      </c>
      <c r="Y341" s="9">
        <v>20000</v>
      </c>
      <c r="Z341" s="8">
        <v>6.4102564102564097E-2</v>
      </c>
    </row>
    <row r="342" spans="24:26" x14ac:dyDescent="0.2">
      <c r="X342" s="7" t="s">
        <v>132</v>
      </c>
      <c r="Y342" s="9">
        <v>54000</v>
      </c>
      <c r="Z342" s="8">
        <v>0.17307692307692307</v>
      </c>
    </row>
    <row r="343" spans="24:26" x14ac:dyDescent="0.2">
      <c r="X343" s="10" t="s">
        <v>139</v>
      </c>
      <c r="Y343" s="9">
        <v>44000</v>
      </c>
      <c r="Z343" s="8">
        <v>0.14102564102564102</v>
      </c>
    </row>
    <row r="344" spans="24:26" x14ac:dyDescent="0.2">
      <c r="X344" s="10" t="s">
        <v>35</v>
      </c>
      <c r="Y344" s="9">
        <v>10000</v>
      </c>
      <c r="Z344" s="8">
        <v>3.2051282051282048E-2</v>
      </c>
    </row>
    <row r="345" spans="24:26" x14ac:dyDescent="0.2">
      <c r="X345" s="7" t="s">
        <v>144</v>
      </c>
      <c r="Y345" s="9">
        <v>52000</v>
      </c>
      <c r="Z345" s="8">
        <v>0.16666666666666666</v>
      </c>
    </row>
    <row r="346" spans="24:26" x14ac:dyDescent="0.2">
      <c r="X346" s="10" t="s">
        <v>148</v>
      </c>
      <c r="Y346" s="9">
        <v>26000</v>
      </c>
      <c r="Z346" s="8">
        <v>8.3333333333333329E-2</v>
      </c>
    </row>
    <row r="347" spans="24:26" x14ac:dyDescent="0.2">
      <c r="X347" s="10" t="s">
        <v>143</v>
      </c>
      <c r="Y347" s="9">
        <v>26000</v>
      </c>
      <c r="Z347" s="8">
        <v>8.3333333333333329E-2</v>
      </c>
    </row>
    <row r="348" spans="24:26" x14ac:dyDescent="0.2">
      <c r="X348" s="7" t="s">
        <v>147</v>
      </c>
      <c r="Y348" s="9">
        <v>51000</v>
      </c>
      <c r="Z348" s="8">
        <v>0.16346153846153846</v>
      </c>
    </row>
    <row r="349" spans="24:26" x14ac:dyDescent="0.2">
      <c r="X349" s="10" t="s">
        <v>146</v>
      </c>
      <c r="Y349" s="9">
        <v>51000</v>
      </c>
      <c r="Z349" s="8">
        <v>0.16346153846153846</v>
      </c>
    </row>
    <row r="350" spans="24:26" x14ac:dyDescent="0.2">
      <c r="X350" s="7" t="s">
        <v>103</v>
      </c>
      <c r="Y350" s="9">
        <v>5000</v>
      </c>
      <c r="Z350" s="8">
        <v>1.6025641025641024E-2</v>
      </c>
    </row>
    <row r="351" spans="24:26" x14ac:dyDescent="0.2">
      <c r="X351" s="10" t="s">
        <v>130</v>
      </c>
      <c r="Y351" s="9">
        <v>5000</v>
      </c>
      <c r="Z351" s="8">
        <v>1.6025641025641024E-2</v>
      </c>
    </row>
    <row r="352" spans="24:26" x14ac:dyDescent="0.2">
      <c r="X352" s="7" t="s">
        <v>45</v>
      </c>
      <c r="Y352" s="9">
        <v>312000</v>
      </c>
      <c r="Z352" s="8">
        <v>1</v>
      </c>
    </row>
  </sheetData>
  <mergeCells count="7">
    <mergeCell ref="W239:W240"/>
    <mergeCell ref="W229:W231"/>
    <mergeCell ref="AA196:AA197"/>
    <mergeCell ref="AA208:AA209"/>
    <mergeCell ref="AA211:AA212"/>
    <mergeCell ref="W226:W227"/>
    <mergeCell ref="W233:W23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9758-7535-BA41-B5B1-F02E31C41A53}">
  <dimension ref="A1:H83"/>
  <sheetViews>
    <sheetView zoomScale="114" workbookViewId="0">
      <selection activeCell="A24" sqref="A24"/>
    </sheetView>
  </sheetViews>
  <sheetFormatPr baseColWidth="10" defaultRowHeight="16" x14ac:dyDescent="0.2"/>
  <cols>
    <col min="1" max="1" width="49.5" bestFit="1" customWidth="1"/>
    <col min="2" max="2" width="27.33203125" customWidth="1"/>
    <col min="3" max="3" width="18.83203125" bestFit="1" customWidth="1"/>
    <col min="4" max="4" width="21" bestFit="1" customWidth="1"/>
    <col min="5" max="5" width="20.5" bestFit="1" customWidth="1"/>
    <col min="6" max="6" width="13" bestFit="1" customWidth="1"/>
    <col min="7" max="7" width="12.1640625" bestFit="1" customWidth="1"/>
  </cols>
  <sheetData>
    <row r="1" spans="1:7" x14ac:dyDescent="0.2">
      <c r="A1" s="42" t="s">
        <v>43</v>
      </c>
      <c r="B1" s="42" t="s">
        <v>96</v>
      </c>
      <c r="C1" s="42"/>
      <c r="D1" s="42" t="s">
        <v>192</v>
      </c>
      <c r="E1" s="42" t="s">
        <v>188</v>
      </c>
      <c r="F1" s="42" t="s">
        <v>189</v>
      </c>
      <c r="G1" s="79" t="s">
        <v>206</v>
      </c>
    </row>
    <row r="2" spans="1:7" x14ac:dyDescent="0.2">
      <c r="A2" s="3" t="s">
        <v>190</v>
      </c>
      <c r="B2" s="3" t="s">
        <v>42</v>
      </c>
      <c r="C2" s="3">
        <v>25000</v>
      </c>
      <c r="D2" s="74">
        <v>380000</v>
      </c>
      <c r="E2" s="75">
        <v>44718</v>
      </c>
      <c r="F2" s="75">
        <v>44993</v>
      </c>
      <c r="G2" t="s">
        <v>201</v>
      </c>
    </row>
    <row r="3" spans="1:7" x14ac:dyDescent="0.2">
      <c r="A3" s="3" t="s">
        <v>191</v>
      </c>
      <c r="B3" s="3" t="s">
        <v>42</v>
      </c>
      <c r="C3" s="3">
        <v>25000</v>
      </c>
      <c r="D3" s="76">
        <v>290000</v>
      </c>
      <c r="E3" s="75">
        <v>44718</v>
      </c>
      <c r="F3" s="75">
        <v>45012</v>
      </c>
      <c r="G3" t="s">
        <v>201</v>
      </c>
    </row>
    <row r="4" spans="1:7" x14ac:dyDescent="0.2">
      <c r="A4" s="3" t="s">
        <v>193</v>
      </c>
      <c r="B4" s="3" t="s">
        <v>42</v>
      </c>
      <c r="C4" s="3">
        <v>25000</v>
      </c>
      <c r="D4" s="76">
        <v>260000</v>
      </c>
      <c r="E4" s="75">
        <v>44732</v>
      </c>
      <c r="F4" s="75">
        <v>45005</v>
      </c>
      <c r="G4" t="s">
        <v>201</v>
      </c>
    </row>
    <row r="5" spans="1:7" x14ac:dyDescent="0.2">
      <c r="A5" s="3" t="s">
        <v>194</v>
      </c>
      <c r="B5" s="3" t="s">
        <v>25</v>
      </c>
      <c r="C5" s="3"/>
      <c r="D5" s="74">
        <v>150000</v>
      </c>
      <c r="E5" s="75">
        <v>43549</v>
      </c>
      <c r="F5" s="75">
        <v>45021</v>
      </c>
      <c r="G5" t="s">
        <v>201</v>
      </c>
    </row>
    <row r="6" spans="1:7" x14ac:dyDescent="0.2">
      <c r="A6" s="3" t="s">
        <v>195</v>
      </c>
      <c r="B6" s="3" t="s">
        <v>48</v>
      </c>
      <c r="C6" s="3"/>
      <c r="D6" s="74">
        <v>193000</v>
      </c>
      <c r="E6" s="75">
        <v>43532</v>
      </c>
      <c r="F6" s="75">
        <v>45056</v>
      </c>
      <c r="G6" t="s">
        <v>201</v>
      </c>
    </row>
    <row r="7" spans="1:7" x14ac:dyDescent="0.2">
      <c r="A7" s="3" t="s">
        <v>142</v>
      </c>
      <c r="B7" s="3" t="s">
        <v>116</v>
      </c>
      <c r="C7" s="3"/>
      <c r="D7" s="74">
        <v>191000</v>
      </c>
      <c r="E7" s="75">
        <v>43556</v>
      </c>
      <c r="F7" s="75">
        <v>45139</v>
      </c>
      <c r="G7" t="s">
        <v>201</v>
      </c>
    </row>
    <row r="8" spans="1:7" x14ac:dyDescent="0.2">
      <c r="A8" s="3" t="s">
        <v>196</v>
      </c>
      <c r="B8" s="3" t="s">
        <v>48</v>
      </c>
      <c r="C8" s="3"/>
      <c r="D8" s="74">
        <v>78500</v>
      </c>
      <c r="E8" s="75">
        <v>42730</v>
      </c>
      <c r="F8" s="75">
        <v>44993</v>
      </c>
      <c r="G8" t="s">
        <v>201</v>
      </c>
    </row>
    <row r="9" spans="1:7" x14ac:dyDescent="0.2">
      <c r="A9" s="3" t="s">
        <v>197</v>
      </c>
      <c r="B9" s="3" t="s">
        <v>59</v>
      </c>
      <c r="C9" s="3"/>
      <c r="D9" s="74">
        <v>64300</v>
      </c>
      <c r="E9" s="75">
        <v>43532</v>
      </c>
      <c r="F9" s="75">
        <v>44993</v>
      </c>
      <c r="G9" t="s">
        <v>201</v>
      </c>
    </row>
    <row r="10" spans="1:7" x14ac:dyDescent="0.2">
      <c r="A10" s="80" t="s">
        <v>109</v>
      </c>
      <c r="C10" s="80">
        <v>51000</v>
      </c>
      <c r="D10" s="81">
        <v>760231</v>
      </c>
      <c r="E10" s="82"/>
      <c r="F10" s="82"/>
      <c r="G10" s="80" t="s">
        <v>202</v>
      </c>
    </row>
    <row r="11" spans="1:7" x14ac:dyDescent="0.2">
      <c r="A11" s="80" t="s">
        <v>110</v>
      </c>
      <c r="C11" s="80">
        <v>26000</v>
      </c>
      <c r="D11" s="81">
        <v>578674</v>
      </c>
      <c r="E11" s="82"/>
      <c r="F11" s="82"/>
      <c r="G11" s="80" t="s">
        <v>202</v>
      </c>
    </row>
    <row r="12" spans="1:7" x14ac:dyDescent="0.2">
      <c r="A12" s="80" t="s">
        <v>111</v>
      </c>
      <c r="C12" s="80">
        <v>26000</v>
      </c>
      <c r="D12" s="81">
        <v>548488</v>
      </c>
      <c r="E12" s="82"/>
      <c r="F12" s="82"/>
      <c r="G12" s="80" t="s">
        <v>202</v>
      </c>
    </row>
    <row r="13" spans="1:7" x14ac:dyDescent="0.2">
      <c r="A13" s="80" t="s">
        <v>204</v>
      </c>
      <c r="C13" s="80">
        <v>26000</v>
      </c>
      <c r="D13" s="81">
        <v>311062</v>
      </c>
      <c r="E13" s="82"/>
      <c r="F13" s="82"/>
      <c r="G13" s="80" t="s">
        <v>202</v>
      </c>
    </row>
    <row r="14" spans="1:7" x14ac:dyDescent="0.2">
      <c r="A14" s="80" t="s">
        <v>205</v>
      </c>
      <c r="C14" s="80">
        <v>3500</v>
      </c>
      <c r="D14" s="81">
        <v>192989</v>
      </c>
      <c r="E14" s="82"/>
      <c r="F14" s="82"/>
      <c r="G14" s="80" t="s">
        <v>202</v>
      </c>
    </row>
    <row r="15" spans="1:7" x14ac:dyDescent="0.2">
      <c r="A15" s="3"/>
      <c r="B15" s="3"/>
      <c r="C15" s="3"/>
      <c r="D15" s="74"/>
      <c r="E15" s="75"/>
      <c r="F15" s="75"/>
    </row>
    <row r="16" spans="1:7" x14ac:dyDescent="0.2">
      <c r="A16" s="42" t="s">
        <v>198</v>
      </c>
      <c r="B16" s="42"/>
      <c r="C16" s="42"/>
      <c r="D16" s="77">
        <f>SUM(D2:D9)</f>
        <v>1606800</v>
      </c>
      <c r="E16" s="3"/>
      <c r="F16" s="3"/>
    </row>
    <row r="19" spans="1:7" x14ac:dyDescent="0.2">
      <c r="A19" s="42" t="s">
        <v>43</v>
      </c>
      <c r="B19" s="42" t="s">
        <v>203</v>
      </c>
      <c r="C19" s="42"/>
      <c r="D19" s="42" t="s">
        <v>192</v>
      </c>
      <c r="E19" s="42" t="s">
        <v>188</v>
      </c>
      <c r="F19" s="42" t="s">
        <v>189</v>
      </c>
      <c r="G19" s="42" t="s">
        <v>200</v>
      </c>
    </row>
    <row r="20" spans="1:7" x14ac:dyDescent="0.2">
      <c r="A20" s="3" t="s">
        <v>190</v>
      </c>
      <c r="B20" s="3">
        <v>25000</v>
      </c>
      <c r="C20" s="3"/>
      <c r="D20" s="74">
        <v>380000</v>
      </c>
      <c r="E20" s="75">
        <v>44718</v>
      </c>
      <c r="F20" s="75">
        <v>44993</v>
      </c>
      <c r="G20" s="3" t="s">
        <v>201</v>
      </c>
    </row>
    <row r="21" spans="1:7" x14ac:dyDescent="0.2">
      <c r="A21" s="3" t="s">
        <v>191</v>
      </c>
      <c r="B21" s="3">
        <v>25000</v>
      </c>
      <c r="C21" s="3"/>
      <c r="D21" s="74">
        <v>290000</v>
      </c>
      <c r="E21" s="75">
        <v>44718</v>
      </c>
      <c r="F21" s="75">
        <v>45012</v>
      </c>
      <c r="G21" s="3" t="s">
        <v>201</v>
      </c>
    </row>
    <row r="22" spans="1:7" x14ac:dyDescent="0.2">
      <c r="A22" s="3" t="s">
        <v>193</v>
      </c>
      <c r="B22" s="3">
        <v>25000</v>
      </c>
      <c r="C22" s="3"/>
      <c r="D22" s="74">
        <v>260000</v>
      </c>
      <c r="E22" s="75">
        <v>44732</v>
      </c>
      <c r="F22" s="75">
        <v>45005</v>
      </c>
      <c r="G22" s="3" t="s">
        <v>201</v>
      </c>
    </row>
    <row r="23" spans="1:7" x14ac:dyDescent="0.2">
      <c r="A23" s="80" t="s">
        <v>109</v>
      </c>
      <c r="B23" s="80">
        <v>51000</v>
      </c>
      <c r="C23" s="80"/>
      <c r="D23" s="81">
        <v>760231</v>
      </c>
      <c r="E23" s="82"/>
      <c r="F23" s="82"/>
      <c r="G23" s="80" t="s">
        <v>202</v>
      </c>
    </row>
    <row r="24" spans="1:7" x14ac:dyDescent="0.2">
      <c r="A24" s="80" t="s">
        <v>110</v>
      </c>
      <c r="B24" s="80">
        <v>26000</v>
      </c>
      <c r="C24" s="80"/>
      <c r="D24" s="81">
        <v>578674</v>
      </c>
      <c r="E24" s="82"/>
      <c r="F24" s="82"/>
      <c r="G24" s="80" t="s">
        <v>202</v>
      </c>
    </row>
    <row r="25" spans="1:7" x14ac:dyDescent="0.2">
      <c r="A25" s="80" t="s">
        <v>111</v>
      </c>
      <c r="B25" s="80">
        <v>26000</v>
      </c>
      <c r="C25" s="80"/>
      <c r="D25" s="81">
        <v>548488</v>
      </c>
      <c r="E25" s="82"/>
      <c r="F25" s="82"/>
      <c r="G25" s="80" t="s">
        <v>202</v>
      </c>
    </row>
    <row r="26" spans="1:7" x14ac:dyDescent="0.2">
      <c r="A26" s="80" t="s">
        <v>204</v>
      </c>
      <c r="B26" s="80">
        <v>26000</v>
      </c>
      <c r="C26" s="80"/>
      <c r="D26" s="81">
        <v>311062</v>
      </c>
      <c r="E26" s="82"/>
      <c r="F26" s="82"/>
      <c r="G26" s="80" t="s">
        <v>202</v>
      </c>
    </row>
    <row r="27" spans="1:7" x14ac:dyDescent="0.2">
      <c r="A27" s="80" t="s">
        <v>205</v>
      </c>
      <c r="B27" s="80">
        <v>3500</v>
      </c>
      <c r="C27" s="80"/>
      <c r="D27" s="81">
        <v>192989</v>
      </c>
      <c r="E27" s="82"/>
      <c r="F27" s="82"/>
      <c r="G27" s="80" t="s">
        <v>202</v>
      </c>
    </row>
    <row r="28" spans="1:7" x14ac:dyDescent="0.2">
      <c r="A28" s="42" t="s">
        <v>198</v>
      </c>
      <c r="B28" s="42"/>
      <c r="C28" s="42"/>
      <c r="D28" s="77">
        <f>SUM(D20:D27)</f>
        <v>3321444</v>
      </c>
      <c r="E28" s="3"/>
      <c r="F28" s="3"/>
      <c r="G28" s="3"/>
    </row>
    <row r="31" spans="1:7" x14ac:dyDescent="0.2">
      <c r="A31" s="42" t="s">
        <v>43</v>
      </c>
      <c r="B31" s="42" t="s">
        <v>203</v>
      </c>
      <c r="C31" s="42" t="s">
        <v>192</v>
      </c>
      <c r="D31" s="42" t="s">
        <v>188</v>
      </c>
      <c r="E31" s="42" t="s">
        <v>189</v>
      </c>
      <c r="F31" s="42" t="s">
        <v>206</v>
      </c>
    </row>
    <row r="32" spans="1:7" x14ac:dyDescent="0.2">
      <c r="A32" s="3" t="s">
        <v>190</v>
      </c>
      <c r="B32" s="83">
        <v>25000</v>
      </c>
      <c r="C32" s="74">
        <v>380000</v>
      </c>
      <c r="D32" s="75">
        <v>44718</v>
      </c>
      <c r="E32" s="75">
        <v>44993</v>
      </c>
      <c r="F32" s="3" t="s">
        <v>201</v>
      </c>
    </row>
    <row r="33" spans="1:6" x14ac:dyDescent="0.2">
      <c r="A33" s="3" t="s">
        <v>191</v>
      </c>
      <c r="B33" s="83">
        <v>25000</v>
      </c>
      <c r="C33" s="76">
        <v>290000</v>
      </c>
      <c r="D33" s="75">
        <v>44718</v>
      </c>
      <c r="E33" s="75">
        <v>45012</v>
      </c>
      <c r="F33" s="3" t="s">
        <v>201</v>
      </c>
    </row>
    <row r="34" spans="1:6" x14ac:dyDescent="0.2">
      <c r="A34" s="3" t="s">
        <v>193</v>
      </c>
      <c r="B34" s="83">
        <v>25000</v>
      </c>
      <c r="C34" s="76">
        <v>260000</v>
      </c>
      <c r="D34" s="75">
        <v>44732</v>
      </c>
      <c r="E34" s="75">
        <v>45005</v>
      </c>
      <c r="F34" s="3" t="s">
        <v>201</v>
      </c>
    </row>
    <row r="35" spans="1:6" x14ac:dyDescent="0.2">
      <c r="A35" s="3" t="s">
        <v>194</v>
      </c>
      <c r="B35" s="76">
        <v>0</v>
      </c>
      <c r="C35" s="74">
        <v>150000</v>
      </c>
      <c r="D35" s="75">
        <v>43549</v>
      </c>
      <c r="E35" s="75">
        <v>45021</v>
      </c>
      <c r="F35" s="3" t="s">
        <v>201</v>
      </c>
    </row>
    <row r="36" spans="1:6" x14ac:dyDescent="0.2">
      <c r="A36" s="3" t="s">
        <v>195</v>
      </c>
      <c r="B36" s="76">
        <v>0</v>
      </c>
      <c r="C36" s="74">
        <v>193000</v>
      </c>
      <c r="D36" s="75">
        <v>43532</v>
      </c>
      <c r="E36" s="75">
        <v>45056</v>
      </c>
      <c r="F36" s="3" t="s">
        <v>201</v>
      </c>
    </row>
    <row r="37" spans="1:6" x14ac:dyDescent="0.2">
      <c r="A37" s="3" t="s">
        <v>142</v>
      </c>
      <c r="B37" s="76">
        <v>0</v>
      </c>
      <c r="C37" s="74">
        <v>191000</v>
      </c>
      <c r="D37" s="75">
        <v>43556</v>
      </c>
      <c r="E37" s="75">
        <v>45139</v>
      </c>
      <c r="F37" s="3" t="s">
        <v>201</v>
      </c>
    </row>
    <row r="38" spans="1:6" x14ac:dyDescent="0.2">
      <c r="A38" s="3" t="s">
        <v>196</v>
      </c>
      <c r="B38" s="76">
        <v>0</v>
      </c>
      <c r="C38" s="74">
        <v>78500</v>
      </c>
      <c r="D38" s="75">
        <v>42730</v>
      </c>
      <c r="E38" s="75">
        <v>44993</v>
      </c>
      <c r="F38" s="3" t="s">
        <v>201</v>
      </c>
    </row>
    <row r="39" spans="1:6" x14ac:dyDescent="0.2">
      <c r="A39" s="3" t="s">
        <v>197</v>
      </c>
      <c r="B39" s="76">
        <v>0</v>
      </c>
      <c r="C39" s="74">
        <v>64300</v>
      </c>
      <c r="D39" s="75">
        <v>43532</v>
      </c>
      <c r="E39" s="75">
        <v>44993</v>
      </c>
      <c r="F39" s="3" t="s">
        <v>201</v>
      </c>
    </row>
    <row r="40" spans="1:6" x14ac:dyDescent="0.2">
      <c r="A40" s="80" t="s">
        <v>109</v>
      </c>
      <c r="B40" s="84">
        <v>51000</v>
      </c>
      <c r="C40" s="81">
        <v>760231</v>
      </c>
      <c r="D40" s="82"/>
      <c r="E40" s="82"/>
      <c r="F40" s="80" t="s">
        <v>202</v>
      </c>
    </row>
    <row r="41" spans="1:6" x14ac:dyDescent="0.2">
      <c r="A41" s="80" t="s">
        <v>110</v>
      </c>
      <c r="B41" s="84">
        <v>26000</v>
      </c>
      <c r="C41" s="81">
        <v>578674</v>
      </c>
      <c r="D41" s="82"/>
      <c r="E41" s="82"/>
      <c r="F41" s="80" t="s">
        <v>202</v>
      </c>
    </row>
    <row r="42" spans="1:6" x14ac:dyDescent="0.2">
      <c r="A42" s="80" t="s">
        <v>111</v>
      </c>
      <c r="B42" s="84">
        <v>26000</v>
      </c>
      <c r="C42" s="81">
        <v>548488</v>
      </c>
      <c r="D42" s="82"/>
      <c r="E42" s="82"/>
      <c r="F42" s="80" t="s">
        <v>202</v>
      </c>
    </row>
    <row r="43" spans="1:6" x14ac:dyDescent="0.2">
      <c r="A43" s="80" t="s">
        <v>204</v>
      </c>
      <c r="B43" s="84">
        <v>26000</v>
      </c>
      <c r="C43" s="81">
        <v>311062</v>
      </c>
      <c r="D43" s="82"/>
      <c r="E43" s="82"/>
      <c r="F43" s="80" t="s">
        <v>202</v>
      </c>
    </row>
    <row r="44" spans="1:6" x14ac:dyDescent="0.2">
      <c r="A44" s="80" t="s">
        <v>205</v>
      </c>
      <c r="B44" s="84">
        <v>3500</v>
      </c>
      <c r="C44" s="81">
        <v>192989</v>
      </c>
      <c r="D44" s="82"/>
      <c r="E44" s="82"/>
      <c r="F44" s="80" t="s">
        <v>202</v>
      </c>
    </row>
    <row r="45" spans="1:6" x14ac:dyDescent="0.2">
      <c r="A45" s="42" t="s">
        <v>198</v>
      </c>
      <c r="B45" s="42"/>
      <c r="C45" s="77">
        <f>SUM(C32:C44)</f>
        <v>3998244</v>
      </c>
      <c r="D45" s="3"/>
      <c r="E45" s="3"/>
      <c r="F45" s="3"/>
    </row>
    <row r="51" spans="1:8" x14ac:dyDescent="0.2">
      <c r="A51" s="2" t="s">
        <v>215</v>
      </c>
      <c r="B51" s="2"/>
      <c r="C51" s="2"/>
      <c r="D51" s="2"/>
      <c r="E51" s="2"/>
      <c r="F51" s="2"/>
      <c r="G51" s="2"/>
      <c r="H51" s="2" t="s">
        <v>216</v>
      </c>
    </row>
    <row r="52" spans="1:8" x14ac:dyDescent="0.2">
      <c r="A52" s="60" t="s">
        <v>212</v>
      </c>
      <c r="B52" s="60" t="s">
        <v>34</v>
      </c>
      <c r="C52" s="60" t="s">
        <v>33</v>
      </c>
      <c r="D52" s="60" t="s">
        <v>94</v>
      </c>
      <c r="E52" s="60">
        <v>2500</v>
      </c>
      <c r="F52" s="60" t="s">
        <v>208</v>
      </c>
      <c r="G52" s="60">
        <f t="shared" ref="G52:G59" si="0">IF(F52="Monthly", E52,E52*4)</f>
        <v>2500</v>
      </c>
      <c r="H52" s="60" t="s">
        <v>201</v>
      </c>
    </row>
    <row r="53" spans="1:8" x14ac:dyDescent="0.2">
      <c r="A53" s="60" t="s">
        <v>212</v>
      </c>
      <c r="B53" s="60" t="s">
        <v>35</v>
      </c>
      <c r="C53" s="60" t="s">
        <v>132</v>
      </c>
      <c r="D53" s="60" t="s">
        <v>94</v>
      </c>
      <c r="E53" s="60">
        <v>2500</v>
      </c>
      <c r="F53" s="60" t="s">
        <v>208</v>
      </c>
      <c r="G53" s="60">
        <f t="shared" si="0"/>
        <v>2500</v>
      </c>
      <c r="H53" s="60" t="s">
        <v>201</v>
      </c>
    </row>
    <row r="54" spans="1:8" x14ac:dyDescent="0.2">
      <c r="A54" s="60" t="s">
        <v>212</v>
      </c>
      <c r="B54" s="60" t="s">
        <v>137</v>
      </c>
      <c r="C54" s="60" t="s">
        <v>133</v>
      </c>
      <c r="D54" s="60" t="s">
        <v>94</v>
      </c>
      <c r="E54" s="60">
        <v>5000</v>
      </c>
      <c r="F54" s="60" t="s">
        <v>208</v>
      </c>
      <c r="G54" s="60">
        <f t="shared" si="0"/>
        <v>5000</v>
      </c>
      <c r="H54" s="60" t="s">
        <v>201</v>
      </c>
    </row>
    <row r="55" spans="1:8" x14ac:dyDescent="0.2">
      <c r="A55" s="60" t="s">
        <v>211</v>
      </c>
      <c r="B55" s="60" t="s">
        <v>214</v>
      </c>
      <c r="C55" s="60" t="s">
        <v>132</v>
      </c>
      <c r="D55" s="60" t="s">
        <v>94</v>
      </c>
      <c r="E55" s="60">
        <v>5000</v>
      </c>
      <c r="F55" s="60" t="s">
        <v>208</v>
      </c>
      <c r="G55" s="60">
        <f t="shared" si="0"/>
        <v>5000</v>
      </c>
    </row>
    <row r="56" spans="1:8" x14ac:dyDescent="0.2">
      <c r="A56" s="60" t="s">
        <v>211</v>
      </c>
      <c r="B56" s="60" t="s">
        <v>122</v>
      </c>
      <c r="C56" s="60" t="s">
        <v>133</v>
      </c>
      <c r="D56" s="60" t="s">
        <v>94</v>
      </c>
      <c r="E56" s="60">
        <v>5000</v>
      </c>
      <c r="F56" s="60" t="s">
        <v>208</v>
      </c>
      <c r="G56" s="60">
        <f t="shared" si="0"/>
        <v>5000</v>
      </c>
    </row>
    <row r="57" spans="1:8" x14ac:dyDescent="0.2">
      <c r="A57" s="60" t="s">
        <v>211</v>
      </c>
      <c r="B57" s="60" t="s">
        <v>134</v>
      </c>
      <c r="C57" s="60" t="s">
        <v>135</v>
      </c>
      <c r="D57" s="60" t="s">
        <v>94</v>
      </c>
      <c r="E57" s="60">
        <v>5000</v>
      </c>
      <c r="F57" s="60" t="s">
        <v>208</v>
      </c>
      <c r="G57" s="60">
        <f t="shared" si="0"/>
        <v>5000</v>
      </c>
    </row>
    <row r="58" spans="1:8" x14ac:dyDescent="0.2">
      <c r="A58" s="60" t="s">
        <v>211</v>
      </c>
      <c r="B58" s="60" t="s">
        <v>136</v>
      </c>
      <c r="C58" s="60" t="s">
        <v>133</v>
      </c>
      <c r="D58" s="60" t="s">
        <v>94</v>
      </c>
      <c r="E58" s="60">
        <v>5000</v>
      </c>
      <c r="F58" s="60" t="s">
        <v>208</v>
      </c>
      <c r="G58" s="60">
        <f t="shared" si="0"/>
        <v>5000</v>
      </c>
    </row>
    <row r="59" spans="1:8" x14ac:dyDescent="0.2">
      <c r="A59" s="60" t="s">
        <v>211</v>
      </c>
      <c r="B59" s="60" t="s">
        <v>138</v>
      </c>
      <c r="C59" s="60" t="s">
        <v>133</v>
      </c>
      <c r="D59" s="60" t="s">
        <v>94</v>
      </c>
      <c r="E59" s="60">
        <v>5000</v>
      </c>
      <c r="F59" s="60" t="s">
        <v>208</v>
      </c>
      <c r="G59" s="60">
        <f t="shared" si="0"/>
        <v>5000</v>
      </c>
    </row>
    <row r="65" spans="1:3" x14ac:dyDescent="0.2">
      <c r="A65" s="85" t="s">
        <v>210</v>
      </c>
      <c r="B65" s="85" t="s">
        <v>43</v>
      </c>
      <c r="C65" s="85" t="s">
        <v>219</v>
      </c>
    </row>
    <row r="66" spans="1:3" x14ac:dyDescent="0.2">
      <c r="A66" t="s">
        <v>211</v>
      </c>
      <c r="B66" t="s">
        <v>130</v>
      </c>
      <c r="C66">
        <v>5000</v>
      </c>
    </row>
    <row r="67" spans="1:3" x14ac:dyDescent="0.2">
      <c r="A67" s="60" t="s">
        <v>211</v>
      </c>
      <c r="B67" s="60" t="s">
        <v>214</v>
      </c>
      <c r="C67">
        <v>0</v>
      </c>
    </row>
    <row r="68" spans="1:3" x14ac:dyDescent="0.2">
      <c r="A68" s="60" t="s">
        <v>211</v>
      </c>
      <c r="B68" s="60" t="s">
        <v>122</v>
      </c>
      <c r="C68">
        <v>0</v>
      </c>
    </row>
    <row r="69" spans="1:3" x14ac:dyDescent="0.2">
      <c r="A69" s="60" t="s">
        <v>212</v>
      </c>
      <c r="B69" s="60" t="s">
        <v>34</v>
      </c>
      <c r="C69">
        <v>0</v>
      </c>
    </row>
    <row r="70" spans="1:3" x14ac:dyDescent="0.2">
      <c r="A70" s="60" t="s">
        <v>212</v>
      </c>
      <c r="B70" s="60" t="s">
        <v>35</v>
      </c>
      <c r="C70">
        <v>0</v>
      </c>
    </row>
    <row r="71" spans="1:3" x14ac:dyDescent="0.2">
      <c r="A71" s="60" t="s">
        <v>211</v>
      </c>
      <c r="B71" s="60" t="s">
        <v>134</v>
      </c>
      <c r="C71">
        <v>0</v>
      </c>
    </row>
    <row r="72" spans="1:3" x14ac:dyDescent="0.2">
      <c r="A72" s="60" t="s">
        <v>211</v>
      </c>
      <c r="B72" s="60" t="s">
        <v>136</v>
      </c>
      <c r="C72">
        <v>0</v>
      </c>
    </row>
    <row r="73" spans="1:3" x14ac:dyDescent="0.2">
      <c r="A73" s="88" t="s">
        <v>212</v>
      </c>
      <c r="B73" s="88" t="s">
        <v>137</v>
      </c>
      <c r="C73" s="88">
        <v>20000</v>
      </c>
    </row>
    <row r="74" spans="1:3" x14ac:dyDescent="0.2">
      <c r="A74" s="60" t="s">
        <v>211</v>
      </c>
      <c r="B74" s="60" t="s">
        <v>138</v>
      </c>
      <c r="C74">
        <v>0</v>
      </c>
    </row>
    <row r="75" spans="1:3" x14ac:dyDescent="0.2">
      <c r="A75" t="s">
        <v>211</v>
      </c>
      <c r="B75" t="s">
        <v>139</v>
      </c>
      <c r="C75">
        <v>26000</v>
      </c>
    </row>
    <row r="76" spans="1:3" x14ac:dyDescent="0.2">
      <c r="A76" s="88" t="s">
        <v>211</v>
      </c>
      <c r="B76" s="88" t="s">
        <v>141</v>
      </c>
      <c r="C76" s="88">
        <v>45000</v>
      </c>
    </row>
    <row r="77" spans="1:3" x14ac:dyDescent="0.2">
      <c r="A77" s="88" t="s">
        <v>211</v>
      </c>
      <c r="B77" s="88" t="s">
        <v>143</v>
      </c>
      <c r="C77" s="88">
        <v>26000</v>
      </c>
    </row>
    <row r="78" spans="1:3" x14ac:dyDescent="0.2">
      <c r="A78" t="s">
        <v>211</v>
      </c>
      <c r="B78" t="s">
        <v>145</v>
      </c>
      <c r="C78">
        <v>0</v>
      </c>
    </row>
    <row r="79" spans="1:3" x14ac:dyDescent="0.2">
      <c r="A79" s="88" t="s">
        <v>211</v>
      </c>
      <c r="B79" s="88" t="s">
        <v>146</v>
      </c>
      <c r="C79" s="88">
        <v>51000</v>
      </c>
    </row>
    <row r="80" spans="1:3" x14ac:dyDescent="0.2">
      <c r="A80" t="s">
        <v>211</v>
      </c>
      <c r="B80" t="s">
        <v>129</v>
      </c>
      <c r="C80">
        <v>20000</v>
      </c>
    </row>
    <row r="81" spans="1:3" x14ac:dyDescent="0.2">
      <c r="A81" s="88" t="s">
        <v>211</v>
      </c>
      <c r="B81" s="88" t="s">
        <v>148</v>
      </c>
      <c r="C81" s="88">
        <v>26000</v>
      </c>
    </row>
    <row r="82" spans="1:3" x14ac:dyDescent="0.2">
      <c r="A82" s="88" t="s">
        <v>211</v>
      </c>
      <c r="B82" s="88" t="s">
        <v>122</v>
      </c>
      <c r="C82" s="88">
        <v>20000</v>
      </c>
    </row>
    <row r="83" spans="1:3" x14ac:dyDescent="0.2">
      <c r="A83" s="88" t="s">
        <v>211</v>
      </c>
      <c r="B83" s="88" t="s">
        <v>112</v>
      </c>
      <c r="C83" s="88">
        <v>20000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4581-5560-9649-8106-F061C0FFD4EC}">
  <dimension ref="A1:X83"/>
  <sheetViews>
    <sheetView zoomScale="150" workbookViewId="0">
      <selection sqref="A1:G13"/>
    </sheetView>
  </sheetViews>
  <sheetFormatPr baseColWidth="10" defaultRowHeight="16" x14ac:dyDescent="0.2"/>
  <cols>
    <col min="1" max="1" width="10.6640625" bestFit="1" customWidth="1"/>
    <col min="2" max="2" width="12.5" bestFit="1" customWidth="1"/>
    <col min="3" max="3" width="48.83203125" bestFit="1" customWidth="1"/>
    <col min="4" max="4" width="17.6640625" bestFit="1" customWidth="1"/>
    <col min="5" max="5" width="18.6640625" bestFit="1" customWidth="1"/>
    <col min="6" max="6" width="18" bestFit="1" customWidth="1"/>
    <col min="7" max="7" width="18.1640625" bestFit="1" customWidth="1"/>
    <col min="8" max="8" width="16.6640625" bestFit="1" customWidth="1"/>
    <col min="10" max="10" width="16.33203125" bestFit="1" customWidth="1"/>
    <col min="11" max="11" width="16.33203125" customWidth="1"/>
    <col min="12" max="12" width="55.83203125" bestFit="1" customWidth="1"/>
    <col min="13" max="13" width="18.5" bestFit="1" customWidth="1"/>
    <col min="14" max="14" width="18.1640625" bestFit="1" customWidth="1"/>
    <col min="18" max="18" width="14" bestFit="1" customWidth="1"/>
    <col min="19" max="19" width="48.83203125" bestFit="1" customWidth="1"/>
    <col min="20" max="21" width="11.5" bestFit="1" customWidth="1"/>
    <col min="22" max="23" width="11" bestFit="1" customWidth="1"/>
  </cols>
  <sheetData>
    <row r="1" spans="1:14" x14ac:dyDescent="0.2">
      <c r="A1" s="2" t="s">
        <v>210</v>
      </c>
      <c r="B1" s="2" t="s">
        <v>222</v>
      </c>
      <c r="C1" s="2" t="s">
        <v>43</v>
      </c>
      <c r="D1" s="2" t="s">
        <v>12</v>
      </c>
      <c r="E1" s="2" t="s">
        <v>223</v>
      </c>
      <c r="F1" s="2" t="s">
        <v>203</v>
      </c>
      <c r="G1" s="2" t="s">
        <v>224</v>
      </c>
      <c r="H1" s="2" t="s">
        <v>238</v>
      </c>
      <c r="I1" s="2" t="s">
        <v>239</v>
      </c>
      <c r="J1" s="2" t="s">
        <v>242</v>
      </c>
      <c r="K1" s="2"/>
    </row>
    <row r="2" spans="1:14" x14ac:dyDescent="0.2">
      <c r="A2" t="s">
        <v>211</v>
      </c>
      <c r="B2" s="86">
        <v>45176</v>
      </c>
      <c r="C2" t="s">
        <v>231</v>
      </c>
      <c r="D2" t="s">
        <v>132</v>
      </c>
      <c r="E2" t="s">
        <v>132</v>
      </c>
      <c r="F2">
        <v>18000</v>
      </c>
      <c r="G2" t="s">
        <v>208</v>
      </c>
      <c r="H2" t="s">
        <v>237</v>
      </c>
      <c r="I2" t="s">
        <v>232</v>
      </c>
    </row>
    <row r="3" spans="1:14" x14ac:dyDescent="0.2">
      <c r="A3" t="s">
        <v>211</v>
      </c>
      <c r="B3" s="86">
        <v>45176</v>
      </c>
      <c r="C3" t="s">
        <v>139</v>
      </c>
      <c r="D3" t="s">
        <v>132</v>
      </c>
      <c r="E3" t="s">
        <v>132</v>
      </c>
      <c r="F3">
        <v>26000</v>
      </c>
      <c r="G3" t="s">
        <v>208</v>
      </c>
      <c r="H3" t="s">
        <v>240</v>
      </c>
    </row>
    <row r="4" spans="1:14" x14ac:dyDescent="0.2">
      <c r="A4" t="s">
        <v>211</v>
      </c>
      <c r="B4" s="86">
        <v>45176</v>
      </c>
      <c r="C4" t="s">
        <v>225</v>
      </c>
      <c r="D4" t="s">
        <v>133</v>
      </c>
      <c r="E4" t="s">
        <v>133</v>
      </c>
      <c r="F4">
        <v>20000</v>
      </c>
      <c r="G4" t="s">
        <v>208</v>
      </c>
      <c r="L4" s="6" t="s">
        <v>44</v>
      </c>
      <c r="M4" t="s">
        <v>229</v>
      </c>
      <c r="N4" t="s">
        <v>247</v>
      </c>
    </row>
    <row r="5" spans="1:14" x14ac:dyDescent="0.2">
      <c r="A5" t="s">
        <v>211</v>
      </c>
      <c r="B5" s="86">
        <v>45206</v>
      </c>
      <c r="C5" s="87" t="s">
        <v>141</v>
      </c>
      <c r="D5" t="s">
        <v>33</v>
      </c>
      <c r="E5" t="s">
        <v>33</v>
      </c>
      <c r="F5">
        <v>26000</v>
      </c>
      <c r="G5" s="87" t="s">
        <v>208</v>
      </c>
      <c r="H5" s="87" t="s">
        <v>237</v>
      </c>
      <c r="J5" t="s">
        <v>243</v>
      </c>
      <c r="L5" s="7" t="s">
        <v>33</v>
      </c>
      <c r="M5" s="8">
        <v>0.25088339222614842</v>
      </c>
      <c r="N5" s="9">
        <v>71000</v>
      </c>
    </row>
    <row r="6" spans="1:14" x14ac:dyDescent="0.2">
      <c r="A6" t="s">
        <v>211</v>
      </c>
      <c r="B6" s="86">
        <v>45206</v>
      </c>
      <c r="C6" t="s">
        <v>244</v>
      </c>
      <c r="D6" t="s">
        <v>135</v>
      </c>
      <c r="E6" t="s">
        <v>135</v>
      </c>
      <c r="F6">
        <v>26000</v>
      </c>
      <c r="G6" s="87" t="s">
        <v>208</v>
      </c>
      <c r="H6" s="87" t="s">
        <v>240</v>
      </c>
      <c r="J6" t="s">
        <v>241</v>
      </c>
      <c r="L6" s="10" t="s">
        <v>141</v>
      </c>
      <c r="M6" s="8">
        <v>0.25088339222614842</v>
      </c>
      <c r="N6" s="9">
        <v>71000</v>
      </c>
    </row>
    <row r="7" spans="1:14" x14ac:dyDescent="0.2">
      <c r="A7" t="s">
        <v>211</v>
      </c>
      <c r="B7" s="86">
        <v>45176</v>
      </c>
      <c r="C7" t="s">
        <v>227</v>
      </c>
      <c r="D7" t="s">
        <v>147</v>
      </c>
      <c r="E7" t="s">
        <v>147</v>
      </c>
      <c r="F7">
        <v>51000</v>
      </c>
      <c r="G7" s="87" t="s">
        <v>208</v>
      </c>
      <c r="H7" s="86" t="s">
        <v>237</v>
      </c>
      <c r="L7" s="7" t="s">
        <v>133</v>
      </c>
      <c r="M7" s="8">
        <v>0.21201413427561838</v>
      </c>
      <c r="N7" s="9">
        <v>60000</v>
      </c>
    </row>
    <row r="8" spans="1:14" x14ac:dyDescent="0.2">
      <c r="A8" t="s">
        <v>211</v>
      </c>
      <c r="B8" s="86">
        <v>45176</v>
      </c>
      <c r="C8" t="s">
        <v>230</v>
      </c>
      <c r="D8" t="s">
        <v>133</v>
      </c>
      <c r="E8" t="s">
        <v>133</v>
      </c>
      <c r="F8" s="87">
        <v>20000</v>
      </c>
      <c r="G8" s="87" t="s">
        <v>208</v>
      </c>
      <c r="H8" s="11"/>
      <c r="L8" s="10" t="s">
        <v>228</v>
      </c>
      <c r="M8" s="8">
        <v>7.0671378091872794E-2</v>
      </c>
      <c r="N8" s="9">
        <v>20000</v>
      </c>
    </row>
    <row r="9" spans="1:14" x14ac:dyDescent="0.2">
      <c r="A9" t="s">
        <v>211</v>
      </c>
      <c r="B9" s="86">
        <v>45184</v>
      </c>
      <c r="C9" s="87" t="s">
        <v>141</v>
      </c>
      <c r="D9" t="s">
        <v>33</v>
      </c>
      <c r="E9" t="s">
        <v>33</v>
      </c>
      <c r="F9" s="87">
        <v>45000</v>
      </c>
      <c r="G9" s="87" t="s">
        <v>208</v>
      </c>
      <c r="L9" s="10" t="s">
        <v>226</v>
      </c>
      <c r="M9" s="8">
        <v>7.0671378091872794E-2</v>
      </c>
      <c r="N9" s="9">
        <v>20000</v>
      </c>
    </row>
    <row r="10" spans="1:14" x14ac:dyDescent="0.2">
      <c r="A10" t="s">
        <v>211</v>
      </c>
      <c r="B10" s="86">
        <v>45184</v>
      </c>
      <c r="C10" s="87" t="s">
        <v>226</v>
      </c>
      <c r="D10" t="str">
        <f>E10</f>
        <v>Smallcap</v>
      </c>
      <c r="E10" t="s">
        <v>133</v>
      </c>
      <c r="F10" s="87">
        <v>20000</v>
      </c>
      <c r="G10" s="87" t="s">
        <v>208</v>
      </c>
      <c r="L10" s="10" t="s">
        <v>225</v>
      </c>
      <c r="M10" s="8">
        <v>0</v>
      </c>
      <c r="N10" s="9">
        <v>0</v>
      </c>
    </row>
    <row r="11" spans="1:14" x14ac:dyDescent="0.2">
      <c r="A11" t="s">
        <v>211</v>
      </c>
      <c r="B11" s="86">
        <v>45184</v>
      </c>
      <c r="C11" t="s">
        <v>228</v>
      </c>
      <c r="D11" t="str">
        <f>E11</f>
        <v>Smallcap</v>
      </c>
      <c r="E11" t="s">
        <v>133</v>
      </c>
      <c r="F11" s="87">
        <v>20000</v>
      </c>
      <c r="G11" s="87" t="s">
        <v>208</v>
      </c>
      <c r="L11" s="10" t="s">
        <v>230</v>
      </c>
      <c r="M11" s="8">
        <v>7.0671378091872794E-2</v>
      </c>
      <c r="N11" s="9">
        <v>20000</v>
      </c>
    </row>
    <row r="12" spans="1:14" x14ac:dyDescent="0.2">
      <c r="A12" t="s">
        <v>211</v>
      </c>
      <c r="B12" s="86">
        <v>45189</v>
      </c>
      <c r="C12" t="s">
        <v>130</v>
      </c>
      <c r="D12" t="s">
        <v>103</v>
      </c>
      <c r="E12" t="s">
        <v>103</v>
      </c>
      <c r="F12" s="87">
        <v>5000</v>
      </c>
      <c r="G12" s="87" t="s">
        <v>208</v>
      </c>
      <c r="L12" s="99" t="s">
        <v>147</v>
      </c>
      <c r="M12" s="100">
        <v>0.18021201413427562</v>
      </c>
      <c r="N12" s="101">
        <v>51000</v>
      </c>
    </row>
    <row r="13" spans="1:14" x14ac:dyDescent="0.2">
      <c r="A13" t="s">
        <v>211</v>
      </c>
      <c r="B13" s="86">
        <v>45184</v>
      </c>
      <c r="C13" t="s">
        <v>255</v>
      </c>
      <c r="D13" t="s">
        <v>135</v>
      </c>
      <c r="E13" t="s">
        <v>135</v>
      </c>
      <c r="F13" s="87">
        <v>0</v>
      </c>
      <c r="G13" s="87" t="s">
        <v>208</v>
      </c>
      <c r="L13" s="10" t="s">
        <v>227</v>
      </c>
      <c r="M13" s="8">
        <v>0.18021201413427562</v>
      </c>
      <c r="N13" s="9">
        <v>51000</v>
      </c>
    </row>
    <row r="14" spans="1:14" x14ac:dyDescent="0.2">
      <c r="F14">
        <f>SUM(F2:F13)</f>
        <v>277000</v>
      </c>
      <c r="L14" s="7" t="s">
        <v>132</v>
      </c>
      <c r="M14" s="8">
        <v>0.15547703180212014</v>
      </c>
      <c r="N14" s="9">
        <v>44000</v>
      </c>
    </row>
    <row r="15" spans="1:14" x14ac:dyDescent="0.2">
      <c r="L15" s="10" t="s">
        <v>139</v>
      </c>
      <c r="M15" s="8">
        <v>9.187279151943463E-2</v>
      </c>
      <c r="N15" s="9">
        <v>26000</v>
      </c>
    </row>
    <row r="16" spans="1:14" x14ac:dyDescent="0.2">
      <c r="L16" s="10" t="s">
        <v>231</v>
      </c>
      <c r="M16" s="8">
        <v>6.3604240282685506E-2</v>
      </c>
      <c r="N16" s="9">
        <v>18000</v>
      </c>
    </row>
    <row r="17" spans="1:23" x14ac:dyDescent="0.2">
      <c r="E17">
        <f>SUM(E2:E16)</f>
        <v>0</v>
      </c>
      <c r="L17" s="7" t="s">
        <v>144</v>
      </c>
      <c r="M17" s="8">
        <v>9.187279151943463E-2</v>
      </c>
      <c r="N17" s="9">
        <v>26000</v>
      </c>
    </row>
    <row r="18" spans="1:23" x14ac:dyDescent="0.2">
      <c r="L18" s="10" t="s">
        <v>248</v>
      </c>
      <c r="M18" s="8">
        <v>9.187279151943463E-2</v>
      </c>
      <c r="N18" s="9">
        <v>26000</v>
      </c>
    </row>
    <row r="19" spans="1:23" x14ac:dyDescent="0.2">
      <c r="L19" s="99" t="s">
        <v>135</v>
      </c>
      <c r="M19" s="100">
        <v>9.187279151943463E-2</v>
      </c>
      <c r="N19" s="101">
        <v>26000</v>
      </c>
    </row>
    <row r="20" spans="1:23" x14ac:dyDescent="0.2">
      <c r="L20" s="10" t="s">
        <v>244</v>
      </c>
      <c r="M20" s="8">
        <v>9.187279151943463E-2</v>
      </c>
      <c r="N20" s="9">
        <v>26000</v>
      </c>
    </row>
    <row r="21" spans="1:23" x14ac:dyDescent="0.2">
      <c r="L21" s="7" t="s">
        <v>103</v>
      </c>
      <c r="M21" s="8">
        <v>1.7667844522968199E-2</v>
      </c>
      <c r="N21" s="9">
        <v>5000</v>
      </c>
    </row>
    <row r="22" spans="1:23" x14ac:dyDescent="0.2">
      <c r="L22" s="10" t="s">
        <v>130</v>
      </c>
      <c r="M22" s="8">
        <v>1.7667844522968199E-2</v>
      </c>
      <c r="N22" s="9">
        <v>5000</v>
      </c>
    </row>
    <row r="23" spans="1:23" x14ac:dyDescent="0.2">
      <c r="L23" s="7" t="s">
        <v>45</v>
      </c>
      <c r="M23" s="8">
        <v>1</v>
      </c>
      <c r="N23" s="9">
        <v>283000</v>
      </c>
    </row>
    <row r="25" spans="1:23" x14ac:dyDescent="0.2">
      <c r="A25" s="2" t="s">
        <v>210</v>
      </c>
      <c r="B25" s="2" t="s">
        <v>222</v>
      </c>
      <c r="C25" s="2" t="s">
        <v>43</v>
      </c>
      <c r="D25" s="2" t="s">
        <v>12</v>
      </c>
      <c r="E25" s="2" t="s">
        <v>223</v>
      </c>
      <c r="F25" s="2" t="s">
        <v>203</v>
      </c>
      <c r="G25" s="2" t="s">
        <v>224</v>
      </c>
      <c r="L25" s="94" t="s">
        <v>44</v>
      </c>
      <c r="M25" s="9" t="s">
        <v>229</v>
      </c>
      <c r="N25" s="2"/>
      <c r="O25" s="2"/>
      <c r="P25" s="2"/>
      <c r="Q25" s="2"/>
    </row>
    <row r="26" spans="1:23" x14ac:dyDescent="0.2">
      <c r="A26" t="s">
        <v>211</v>
      </c>
      <c r="B26" s="86">
        <v>45176</v>
      </c>
      <c r="C26" t="s">
        <v>227</v>
      </c>
      <c r="D26" t="s">
        <v>147</v>
      </c>
      <c r="E26" t="s">
        <v>147</v>
      </c>
      <c r="F26">
        <v>175000</v>
      </c>
      <c r="G26" s="87" t="s">
        <v>208</v>
      </c>
      <c r="L26" s="95" t="s">
        <v>33</v>
      </c>
      <c r="M26" s="9">
        <v>71000</v>
      </c>
      <c r="S26" s="38" t="s">
        <v>245</v>
      </c>
      <c r="T26" s="38" t="s">
        <v>246</v>
      </c>
      <c r="U26" s="38" t="s">
        <v>144</v>
      </c>
      <c r="V26" s="38" t="s">
        <v>132</v>
      </c>
      <c r="W26" s="38" t="s">
        <v>133</v>
      </c>
    </row>
    <row r="27" spans="1:23" x14ac:dyDescent="0.2">
      <c r="A27" t="s">
        <v>211</v>
      </c>
      <c r="B27" s="86">
        <v>45206</v>
      </c>
      <c r="C27" s="87" t="s">
        <v>141</v>
      </c>
      <c r="D27" t="s">
        <v>33</v>
      </c>
      <c r="E27" t="s">
        <v>33</v>
      </c>
      <c r="F27">
        <v>71000</v>
      </c>
      <c r="G27" s="87" t="s">
        <v>208</v>
      </c>
      <c r="L27" s="96" t="s">
        <v>141</v>
      </c>
      <c r="M27" s="9">
        <v>71000</v>
      </c>
      <c r="R27" s="110" t="s">
        <v>133</v>
      </c>
      <c r="S27" t="s">
        <v>228</v>
      </c>
      <c r="T27" s="11">
        <v>20000</v>
      </c>
      <c r="U27" s="11">
        <v>1500</v>
      </c>
      <c r="V27" s="11">
        <v>1500</v>
      </c>
      <c r="W27" s="11">
        <f>T27*0.85</f>
        <v>17000</v>
      </c>
    </row>
    <row r="28" spans="1:23" x14ac:dyDescent="0.2">
      <c r="A28" t="s">
        <v>211</v>
      </c>
      <c r="B28" s="86">
        <v>45206</v>
      </c>
      <c r="C28" t="s">
        <v>244</v>
      </c>
      <c r="D28" t="s">
        <v>135</v>
      </c>
      <c r="E28" t="s">
        <v>135</v>
      </c>
      <c r="F28">
        <v>26000</v>
      </c>
      <c r="G28" s="87" t="s">
        <v>208</v>
      </c>
      <c r="L28" s="95" t="s">
        <v>133</v>
      </c>
      <c r="M28" s="9">
        <v>60000</v>
      </c>
      <c r="R28" s="110"/>
      <c r="S28" t="s">
        <v>226</v>
      </c>
      <c r="T28" s="11">
        <v>20000</v>
      </c>
      <c r="U28" s="11">
        <f>T28*0.15</f>
        <v>3000</v>
      </c>
      <c r="V28" s="11">
        <f>T28*0.14</f>
        <v>2800.0000000000005</v>
      </c>
      <c r="W28" s="11">
        <f>T28*0.68</f>
        <v>13600.000000000002</v>
      </c>
    </row>
    <row r="29" spans="1:23" x14ac:dyDescent="0.2">
      <c r="A29" t="s">
        <v>211</v>
      </c>
      <c r="B29" s="86">
        <v>45267</v>
      </c>
      <c r="C29" t="s">
        <v>254</v>
      </c>
      <c r="D29" t="s">
        <v>147</v>
      </c>
      <c r="E29" t="s">
        <v>147</v>
      </c>
      <c r="F29">
        <v>0</v>
      </c>
      <c r="G29" s="87" t="s">
        <v>208</v>
      </c>
      <c r="L29" s="96" t="s">
        <v>228</v>
      </c>
      <c r="M29" s="9">
        <v>20000</v>
      </c>
      <c r="R29" s="110"/>
      <c r="S29" t="s">
        <v>225</v>
      </c>
      <c r="T29" s="11">
        <v>20000</v>
      </c>
      <c r="U29" s="11">
        <f>T29*0.015</f>
        <v>300</v>
      </c>
      <c r="V29" s="11">
        <f>T29*0.03</f>
        <v>600</v>
      </c>
      <c r="W29" s="11">
        <f>T29*0.78</f>
        <v>15600</v>
      </c>
    </row>
    <row r="30" spans="1:23" x14ac:dyDescent="0.2">
      <c r="A30" t="s">
        <v>211</v>
      </c>
      <c r="B30" s="86">
        <v>45176</v>
      </c>
      <c r="C30" t="s">
        <v>139</v>
      </c>
      <c r="D30" t="s">
        <v>132</v>
      </c>
      <c r="E30" t="s">
        <v>132</v>
      </c>
      <c r="F30">
        <v>26000</v>
      </c>
      <c r="G30" t="s">
        <v>208</v>
      </c>
      <c r="L30" s="96" t="s">
        <v>226</v>
      </c>
      <c r="M30" s="9">
        <v>20000</v>
      </c>
      <c r="R30" s="110"/>
      <c r="S30" t="s">
        <v>230</v>
      </c>
      <c r="T30" s="11">
        <v>20000</v>
      </c>
      <c r="U30" s="11">
        <f>T30*0.16</f>
        <v>3200</v>
      </c>
      <c r="V30" s="11">
        <f>T30*0.03</f>
        <v>600</v>
      </c>
      <c r="W30" s="11">
        <f>T30*0.64</f>
        <v>12800</v>
      </c>
    </row>
    <row r="31" spans="1:23" x14ac:dyDescent="0.2">
      <c r="A31" t="s">
        <v>211</v>
      </c>
      <c r="B31" s="86">
        <v>45176</v>
      </c>
      <c r="C31" t="s">
        <v>230</v>
      </c>
      <c r="D31" t="s">
        <v>133</v>
      </c>
      <c r="E31" t="s">
        <v>133</v>
      </c>
      <c r="F31" s="87">
        <v>20000</v>
      </c>
      <c r="G31" s="87" t="s">
        <v>208</v>
      </c>
      <c r="L31" s="96" t="s">
        <v>225</v>
      </c>
      <c r="M31" s="9">
        <v>0</v>
      </c>
      <c r="N31" s="11"/>
      <c r="P31" s="9"/>
      <c r="Q31" s="9"/>
      <c r="R31" s="98" t="s">
        <v>33</v>
      </c>
      <c r="S31" t="s">
        <v>141</v>
      </c>
      <c r="T31" s="11">
        <v>71000</v>
      </c>
      <c r="U31" s="11">
        <f>T31*0.41</f>
        <v>29110</v>
      </c>
      <c r="V31" s="11">
        <f>T31*0.27</f>
        <v>19170</v>
      </c>
      <c r="W31" s="11">
        <f>T31*0.31</f>
        <v>22010</v>
      </c>
    </row>
    <row r="32" spans="1:23" x14ac:dyDescent="0.2">
      <c r="A32" t="s">
        <v>211</v>
      </c>
      <c r="B32" s="86">
        <v>45184</v>
      </c>
      <c r="C32" s="87" t="s">
        <v>226</v>
      </c>
      <c r="D32" t="str">
        <f>E32</f>
        <v>Smallcap</v>
      </c>
      <c r="E32" t="s">
        <v>133</v>
      </c>
      <c r="F32" s="87">
        <v>20000</v>
      </c>
      <c r="G32" s="87" t="s">
        <v>208</v>
      </c>
      <c r="L32" s="96" t="s">
        <v>230</v>
      </c>
      <c r="M32" s="9">
        <v>20000</v>
      </c>
      <c r="R32" s="2" t="s">
        <v>147</v>
      </c>
      <c r="S32" t="s">
        <v>227</v>
      </c>
      <c r="T32" s="11">
        <v>51000</v>
      </c>
      <c r="U32" s="11">
        <f>(T32-V32-W32)</f>
        <v>44880</v>
      </c>
      <c r="V32" s="11">
        <f>T32*0.05</f>
        <v>2550</v>
      </c>
      <c r="W32" s="11">
        <f>T32*0.07</f>
        <v>3570.0000000000005</v>
      </c>
    </row>
    <row r="33" spans="1:23" x14ac:dyDescent="0.2">
      <c r="A33" t="s">
        <v>211</v>
      </c>
      <c r="B33" s="86">
        <v>45184</v>
      </c>
      <c r="C33" t="s">
        <v>228</v>
      </c>
      <c r="D33" t="str">
        <f>E33</f>
        <v>Smallcap</v>
      </c>
      <c r="E33" t="s">
        <v>133</v>
      </c>
      <c r="F33" s="87">
        <v>0</v>
      </c>
      <c r="G33" s="87" t="s">
        <v>208</v>
      </c>
      <c r="L33" s="95" t="s">
        <v>147</v>
      </c>
      <c r="M33" s="9">
        <v>51000</v>
      </c>
      <c r="R33" s="110" t="s">
        <v>132</v>
      </c>
      <c r="S33" t="s">
        <v>139</v>
      </c>
      <c r="T33" s="11">
        <v>26000</v>
      </c>
      <c r="U33" s="11">
        <f>T33*0.16</f>
        <v>4160</v>
      </c>
      <c r="V33" s="11">
        <f>T33*0.66</f>
        <v>17160</v>
      </c>
      <c r="W33" s="11">
        <f>T33*0.12</f>
        <v>3120</v>
      </c>
    </row>
    <row r="34" spans="1:23" x14ac:dyDescent="0.2">
      <c r="A34" t="s">
        <v>211</v>
      </c>
      <c r="B34" s="86">
        <v>45176</v>
      </c>
      <c r="C34" t="s">
        <v>225</v>
      </c>
      <c r="D34" t="s">
        <v>133</v>
      </c>
      <c r="E34" t="s">
        <v>133</v>
      </c>
      <c r="F34">
        <v>20000</v>
      </c>
      <c r="G34" t="s">
        <v>208</v>
      </c>
      <c r="L34" s="96" t="s">
        <v>227</v>
      </c>
      <c r="M34" s="9">
        <v>51000</v>
      </c>
      <c r="N34" s="11"/>
      <c r="P34" s="9"/>
      <c r="Q34" s="9"/>
      <c r="R34" s="110"/>
      <c r="S34" t="s">
        <v>231</v>
      </c>
      <c r="T34" s="11">
        <v>18000</v>
      </c>
      <c r="U34" s="11">
        <f>T34*0.2</f>
        <v>3600</v>
      </c>
      <c r="V34" s="11">
        <f>T34*0.7</f>
        <v>12600</v>
      </c>
      <c r="W34" s="11">
        <f>T34*0.1</f>
        <v>1800</v>
      </c>
    </row>
    <row r="35" spans="1:23" x14ac:dyDescent="0.2">
      <c r="A35" t="s">
        <v>211</v>
      </c>
      <c r="B35" s="86">
        <v>45176</v>
      </c>
      <c r="C35" t="s">
        <v>231</v>
      </c>
      <c r="D35" t="s">
        <v>132</v>
      </c>
      <c r="E35" t="s">
        <v>132</v>
      </c>
      <c r="F35">
        <v>18000</v>
      </c>
      <c r="G35" t="s">
        <v>208</v>
      </c>
      <c r="L35" s="95" t="s">
        <v>132</v>
      </c>
      <c r="M35" s="9">
        <v>44000</v>
      </c>
      <c r="R35" s="2" t="s">
        <v>135</v>
      </c>
      <c r="S35" t="s">
        <v>244</v>
      </c>
      <c r="T35" s="11">
        <v>26000</v>
      </c>
      <c r="U35" s="11">
        <f>T35*0.45</f>
        <v>11700</v>
      </c>
      <c r="V35" s="11">
        <f>T35*0.35</f>
        <v>9100</v>
      </c>
      <c r="W35" s="11">
        <f>T35*0.19</f>
        <v>4940</v>
      </c>
    </row>
    <row r="36" spans="1:23" x14ac:dyDescent="0.2">
      <c r="A36" t="s">
        <v>211</v>
      </c>
      <c r="B36" s="86">
        <v>45189</v>
      </c>
      <c r="C36" t="s">
        <v>130</v>
      </c>
      <c r="D36" t="s">
        <v>103</v>
      </c>
      <c r="E36" t="s">
        <v>103</v>
      </c>
      <c r="F36" s="87">
        <v>5000</v>
      </c>
      <c r="G36" s="87" t="s">
        <v>208</v>
      </c>
      <c r="L36" s="96" t="s">
        <v>139</v>
      </c>
      <c r="M36" s="9">
        <v>26000</v>
      </c>
      <c r="R36" t="s">
        <v>103</v>
      </c>
      <c r="S36" t="s">
        <v>130</v>
      </c>
      <c r="T36" s="11">
        <v>5000</v>
      </c>
      <c r="U36" s="11"/>
      <c r="V36" s="11"/>
      <c r="W36" s="11"/>
    </row>
    <row r="37" spans="1:23" x14ac:dyDescent="0.2">
      <c r="A37" t="s">
        <v>211</v>
      </c>
      <c r="B37" s="86">
        <v>45267</v>
      </c>
      <c r="C37" t="s">
        <v>255</v>
      </c>
      <c r="D37" t="s">
        <v>135</v>
      </c>
      <c r="E37" t="s">
        <v>135</v>
      </c>
      <c r="F37">
        <v>26000</v>
      </c>
      <c r="G37" s="87" t="s">
        <v>208</v>
      </c>
      <c r="L37" s="96" t="s">
        <v>231</v>
      </c>
      <c r="M37" s="9">
        <v>18000</v>
      </c>
      <c r="P37" s="11"/>
      <c r="Q37" s="11"/>
      <c r="S37" t="s">
        <v>45</v>
      </c>
      <c r="T37" s="11">
        <f>SUM(T27:T35)</f>
        <v>272000</v>
      </c>
      <c r="U37" s="11">
        <f>SUM(U27:U35)</f>
        <v>101450</v>
      </c>
      <c r="V37" s="11">
        <f>SUM(V27:V35)</f>
        <v>66080</v>
      </c>
      <c r="W37" s="11">
        <f>SUM(W27:W35)</f>
        <v>94440</v>
      </c>
    </row>
    <row r="38" spans="1:23" x14ac:dyDescent="0.2">
      <c r="F38">
        <f>SUM(F26:F37)</f>
        <v>407000</v>
      </c>
      <c r="L38" s="95" t="s">
        <v>135</v>
      </c>
      <c r="M38" s="9">
        <v>26000</v>
      </c>
      <c r="U38" s="37">
        <f>U37/T37</f>
        <v>0.3729779411764706</v>
      </c>
      <c r="V38" s="97">
        <f>V37/T37</f>
        <v>0.24294117647058824</v>
      </c>
      <c r="W38" s="97">
        <f>W37/T37</f>
        <v>0.3472058823529412</v>
      </c>
    </row>
    <row r="39" spans="1:23" x14ac:dyDescent="0.2">
      <c r="L39" s="96" t="s">
        <v>244</v>
      </c>
      <c r="M39" s="9">
        <v>26000</v>
      </c>
    </row>
    <row r="40" spans="1:23" x14ac:dyDescent="0.2">
      <c r="L40" s="95" t="s">
        <v>103</v>
      </c>
      <c r="M40" s="9">
        <v>5000</v>
      </c>
    </row>
    <row r="41" spans="1:23" x14ac:dyDescent="0.2">
      <c r="L41" s="96" t="s">
        <v>130</v>
      </c>
      <c r="M41" s="9">
        <v>5000</v>
      </c>
      <c r="S41" s="38" t="s">
        <v>245</v>
      </c>
      <c r="T41" s="38" t="s">
        <v>246</v>
      </c>
      <c r="U41" s="38" t="s">
        <v>144</v>
      </c>
      <c r="V41" s="38" t="s">
        <v>132</v>
      </c>
      <c r="W41" s="38" t="s">
        <v>133</v>
      </c>
    </row>
    <row r="42" spans="1:23" x14ac:dyDescent="0.2">
      <c r="L42" s="95" t="s">
        <v>45</v>
      </c>
      <c r="M42" s="9">
        <v>257000</v>
      </c>
      <c r="R42" s="110" t="s">
        <v>133</v>
      </c>
      <c r="S42" t="s">
        <v>228</v>
      </c>
      <c r="T42" s="11">
        <v>20000</v>
      </c>
      <c r="U42" s="11">
        <v>1500</v>
      </c>
      <c r="V42" s="11">
        <v>1500</v>
      </c>
      <c r="W42" s="11">
        <f>T42*0.85</f>
        <v>17000</v>
      </c>
    </row>
    <row r="43" spans="1:23" x14ac:dyDescent="0.2">
      <c r="R43" s="110"/>
      <c r="S43" t="s">
        <v>226</v>
      </c>
      <c r="T43" s="11">
        <v>20000</v>
      </c>
      <c r="U43" s="11">
        <f>T43*0.15</f>
        <v>3000</v>
      </c>
      <c r="V43" s="11">
        <f>T43*0.14</f>
        <v>2800.0000000000005</v>
      </c>
      <c r="W43" s="11">
        <f>T43*0.68</f>
        <v>13600.000000000002</v>
      </c>
    </row>
    <row r="44" spans="1:23" x14ac:dyDescent="0.2">
      <c r="N44" s="97"/>
      <c r="O44" s="97"/>
      <c r="P44" s="97"/>
      <c r="Q44" s="97"/>
      <c r="R44" s="110"/>
      <c r="S44" t="s">
        <v>225</v>
      </c>
      <c r="T44" s="11">
        <v>20000</v>
      </c>
      <c r="U44" s="11">
        <f>T44*0.015</f>
        <v>300</v>
      </c>
      <c r="V44" s="11">
        <f>T44*0.03</f>
        <v>600</v>
      </c>
      <c r="W44" s="11">
        <f>T44*0.78</f>
        <v>15600</v>
      </c>
    </row>
    <row r="45" spans="1:23" x14ac:dyDescent="0.2">
      <c r="C45" s="6" t="s">
        <v>44</v>
      </c>
      <c r="D45" t="s">
        <v>229</v>
      </c>
      <c r="E45" t="s">
        <v>247</v>
      </c>
      <c r="F45" t="s">
        <v>251</v>
      </c>
      <c r="G45" t="s">
        <v>252</v>
      </c>
      <c r="H45" t="s">
        <v>253</v>
      </c>
      <c r="N45" s="11"/>
      <c r="O45" s="11"/>
      <c r="P45" s="11"/>
      <c r="Q45" s="11"/>
      <c r="R45" s="110"/>
      <c r="S45" t="s">
        <v>230</v>
      </c>
      <c r="T45" s="11">
        <v>20000</v>
      </c>
      <c r="U45" s="11">
        <f>T45*0.16</f>
        <v>3200</v>
      </c>
      <c r="V45" s="11">
        <f>T45*0.03</f>
        <v>600</v>
      </c>
      <c r="W45" s="11">
        <f>T45*0.64</f>
        <v>12800</v>
      </c>
    </row>
    <row r="46" spans="1:23" x14ac:dyDescent="0.2">
      <c r="C46" s="7" t="s">
        <v>147</v>
      </c>
      <c r="D46" s="9">
        <v>175000</v>
      </c>
      <c r="E46" s="8">
        <v>0.42997542997542998</v>
      </c>
      <c r="F46" s="103">
        <f>GETPIVOTDATA("Sum of SIP Amount2",$C$45,"Type of Fund","Flexicap")*0.7</f>
        <v>0.30098280098280095</v>
      </c>
      <c r="G46" s="103">
        <f>GETPIVOTDATA("Sum of SIP Amount2",$C$45,"Type of Fund","Flexicap")*0.1</f>
        <v>4.2997542997542999E-2</v>
      </c>
      <c r="H46" s="103">
        <f>GETPIVOTDATA("Sum of SIP Amount2",$C$45,"Type of Fund","Flexicap")*0.15</f>
        <v>6.4496314496314489E-2</v>
      </c>
      <c r="I46" s="8">
        <f>SUM(F46:H46)</f>
        <v>0.40847665847665843</v>
      </c>
      <c r="N46" s="37"/>
      <c r="O46" s="37"/>
      <c r="P46" s="37"/>
      <c r="Q46" s="37"/>
      <c r="R46" s="98" t="s">
        <v>33</v>
      </c>
      <c r="S46" t="s">
        <v>141</v>
      </c>
      <c r="T46" s="11">
        <v>71000</v>
      </c>
      <c r="U46" s="11">
        <f>T46*0.41</f>
        <v>29110</v>
      </c>
      <c r="V46" s="11">
        <f>T46*0.27</f>
        <v>19170</v>
      </c>
      <c r="W46" s="11">
        <f>T46*0.31</f>
        <v>22010</v>
      </c>
    </row>
    <row r="47" spans="1:23" x14ac:dyDescent="0.2">
      <c r="C47" s="7" t="s">
        <v>33</v>
      </c>
      <c r="D47" s="9">
        <v>71000</v>
      </c>
      <c r="E47" s="8">
        <v>0.17444717444717445</v>
      </c>
      <c r="F47" s="103">
        <f>GETPIVOTDATA("Sum of SIP Amount2",$C$45,"Type of Fund","Multicap")*0.35</f>
        <v>6.1056511056511054E-2</v>
      </c>
      <c r="G47" s="103">
        <f>GETPIVOTDATA("Sum of SIP Amount2",$C$45,"Type of Fund","Multicap")*0.3</f>
        <v>5.2334152334152333E-2</v>
      </c>
      <c r="H47" s="103">
        <f>GETPIVOTDATA("Sum of SIP Amount2",$C$45,"Type of Fund","Multicap")*0.35</f>
        <v>6.1056511056511054E-2</v>
      </c>
      <c r="I47" s="8">
        <f t="shared" ref="I47:I49" si="0">SUM(F47:H47)</f>
        <v>0.17444717444717445</v>
      </c>
      <c r="R47" s="2" t="s">
        <v>147</v>
      </c>
      <c r="S47" t="s">
        <v>227</v>
      </c>
      <c r="T47" s="11">
        <v>51000</v>
      </c>
      <c r="U47" s="11">
        <f>T47-(W47+V47)</f>
        <v>43350</v>
      </c>
      <c r="V47" s="11">
        <f>T47*0.06</f>
        <v>3060</v>
      </c>
      <c r="W47" s="11">
        <f>T47*0.09</f>
        <v>4590</v>
      </c>
    </row>
    <row r="48" spans="1:23" x14ac:dyDescent="0.2">
      <c r="C48" s="7" t="s">
        <v>133</v>
      </c>
      <c r="D48" s="9">
        <v>60000</v>
      </c>
      <c r="E48" s="8">
        <v>0.14742014742014742</v>
      </c>
      <c r="F48" s="103">
        <f>GETPIVOTDATA("Sum of SIP Amount2",$C$45,"Type of Fund","Smallcap")*0.1</f>
        <v>1.4742014742014743E-2</v>
      </c>
      <c r="G48" s="103">
        <f>GETPIVOTDATA("Sum of SIP Amount2",$C$45,"Type of Fund","Smallcap")*0.8</f>
        <v>0.11793611793611794</v>
      </c>
      <c r="H48" s="103">
        <f>GETPIVOTDATA("Sum of SIP Amount2",$C$45,"Type of Fund","Smallcap")*0.1</f>
        <v>1.4742014742014743E-2</v>
      </c>
      <c r="I48" s="8">
        <f t="shared" si="0"/>
        <v>0.14742014742014745</v>
      </c>
      <c r="R48" s="110" t="s">
        <v>132</v>
      </c>
      <c r="S48" t="s">
        <v>139</v>
      </c>
      <c r="T48" s="11">
        <v>26000</v>
      </c>
      <c r="U48" s="11">
        <f>T48*0.16</f>
        <v>4160</v>
      </c>
      <c r="V48" s="11">
        <f>T48*0.66</f>
        <v>17160</v>
      </c>
      <c r="W48" s="11">
        <f>T48*0.12</f>
        <v>3120</v>
      </c>
    </row>
    <row r="49" spans="3:24" x14ac:dyDescent="0.2">
      <c r="C49" s="7" t="s">
        <v>135</v>
      </c>
      <c r="D49" s="9">
        <v>52000</v>
      </c>
      <c r="E49" s="8">
        <v>0.12776412776412777</v>
      </c>
      <c r="F49" s="103">
        <f>GETPIVOTDATA("Sum of SIP Amount2",$C$45,"Type of Fund","Large &amp; Midcap")*0.4</f>
        <v>5.1105651105651108E-2</v>
      </c>
      <c r="G49" s="103">
        <f>GETPIVOTDATA("Sum of SIP Amount2",$C$45,"Type of Fund","Large &amp; Midcap")*0.2</f>
        <v>2.5552825552825554E-2</v>
      </c>
      <c r="H49" s="103">
        <f>GETPIVOTDATA("Sum of SIP Amount2",$C$45,"Type of Fund","Large &amp; Midcap")*0.4</f>
        <v>5.1105651105651108E-2</v>
      </c>
      <c r="I49" s="8">
        <f t="shared" si="0"/>
        <v>0.12776412776412777</v>
      </c>
      <c r="R49" s="110"/>
      <c r="S49" t="s">
        <v>231</v>
      </c>
      <c r="T49" s="11">
        <v>18000</v>
      </c>
      <c r="U49" s="11">
        <f>T49*0.2</f>
        <v>3600</v>
      </c>
      <c r="V49" s="11">
        <f>T49*0.7</f>
        <v>12600</v>
      </c>
      <c r="W49" s="11">
        <f>T49*0.1</f>
        <v>1800</v>
      </c>
    </row>
    <row r="50" spans="3:24" x14ac:dyDescent="0.2">
      <c r="C50" s="7" t="s">
        <v>132</v>
      </c>
      <c r="D50" s="9">
        <v>44000</v>
      </c>
      <c r="E50" s="8">
        <v>0.10810810810810811</v>
      </c>
      <c r="F50" s="103">
        <f>GETPIVOTDATA("Sum of SIP Amount2",$C$45,"Type of Fund","Midcap")*0.1</f>
        <v>1.0810810810810811E-2</v>
      </c>
      <c r="G50" s="103">
        <f>GETPIVOTDATA("Sum of SIP Amount2",$C$45,"Type of Fund","Midcap")*0.1</f>
        <v>1.0810810810810811E-2</v>
      </c>
      <c r="H50" s="103">
        <f>GETPIVOTDATA("Sum of SIP Amount2",$C$45,"Type of Fund","Midcap")*0.8</f>
        <v>8.6486486486486491E-2</v>
      </c>
      <c r="I50" s="8">
        <f>SUM(F50:H50)</f>
        <v>0.10810810810810811</v>
      </c>
      <c r="R50" s="2" t="s">
        <v>135</v>
      </c>
      <c r="S50" t="s">
        <v>244</v>
      </c>
      <c r="T50" s="11">
        <v>26000</v>
      </c>
      <c r="U50" s="11">
        <f>T50*0.45</f>
        <v>11700</v>
      </c>
      <c r="V50" s="11">
        <f>T50*0.35</f>
        <v>9100</v>
      </c>
      <c r="W50" s="11">
        <f>T50*0.19</f>
        <v>4940</v>
      </c>
    </row>
    <row r="51" spans="3:24" x14ac:dyDescent="0.2">
      <c r="C51" s="7" t="s">
        <v>103</v>
      </c>
      <c r="D51" s="9">
        <v>5000</v>
      </c>
      <c r="E51" s="8">
        <v>1.2285012285012284E-2</v>
      </c>
      <c r="F51" s="103">
        <f>GETPIVOTDATA("Sum of SIP Amount2",$C$45,"Type of Fund","Sector")*0.7</f>
        <v>8.5995085995085978E-3</v>
      </c>
      <c r="G51" s="103">
        <f>GETPIVOTDATA("Sum of SIP Amount2",$C$45,"Type of Fund","Sector")*0.1</f>
        <v>1.2285012285012285E-3</v>
      </c>
      <c r="H51" s="103">
        <f>GETPIVOTDATA("Sum of SIP Amount2",$C$45,"Type of Fund","Sector")*0.2</f>
        <v>2.4570024570024569E-3</v>
      </c>
      <c r="I51" s="8">
        <f>SUM(F51:H51)</f>
        <v>1.2285012285012283E-2</v>
      </c>
      <c r="R51" t="s">
        <v>103</v>
      </c>
      <c r="S51" t="s">
        <v>130</v>
      </c>
      <c r="T51" s="11">
        <v>5000</v>
      </c>
      <c r="U51" s="11"/>
      <c r="V51" s="11"/>
      <c r="W51" s="11"/>
    </row>
    <row r="52" spans="3:24" x14ac:dyDescent="0.2">
      <c r="C52" s="7" t="s">
        <v>45</v>
      </c>
      <c r="D52" s="9">
        <v>407000</v>
      </c>
      <c r="E52" s="8">
        <v>1</v>
      </c>
      <c r="S52" t="s">
        <v>45</v>
      </c>
      <c r="T52" s="11">
        <f>SUM(T42:T50)</f>
        <v>272000</v>
      </c>
      <c r="U52" s="11">
        <f>SUM(U42:U50)</f>
        <v>99920</v>
      </c>
      <c r="V52" s="11">
        <f>SUM(V42:V50)</f>
        <v>66590</v>
      </c>
      <c r="W52" s="11">
        <f>SUM(W42:W50)</f>
        <v>95460</v>
      </c>
    </row>
    <row r="53" spans="3:24" x14ac:dyDescent="0.2">
      <c r="F53" s="8">
        <f>SUM(F46:F51)</f>
        <v>0.44729729729729728</v>
      </c>
      <c r="G53" s="8">
        <f>SUM(G46:G51)</f>
        <v>0.25085995085995089</v>
      </c>
      <c r="H53" s="8">
        <f>SUM(H46:H51)</f>
        <v>0.28034398034398039</v>
      </c>
      <c r="I53" s="8">
        <f>SUM(I46:I51)</f>
        <v>0.97850122850122856</v>
      </c>
    </row>
    <row r="55" spans="3:24" x14ac:dyDescent="0.2">
      <c r="R55" s="98" t="s">
        <v>33</v>
      </c>
      <c r="S55" t="s">
        <v>141</v>
      </c>
      <c r="T55" s="11">
        <v>71000</v>
      </c>
      <c r="U55" s="11">
        <f>T55*0.41</f>
        <v>29110</v>
      </c>
      <c r="V55" s="11">
        <f>T55*0.27</f>
        <v>19170</v>
      </c>
      <c r="W55" s="11">
        <f>T55*0.3</f>
        <v>21300</v>
      </c>
      <c r="X55" s="9">
        <f>SUM(U55:W55)</f>
        <v>69580</v>
      </c>
    </row>
    <row r="56" spans="3:24" x14ac:dyDescent="0.2">
      <c r="R56" s="2" t="s">
        <v>147</v>
      </c>
      <c r="S56" t="s">
        <v>227</v>
      </c>
      <c r="T56" s="11">
        <v>71000</v>
      </c>
      <c r="U56" s="11">
        <f>T56-(W56+V56)</f>
        <v>60350</v>
      </c>
      <c r="V56" s="11">
        <f>T56*0.06</f>
        <v>4260</v>
      </c>
      <c r="W56" s="11">
        <f>T56*0.09</f>
        <v>6390</v>
      </c>
      <c r="X56" s="9">
        <f t="shared" ref="X56:X61" si="1">SUM(U56:W56)</f>
        <v>71000</v>
      </c>
    </row>
    <row r="57" spans="3:24" x14ac:dyDescent="0.2">
      <c r="R57" s="110" t="s">
        <v>132</v>
      </c>
      <c r="S57" t="s">
        <v>139</v>
      </c>
      <c r="T57" s="11">
        <v>26000</v>
      </c>
      <c r="U57" s="11">
        <f>T57*0.16</f>
        <v>4160</v>
      </c>
      <c r="V57" s="11">
        <f>T57*0.67</f>
        <v>17420</v>
      </c>
      <c r="W57" s="11">
        <f>T57*0.12</f>
        <v>3120</v>
      </c>
      <c r="X57" s="9">
        <f t="shared" si="1"/>
        <v>24700</v>
      </c>
    </row>
    <row r="58" spans="3:24" x14ac:dyDescent="0.2">
      <c r="R58" s="110"/>
      <c r="S58" t="s">
        <v>231</v>
      </c>
      <c r="T58" s="11">
        <v>18000</v>
      </c>
      <c r="U58" s="11">
        <f>T58*0.21</f>
        <v>3780</v>
      </c>
      <c r="V58" s="11">
        <f>T58*0.46</f>
        <v>8280</v>
      </c>
      <c r="W58" s="11">
        <f>T58*0</f>
        <v>0</v>
      </c>
      <c r="X58" s="9">
        <f t="shared" si="1"/>
        <v>12060</v>
      </c>
    </row>
    <row r="59" spans="3:24" ht="20" x14ac:dyDescent="0.25">
      <c r="C59" s="104"/>
      <c r="R59" s="111" t="s">
        <v>135</v>
      </c>
      <c r="S59" t="s">
        <v>244</v>
      </c>
      <c r="T59" s="11">
        <v>26000</v>
      </c>
      <c r="U59" s="11">
        <f>T59*0.44</f>
        <v>11440</v>
      </c>
      <c r="V59" s="11">
        <f>T59*0.35</f>
        <v>9100</v>
      </c>
      <c r="W59" s="11">
        <f>T59*0.21</f>
        <v>5460</v>
      </c>
      <c r="X59" s="9">
        <f t="shared" si="1"/>
        <v>26000</v>
      </c>
    </row>
    <row r="60" spans="3:24" x14ac:dyDescent="0.2">
      <c r="C60" s="11"/>
      <c r="R60" s="111"/>
      <c r="S60" t="s">
        <v>249</v>
      </c>
      <c r="T60" s="11">
        <v>25000</v>
      </c>
      <c r="U60" s="11">
        <f>T60*0.52</f>
        <v>13000</v>
      </c>
      <c r="V60" s="11">
        <f>T60*0.37</f>
        <v>9250</v>
      </c>
      <c r="W60" s="11">
        <f>T60*0.1</f>
        <v>2500</v>
      </c>
      <c r="X60" s="9">
        <f>SUM(U60:W60)</f>
        <v>24750</v>
      </c>
    </row>
    <row r="61" spans="3:24" x14ac:dyDescent="0.2">
      <c r="R61" s="2" t="s">
        <v>103</v>
      </c>
      <c r="S61" t="s">
        <v>130</v>
      </c>
      <c r="T61" s="11">
        <v>5000</v>
      </c>
      <c r="U61" s="11">
        <f>T61*0.63</f>
        <v>3150</v>
      </c>
      <c r="V61" s="11">
        <f>T61*0.15</f>
        <v>750</v>
      </c>
      <c r="W61" s="11">
        <f>T61*0.13</f>
        <v>650</v>
      </c>
      <c r="X61" s="9">
        <f t="shared" si="1"/>
        <v>4550</v>
      </c>
    </row>
    <row r="62" spans="3:24" x14ac:dyDescent="0.2">
      <c r="R62" s="110" t="s">
        <v>133</v>
      </c>
      <c r="S62" t="s">
        <v>228</v>
      </c>
      <c r="T62" s="11">
        <v>20000</v>
      </c>
      <c r="U62" s="11">
        <f>T62*0.04</f>
        <v>800</v>
      </c>
      <c r="V62" s="11">
        <f>T62*0.09</f>
        <v>1800</v>
      </c>
      <c r="W62" s="11">
        <f>T62*0.81</f>
        <v>16200.000000000002</v>
      </c>
      <c r="X62" s="9">
        <f>SUM(U62:W62)</f>
        <v>18800</v>
      </c>
    </row>
    <row r="63" spans="3:24" x14ac:dyDescent="0.2">
      <c r="R63" s="110"/>
      <c r="S63" t="s">
        <v>226</v>
      </c>
      <c r="T63" s="11">
        <v>20000</v>
      </c>
      <c r="U63" s="11">
        <f>T63*0.13</f>
        <v>2600</v>
      </c>
      <c r="V63" s="11">
        <f>T63*0.15</f>
        <v>3000</v>
      </c>
      <c r="W63" s="11">
        <f>T63*0.7</f>
        <v>14000</v>
      </c>
      <c r="X63" s="9">
        <f>SUM(U63:W63)</f>
        <v>19600</v>
      </c>
    </row>
    <row r="64" spans="3:24" x14ac:dyDescent="0.2">
      <c r="R64" s="110"/>
      <c r="S64" t="s">
        <v>225</v>
      </c>
      <c r="T64" s="11">
        <v>0</v>
      </c>
      <c r="U64" s="11">
        <f>T64*0.015</f>
        <v>0</v>
      </c>
      <c r="V64" s="11">
        <f>T64*0.03</f>
        <v>0</v>
      </c>
      <c r="W64" s="11">
        <f>T64*0.85</f>
        <v>0</v>
      </c>
      <c r="X64" s="9">
        <f>SUM(U64:W64)</f>
        <v>0</v>
      </c>
    </row>
    <row r="65" spans="18:24" x14ac:dyDescent="0.2">
      <c r="R65" s="110"/>
      <c r="S65" t="s">
        <v>230</v>
      </c>
      <c r="T65" s="11">
        <v>20000</v>
      </c>
      <c r="U65" s="11">
        <f>T65*0.11</f>
        <v>2200</v>
      </c>
      <c r="V65" s="11">
        <f>T65*0.02</f>
        <v>400</v>
      </c>
      <c r="W65" s="11">
        <f>T65*0.71</f>
        <v>14200</v>
      </c>
      <c r="X65" s="9">
        <f>SUM(U65:W65)</f>
        <v>16800</v>
      </c>
    </row>
    <row r="66" spans="18:24" x14ac:dyDescent="0.2">
      <c r="R66" s="102"/>
      <c r="T66" s="11"/>
      <c r="U66" s="11"/>
      <c r="V66" s="11"/>
      <c r="W66" s="11"/>
      <c r="X66" s="9"/>
    </row>
    <row r="67" spans="18:24" x14ac:dyDescent="0.2">
      <c r="T67" s="9">
        <f>SUM(T55:T65)</f>
        <v>302000</v>
      </c>
      <c r="U67" s="9">
        <f>SUM(U55:U65)</f>
        <v>130590</v>
      </c>
      <c r="V67" s="9">
        <f>SUM(V55:V65)</f>
        <v>73430</v>
      </c>
      <c r="W67" s="9">
        <f>SUM(W55:W65)</f>
        <v>83820</v>
      </c>
      <c r="X67" s="9">
        <f>SUM(X55:X65)</f>
        <v>287840</v>
      </c>
    </row>
    <row r="68" spans="18:24" x14ac:dyDescent="0.2">
      <c r="U68" s="97">
        <f>U67/$T$67</f>
        <v>0.43241721854304638</v>
      </c>
      <c r="V68" s="97">
        <f>V67/$T$67</f>
        <v>0.24314569536423841</v>
      </c>
      <c r="W68" s="97">
        <f>W67/$T$67</f>
        <v>0.27754966887417221</v>
      </c>
    </row>
    <row r="72" spans="18:24" x14ac:dyDescent="0.2">
      <c r="R72" s="110" t="s">
        <v>33</v>
      </c>
      <c r="S72" t="s">
        <v>141</v>
      </c>
      <c r="T72" s="11">
        <v>71000</v>
      </c>
      <c r="U72" s="11">
        <f>T72*0.41</f>
        <v>29110</v>
      </c>
      <c r="V72" s="11">
        <f>T72*0.27</f>
        <v>19170</v>
      </c>
      <c r="W72" s="11">
        <f>T72*0.3</f>
        <v>21300</v>
      </c>
      <c r="X72" s="9">
        <f>SUM(U72:W72)</f>
        <v>69580</v>
      </c>
    </row>
    <row r="73" spans="18:24" x14ac:dyDescent="0.2">
      <c r="R73" s="110"/>
      <c r="S73" t="s">
        <v>250</v>
      </c>
      <c r="T73">
        <v>0</v>
      </c>
      <c r="U73" s="11">
        <f>T73*0.4</f>
        <v>0</v>
      </c>
      <c r="V73" s="11">
        <f>T73*0.25</f>
        <v>0</v>
      </c>
      <c r="W73" s="11">
        <f>T73*0.27</f>
        <v>0</v>
      </c>
      <c r="X73" s="9">
        <f>SUM(U73:W73)</f>
        <v>0</v>
      </c>
    </row>
    <row r="74" spans="18:24" x14ac:dyDescent="0.2">
      <c r="R74" s="2" t="s">
        <v>135</v>
      </c>
      <c r="S74" t="s">
        <v>244</v>
      </c>
      <c r="T74" s="11">
        <v>26000</v>
      </c>
      <c r="U74" s="11">
        <f>T74*0.45</f>
        <v>11700</v>
      </c>
      <c r="V74" s="11">
        <f>T74*0.35</f>
        <v>9100</v>
      </c>
      <c r="W74" s="11">
        <f>T74*0.19</f>
        <v>4940</v>
      </c>
      <c r="X74" s="9">
        <f>SUM(U74:W74)</f>
        <v>25740</v>
      </c>
    </row>
    <row r="75" spans="18:24" x14ac:dyDescent="0.2">
      <c r="R75" s="2" t="s">
        <v>147</v>
      </c>
      <c r="S75" t="s">
        <v>227</v>
      </c>
      <c r="T75" s="11">
        <v>79000</v>
      </c>
      <c r="U75" s="11">
        <f>T75-(W75+V75)</f>
        <v>67150</v>
      </c>
      <c r="V75" s="11">
        <f>T75*0.06</f>
        <v>4740</v>
      </c>
      <c r="W75" s="11">
        <f>T75*0.09</f>
        <v>7110</v>
      </c>
      <c r="X75" s="9">
        <f>SUM(U75:W75)</f>
        <v>79000</v>
      </c>
    </row>
    <row r="78" spans="18:24" x14ac:dyDescent="0.2">
      <c r="T78" s="9"/>
    </row>
    <row r="82" spans="20:24" x14ac:dyDescent="0.2">
      <c r="T82" s="9">
        <f>SUM(T72:T75)</f>
        <v>176000</v>
      </c>
      <c r="U82" s="9">
        <f>SUM(U72:U75)</f>
        <v>107960</v>
      </c>
      <c r="V82" s="9">
        <f>SUM(V72:V75)</f>
        <v>33010</v>
      </c>
      <c r="W82" s="9">
        <f>SUM(W72:W75)</f>
        <v>33350</v>
      </c>
      <c r="X82" s="9">
        <f>SUM(X72:X75)</f>
        <v>174320</v>
      </c>
    </row>
    <row r="83" spans="20:24" x14ac:dyDescent="0.2">
      <c r="U83" s="97">
        <f>U82/$T$82</f>
        <v>0.6134090909090909</v>
      </c>
      <c r="V83" s="97">
        <f>V82/$T$82</f>
        <v>0.18755681818181819</v>
      </c>
      <c r="W83" s="97">
        <f>W82/$T$82</f>
        <v>0.18948863636363636</v>
      </c>
      <c r="X83" s="97">
        <f>X82/$T$82</f>
        <v>0.99045454545454548</v>
      </c>
    </row>
  </sheetData>
  <sortState xmlns:xlrd2="http://schemas.microsoft.com/office/spreadsheetml/2017/richdata2" ref="A26:G37">
    <sortCondition descending="1" ref="F26:F37"/>
  </sortState>
  <mergeCells count="8">
    <mergeCell ref="R62:R65"/>
    <mergeCell ref="R59:R60"/>
    <mergeCell ref="R72:R73"/>
    <mergeCell ref="R33:R34"/>
    <mergeCell ref="R27:R30"/>
    <mergeCell ref="R42:R45"/>
    <mergeCell ref="R48:R49"/>
    <mergeCell ref="R57:R5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825B-2562-064F-87B2-F655B7E5E852}">
  <dimension ref="A1:D92"/>
  <sheetViews>
    <sheetView zoomScale="117" workbookViewId="0">
      <selection activeCell="I1" sqref="I1"/>
    </sheetView>
  </sheetViews>
  <sheetFormatPr baseColWidth="10" defaultRowHeight="16" x14ac:dyDescent="0.2"/>
  <cols>
    <col min="1" max="1" width="7.83203125" bestFit="1" customWidth="1"/>
    <col min="2" max="2" width="9.1640625" bestFit="1" customWidth="1"/>
    <col min="3" max="3" width="11.33203125" customWidth="1"/>
    <col min="4" max="4" width="9.33203125" bestFit="1" customWidth="1"/>
  </cols>
  <sheetData>
    <row r="1" spans="1:4" ht="68" x14ac:dyDescent="0.2">
      <c r="A1" s="89" t="s">
        <v>233</v>
      </c>
      <c r="B1" s="89" t="s">
        <v>234</v>
      </c>
      <c r="C1" s="89" t="s">
        <v>235</v>
      </c>
      <c r="D1" s="90" t="s">
        <v>236</v>
      </c>
    </row>
    <row r="2" spans="1:4" x14ac:dyDescent="0.2">
      <c r="A2" s="91">
        <v>44942</v>
      </c>
      <c r="B2" s="92">
        <v>9054.56</v>
      </c>
      <c r="C2" s="87">
        <v>4133.13</v>
      </c>
      <c r="D2" s="93">
        <v>1</v>
      </c>
    </row>
    <row r="3" spans="1:4" x14ac:dyDescent="0.2">
      <c r="A3" s="91">
        <v>44973</v>
      </c>
      <c r="B3" s="92">
        <v>8332.74</v>
      </c>
      <c r="C3" s="87">
        <v>3578.86</v>
      </c>
      <c r="D3" s="93">
        <v>0.94089999999999996</v>
      </c>
    </row>
    <row r="4" spans="1:4" x14ac:dyDescent="0.2">
      <c r="A4" s="91">
        <v>45001</v>
      </c>
      <c r="B4" s="92">
        <v>9239.91</v>
      </c>
      <c r="C4" s="87">
        <v>4012.24</v>
      </c>
      <c r="D4" s="93">
        <v>0.95130000000000003</v>
      </c>
    </row>
    <row r="5" spans="1:4" x14ac:dyDescent="0.2">
      <c r="A5" s="91">
        <v>45032</v>
      </c>
      <c r="B5" s="92">
        <v>9435.76</v>
      </c>
      <c r="C5" s="87">
        <v>4225.04</v>
      </c>
      <c r="D5" s="93">
        <v>0.98089999999999999</v>
      </c>
    </row>
    <row r="6" spans="1:4" x14ac:dyDescent="0.2">
      <c r="A6" s="91">
        <v>45062</v>
      </c>
      <c r="B6" s="92">
        <v>9757.09</v>
      </c>
      <c r="C6" s="87">
        <v>4250.72</v>
      </c>
      <c r="D6" s="93">
        <v>0.95440000000000003</v>
      </c>
    </row>
    <row r="7" spans="1:4" x14ac:dyDescent="0.2">
      <c r="A7" s="91">
        <v>45093</v>
      </c>
      <c r="B7" s="92">
        <v>10038.719999999999</v>
      </c>
      <c r="C7" s="87">
        <v>4586.6899999999996</v>
      </c>
      <c r="D7" s="93">
        <v>1.0008999999999999</v>
      </c>
    </row>
    <row r="8" spans="1:4" x14ac:dyDescent="0.2">
      <c r="A8" s="91">
        <v>45123</v>
      </c>
      <c r="B8" s="92">
        <v>10561.52</v>
      </c>
      <c r="C8" s="87">
        <v>4778.33</v>
      </c>
      <c r="D8" s="93">
        <v>0.99109999999999998</v>
      </c>
    </row>
    <row r="9" spans="1:4" x14ac:dyDescent="0.2">
      <c r="A9" s="91">
        <v>45154</v>
      </c>
      <c r="B9" s="92">
        <v>10806.57</v>
      </c>
      <c r="C9" s="87">
        <v>4898.93</v>
      </c>
      <c r="D9" s="93">
        <v>0.99309999999999998</v>
      </c>
    </row>
    <row r="10" spans="1:4" x14ac:dyDescent="0.2">
      <c r="A10" s="91">
        <v>45185</v>
      </c>
      <c r="B10" s="92">
        <v>10677.17</v>
      </c>
      <c r="C10" s="87">
        <v>4923.76</v>
      </c>
      <c r="D10" s="93">
        <v>1.0103</v>
      </c>
    </row>
    <row r="11" spans="1:4" x14ac:dyDescent="0.2">
      <c r="A11" s="91">
        <v>45215</v>
      </c>
      <c r="B11" s="92">
        <v>10838.16</v>
      </c>
      <c r="C11" s="87">
        <v>5201.3599999999997</v>
      </c>
      <c r="D11" s="93">
        <v>1.0513999999999999</v>
      </c>
    </row>
    <row r="12" spans="1:4" x14ac:dyDescent="0.2">
      <c r="A12" s="91">
        <v>45246</v>
      </c>
      <c r="B12" s="92">
        <v>10234.35</v>
      </c>
      <c r="C12" s="87">
        <v>4714.26</v>
      </c>
      <c r="D12" s="93">
        <v>1.0091000000000001</v>
      </c>
    </row>
    <row r="13" spans="1:4" x14ac:dyDescent="0.2">
      <c r="A13" s="91">
        <v>45276</v>
      </c>
      <c r="B13" s="92">
        <v>10094.85</v>
      </c>
      <c r="C13" s="87">
        <v>4599.7700000000004</v>
      </c>
      <c r="D13" s="93">
        <v>0.99819999999999998</v>
      </c>
    </row>
    <row r="14" spans="1:4" x14ac:dyDescent="0.2">
      <c r="A14" s="91">
        <v>44943</v>
      </c>
      <c r="B14" s="92">
        <v>10670.2</v>
      </c>
      <c r="C14" s="87">
        <v>4968.62</v>
      </c>
      <c r="D14" s="93">
        <v>1.0201</v>
      </c>
    </row>
    <row r="15" spans="1:4" x14ac:dyDescent="0.2">
      <c r="A15" s="91">
        <v>44974</v>
      </c>
      <c r="B15" s="92">
        <v>11163.36</v>
      </c>
      <c r="C15" s="87">
        <v>5291.75</v>
      </c>
      <c r="D15" s="93">
        <v>1.0385</v>
      </c>
    </row>
    <row r="16" spans="1:4" x14ac:dyDescent="0.2">
      <c r="A16" s="91">
        <v>45002</v>
      </c>
      <c r="B16" s="92">
        <v>11598.64</v>
      </c>
      <c r="C16" s="87">
        <v>5596.81</v>
      </c>
      <c r="D16" s="93">
        <v>1.0570999999999999</v>
      </c>
    </row>
    <row r="17" spans="1:4" x14ac:dyDescent="0.2">
      <c r="A17" s="91">
        <v>45033</v>
      </c>
      <c r="B17" s="92">
        <v>11922.34</v>
      </c>
      <c r="C17" s="87">
        <v>5996.6</v>
      </c>
      <c r="D17" s="93">
        <v>1.1019000000000001</v>
      </c>
    </row>
    <row r="18" spans="1:4" x14ac:dyDescent="0.2">
      <c r="A18" s="91">
        <v>45063</v>
      </c>
      <c r="B18" s="92">
        <v>12126.75</v>
      </c>
      <c r="C18" s="87">
        <v>5903.2</v>
      </c>
      <c r="D18" s="93">
        <v>1.0664</v>
      </c>
    </row>
    <row r="19" spans="1:4" x14ac:dyDescent="0.2">
      <c r="A19" s="91">
        <v>45094</v>
      </c>
      <c r="B19" s="92">
        <v>12132.6</v>
      </c>
      <c r="C19" s="87">
        <v>5982.5</v>
      </c>
      <c r="D19" s="93">
        <v>1.0802</v>
      </c>
    </row>
    <row r="20" spans="1:4" x14ac:dyDescent="0.2">
      <c r="A20" s="91">
        <v>45124</v>
      </c>
      <c r="B20" s="92">
        <v>12837.04</v>
      </c>
      <c r="C20" s="87">
        <v>6237.8</v>
      </c>
      <c r="D20" s="93">
        <v>1.0645</v>
      </c>
    </row>
    <row r="21" spans="1:4" x14ac:dyDescent="0.2">
      <c r="A21" s="91">
        <v>45155</v>
      </c>
      <c r="B21" s="92">
        <v>12707.41</v>
      </c>
      <c r="C21" s="87">
        <v>6131.44</v>
      </c>
      <c r="D21" s="93">
        <v>1.0569999999999999</v>
      </c>
    </row>
    <row r="22" spans="1:4" x14ac:dyDescent="0.2">
      <c r="A22" s="91">
        <v>45186</v>
      </c>
      <c r="B22" s="92">
        <v>12577.95</v>
      </c>
      <c r="C22" s="87">
        <v>6093.86</v>
      </c>
      <c r="D22" s="93">
        <v>1.0613999999999999</v>
      </c>
    </row>
    <row r="23" spans="1:4" x14ac:dyDescent="0.2">
      <c r="A23" s="91">
        <v>45216</v>
      </c>
      <c r="B23" s="92">
        <v>13394.75</v>
      </c>
      <c r="C23" s="87">
        <v>6697.75</v>
      </c>
      <c r="D23" s="93">
        <v>1.0953999999999999</v>
      </c>
    </row>
    <row r="24" spans="1:4" x14ac:dyDescent="0.2">
      <c r="A24" s="91">
        <v>45247</v>
      </c>
      <c r="B24" s="92">
        <v>13403.72</v>
      </c>
      <c r="C24" s="87">
        <v>6911.72</v>
      </c>
      <c r="D24" s="93">
        <v>1.1296999999999999</v>
      </c>
    </row>
    <row r="25" spans="1:4" x14ac:dyDescent="0.2">
      <c r="A25" s="91">
        <v>45277</v>
      </c>
      <c r="B25" s="92">
        <v>13896.02</v>
      </c>
      <c r="C25" s="87">
        <v>7234.34</v>
      </c>
      <c r="D25" s="93">
        <v>1.1405000000000001</v>
      </c>
    </row>
    <row r="26" spans="1:4" x14ac:dyDescent="0.2">
      <c r="A26" s="91">
        <v>44944</v>
      </c>
      <c r="B26" s="92">
        <v>14203.09</v>
      </c>
      <c r="C26" s="87">
        <v>7021.49</v>
      </c>
      <c r="D26" s="93">
        <v>1.083</v>
      </c>
    </row>
    <row r="27" spans="1:4" x14ac:dyDescent="0.2">
      <c r="A27" s="91">
        <v>44975</v>
      </c>
      <c r="B27" s="92">
        <v>13585.49</v>
      </c>
      <c r="C27" s="87">
        <v>6770.97</v>
      </c>
      <c r="D27" s="93">
        <v>1.0919000000000001</v>
      </c>
    </row>
    <row r="28" spans="1:4" x14ac:dyDescent="0.2">
      <c r="A28" s="91">
        <v>45003</v>
      </c>
      <c r="B28" s="92">
        <v>13090.98</v>
      </c>
      <c r="C28" s="87">
        <v>6270.82</v>
      </c>
      <c r="D28" s="93">
        <v>1.0494000000000001</v>
      </c>
    </row>
    <row r="29" spans="1:4" x14ac:dyDescent="0.2">
      <c r="A29" s="91">
        <v>45034</v>
      </c>
      <c r="B29" s="92">
        <v>13950.42</v>
      </c>
      <c r="C29" s="87">
        <v>6704.78</v>
      </c>
      <c r="D29" s="93">
        <v>1.0528999999999999</v>
      </c>
    </row>
    <row r="30" spans="1:4" x14ac:dyDescent="0.2">
      <c r="A30" s="91">
        <v>45064</v>
      </c>
      <c r="B30" s="92">
        <v>13705.62</v>
      </c>
      <c r="C30" s="87">
        <v>6289.76</v>
      </c>
      <c r="D30" s="93">
        <v>1.0054000000000001</v>
      </c>
    </row>
    <row r="31" spans="1:4" x14ac:dyDescent="0.2">
      <c r="A31" s="91">
        <v>45095</v>
      </c>
      <c r="B31" s="92">
        <v>13503.29</v>
      </c>
      <c r="C31" s="87">
        <v>5786.49</v>
      </c>
      <c r="D31" s="93">
        <v>0.93879999999999997</v>
      </c>
    </row>
    <row r="32" spans="1:4" x14ac:dyDescent="0.2">
      <c r="A32" s="91">
        <v>45125</v>
      </c>
      <c r="B32" s="92">
        <v>14257.02</v>
      </c>
      <c r="C32" s="87">
        <v>5943.02</v>
      </c>
      <c r="D32" s="93">
        <v>0.91320000000000001</v>
      </c>
    </row>
    <row r="33" spans="1:4" x14ac:dyDescent="0.2">
      <c r="A33" s="91">
        <v>45156</v>
      </c>
      <c r="B33" s="92">
        <v>14782.95</v>
      </c>
      <c r="C33" s="87">
        <v>6160.43</v>
      </c>
      <c r="D33" s="93">
        <v>0.91290000000000004</v>
      </c>
    </row>
    <row r="34" spans="1:4" x14ac:dyDescent="0.2">
      <c r="A34" s="91">
        <v>45187</v>
      </c>
      <c r="B34" s="92">
        <v>13496.26</v>
      </c>
      <c r="C34" s="87">
        <v>5130.04</v>
      </c>
      <c r="D34" s="93">
        <v>0.8327</v>
      </c>
    </row>
    <row r="35" spans="1:4" x14ac:dyDescent="0.2">
      <c r="A35" s="91">
        <v>45217</v>
      </c>
      <c r="B35" s="92">
        <v>12969.63</v>
      </c>
      <c r="C35" s="87">
        <v>5056.8</v>
      </c>
      <c r="D35" s="93">
        <v>0.85419999999999996</v>
      </c>
    </row>
    <row r="36" spans="1:4" x14ac:dyDescent="0.2">
      <c r="A36" s="91">
        <v>45248</v>
      </c>
      <c r="B36" s="92">
        <v>13503.06</v>
      </c>
      <c r="C36" s="87">
        <v>5125.7299999999996</v>
      </c>
      <c r="D36" s="93">
        <v>0.83160000000000001</v>
      </c>
    </row>
    <row r="37" spans="1:4" x14ac:dyDescent="0.2">
      <c r="A37" s="91">
        <v>45278</v>
      </c>
      <c r="B37" s="92">
        <v>13599.13</v>
      </c>
      <c r="C37" s="87">
        <v>5295.48</v>
      </c>
      <c r="D37" s="93">
        <v>0.85309999999999997</v>
      </c>
    </row>
    <row r="38" spans="1:4" x14ac:dyDescent="0.2">
      <c r="A38" s="91">
        <v>44945</v>
      </c>
      <c r="B38" s="92">
        <v>13357.8</v>
      </c>
      <c r="C38" s="87">
        <v>5021.6000000000004</v>
      </c>
      <c r="D38" s="93">
        <v>0.8236</v>
      </c>
    </row>
    <row r="39" spans="1:4" x14ac:dyDescent="0.2">
      <c r="A39" s="91">
        <v>44976</v>
      </c>
      <c r="B39" s="92">
        <v>13303.2</v>
      </c>
      <c r="C39" s="87">
        <v>4907.55</v>
      </c>
      <c r="D39" s="93">
        <v>0.80820000000000003</v>
      </c>
    </row>
    <row r="40" spans="1:4" x14ac:dyDescent="0.2">
      <c r="A40" s="91">
        <v>45004</v>
      </c>
      <c r="B40" s="92">
        <v>14364.59</v>
      </c>
      <c r="C40" s="87">
        <v>5438.8</v>
      </c>
      <c r="D40" s="93">
        <v>0.82950000000000002</v>
      </c>
    </row>
    <row r="41" spans="1:4" x14ac:dyDescent="0.2">
      <c r="A41" s="91">
        <v>45035</v>
      </c>
      <c r="B41" s="92">
        <v>14366.33</v>
      </c>
      <c r="C41" s="87">
        <v>5328.25</v>
      </c>
      <c r="D41" s="93">
        <v>0.8125</v>
      </c>
    </row>
    <row r="42" spans="1:4" x14ac:dyDescent="0.2">
      <c r="A42" s="91">
        <v>45065</v>
      </c>
      <c r="B42" s="92">
        <v>14591.01</v>
      </c>
      <c r="C42" s="87">
        <v>5412.9</v>
      </c>
      <c r="D42" s="93">
        <v>0.81269999999999998</v>
      </c>
    </row>
    <row r="43" spans="1:4" x14ac:dyDescent="0.2">
      <c r="A43" s="91">
        <v>45096</v>
      </c>
      <c r="B43" s="92">
        <v>14398.8</v>
      </c>
      <c r="C43" s="87">
        <v>5138.55</v>
      </c>
      <c r="D43" s="93">
        <v>0.78180000000000005</v>
      </c>
    </row>
    <row r="44" spans="1:4" x14ac:dyDescent="0.2">
      <c r="A44" s="91">
        <v>45126</v>
      </c>
      <c r="B44" s="92">
        <v>13522.1</v>
      </c>
      <c r="C44" s="87">
        <v>4581.6000000000004</v>
      </c>
      <c r="D44" s="93">
        <v>0.74229999999999996</v>
      </c>
    </row>
    <row r="45" spans="1:4" x14ac:dyDescent="0.2">
      <c r="A45" s="91">
        <v>45157</v>
      </c>
      <c r="B45" s="92">
        <v>13449.3</v>
      </c>
      <c r="C45" s="87">
        <v>4479</v>
      </c>
      <c r="D45" s="93">
        <v>0.72960000000000003</v>
      </c>
    </row>
    <row r="46" spans="1:4" x14ac:dyDescent="0.2">
      <c r="A46" s="91">
        <v>45188</v>
      </c>
      <c r="B46" s="92">
        <v>13997.16</v>
      </c>
      <c r="C46" s="87">
        <v>4677.3999999999996</v>
      </c>
      <c r="D46" s="93">
        <v>0.73209999999999997</v>
      </c>
    </row>
    <row r="47" spans="1:4" x14ac:dyDescent="0.2">
      <c r="A47" s="91">
        <v>45218</v>
      </c>
      <c r="B47" s="92">
        <v>14539.09</v>
      </c>
      <c r="C47" s="87">
        <v>4789.75</v>
      </c>
      <c r="D47" s="93">
        <v>0.72170000000000001</v>
      </c>
    </row>
    <row r="48" spans="1:4" x14ac:dyDescent="0.2">
      <c r="A48" s="91">
        <v>45249</v>
      </c>
      <c r="B48" s="92">
        <v>14729.77</v>
      </c>
      <c r="C48" s="87">
        <v>4831.05</v>
      </c>
      <c r="D48" s="93">
        <v>0.71850000000000003</v>
      </c>
    </row>
    <row r="49" spans="1:4" x14ac:dyDescent="0.2">
      <c r="A49" s="91">
        <v>45279</v>
      </c>
      <c r="B49" s="92">
        <v>14819.29</v>
      </c>
      <c r="C49" s="87">
        <v>4857.3999999999996</v>
      </c>
      <c r="D49" s="93">
        <v>0.71809999999999996</v>
      </c>
    </row>
    <row r="50" spans="1:4" x14ac:dyDescent="0.2">
      <c r="A50" s="91">
        <v>44946</v>
      </c>
      <c r="B50" s="92">
        <v>14804.57</v>
      </c>
      <c r="C50" s="87">
        <v>5200.75</v>
      </c>
      <c r="D50" s="93">
        <v>0.76959999999999995</v>
      </c>
    </row>
    <row r="51" spans="1:4" x14ac:dyDescent="0.2">
      <c r="A51" s="91">
        <v>44977</v>
      </c>
      <c r="B51" s="92">
        <v>13875.34</v>
      </c>
      <c r="C51" s="87">
        <v>4831.05</v>
      </c>
      <c r="D51" s="93">
        <v>0.76280000000000003</v>
      </c>
    </row>
    <row r="52" spans="1:4" x14ac:dyDescent="0.2">
      <c r="A52" s="91">
        <v>45005</v>
      </c>
      <c r="B52" s="92">
        <v>10167.459999999999</v>
      </c>
      <c r="C52" s="87">
        <v>3201.6</v>
      </c>
      <c r="D52" s="93">
        <v>0.68979999999999997</v>
      </c>
    </row>
    <row r="53" spans="1:4" x14ac:dyDescent="0.2">
      <c r="A53" s="91">
        <v>45036</v>
      </c>
      <c r="B53" s="92">
        <v>12072.43</v>
      </c>
      <c r="C53" s="87">
        <v>3615.75</v>
      </c>
      <c r="D53" s="93">
        <v>0.65610000000000002</v>
      </c>
    </row>
    <row r="54" spans="1:4" x14ac:dyDescent="0.2">
      <c r="A54" s="91">
        <v>45066</v>
      </c>
      <c r="B54" s="92">
        <v>11793.53</v>
      </c>
      <c r="C54" s="87">
        <v>3538.75</v>
      </c>
      <c r="D54" s="93">
        <v>0.6573</v>
      </c>
    </row>
    <row r="55" spans="1:4" x14ac:dyDescent="0.2">
      <c r="A55" s="91">
        <v>45097</v>
      </c>
      <c r="B55" s="92">
        <v>12783.45</v>
      </c>
      <c r="C55" s="87">
        <v>4067.25</v>
      </c>
      <c r="D55" s="93">
        <v>0.69699999999999995</v>
      </c>
    </row>
    <row r="56" spans="1:4" x14ac:dyDescent="0.2">
      <c r="A56" s="91">
        <v>45127</v>
      </c>
      <c r="B56" s="92">
        <v>13654.79</v>
      </c>
      <c r="C56" s="87">
        <v>4320.3999999999996</v>
      </c>
      <c r="D56" s="93">
        <v>0.69310000000000005</v>
      </c>
    </row>
    <row r="57" spans="1:4" x14ac:dyDescent="0.2">
      <c r="A57" s="91">
        <v>45158</v>
      </c>
      <c r="B57" s="92">
        <v>14179.34</v>
      </c>
      <c r="C57" s="87">
        <v>4833.8</v>
      </c>
      <c r="D57" s="93">
        <v>0.74680000000000002</v>
      </c>
    </row>
    <row r="58" spans="1:4" x14ac:dyDescent="0.2">
      <c r="A58" s="91">
        <v>45189</v>
      </c>
      <c r="B58" s="92">
        <v>14139.78</v>
      </c>
      <c r="C58" s="87">
        <v>5000.7</v>
      </c>
      <c r="D58" s="93">
        <v>0.77480000000000004</v>
      </c>
    </row>
    <row r="59" spans="1:4" x14ac:dyDescent="0.2">
      <c r="A59" s="91">
        <v>45219</v>
      </c>
      <c r="B59" s="92">
        <v>14521.56</v>
      </c>
      <c r="C59" s="87">
        <v>4976.7</v>
      </c>
      <c r="D59" s="93">
        <v>0.75080000000000002</v>
      </c>
    </row>
    <row r="60" spans="1:4" x14ac:dyDescent="0.2">
      <c r="A60" s="91">
        <v>45250</v>
      </c>
      <c r="B60" s="92">
        <v>16255.62</v>
      </c>
      <c r="C60" s="87">
        <v>5604.3</v>
      </c>
      <c r="D60" s="93">
        <v>0.75529999999999997</v>
      </c>
    </row>
    <row r="61" spans="1:4" x14ac:dyDescent="0.2">
      <c r="A61" s="91">
        <v>45280</v>
      </c>
      <c r="B61" s="92">
        <v>17470.79</v>
      </c>
      <c r="C61" s="87">
        <v>6076.2</v>
      </c>
      <c r="D61" s="93">
        <v>0.76190000000000002</v>
      </c>
    </row>
    <row r="62" spans="1:4" x14ac:dyDescent="0.2">
      <c r="A62" s="91">
        <v>44947</v>
      </c>
      <c r="B62" s="92">
        <v>17147.27</v>
      </c>
      <c r="C62" s="87">
        <v>6139.65</v>
      </c>
      <c r="D62" s="93">
        <v>0.78439999999999999</v>
      </c>
    </row>
    <row r="63" spans="1:4" x14ac:dyDescent="0.2">
      <c r="A63" s="91">
        <v>44978</v>
      </c>
      <c r="B63" s="92">
        <v>18504.86</v>
      </c>
      <c r="C63" s="87">
        <v>6892.75</v>
      </c>
      <c r="D63" s="93">
        <v>0.81599999999999995</v>
      </c>
    </row>
    <row r="64" spans="1:4" x14ac:dyDescent="0.2">
      <c r="A64" s="91">
        <v>45006</v>
      </c>
      <c r="B64" s="92">
        <v>18717.240000000002</v>
      </c>
      <c r="C64" s="87">
        <v>6952.55</v>
      </c>
      <c r="D64" s="93">
        <v>0.81369999999999998</v>
      </c>
    </row>
    <row r="65" spans="1:4" x14ac:dyDescent="0.2">
      <c r="A65" s="91">
        <v>45037</v>
      </c>
      <c r="B65" s="92">
        <v>18802.03</v>
      </c>
      <c r="C65" s="87">
        <v>7271.15</v>
      </c>
      <c r="D65" s="93">
        <v>0.84719999999999995</v>
      </c>
    </row>
    <row r="66" spans="1:4" x14ac:dyDescent="0.2">
      <c r="A66" s="91">
        <v>45067</v>
      </c>
      <c r="B66" s="92">
        <v>20138.099999999999</v>
      </c>
      <c r="C66" s="87">
        <v>8004.75</v>
      </c>
      <c r="D66" s="93">
        <v>0.87080000000000002</v>
      </c>
    </row>
    <row r="67" spans="1:4" x14ac:dyDescent="0.2">
      <c r="A67" s="91">
        <v>45098</v>
      </c>
      <c r="B67" s="92">
        <v>20552.2</v>
      </c>
      <c r="C67" s="87">
        <v>8452.25</v>
      </c>
      <c r="D67" s="93">
        <v>0.90100000000000002</v>
      </c>
    </row>
    <row r="68" spans="1:4" x14ac:dyDescent="0.2">
      <c r="A68" s="91">
        <v>45128</v>
      </c>
      <c r="B68" s="92">
        <v>20876.599999999999</v>
      </c>
      <c r="C68" s="87">
        <v>9131.2999999999993</v>
      </c>
      <c r="D68" s="93">
        <v>0.95820000000000005</v>
      </c>
    </row>
    <row r="69" spans="1:4" x14ac:dyDescent="0.2">
      <c r="A69" s="91">
        <v>45159</v>
      </c>
      <c r="B69" s="92">
        <v>22253.61</v>
      </c>
      <c r="C69" s="87">
        <v>8854.85</v>
      </c>
      <c r="D69" s="93">
        <v>0.87170000000000003</v>
      </c>
    </row>
    <row r="70" spans="1:4" x14ac:dyDescent="0.2">
      <c r="A70" s="91">
        <v>45190</v>
      </c>
      <c r="B70" s="92">
        <v>23029.08</v>
      </c>
      <c r="C70" s="87">
        <v>9364.5</v>
      </c>
      <c r="D70" s="93">
        <v>0.89080000000000004</v>
      </c>
    </row>
    <row r="71" spans="1:4" x14ac:dyDescent="0.2">
      <c r="A71" s="91">
        <v>45220</v>
      </c>
      <c r="B71" s="92">
        <v>23100.97</v>
      </c>
      <c r="C71" s="87">
        <v>9376.85</v>
      </c>
      <c r="D71" s="93">
        <v>0.88919999999999999</v>
      </c>
    </row>
    <row r="72" spans="1:4" x14ac:dyDescent="0.2">
      <c r="A72" s="91">
        <v>45251</v>
      </c>
      <c r="B72" s="92">
        <v>22447.74</v>
      </c>
      <c r="C72" s="87">
        <v>9336.2000000000007</v>
      </c>
      <c r="D72" s="93">
        <v>0.91110000000000002</v>
      </c>
    </row>
    <row r="73" spans="1:4" x14ac:dyDescent="0.2">
      <c r="A73" s="91">
        <v>45281</v>
      </c>
      <c r="B73" s="92">
        <v>22990.880000000001</v>
      </c>
      <c r="C73" s="87">
        <v>9840</v>
      </c>
      <c r="D73" s="93">
        <v>0.93759999999999999</v>
      </c>
    </row>
    <row r="74" spans="1:4" x14ac:dyDescent="0.2">
      <c r="A74" s="91">
        <v>44948</v>
      </c>
      <c r="B74" s="92">
        <v>22881.58</v>
      </c>
      <c r="C74" s="87">
        <v>9813.1</v>
      </c>
      <c r="D74" s="93">
        <v>0.9395</v>
      </c>
    </row>
    <row r="75" spans="1:4" x14ac:dyDescent="0.2">
      <c r="A75" s="91">
        <v>44979</v>
      </c>
      <c r="B75" s="92">
        <v>21978.65</v>
      </c>
      <c r="C75" s="87">
        <v>8887.65</v>
      </c>
      <c r="D75" s="93">
        <v>0.88590000000000002</v>
      </c>
    </row>
    <row r="76" spans="1:4" x14ac:dyDescent="0.2">
      <c r="A76" s="91">
        <v>45007</v>
      </c>
      <c r="B76" s="92">
        <v>22889.14</v>
      </c>
      <c r="C76" s="87">
        <v>9441.4500000000007</v>
      </c>
      <c r="D76" s="93">
        <v>0.90359999999999996</v>
      </c>
    </row>
    <row r="77" spans="1:4" x14ac:dyDescent="0.2">
      <c r="A77" s="91">
        <v>45038</v>
      </c>
      <c r="B77" s="92">
        <v>22726.01</v>
      </c>
      <c r="C77" s="87">
        <v>9493.2999999999993</v>
      </c>
      <c r="D77" s="93">
        <v>0.91510000000000002</v>
      </c>
    </row>
    <row r="78" spans="1:4" x14ac:dyDescent="0.2">
      <c r="A78" s="91">
        <v>45068</v>
      </c>
      <c r="B78" s="92">
        <v>21765.82</v>
      </c>
      <c r="C78" s="87">
        <v>8673.1</v>
      </c>
      <c r="D78" s="93">
        <v>0.87290000000000001</v>
      </c>
    </row>
    <row r="79" spans="1:4" x14ac:dyDescent="0.2">
      <c r="A79" s="91">
        <v>45099</v>
      </c>
      <c r="B79" s="92">
        <v>20667.27</v>
      </c>
      <c r="C79" s="87">
        <v>8088.6</v>
      </c>
      <c r="D79" s="93">
        <v>0.85740000000000005</v>
      </c>
    </row>
    <row r="80" spans="1:4" x14ac:dyDescent="0.2">
      <c r="A80" s="91">
        <v>45129</v>
      </c>
      <c r="B80" s="92">
        <v>22678.29</v>
      </c>
      <c r="C80" s="87">
        <v>8790.5499999999993</v>
      </c>
      <c r="D80" s="93">
        <v>0.84919999999999995</v>
      </c>
    </row>
    <row r="81" spans="1:4" x14ac:dyDescent="0.2">
      <c r="A81" s="91">
        <v>45160</v>
      </c>
      <c r="B81" s="92">
        <v>23740.37</v>
      </c>
      <c r="C81" s="87">
        <v>9285.7999999999993</v>
      </c>
      <c r="D81" s="93">
        <v>0.8569</v>
      </c>
    </row>
    <row r="82" spans="1:4" x14ac:dyDescent="0.2">
      <c r="A82" s="91">
        <v>45191</v>
      </c>
      <c r="B82" s="92">
        <v>22979.45</v>
      </c>
      <c r="C82" s="87">
        <v>9198.75</v>
      </c>
      <c r="D82" s="93">
        <v>0.877</v>
      </c>
    </row>
    <row r="83" spans="1:4" x14ac:dyDescent="0.2">
      <c r="A83" s="91">
        <v>45221</v>
      </c>
      <c r="B83" s="92">
        <v>23919.759999999998</v>
      </c>
      <c r="C83" s="87">
        <v>9372</v>
      </c>
      <c r="D83" s="93">
        <v>0.85829999999999995</v>
      </c>
    </row>
    <row r="84" spans="1:4" x14ac:dyDescent="0.2">
      <c r="A84" s="91">
        <v>45252</v>
      </c>
      <c r="B84" s="92">
        <v>24738.49</v>
      </c>
      <c r="C84" s="87">
        <v>9651.0499999999993</v>
      </c>
      <c r="D84" s="93">
        <v>0.85470000000000002</v>
      </c>
    </row>
    <row r="85" spans="1:4" x14ac:dyDescent="0.2">
      <c r="A85" s="91">
        <v>45282</v>
      </c>
      <c r="B85" s="92">
        <v>23967.119999999999</v>
      </c>
      <c r="C85" s="87">
        <v>9481.25</v>
      </c>
      <c r="D85" s="93">
        <v>0.86660000000000004</v>
      </c>
    </row>
    <row r="86" spans="1:4" x14ac:dyDescent="0.2">
      <c r="A86" s="91">
        <v>44949</v>
      </c>
      <c r="B86" s="92">
        <v>23175.05</v>
      </c>
      <c r="C86" s="87">
        <v>9261.7000000000007</v>
      </c>
      <c r="D86" s="93">
        <v>0.87549999999999994</v>
      </c>
    </row>
    <row r="87" spans="1:4" x14ac:dyDescent="0.2">
      <c r="A87" s="91">
        <v>44980</v>
      </c>
      <c r="B87" s="92">
        <v>22546.35</v>
      </c>
      <c r="C87" s="87">
        <v>8924.15</v>
      </c>
      <c r="D87" s="93">
        <v>0.86709999999999998</v>
      </c>
    </row>
    <row r="88" spans="1:4" x14ac:dyDescent="0.2">
      <c r="A88" s="91">
        <v>45008</v>
      </c>
      <c r="B88" s="92">
        <v>22609.54</v>
      </c>
      <c r="C88" s="87">
        <v>8787.9</v>
      </c>
      <c r="D88" s="93">
        <v>0.85150000000000003</v>
      </c>
    </row>
    <row r="89" spans="1:4" x14ac:dyDescent="0.2">
      <c r="A89" s="91">
        <v>45039</v>
      </c>
      <c r="B89" s="92">
        <v>23643.94</v>
      </c>
      <c r="C89" s="87">
        <v>9392.6</v>
      </c>
      <c r="D89" s="93">
        <v>0.87029999999999996</v>
      </c>
    </row>
    <row r="90" spans="1:4" x14ac:dyDescent="0.2">
      <c r="A90" s="91">
        <v>45069</v>
      </c>
      <c r="B90" s="92">
        <v>24538.09</v>
      </c>
      <c r="C90" s="87">
        <v>9913.4</v>
      </c>
      <c r="D90" s="93">
        <v>0.8851</v>
      </c>
    </row>
    <row r="91" spans="1:4" x14ac:dyDescent="0.2">
      <c r="A91" s="91">
        <v>45100</v>
      </c>
      <c r="B91" s="92">
        <v>25605.81</v>
      </c>
      <c r="C91" s="87">
        <v>10544.2</v>
      </c>
      <c r="D91" s="93">
        <v>0.90210000000000001</v>
      </c>
    </row>
    <row r="92" spans="1:4" x14ac:dyDescent="0.2">
      <c r="A92" s="91">
        <v>45130</v>
      </c>
      <c r="B92" s="92">
        <v>26612.52</v>
      </c>
      <c r="C92" s="87">
        <v>11355</v>
      </c>
      <c r="D92" s="93">
        <v>0.93469999999999998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44C4-3814-ED49-9C16-3C4499F62B39}">
  <dimension ref="A1:N42"/>
  <sheetViews>
    <sheetView tabSelected="1" zoomScale="140" workbookViewId="0">
      <selection activeCell="A23" sqref="A23"/>
    </sheetView>
  </sheetViews>
  <sheetFormatPr baseColWidth="10" defaultRowHeight="16" x14ac:dyDescent="0.2"/>
  <cols>
    <col min="1" max="1" width="50.83203125" bestFit="1" customWidth="1"/>
    <col min="3" max="3" width="49.1640625" bestFit="1" customWidth="1"/>
    <col min="4" max="6" width="11" bestFit="1" customWidth="1"/>
    <col min="7" max="7" width="11.83203125" bestFit="1" customWidth="1"/>
    <col min="13" max="13" width="54.5" bestFit="1" customWidth="1"/>
    <col min="14" max="14" width="17.5" bestFit="1" customWidth="1"/>
  </cols>
  <sheetData>
    <row r="1" spans="1:14" x14ac:dyDescent="0.2">
      <c r="A1" s="2" t="s">
        <v>210</v>
      </c>
      <c r="B1" s="2" t="s">
        <v>222</v>
      </c>
      <c r="C1" s="2" t="s">
        <v>43</v>
      </c>
      <c r="D1" s="2" t="s">
        <v>12</v>
      </c>
      <c r="E1" s="2" t="s">
        <v>223</v>
      </c>
      <c r="F1" s="2" t="s">
        <v>203</v>
      </c>
      <c r="G1" s="2" t="s">
        <v>224</v>
      </c>
    </row>
    <row r="2" spans="1:14" x14ac:dyDescent="0.2">
      <c r="A2" t="s">
        <v>211</v>
      </c>
      <c r="B2" s="86">
        <v>45176</v>
      </c>
      <c r="C2" t="s">
        <v>231</v>
      </c>
      <c r="D2" t="s">
        <v>132</v>
      </c>
      <c r="E2" t="s">
        <v>132</v>
      </c>
      <c r="F2">
        <v>18000</v>
      </c>
      <c r="G2" t="s">
        <v>208</v>
      </c>
      <c r="M2" s="6" t="s">
        <v>44</v>
      </c>
      <c r="N2" t="s">
        <v>229</v>
      </c>
    </row>
    <row r="3" spans="1:14" x14ac:dyDescent="0.2">
      <c r="A3" t="s">
        <v>211</v>
      </c>
      <c r="B3" s="86">
        <v>45176</v>
      </c>
      <c r="C3" t="s">
        <v>139</v>
      </c>
      <c r="D3" t="s">
        <v>132</v>
      </c>
      <c r="E3" t="s">
        <v>132</v>
      </c>
      <c r="F3">
        <v>26000</v>
      </c>
      <c r="G3" t="s">
        <v>208</v>
      </c>
      <c r="M3" s="7" t="s">
        <v>133</v>
      </c>
      <c r="N3">
        <v>80000</v>
      </c>
    </row>
    <row r="4" spans="1:14" x14ac:dyDescent="0.2">
      <c r="A4" t="s">
        <v>211</v>
      </c>
      <c r="B4" s="86">
        <v>45176</v>
      </c>
      <c r="C4" t="s">
        <v>225</v>
      </c>
      <c r="D4" t="s">
        <v>133</v>
      </c>
      <c r="E4" t="s">
        <v>133</v>
      </c>
      <c r="F4">
        <v>20000</v>
      </c>
      <c r="G4" t="s">
        <v>208</v>
      </c>
      <c r="M4" s="10" t="s">
        <v>228</v>
      </c>
      <c r="N4">
        <v>20000</v>
      </c>
    </row>
    <row r="5" spans="1:14" x14ac:dyDescent="0.2">
      <c r="A5" t="s">
        <v>211</v>
      </c>
      <c r="B5" s="86">
        <v>45206</v>
      </c>
      <c r="C5" s="87" t="s">
        <v>141</v>
      </c>
      <c r="D5" t="s">
        <v>33</v>
      </c>
      <c r="E5" t="s">
        <v>33</v>
      </c>
      <c r="F5">
        <v>71000</v>
      </c>
      <c r="G5" s="87" t="s">
        <v>208</v>
      </c>
      <c r="M5" s="10" t="s">
        <v>226</v>
      </c>
      <c r="N5">
        <v>20000</v>
      </c>
    </row>
    <row r="6" spans="1:14" x14ac:dyDescent="0.2">
      <c r="A6" t="s">
        <v>211</v>
      </c>
      <c r="B6" s="86">
        <v>45206</v>
      </c>
      <c r="C6" t="s">
        <v>244</v>
      </c>
      <c r="D6" t="s">
        <v>135</v>
      </c>
      <c r="E6" t="s">
        <v>135</v>
      </c>
      <c r="F6">
        <v>50000</v>
      </c>
      <c r="G6" s="87" t="s">
        <v>208</v>
      </c>
      <c r="M6" s="10" t="s">
        <v>230</v>
      </c>
      <c r="N6">
        <v>20000</v>
      </c>
    </row>
    <row r="7" spans="1:14" x14ac:dyDescent="0.2">
      <c r="A7" t="s">
        <v>211</v>
      </c>
      <c r="B7" s="86">
        <v>45176</v>
      </c>
      <c r="C7" t="s">
        <v>227</v>
      </c>
      <c r="D7" t="s">
        <v>147</v>
      </c>
      <c r="E7" t="s">
        <v>147</v>
      </c>
      <c r="F7">
        <v>100000</v>
      </c>
      <c r="G7" s="87" t="s">
        <v>208</v>
      </c>
      <c r="M7" s="10" t="s">
        <v>225</v>
      </c>
      <c r="N7">
        <v>20000</v>
      </c>
    </row>
    <row r="8" spans="1:14" x14ac:dyDescent="0.2">
      <c r="A8" t="s">
        <v>211</v>
      </c>
      <c r="B8" s="86">
        <v>45176</v>
      </c>
      <c r="C8" t="s">
        <v>230</v>
      </c>
      <c r="D8" t="s">
        <v>133</v>
      </c>
      <c r="E8" t="s">
        <v>133</v>
      </c>
      <c r="F8" s="87">
        <v>20000</v>
      </c>
      <c r="G8" s="87" t="s">
        <v>208</v>
      </c>
      <c r="M8" s="7" t="s">
        <v>33</v>
      </c>
      <c r="N8">
        <v>71000</v>
      </c>
    </row>
    <row r="9" spans="1:14" x14ac:dyDescent="0.2">
      <c r="A9" t="s">
        <v>211</v>
      </c>
      <c r="B9" s="86">
        <v>45184</v>
      </c>
      <c r="C9" s="87" t="s">
        <v>226</v>
      </c>
      <c r="D9" t="str">
        <f>E9</f>
        <v>Smallcap</v>
      </c>
      <c r="E9" t="s">
        <v>133</v>
      </c>
      <c r="F9" s="87">
        <v>20000</v>
      </c>
      <c r="G9" s="87" t="s">
        <v>208</v>
      </c>
      <c r="M9" s="10" t="s">
        <v>141</v>
      </c>
      <c r="N9">
        <v>71000</v>
      </c>
    </row>
    <row r="10" spans="1:14" x14ac:dyDescent="0.2">
      <c r="A10" t="s">
        <v>211</v>
      </c>
      <c r="B10" s="86">
        <v>45184</v>
      </c>
      <c r="C10" t="s">
        <v>228</v>
      </c>
      <c r="D10" t="str">
        <f>E10</f>
        <v>Smallcap</v>
      </c>
      <c r="E10" t="s">
        <v>133</v>
      </c>
      <c r="F10" s="87">
        <v>0</v>
      </c>
      <c r="G10" s="87" t="s">
        <v>208</v>
      </c>
      <c r="M10" s="7" t="s">
        <v>147</v>
      </c>
      <c r="N10">
        <v>51000</v>
      </c>
    </row>
    <row r="11" spans="1:14" x14ac:dyDescent="0.2">
      <c r="A11" t="s">
        <v>211</v>
      </c>
      <c r="B11" s="86">
        <v>45189</v>
      </c>
      <c r="C11" t="s">
        <v>130</v>
      </c>
      <c r="D11" t="s">
        <v>103</v>
      </c>
      <c r="E11" t="s">
        <v>103</v>
      </c>
      <c r="F11" s="87">
        <v>5000</v>
      </c>
      <c r="G11" s="87" t="s">
        <v>208</v>
      </c>
      <c r="M11" s="10" t="s">
        <v>227</v>
      </c>
      <c r="N11">
        <v>51000</v>
      </c>
    </row>
    <row r="12" spans="1:14" x14ac:dyDescent="0.2">
      <c r="A12" t="s">
        <v>211</v>
      </c>
      <c r="B12" s="86">
        <v>45184</v>
      </c>
      <c r="C12" t="s">
        <v>255</v>
      </c>
      <c r="D12" t="s">
        <v>135</v>
      </c>
      <c r="E12" t="s">
        <v>135</v>
      </c>
      <c r="F12" s="87">
        <v>25000</v>
      </c>
      <c r="G12" s="87" t="s">
        <v>208</v>
      </c>
      <c r="M12" s="7" t="s">
        <v>135</v>
      </c>
      <c r="N12">
        <v>51000</v>
      </c>
    </row>
    <row r="13" spans="1:14" x14ac:dyDescent="0.2">
      <c r="F13">
        <f>SUM(F2:F12)</f>
        <v>355000</v>
      </c>
      <c r="M13" s="10" t="s">
        <v>255</v>
      </c>
      <c r="N13">
        <v>25000</v>
      </c>
    </row>
    <row r="14" spans="1:14" x14ac:dyDescent="0.2">
      <c r="M14" s="10" t="s">
        <v>244</v>
      </c>
      <c r="N14">
        <v>26000</v>
      </c>
    </row>
    <row r="15" spans="1:14" x14ac:dyDescent="0.2">
      <c r="M15" s="7" t="s">
        <v>132</v>
      </c>
      <c r="N15">
        <v>44000</v>
      </c>
    </row>
    <row r="16" spans="1:14" x14ac:dyDescent="0.2">
      <c r="M16" s="10" t="s">
        <v>139</v>
      </c>
      <c r="N16">
        <v>26000</v>
      </c>
    </row>
    <row r="17" spans="1:14" x14ac:dyDescent="0.2">
      <c r="M17" s="10" t="s">
        <v>231</v>
      </c>
      <c r="N17">
        <v>18000</v>
      </c>
    </row>
    <row r="18" spans="1:14" x14ac:dyDescent="0.2">
      <c r="M18" s="7" t="s">
        <v>103</v>
      </c>
      <c r="N18">
        <v>5000</v>
      </c>
    </row>
    <row r="19" spans="1:14" x14ac:dyDescent="0.2">
      <c r="A19" s="105" t="s">
        <v>133</v>
      </c>
      <c r="B19" s="106">
        <v>80000</v>
      </c>
      <c r="C19" t="s">
        <v>48</v>
      </c>
      <c r="D19" t="s">
        <v>57</v>
      </c>
      <c r="E19" t="s">
        <v>58</v>
      </c>
      <c r="F19" t="s">
        <v>257</v>
      </c>
      <c r="G19" t="s">
        <v>256</v>
      </c>
      <c r="M19" s="10" t="s">
        <v>130</v>
      </c>
      <c r="N19">
        <v>5000</v>
      </c>
    </row>
    <row r="20" spans="1:14" x14ac:dyDescent="0.2">
      <c r="A20" s="10" t="s">
        <v>228</v>
      </c>
      <c r="B20">
        <f t="shared" ref="B20:B30" si="0">VLOOKUP(A20,$C$1:$F$12,4,0)</f>
        <v>0</v>
      </c>
      <c r="C20" s="11">
        <f>B20*0.04</f>
        <v>0</v>
      </c>
      <c r="D20" s="11">
        <f>B20*0.05</f>
        <v>0</v>
      </c>
      <c r="E20" s="11">
        <f>B20*0.71</f>
        <v>0</v>
      </c>
      <c r="F20" s="11">
        <f>B20*0.1528</f>
        <v>0</v>
      </c>
      <c r="G20" s="11">
        <f t="shared" ref="G20:G30" si="1">SUM(C20:F20)</f>
        <v>0</v>
      </c>
      <c r="M20" s="7" t="s">
        <v>45</v>
      </c>
      <c r="N20">
        <v>302000</v>
      </c>
    </row>
    <row r="21" spans="1:14" x14ac:dyDescent="0.2">
      <c r="A21" s="10" t="s">
        <v>226</v>
      </c>
      <c r="B21">
        <f t="shared" si="0"/>
        <v>20000</v>
      </c>
      <c r="C21" s="11">
        <f>B21*0.0581</f>
        <v>1162</v>
      </c>
      <c r="D21" s="11">
        <f>B21*0.0837</f>
        <v>1674</v>
      </c>
      <c r="E21" s="11">
        <f>B21*0.5744</f>
        <v>11488</v>
      </c>
      <c r="F21" s="11">
        <f>B21*0.26</f>
        <v>5200</v>
      </c>
      <c r="G21" s="11">
        <f t="shared" si="1"/>
        <v>19524</v>
      </c>
    </row>
    <row r="22" spans="1:14" x14ac:dyDescent="0.2">
      <c r="A22" s="10" t="s">
        <v>230</v>
      </c>
      <c r="B22">
        <f t="shared" si="0"/>
        <v>20000</v>
      </c>
      <c r="C22" s="11">
        <f>B22*0.0762</f>
        <v>1524</v>
      </c>
      <c r="D22" s="11">
        <f>B22*0.0759</f>
        <v>1518</v>
      </c>
      <c r="E22" s="11">
        <f>B22*0.484</f>
        <v>9680</v>
      </c>
      <c r="F22" s="11">
        <f>B22*0.33</f>
        <v>6600</v>
      </c>
      <c r="G22" s="11">
        <f t="shared" si="1"/>
        <v>19322</v>
      </c>
    </row>
    <row r="23" spans="1:14" x14ac:dyDescent="0.2">
      <c r="A23" s="10" t="s">
        <v>263</v>
      </c>
      <c r="B23" t="e">
        <f t="shared" si="0"/>
        <v>#N/A</v>
      </c>
      <c r="C23" s="11" t="e">
        <f>B23*0</f>
        <v>#N/A</v>
      </c>
      <c r="D23" s="11" t="e">
        <f>B23*0.04</f>
        <v>#N/A</v>
      </c>
      <c r="E23" s="11" t="e">
        <f>B23*0.6531</f>
        <v>#N/A</v>
      </c>
      <c r="F23" s="11" t="e">
        <f>B23*0.2048</f>
        <v>#N/A</v>
      </c>
      <c r="G23" s="11" t="e">
        <f t="shared" si="1"/>
        <v>#N/A</v>
      </c>
    </row>
    <row r="24" spans="1:14" x14ac:dyDescent="0.2">
      <c r="A24" s="10" t="s">
        <v>141</v>
      </c>
      <c r="B24">
        <f t="shared" si="0"/>
        <v>71000</v>
      </c>
      <c r="C24" s="11">
        <f>B24*0.346</f>
        <v>24565.999999999996</v>
      </c>
      <c r="D24" s="11">
        <f>B24*0.2166</f>
        <v>15378.599999999999</v>
      </c>
      <c r="E24" s="11">
        <f>B24*0.255</f>
        <v>18105</v>
      </c>
      <c r="F24" s="11">
        <f>B24*0.1757</f>
        <v>12474.699999999999</v>
      </c>
      <c r="G24" s="11">
        <f t="shared" si="1"/>
        <v>70524.299999999988</v>
      </c>
    </row>
    <row r="25" spans="1:14" x14ac:dyDescent="0.2">
      <c r="A25" s="10" t="s">
        <v>227</v>
      </c>
      <c r="B25">
        <f t="shared" si="0"/>
        <v>100000</v>
      </c>
      <c r="C25" s="11">
        <f>B25*0.63</f>
        <v>63000</v>
      </c>
      <c r="D25" s="11">
        <f>B25*0.0477</f>
        <v>4770</v>
      </c>
      <c r="E25" s="11">
        <f>B25*0.0633</f>
        <v>6329.9999999999991</v>
      </c>
      <c r="F25" s="11">
        <f>B25*0.2564</f>
        <v>25640</v>
      </c>
      <c r="G25" s="11">
        <f t="shared" si="1"/>
        <v>99740</v>
      </c>
    </row>
    <row r="26" spans="1:14" x14ac:dyDescent="0.2">
      <c r="A26" s="10" t="s">
        <v>255</v>
      </c>
      <c r="B26">
        <f t="shared" si="0"/>
        <v>25000</v>
      </c>
      <c r="C26" s="11">
        <f>B26*0.52</f>
        <v>13000</v>
      </c>
      <c r="D26" s="11">
        <f>B26*0.37</f>
        <v>9250</v>
      </c>
      <c r="E26" s="11">
        <f>B26*0.1</f>
        <v>2500</v>
      </c>
      <c r="F26" s="11"/>
      <c r="G26" s="11">
        <f t="shared" si="1"/>
        <v>24750</v>
      </c>
    </row>
    <row r="27" spans="1:14" x14ac:dyDescent="0.2">
      <c r="A27" s="10" t="s">
        <v>244</v>
      </c>
      <c r="B27">
        <f t="shared" si="0"/>
        <v>50000</v>
      </c>
      <c r="C27" s="11">
        <f>B27*0.43</f>
        <v>21500</v>
      </c>
      <c r="D27" s="11">
        <f>B27*0.35</f>
        <v>17500</v>
      </c>
      <c r="E27" s="11">
        <f>B27*0.21</f>
        <v>10500</v>
      </c>
      <c r="F27" s="11">
        <v>0</v>
      </c>
      <c r="G27" s="11">
        <f t="shared" si="1"/>
        <v>49500</v>
      </c>
    </row>
    <row r="28" spans="1:14" x14ac:dyDescent="0.2">
      <c r="A28" s="10" t="s">
        <v>139</v>
      </c>
      <c r="B28">
        <f t="shared" si="0"/>
        <v>26000</v>
      </c>
      <c r="C28" s="11">
        <f>B28*0.0591</f>
        <v>1536.6</v>
      </c>
      <c r="D28" s="11">
        <f>B28*0.5422</f>
        <v>14097.2</v>
      </c>
      <c r="E28" s="11">
        <f>B28*0.21</f>
        <v>5460</v>
      </c>
      <c r="F28" s="11">
        <f>B28*0.1312</f>
        <v>3411.2000000000003</v>
      </c>
      <c r="G28" s="11">
        <f t="shared" si="1"/>
        <v>24505.000000000004</v>
      </c>
    </row>
    <row r="29" spans="1:14" x14ac:dyDescent="0.2">
      <c r="A29" s="10" t="s">
        <v>231</v>
      </c>
      <c r="B29">
        <f t="shared" si="0"/>
        <v>18000</v>
      </c>
      <c r="C29" s="11">
        <f>B29*0.27</f>
        <v>4860</v>
      </c>
      <c r="D29" s="11">
        <f>B29*0.1929</f>
        <v>3472.2</v>
      </c>
      <c r="E29" s="11">
        <f>B29*0.0844</f>
        <v>1519.2</v>
      </c>
      <c r="F29" s="11">
        <f>B29*0.42</f>
        <v>7560</v>
      </c>
      <c r="G29" s="11">
        <f t="shared" si="1"/>
        <v>17411.400000000001</v>
      </c>
    </row>
    <row r="30" spans="1:14" x14ac:dyDescent="0.2">
      <c r="A30" s="10" t="s">
        <v>130</v>
      </c>
      <c r="B30">
        <f t="shared" si="0"/>
        <v>5000</v>
      </c>
      <c r="C30" s="11">
        <f>B30*0.61</f>
        <v>3050</v>
      </c>
      <c r="D30" s="11">
        <f>B30*0.1188</f>
        <v>594</v>
      </c>
      <c r="E30" s="11">
        <f>B30*0.0765</f>
        <v>382.5</v>
      </c>
      <c r="F30" s="11">
        <f>B30*0.0958</f>
        <v>479</v>
      </c>
      <c r="G30" s="11">
        <f t="shared" si="1"/>
        <v>4505.5</v>
      </c>
    </row>
    <row r="31" spans="1:14" x14ac:dyDescent="0.2">
      <c r="A31" s="10" t="s">
        <v>258</v>
      </c>
      <c r="C31" s="11" t="e">
        <f>SUM(C20:C30)</f>
        <v>#N/A</v>
      </c>
      <c r="D31" s="11" t="e">
        <f>SUM(D20:D30)</f>
        <v>#N/A</v>
      </c>
      <c r="E31" s="11" t="e">
        <f>SUM(E20:E30)</f>
        <v>#N/A</v>
      </c>
      <c r="F31" s="11" t="e">
        <f>SUM(F20:F30)</f>
        <v>#N/A</v>
      </c>
      <c r="G31" s="11" t="e">
        <f>SUM(G20:G30)</f>
        <v>#N/A</v>
      </c>
    </row>
    <row r="32" spans="1:14" x14ac:dyDescent="0.2">
      <c r="B32" t="e">
        <f>SUM(B20:B31)</f>
        <v>#N/A</v>
      </c>
      <c r="C32" s="97" t="e">
        <f>C31/$G$31</f>
        <v>#N/A</v>
      </c>
      <c r="D32" s="97" t="e">
        <f>D31/$G$31</f>
        <v>#N/A</v>
      </c>
      <c r="E32" s="97" t="e">
        <f>E31/$G$31</f>
        <v>#N/A</v>
      </c>
      <c r="F32" s="97" t="e">
        <f>F31/$G$31</f>
        <v>#N/A</v>
      </c>
      <c r="G32" s="97" t="e">
        <f>G31/$G$31</f>
        <v>#N/A</v>
      </c>
    </row>
    <row r="36" spans="4:6" x14ac:dyDescent="0.2">
      <c r="E36">
        <v>197000</v>
      </c>
    </row>
    <row r="37" spans="4:6" x14ac:dyDescent="0.2">
      <c r="D37" t="s">
        <v>154</v>
      </c>
      <c r="E37">
        <v>51000</v>
      </c>
    </row>
    <row r="38" spans="4:6" x14ac:dyDescent="0.2">
      <c r="D38" t="s">
        <v>259</v>
      </c>
      <c r="E38">
        <v>26000</v>
      </c>
    </row>
    <row r="39" spans="4:6" x14ac:dyDescent="0.2">
      <c r="D39" t="s">
        <v>260</v>
      </c>
      <c r="E39">
        <v>38000</v>
      </c>
    </row>
    <row r="40" spans="4:6" x14ac:dyDescent="0.2">
      <c r="D40" t="s">
        <v>261</v>
      </c>
      <c r="E40">
        <v>26000</v>
      </c>
      <c r="F40">
        <f>SUM(E37:E41)</f>
        <v>167000</v>
      </c>
    </row>
    <row r="41" spans="4:6" x14ac:dyDescent="0.2">
      <c r="D41" t="s">
        <v>262</v>
      </c>
      <c r="E41">
        <v>26000</v>
      </c>
    </row>
    <row r="42" spans="4:6" x14ac:dyDescent="0.2">
      <c r="E42">
        <f>SUM(E36-E37-E38-E39)</f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Fund_Details</vt:lpstr>
      <vt:lpstr>Idle_MF</vt:lpstr>
      <vt:lpstr>New_Folios</vt:lpstr>
      <vt:lpstr>Large_Small_Cap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Chhabra</cp:lastModifiedBy>
  <dcterms:created xsi:type="dcterms:W3CDTF">2023-03-31T08:14:50Z</dcterms:created>
  <dcterms:modified xsi:type="dcterms:W3CDTF">2023-11-14T17:16:41Z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46e17-1b9c-4901-b382-12ac302b209d_Enabled">
    <vt:lpwstr>true</vt:lpwstr>
  </property>
  <property fmtid="{D5CDD505-2E9C-101B-9397-08002B2CF9AE}" pid="3" name="MSIP_Label_d5e46e17-1b9c-4901-b382-12ac302b209d_SetDate">
    <vt:lpwstr>2023-05-20T19:42:02Z</vt:lpwstr>
  </property>
  <property fmtid="{D5CDD505-2E9C-101B-9397-08002B2CF9AE}" pid="4" name="MSIP_Label_d5e46e17-1b9c-4901-b382-12ac302b209d_Method">
    <vt:lpwstr>Standard</vt:lpwstr>
  </property>
  <property fmtid="{D5CDD505-2E9C-101B-9397-08002B2CF9AE}" pid="5" name="MSIP_Label_d5e46e17-1b9c-4901-b382-12ac302b209d_Name">
    <vt:lpwstr>Class 3 Confidential Data</vt:lpwstr>
  </property>
  <property fmtid="{D5CDD505-2E9C-101B-9397-08002B2CF9AE}" pid="6" name="MSIP_Label_d5e46e17-1b9c-4901-b382-12ac302b209d_SiteId">
    <vt:lpwstr>fb007914-6020-4374-977e-21bac5f3f4c8</vt:lpwstr>
  </property>
  <property fmtid="{D5CDD505-2E9C-101B-9397-08002B2CF9AE}" pid="7" name="MSIP_Label_d5e46e17-1b9c-4901-b382-12ac302b209d_ActionId">
    <vt:lpwstr>fa598ec5-a62f-4ffd-ba0c-e3e5ef2f83ea</vt:lpwstr>
  </property>
  <property fmtid="{D5CDD505-2E9C-101B-9397-08002B2CF9AE}" pid="8" name="MSIP_Label_d5e46e17-1b9c-4901-b382-12ac302b209d_ContentBits">
    <vt:lpwstr>0</vt:lpwstr>
  </property>
</Properties>
</file>