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xr:revisionPtr revIDLastSave="0" documentId="8_{240D8FDD-1415-4B15-ABDC-021013BD87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CF" sheetId="1" r:id="rId1"/>
    <sheet name="WACC" sheetId="5" r:id="rId2"/>
    <sheet name="IS-Annual" sheetId="2" r:id="rId3"/>
    <sheet name="IS-QTR" sheetId="3" r:id="rId4"/>
    <sheet name="CF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8" i="1" l="1"/>
  <c r="P116" i="1"/>
  <c r="P115" i="1"/>
  <c r="M110" i="1"/>
  <c r="N110" i="1" s="1"/>
  <c r="O110" i="1" s="1"/>
  <c r="P110" i="1" s="1"/>
  <c r="L110" i="1"/>
  <c r="K110" i="1"/>
  <c r="L109" i="1"/>
  <c r="M109" i="1" s="1"/>
  <c r="N109" i="1" s="1"/>
  <c r="O109" i="1" s="1"/>
  <c r="P109" i="1" s="1"/>
  <c r="E21" i="5"/>
  <c r="E10" i="5"/>
  <c r="E17" i="5"/>
  <c r="E11" i="5"/>
  <c r="E22" i="5" s="1"/>
  <c r="R23" i="1" s="1"/>
  <c r="M23" i="1" s="1"/>
  <c r="J91" i="1"/>
  <c r="L92" i="1"/>
  <c r="M92" i="1"/>
  <c r="N92" i="1"/>
  <c r="O92" i="1"/>
  <c r="P92" i="1"/>
  <c r="K92" i="1"/>
  <c r="E102" i="1"/>
  <c r="F102" i="1"/>
  <c r="G102" i="1"/>
  <c r="H102" i="1"/>
  <c r="I102" i="1"/>
  <c r="J102" i="1"/>
  <c r="D102" i="1"/>
  <c r="E99" i="1"/>
  <c r="F99" i="1"/>
  <c r="G99" i="1"/>
  <c r="H99" i="1"/>
  <c r="I99" i="1"/>
  <c r="J99" i="1"/>
  <c r="D99" i="1"/>
  <c r="E96" i="1"/>
  <c r="F96" i="1"/>
  <c r="G96" i="1"/>
  <c r="H96" i="1"/>
  <c r="I96" i="1"/>
  <c r="J96" i="1"/>
  <c r="D96" i="1"/>
  <c r="L5" i="3"/>
  <c r="E91" i="1"/>
  <c r="F91" i="1"/>
  <c r="G91" i="1"/>
  <c r="H91" i="1"/>
  <c r="I91" i="1"/>
  <c r="D91" i="1"/>
  <c r="E70" i="1"/>
  <c r="E92" i="1" s="1"/>
  <c r="F70" i="1"/>
  <c r="F92" i="1" s="1"/>
  <c r="G70" i="1"/>
  <c r="G92" i="1" s="1"/>
  <c r="H70" i="1"/>
  <c r="H92" i="1" s="1"/>
  <c r="I70" i="1"/>
  <c r="I92" i="1" s="1"/>
  <c r="J70" i="1"/>
  <c r="J92" i="1" s="1"/>
  <c r="D70" i="1"/>
  <c r="D92" i="1" s="1"/>
  <c r="L21" i="4"/>
  <c r="L7" i="4"/>
  <c r="P57" i="1"/>
  <c r="K57" i="1"/>
  <c r="R19" i="1"/>
  <c r="H19" i="1"/>
  <c r="M13" i="1"/>
  <c r="P40" i="1"/>
  <c r="K51" i="1"/>
  <c r="K52" i="1"/>
  <c r="K50" i="1"/>
  <c r="M5" i="3"/>
  <c r="M4" i="3"/>
  <c r="E54" i="1"/>
  <c r="F54" i="1"/>
  <c r="G54" i="1"/>
  <c r="H54" i="1"/>
  <c r="I54" i="1"/>
  <c r="J54" i="1"/>
  <c r="D54" i="1"/>
  <c r="E48" i="1"/>
  <c r="E61" i="1" s="1"/>
  <c r="F48" i="1"/>
  <c r="F61" i="1" s="1"/>
  <c r="G48" i="1"/>
  <c r="G61" i="1" s="1"/>
  <c r="H48" i="1"/>
  <c r="H61" i="1" s="1"/>
  <c r="I48" i="1"/>
  <c r="I61" i="1" s="1"/>
  <c r="J48" i="1"/>
  <c r="J61" i="1" s="1"/>
  <c r="D48" i="1"/>
  <c r="D61" i="1" s="1"/>
  <c r="P41" i="1"/>
  <c r="P39" i="1"/>
  <c r="K40" i="1"/>
  <c r="P38" i="1"/>
  <c r="L40" i="1"/>
  <c r="M40" i="1" s="1"/>
  <c r="K39" i="1"/>
  <c r="L39" i="1" s="1"/>
  <c r="M39" i="1" s="1"/>
  <c r="N39" i="1" s="1"/>
  <c r="O39" i="1" s="1"/>
  <c r="M3" i="3"/>
  <c r="P32" i="1"/>
  <c r="K33" i="1"/>
  <c r="L33" i="1"/>
  <c r="M33" i="1" s="1"/>
  <c r="N33" i="1" s="1"/>
  <c r="O33" i="1" s="1"/>
  <c r="L34" i="1"/>
  <c r="K35" i="1"/>
  <c r="L4" i="3"/>
  <c r="L3" i="3"/>
  <c r="L2" i="3"/>
  <c r="F5" i="3"/>
  <c r="G5" i="3"/>
  <c r="H5" i="3"/>
  <c r="J5" i="3"/>
  <c r="K5" i="3"/>
  <c r="C5" i="3"/>
  <c r="D5" i="3"/>
  <c r="B5" i="3"/>
  <c r="C4" i="3"/>
  <c r="D4" i="3"/>
  <c r="B4" i="3"/>
  <c r="F4" i="3"/>
  <c r="K4" i="3"/>
  <c r="J4" i="3"/>
  <c r="G4" i="3"/>
  <c r="H4" i="3"/>
  <c r="K3" i="3"/>
  <c r="J3" i="3"/>
  <c r="G3" i="3"/>
  <c r="H3" i="3"/>
  <c r="F3" i="3"/>
  <c r="K2" i="3"/>
  <c r="J2" i="3"/>
  <c r="G2" i="3"/>
  <c r="H2" i="3"/>
  <c r="F2" i="3"/>
  <c r="E37" i="1"/>
  <c r="F37" i="1"/>
  <c r="F38" i="1" s="1"/>
  <c r="G37" i="1"/>
  <c r="G38" i="1" s="1"/>
  <c r="H37" i="1"/>
  <c r="H38" i="1" s="1"/>
  <c r="I37" i="1"/>
  <c r="I38" i="1" s="1"/>
  <c r="J37" i="1"/>
  <c r="J38" i="1" s="1"/>
  <c r="D37" i="1"/>
  <c r="D31" i="1"/>
  <c r="D44" i="1" s="1"/>
  <c r="D85" i="1" s="1"/>
  <c r="J31" i="1"/>
  <c r="J44" i="1" s="1"/>
  <c r="J85" i="1" s="1"/>
  <c r="I31" i="1"/>
  <c r="I44" i="1" s="1"/>
  <c r="I85" i="1" s="1"/>
  <c r="G31" i="1"/>
  <c r="G44" i="1" s="1"/>
  <c r="G85" i="1" s="1"/>
  <c r="H31" i="1"/>
  <c r="E31" i="1"/>
  <c r="F31" i="1"/>
  <c r="L35" i="1" l="1"/>
  <c r="M35" i="1" s="1"/>
  <c r="N35" i="1" s="1"/>
  <c r="O35" i="1" s="1"/>
  <c r="K32" i="1"/>
  <c r="K49" i="1"/>
  <c r="H23" i="1"/>
  <c r="C27" i="1"/>
  <c r="G80" i="1"/>
  <c r="G103" i="1" s="1"/>
  <c r="G77" i="1"/>
  <c r="G100" i="1" s="1"/>
  <c r="G74" i="1"/>
  <c r="G97" i="1" s="1"/>
  <c r="G64" i="1"/>
  <c r="I80" i="1"/>
  <c r="I103" i="1" s="1"/>
  <c r="I77" i="1"/>
  <c r="I100" i="1" s="1"/>
  <c r="I74" i="1"/>
  <c r="I97" i="1" s="1"/>
  <c r="I64" i="1"/>
  <c r="J81" i="1"/>
  <c r="J80" i="1"/>
  <c r="J103" i="1" s="1"/>
  <c r="J77" i="1"/>
  <c r="J100" i="1" s="1"/>
  <c r="J74" i="1"/>
  <c r="J97" i="1" s="1"/>
  <c r="J64" i="1"/>
  <c r="D64" i="1"/>
  <c r="D80" i="1"/>
  <c r="D77" i="1"/>
  <c r="D74" i="1"/>
  <c r="D62" i="1"/>
  <c r="J62" i="1"/>
  <c r="I62" i="1"/>
  <c r="G62" i="1"/>
  <c r="L57" i="1"/>
  <c r="K58" i="1"/>
  <c r="K55" i="1" s="1"/>
  <c r="K56" i="1"/>
  <c r="D49" i="1"/>
  <c r="J49" i="1"/>
  <c r="I49" i="1"/>
  <c r="H49" i="1"/>
  <c r="G49" i="1"/>
  <c r="F49" i="1"/>
  <c r="E49" i="1"/>
  <c r="D55" i="1"/>
  <c r="J55" i="1"/>
  <c r="I55" i="1"/>
  <c r="H55" i="1"/>
  <c r="G55" i="1"/>
  <c r="F55" i="1"/>
  <c r="E55" i="1"/>
  <c r="F32" i="1"/>
  <c r="F44" i="1"/>
  <c r="F85" i="1" s="1"/>
  <c r="E32" i="1"/>
  <c r="E44" i="1"/>
  <c r="E85" i="1" s="1"/>
  <c r="H32" i="1"/>
  <c r="H44" i="1"/>
  <c r="H85" i="1" s="1"/>
  <c r="G45" i="1"/>
  <c r="G86" i="1" s="1"/>
  <c r="I45" i="1"/>
  <c r="I86" i="1" s="1"/>
  <c r="J45" i="1"/>
  <c r="J86" i="1" s="1"/>
  <c r="L32" i="1"/>
  <c r="M34" i="1"/>
  <c r="K31" i="1"/>
  <c r="K48" i="1" s="1"/>
  <c r="G32" i="1"/>
  <c r="I32" i="1"/>
  <c r="J32" i="1"/>
  <c r="E38" i="1"/>
  <c r="K41" i="1" s="1"/>
  <c r="L41" i="1" l="1"/>
  <c r="K38" i="1"/>
  <c r="K37" i="1" s="1"/>
  <c r="K54" i="1" s="1"/>
  <c r="K61" i="1"/>
  <c r="D97" i="1"/>
  <c r="D103" i="1"/>
  <c r="D100" i="1"/>
  <c r="D65" i="1"/>
  <c r="D89" i="1" s="1"/>
  <c r="D88" i="1"/>
  <c r="D94" i="1" s="1"/>
  <c r="J65" i="1"/>
  <c r="J89" i="1" s="1"/>
  <c r="J88" i="1"/>
  <c r="J94" i="1" s="1"/>
  <c r="I65" i="1"/>
  <c r="I89" i="1" s="1"/>
  <c r="I88" i="1"/>
  <c r="I94" i="1" s="1"/>
  <c r="G65" i="1"/>
  <c r="G89" i="1" s="1"/>
  <c r="G88" i="1"/>
  <c r="G94" i="1" s="1"/>
  <c r="H45" i="1"/>
  <c r="H86" i="1" s="1"/>
  <c r="H81" i="1"/>
  <c r="H80" i="1"/>
  <c r="H103" i="1" s="1"/>
  <c r="H77" i="1"/>
  <c r="H100" i="1" s="1"/>
  <c r="H74" i="1"/>
  <c r="H97" i="1" s="1"/>
  <c r="H64" i="1"/>
  <c r="I81" i="1"/>
  <c r="H62" i="1"/>
  <c r="E45" i="1"/>
  <c r="E86" i="1" s="1"/>
  <c r="E81" i="1"/>
  <c r="E80" i="1"/>
  <c r="E77" i="1"/>
  <c r="E74" i="1"/>
  <c r="E64" i="1"/>
  <c r="E62" i="1"/>
  <c r="F81" i="1"/>
  <c r="F80" i="1"/>
  <c r="F103" i="1" s="1"/>
  <c r="F77" i="1"/>
  <c r="F100" i="1" s="1"/>
  <c r="F74" i="1"/>
  <c r="F97" i="1" s="1"/>
  <c r="F64" i="1"/>
  <c r="G81" i="1"/>
  <c r="F62" i="1"/>
  <c r="R20" i="1"/>
  <c r="M57" i="1"/>
  <c r="M18" i="1"/>
  <c r="H18" i="1" s="1"/>
  <c r="F45" i="1"/>
  <c r="F86" i="1" s="1"/>
  <c r="L31" i="1"/>
  <c r="K44" i="1"/>
  <c r="K85" i="1" s="1"/>
  <c r="N40" i="1"/>
  <c r="M32" i="1"/>
  <c r="M31" i="1" s="1"/>
  <c r="N34" i="1"/>
  <c r="M41" i="1" l="1"/>
  <c r="L38" i="1"/>
  <c r="L37" i="1" s="1"/>
  <c r="E97" i="1"/>
  <c r="C24" i="1"/>
  <c r="K97" i="1" s="1"/>
  <c r="K96" i="1" s="1"/>
  <c r="E103" i="1"/>
  <c r="C26" i="1"/>
  <c r="E100" i="1"/>
  <c r="C25" i="1"/>
  <c r="F65" i="1"/>
  <c r="F89" i="1" s="1"/>
  <c r="F88" i="1"/>
  <c r="F94" i="1" s="1"/>
  <c r="E65" i="1"/>
  <c r="E89" i="1" s="1"/>
  <c r="E88" i="1"/>
  <c r="E94" i="1" s="1"/>
  <c r="H65" i="1"/>
  <c r="H89" i="1" s="1"/>
  <c r="H88" i="1"/>
  <c r="H94" i="1" s="1"/>
  <c r="L52" i="1"/>
  <c r="M52" i="1"/>
  <c r="N52" i="1"/>
  <c r="O52" i="1"/>
  <c r="P52" i="1"/>
  <c r="N57" i="1"/>
  <c r="P58" i="1"/>
  <c r="H20" i="1"/>
  <c r="P56" i="1" s="1"/>
  <c r="L56" i="1" s="1"/>
  <c r="M56" i="1" s="1"/>
  <c r="N56" i="1" s="1"/>
  <c r="O56" i="1" s="1"/>
  <c r="K62" i="1"/>
  <c r="K64" i="1"/>
  <c r="K88" i="1" s="1"/>
  <c r="P51" i="1"/>
  <c r="P49" i="1" s="1"/>
  <c r="O51" i="1"/>
  <c r="O49" i="1" s="1"/>
  <c r="N51" i="1"/>
  <c r="N49" i="1" s="1"/>
  <c r="M51" i="1"/>
  <c r="M49" i="1" s="1"/>
  <c r="M48" i="1" s="1"/>
  <c r="L51" i="1"/>
  <c r="L49" i="1" s="1"/>
  <c r="L48" i="1" s="1"/>
  <c r="R18" i="1"/>
  <c r="K45" i="1"/>
  <c r="K86" i="1" s="1"/>
  <c r="L44" i="1"/>
  <c r="L85" i="1" s="1"/>
  <c r="L45" i="1"/>
  <c r="L86" i="1" s="1"/>
  <c r="O40" i="1"/>
  <c r="N32" i="1"/>
  <c r="O34" i="1"/>
  <c r="O32" i="1" s="1"/>
  <c r="N31" i="1"/>
  <c r="N48" i="1" s="1"/>
  <c r="L58" i="1" l="1"/>
  <c r="P55" i="1"/>
  <c r="N41" i="1"/>
  <c r="M38" i="1"/>
  <c r="M37" i="1" s="1"/>
  <c r="M44" i="1" s="1"/>
  <c r="M85" i="1" s="1"/>
  <c r="L100" i="1"/>
  <c r="L99" i="1" s="1"/>
  <c r="M100" i="1"/>
  <c r="M99" i="1" s="1"/>
  <c r="N100" i="1"/>
  <c r="O100" i="1"/>
  <c r="P100" i="1"/>
  <c r="K100" i="1"/>
  <c r="K99" i="1" s="1"/>
  <c r="L103" i="1"/>
  <c r="L102" i="1" s="1"/>
  <c r="M103" i="1"/>
  <c r="M102" i="1" s="1"/>
  <c r="N103" i="1"/>
  <c r="O103" i="1"/>
  <c r="P103" i="1"/>
  <c r="K103" i="1"/>
  <c r="K102" i="1" s="1"/>
  <c r="L97" i="1"/>
  <c r="L96" i="1" s="1"/>
  <c r="M97" i="1"/>
  <c r="M96" i="1" s="1"/>
  <c r="N97" i="1"/>
  <c r="O97" i="1"/>
  <c r="P97" i="1"/>
  <c r="K65" i="1"/>
  <c r="K89" i="1" s="1"/>
  <c r="K91" i="1"/>
  <c r="K94" i="1" s="1"/>
  <c r="K105" i="1" s="1"/>
  <c r="K106" i="1" s="1"/>
  <c r="L50" i="1"/>
  <c r="M50" i="1"/>
  <c r="N50" i="1"/>
  <c r="O50" i="1"/>
  <c r="P50" i="1"/>
  <c r="O57" i="1"/>
  <c r="M45" i="1"/>
  <c r="M86" i="1" s="1"/>
  <c r="O31" i="1"/>
  <c r="O48" i="1" s="1"/>
  <c r="O41" i="1" l="1"/>
  <c r="O38" i="1" s="1"/>
  <c r="N38" i="1"/>
  <c r="N37" i="1" s="1"/>
  <c r="M58" i="1"/>
  <c r="L55" i="1"/>
  <c r="L54" i="1" s="1"/>
  <c r="L61" i="1" s="1"/>
  <c r="O37" i="1"/>
  <c r="P31" i="1"/>
  <c r="P48" i="1" s="1"/>
  <c r="O44" i="1"/>
  <c r="L62" i="1" l="1"/>
  <c r="L64" i="1"/>
  <c r="N58" i="1"/>
  <c r="M55" i="1"/>
  <c r="M54" i="1" s="1"/>
  <c r="M61" i="1" s="1"/>
  <c r="N44" i="1"/>
  <c r="O85" i="1"/>
  <c r="O102" i="1" s="1"/>
  <c r="O45" i="1"/>
  <c r="O86" i="1" s="1"/>
  <c r="P37" i="1"/>
  <c r="P54" i="1" s="1"/>
  <c r="P61" i="1" s="1"/>
  <c r="N85" i="1" l="1"/>
  <c r="N45" i="1"/>
  <c r="N86" i="1" s="1"/>
  <c r="M62" i="1"/>
  <c r="M64" i="1"/>
  <c r="O58" i="1"/>
  <c r="O55" i="1" s="1"/>
  <c r="O54" i="1" s="1"/>
  <c r="O61" i="1" s="1"/>
  <c r="N55" i="1"/>
  <c r="N54" i="1" s="1"/>
  <c r="N61" i="1" s="1"/>
  <c r="L65" i="1"/>
  <c r="L89" i="1" s="1"/>
  <c r="L88" i="1"/>
  <c r="O96" i="1"/>
  <c r="O99" i="1"/>
  <c r="P44" i="1"/>
  <c r="P85" i="1" s="1"/>
  <c r="P102" i="1" s="1"/>
  <c r="L91" i="1" l="1"/>
  <c r="L94" i="1"/>
  <c r="L105" i="1" s="1"/>
  <c r="L106" i="1" s="1"/>
  <c r="N62" i="1"/>
  <c r="N64" i="1"/>
  <c r="O64" i="1"/>
  <c r="O62" i="1"/>
  <c r="M65" i="1"/>
  <c r="M89" i="1" s="1"/>
  <c r="M88" i="1"/>
  <c r="N102" i="1"/>
  <c r="N96" i="1"/>
  <c r="N99" i="1"/>
  <c r="P96" i="1"/>
  <c r="P99" i="1"/>
  <c r="P62" i="1"/>
  <c r="P64" i="1"/>
  <c r="P45" i="1"/>
  <c r="P86" i="1" s="1"/>
  <c r="M91" i="1" l="1"/>
  <c r="M94" i="1"/>
  <c r="M105" i="1" s="1"/>
  <c r="M106" i="1" s="1"/>
  <c r="O65" i="1"/>
  <c r="O89" i="1" s="1"/>
  <c r="O88" i="1"/>
  <c r="N65" i="1"/>
  <c r="N89" i="1" s="1"/>
  <c r="N88" i="1"/>
  <c r="P65" i="1"/>
  <c r="P89" i="1" s="1"/>
  <c r="P88" i="1"/>
  <c r="N91" i="1" l="1"/>
  <c r="N94" i="1"/>
  <c r="N105" i="1" s="1"/>
  <c r="N106" i="1" s="1"/>
  <c r="O91" i="1"/>
  <c r="O94" i="1"/>
  <c r="O105" i="1" s="1"/>
  <c r="O106" i="1" s="1"/>
  <c r="P91" i="1"/>
  <c r="P94" i="1"/>
  <c r="P105" i="1" s="1"/>
  <c r="P112" i="1" s="1"/>
  <c r="P113" i="1" s="1"/>
  <c r="P106" i="1" l="1"/>
  <c r="P114" i="1" s="1"/>
  <c r="P117" i="1" s="1"/>
  <c r="P119" i="1" s="1"/>
  <c r="H4" i="1" l="1"/>
  <c r="H6" i="1" s="1"/>
</calcChain>
</file>

<file path=xl/sharedStrings.xml><?xml version="1.0" encoding="utf-8"?>
<sst xmlns="http://schemas.openxmlformats.org/spreadsheetml/2006/main" count="1101" uniqueCount="220">
  <si>
    <t>DCF</t>
  </si>
  <si>
    <t>Ticker</t>
  </si>
  <si>
    <t>BRK.B</t>
  </si>
  <si>
    <t>Implied Share Price</t>
  </si>
  <si>
    <t>Date</t>
  </si>
  <si>
    <t xml:space="preserve">Current Share Price </t>
  </si>
  <si>
    <t>Year-End</t>
  </si>
  <si>
    <t>Implied Upside / (Downside)</t>
  </si>
  <si>
    <t>x</t>
  </si>
  <si>
    <t>Assumptions</t>
  </si>
  <si>
    <t xml:space="preserve">Switches </t>
  </si>
  <si>
    <t xml:space="preserve">Conservative </t>
  </si>
  <si>
    <t>Street/Base</t>
  </si>
  <si>
    <t>Optemestic</t>
  </si>
  <si>
    <t>Revenue</t>
  </si>
  <si>
    <t>Metric</t>
  </si>
  <si>
    <t>Year</t>
  </si>
  <si>
    <t>Insurence &amp; Other</t>
  </si>
  <si>
    <t>Railroad,Utilities Energy</t>
  </si>
  <si>
    <t>Cost&amp; OpEx</t>
  </si>
  <si>
    <t>Valuation</t>
  </si>
  <si>
    <t>WACC</t>
  </si>
  <si>
    <t>TGR</t>
  </si>
  <si>
    <t xml:space="preserve">Other Assumption </t>
  </si>
  <si>
    <t>Tax rate</t>
  </si>
  <si>
    <t>D&amp;A</t>
  </si>
  <si>
    <t>CapEx</t>
  </si>
  <si>
    <t>Change in NWC</t>
  </si>
  <si>
    <t>Revenue Build</t>
  </si>
  <si>
    <t>Insurance and Other</t>
  </si>
  <si>
    <t>% growth</t>
  </si>
  <si>
    <t>Conservative</t>
  </si>
  <si>
    <t>Base</t>
  </si>
  <si>
    <t>Optimistic</t>
  </si>
  <si>
    <t>Railroad ,Utilities and Energy</t>
  </si>
  <si>
    <t>%growth</t>
  </si>
  <si>
    <t>Total Revenue</t>
  </si>
  <si>
    <t>Cost and OpEX Build</t>
  </si>
  <si>
    <t>% margin</t>
  </si>
  <si>
    <t>Total Cost*OpEx</t>
  </si>
  <si>
    <t>EBIT</t>
  </si>
  <si>
    <t>Taxes</t>
  </si>
  <si>
    <t>Earnings before taxes</t>
  </si>
  <si>
    <t>CashFlow Items</t>
  </si>
  <si>
    <t>D &amp; A</t>
  </si>
  <si>
    <t>% of sales</t>
  </si>
  <si>
    <t>% of change in sales</t>
  </si>
  <si>
    <t>EBIAT</t>
  </si>
  <si>
    <t>Unlevered Free CashFlow</t>
  </si>
  <si>
    <t>Present value CashFlow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</si>
  <si>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</si>
  <si>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</si>
  <si>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</si>
  <si>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</si>
  <si>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</si>
  <si>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</si>
  <si>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</si>
  <si>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Implied Equity Value</t>
  </si>
  <si>
    <t>Share Count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</si>
  <si>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</si>
  <si>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</si>
  <si>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</si>
  <si>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</si>
  <si>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</si>
  <si>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</si>
  <si>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</si>
  <si>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</si>
  <si>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</si>
  <si>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</si>
  <si>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</si>
  <si>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</si>
  <si>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</si>
  <si>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Berkshire Hathaway Inc. Class B</t>
  </si>
  <si>
    <t xml:space="preserve">BRK.B   084670702   2073390   NYSE    Common stock    </t>
  </si>
  <si>
    <t>FactSet Fundamentals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</si>
  <si>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</si>
  <si>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</si>
  <si>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</si>
  <si>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</si>
  <si>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</si>
  <si>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</si>
  <si>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</si>
  <si>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</si>
  <si>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31 DEC '22</t>
  </si>
  <si>
    <t>31 DEC '23</t>
  </si>
  <si>
    <t>Total revenues</t>
  </si>
  <si>
    <t>Total insurance and other</t>
  </si>
  <si>
    <t>Insurance premiums earned</t>
  </si>
  <si>
    <t>Sales and service revenues</t>
  </si>
  <si>
    <t> </t>
  </si>
  <si>
    <t>Leasing revenues</t>
  </si>
  <si>
    <t>-</t>
  </si>
  <si>
    <t>Interest, dividend and other investment income</t>
  </si>
  <si>
    <t>Investment gains / losses</t>
  </si>
  <si>
    <t>Investment gains / losses excluding other-than-temporary impairment losses on investments</t>
  </si>
  <si>
    <t>Other-than-temporary impairment losses on investments</t>
  </si>
  <si>
    <t>Total finance and financial products</t>
  </si>
  <si>
    <t>Derivative gains / losses</t>
  </si>
  <si>
    <t>Other</t>
  </si>
  <si>
    <t>Railroad, utilities and energy - revenues</t>
  </si>
  <si>
    <t>Freight rail transportation revenues</t>
  </si>
  <si>
    <t>Insurance and other sales and service / energy operating revenues</t>
  </si>
  <si>
    <t>Service revenues and other income</t>
  </si>
  <si>
    <t>Investment and derivative gains / losses</t>
  </si>
  <si>
    <t>Investments gains / losses</t>
  </si>
  <si>
    <t>Derivative contract gains / losses</t>
  </si>
  <si>
    <t>Total costs and expenses</t>
  </si>
  <si>
    <t>Insurance losses and loss adjustment expenses</t>
  </si>
  <si>
    <t>Life, annuity and health insurance benefits</t>
  </si>
  <si>
    <t>Insurance underwriting expenses</t>
  </si>
  <si>
    <t>Cost of sales and services</t>
  </si>
  <si>
    <t>Cost of leasing</t>
  </si>
  <si>
    <t>Selling, general and administrative expenses</t>
  </si>
  <si>
    <t>Goodwill and intangible asset impairments</t>
  </si>
  <si>
    <t>Interest expense and other</t>
  </si>
  <si>
    <t>Total railroad, utilities and energy</t>
  </si>
  <si>
    <t>Cost of sales and operating expenses</t>
  </si>
  <si>
    <t>Freight rail transportation expenses</t>
  </si>
  <si>
    <t>Utilities and energy cost of sales and other expenses</t>
  </si>
  <si>
    <t>Other expenses</t>
  </si>
  <si>
    <t>Interest expense</t>
  </si>
  <si>
    <t>Earnings before income taxes and equity in earnings of Kraft Heinz Company</t>
  </si>
  <si>
    <t>Equity in earnings / loss of MidAmerican Energy Holdings Company</t>
  </si>
  <si>
    <t>Earnings / loss before income taxes</t>
  </si>
  <si>
    <t>Income tax expense / benefit</t>
  </si>
  <si>
    <t>Minority shareholders' interests</t>
  </si>
  <si>
    <t>Earnings from equity method investments</t>
  </si>
  <si>
    <t>Net earnings / loss</t>
  </si>
  <si>
    <t>Earnings attributable to noncontrolling interests</t>
  </si>
  <si>
    <t>Net earnings / loss attributable to Berkshire Hathaway shareholders</t>
  </si>
  <si>
    <t>Per share</t>
  </si>
  <si>
    <t>Class A</t>
  </si>
  <si>
    <t>Net earnings per share attributable to Berkshire Hathaway shareholders</t>
  </si>
  <si>
    <t>Class B</t>
  </si>
  <si>
    <t>Weighted average shares</t>
  </si>
  <si>
    <t>Average equivalent shares outstanding</t>
  </si>
  <si>
    <t>Average</t>
  </si>
  <si>
    <t>2024 QTR AVG</t>
  </si>
  <si>
    <t>Quarterly Insurance and Other Revenue Growth</t>
  </si>
  <si>
    <t>Quarterly Railroad, utilities, and energy revenue growth</t>
  </si>
  <si>
    <t>Quarterly Insurance and Other Revenue Margins</t>
  </si>
  <si>
    <t>Quarterly Railroad, utilities, and energy margins</t>
  </si>
  <si>
    <t>Tax rate for 9 months of 2023</t>
  </si>
  <si>
    <t>QUATER</t>
  </si>
  <si>
    <t>31 MAR '22</t>
  </si>
  <si>
    <t>30 JUN '22</t>
  </si>
  <si>
    <t>30 SEP '22</t>
  </si>
  <si>
    <t>31 MAR '23</t>
  </si>
  <si>
    <t>30 JUN '23</t>
  </si>
  <si>
    <t>30 SEP '23</t>
  </si>
  <si>
    <t>31 MAR '24</t>
  </si>
  <si>
    <t>31 JUN '24</t>
  </si>
  <si>
    <t>PRELIM</t>
  </si>
  <si>
    <t>All figures in millions of U.S. Dollar except per share items.</t>
  </si>
  <si>
    <t>Years</t>
  </si>
  <si>
    <t>31 DEC '13</t>
  </si>
  <si>
    <t>Net cash flows from operating activities</t>
  </si>
  <si>
    <t>Adjustments to reconcile net earnings / loss to operating cash flows</t>
  </si>
  <si>
    <t>Insurance and other</t>
  </si>
  <si>
    <t>finance and financial products</t>
  </si>
  <si>
    <t>Depreciation and amortization</t>
  </si>
  <si>
    <t>Minority interests</t>
  </si>
  <si>
    <t>Other, including asset impairment charges</t>
  </si>
  <si>
    <t>Changes in operating assets and liabilities</t>
  </si>
  <si>
    <t>Losses and loss adjustment expenses</t>
  </si>
  <si>
    <t>Deferred charges reinsurance assumed</t>
  </si>
  <si>
    <t>Unearned premiums</t>
  </si>
  <si>
    <t>Receivables and originated loans</t>
  </si>
  <si>
    <t>Derivative contract assets and liabilities</t>
  </si>
  <si>
    <t>Inventories</t>
  </si>
  <si>
    <t>Other assets</t>
  </si>
  <si>
    <t>Other liabilities</t>
  </si>
  <si>
    <t>Income taxes</t>
  </si>
  <si>
    <t>Net cash flows from investing activities</t>
  </si>
  <si>
    <t>Purchases of equity securities</t>
  </si>
  <si>
    <t>Investments in The Kraft Heinz Company and other investments</t>
  </si>
  <si>
    <t>Sales and redemptions of equity securities</t>
  </si>
  <si>
    <t>Sales of equity securities excluding redemptions of other investments</t>
  </si>
  <si>
    <t>Redemptions of other investments</t>
  </si>
  <si>
    <t>Purchases of fixed maturity securities</t>
  </si>
  <si>
    <t>Sales of fixed maturity securities</t>
  </si>
  <si>
    <t>Redemptions and maturities of fixed maturity securities</t>
  </si>
  <si>
    <t>Acquisitions of businesses, net of cash acquired</t>
  </si>
  <si>
    <t>Purchases of property, plant and equipment</t>
  </si>
  <si>
    <t>Purchases of loans and finance receivables</t>
  </si>
  <si>
    <t>Collections of loans and finance receivables</t>
  </si>
  <si>
    <t>Other excluding purchases of loans and finance receivables and collections of loans and finance receivables</t>
  </si>
  <si>
    <t>Net cash flows from financing activities</t>
  </si>
  <si>
    <t>Proceeds from borrowings</t>
  </si>
  <si>
    <t>Proceeds from borrowings of insurance and other businesses</t>
  </si>
  <si>
    <t>Proceeds from borrowings of finance businesses</t>
  </si>
  <si>
    <t>Repayments of borrowings</t>
  </si>
  <si>
    <t>Repayments of borrowings of insurance and other businesses</t>
  </si>
  <si>
    <t>Repayments of borrowings of finance businesses</t>
  </si>
  <si>
    <t>Proceeds from borrowings of railroad, utilities and energy businesses</t>
  </si>
  <si>
    <t>Repayments of borrowings of railroad, utilities and energy businesses</t>
  </si>
  <si>
    <t>Changes in short term borrowings, net</t>
  </si>
  <si>
    <t>Acquisitions of noncontrolling interests and other</t>
  </si>
  <si>
    <t>Acquisitions of noncontrolling interests and treasury stock</t>
  </si>
  <si>
    <t>Acquisitions of treasury stock</t>
  </si>
  <si>
    <t>Acquisitions of noncontrolling interests</t>
  </si>
  <si>
    <t>Other, principally transactions with noncontrolling interests</t>
  </si>
  <si>
    <t>Effects of foreign currency exchange rate changes</t>
  </si>
  <si>
    <t>Increase / decrease in cash and cash equivalents</t>
  </si>
  <si>
    <t>Cash and cash equivalents and restricted cash at beginning of period</t>
  </si>
  <si>
    <t>Insurance and other excluding finance and financial products</t>
  </si>
  <si>
    <t>Finance and financial products</t>
  </si>
  <si>
    <t>Railroad, utilities and energy</t>
  </si>
  <si>
    <t>Restricted cash, included in other assets at beginning of period</t>
  </si>
  <si>
    <t>Cash and cash equivalents and restricted cash at end of period</t>
  </si>
  <si>
    <t>Cash and cash equivalents at end of period</t>
  </si>
  <si>
    <t>Restricted cash, included in other assets</t>
  </si>
  <si>
    <t>Supplemental disclosure</t>
  </si>
  <si>
    <t>Cash paid during the period for</t>
  </si>
  <si>
    <t>Interest of finance and financial products businesses</t>
  </si>
  <si>
    <t>Interest of utilities and energy businesses</t>
  </si>
  <si>
    <t>Interest of insurance and other businesses</t>
  </si>
  <si>
    <t>Non-cash investing activity</t>
  </si>
  <si>
    <t>Investments received in connection with the Equitas reinsurance transaction</t>
  </si>
  <si>
    <t>Liabilities assumed in connection with acquisitions of businesses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</si>
</sst>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$&quot;#,##0.00"/>
    <numFmt numFmtId="165" formatCode="&quot;$&quot;#,##0"/>
    <numFmt numFmtId="166" formatCode="0.0%"/>
    <numFmt numFmtId="167" formatCode="0.00000%"/>
    <numFmt numFmtId="168" formatCode="_(* #,##0_);_(* \(#,##0\);_(* &quot;-&quot;??_);_(@_)"/>
  </numFmts>
  <fonts count="27">
    <font>
      <sz val="11"/>
      <color theme="1"/>
      <name val="Aptos Narrow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0"/>
      <color rgb="FF000000"/>
      <name val="Arial"/>
    </font>
    <font>
      <b/>
      <sz val="10"/>
      <color theme="0"/>
      <name val="Arial"/>
    </font>
    <font>
      <sz val="10"/>
      <color theme="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646464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Times New Roman"/>
      <charset val="1"/>
    </font>
    <font>
      <i/>
      <sz val="10"/>
      <color theme="1"/>
      <name val="Arial"/>
    </font>
    <font>
      <sz val="10"/>
      <color theme="9"/>
      <name val="Arial"/>
    </font>
    <font>
      <i/>
      <sz val="10"/>
      <color theme="1"/>
      <name val="Arial"/>
      <family val="2"/>
    </font>
    <font>
      <sz val="10"/>
      <color theme="8" tint="-0.249977111117893"/>
      <name val="Arial"/>
    </font>
    <font>
      <sz val="10"/>
      <color theme="9" tint="-0.249977111117893"/>
      <name val="Arial"/>
    </font>
    <font>
      <b/>
      <i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sz val="10"/>
      <color rgb="FF003366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70">
    <xf numFmtId="0" fontId="0" fillId="0" borderId="0" xfId="0"/>
    <xf numFmtId="0" fontId="1" fillId="2" borderId="0" xfId="0" applyFont="1" applyFill="1"/>
    <xf numFmtId="0" fontId="3" fillId="2" borderId="1" xfId="0" applyFont="1" applyFill="1" applyBorder="1"/>
    <xf numFmtId="0" fontId="1" fillId="2" borderId="1" xfId="0" applyFont="1" applyFill="1" applyBorder="1"/>
    <xf numFmtId="0" fontId="4" fillId="3" borderId="0" xfId="0" applyFont="1" applyFill="1" applyBorder="1"/>
    <xf numFmtId="8" fontId="1" fillId="2" borderId="0" xfId="0" applyNumberFormat="1" applyFont="1" applyFill="1" applyAlignment="1">
      <alignment horizontal="right"/>
    </xf>
    <xf numFmtId="0" fontId="5" fillId="4" borderId="0" xfId="0" applyFont="1" applyFill="1"/>
    <xf numFmtId="0" fontId="6" fillId="4" borderId="0" xfId="0" applyFont="1" applyFill="1"/>
    <xf numFmtId="0" fontId="1" fillId="2" borderId="0" xfId="0" applyFont="1" applyFill="1" applyAlignment="1">
      <alignment horizontal="center"/>
    </xf>
    <xf numFmtId="0" fontId="6" fillId="2" borderId="0" xfId="0" applyFont="1" applyFill="1"/>
    <xf numFmtId="0" fontId="2" fillId="2" borderId="0" xfId="0" applyFont="1" applyFill="1" applyBorder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/>
    <xf numFmtId="0" fontId="1" fillId="2" borderId="0" xfId="0" applyFont="1" applyFill="1" applyAlignment="1"/>
    <xf numFmtId="0" fontId="6" fillId="4" borderId="0" xfId="0" applyFont="1" applyFill="1" applyAlignment="1"/>
    <xf numFmtId="0" fontId="8" fillId="5" borderId="0" xfId="1" applyFont="1" applyFill="1" applyAlignment="1">
      <alignment horizontal="left"/>
    </xf>
    <xf numFmtId="9" fontId="8" fillId="5" borderId="0" xfId="2" applyFont="1" applyFill="1" applyAlignment="1">
      <alignment horizontal="right"/>
    </xf>
    <xf numFmtId="3" fontId="8" fillId="5" borderId="0" xfId="1" applyNumberFormat="1" applyFont="1" applyFill="1" applyAlignment="1">
      <alignment horizontal="left"/>
    </xf>
    <xf numFmtId="0" fontId="7" fillId="0" borderId="0" xfId="1" applyAlignment="1">
      <alignment horizontal="right"/>
    </xf>
    <xf numFmtId="0" fontId="7" fillId="0" borderId="0" xfId="1"/>
    <xf numFmtId="0" fontId="11" fillId="5" borderId="0" xfId="1" applyFont="1" applyFill="1" applyAlignment="1">
      <alignment horizontal="left"/>
    </xf>
    <xf numFmtId="0" fontId="11" fillId="5" borderId="0" xfId="1" applyFont="1" applyFill="1" applyAlignment="1">
      <alignment horizontal="right"/>
    </xf>
    <xf numFmtId="0" fontId="12" fillId="0" borderId="0" xfId="0" applyFont="1"/>
    <xf numFmtId="164" fontId="9" fillId="6" borderId="0" xfId="1" applyNumberFormat="1" applyFont="1" applyFill="1" applyAlignment="1">
      <alignment horizontal="left" indent="3"/>
    </xf>
    <xf numFmtId="164" fontId="0" fillId="0" borderId="0" xfId="0" applyNumberFormat="1" applyFill="1"/>
    <xf numFmtId="164" fontId="7" fillId="0" borderId="0" xfId="1" applyNumberFormat="1" applyAlignment="1">
      <alignment horizontal="left" indent="4"/>
    </xf>
    <xf numFmtId="164" fontId="7" fillId="6" borderId="0" xfId="1" applyNumberFormat="1" applyFill="1" applyAlignment="1">
      <alignment horizontal="left" indent="4"/>
    </xf>
    <xf numFmtId="164" fontId="7" fillId="0" borderId="0" xfId="1" applyNumberFormat="1" applyAlignment="1">
      <alignment horizontal="right"/>
    </xf>
    <xf numFmtId="164" fontId="9" fillId="0" borderId="0" xfId="1" applyNumberFormat="1" applyFont="1" applyAlignment="1">
      <alignment horizontal="left" indent="6"/>
    </xf>
    <xf numFmtId="164" fontId="9" fillId="0" borderId="0" xfId="1" applyNumberFormat="1" applyFont="1" applyAlignment="1">
      <alignment horizontal="right"/>
    </xf>
    <xf numFmtId="164" fontId="7" fillId="6" borderId="0" xfId="1" applyNumberFormat="1" applyFill="1" applyAlignment="1">
      <alignment horizontal="left" indent="7"/>
    </xf>
    <xf numFmtId="164" fontId="7" fillId="6" borderId="0" xfId="1" applyNumberFormat="1" applyFill="1" applyAlignment="1">
      <alignment horizontal="right"/>
    </xf>
    <xf numFmtId="164" fontId="7" fillId="0" borderId="0" xfId="1" applyNumberFormat="1" applyAlignment="1">
      <alignment horizontal="left" indent="7"/>
    </xf>
    <xf numFmtId="164" fontId="9" fillId="6" borderId="0" xfId="1" applyNumberFormat="1" applyFont="1" applyFill="1" applyAlignment="1">
      <alignment horizontal="right"/>
    </xf>
    <xf numFmtId="164" fontId="9" fillId="0" borderId="0" xfId="1" applyNumberFormat="1" applyFont="1" applyAlignment="1">
      <alignment horizontal="left"/>
    </xf>
    <xf numFmtId="164" fontId="7" fillId="6" borderId="0" xfId="1" applyNumberFormat="1" applyFill="1" applyAlignment="1">
      <alignment horizontal="left" indent="1"/>
    </xf>
    <xf numFmtId="164" fontId="7" fillId="0" borderId="0" xfId="1" applyNumberFormat="1" applyAlignment="1">
      <alignment horizontal="left" indent="1"/>
    </xf>
    <xf numFmtId="164" fontId="9" fillId="6" borderId="0" xfId="1" applyNumberFormat="1" applyFont="1" applyFill="1" applyAlignment="1">
      <alignment horizontal="left"/>
    </xf>
    <xf numFmtId="164" fontId="9" fillId="0" borderId="0" xfId="1" applyNumberFormat="1" applyFont="1" applyAlignment="1">
      <alignment horizontal="left" indent="3"/>
    </xf>
    <xf numFmtId="164" fontId="9" fillId="6" borderId="0" xfId="1" applyNumberFormat="1" applyFont="1" applyFill="1" applyAlignment="1">
      <alignment horizontal="left" indent="6"/>
    </xf>
    <xf numFmtId="164" fontId="7" fillId="6" borderId="0" xfId="1" applyNumberFormat="1" applyFill="1" applyAlignment="1">
      <alignment horizontal="left"/>
    </xf>
    <xf numFmtId="164" fontId="7" fillId="0" borderId="0" xfId="1" applyNumberFormat="1" applyAlignment="1">
      <alignment horizontal="left"/>
    </xf>
    <xf numFmtId="164" fontId="10" fillId="0" borderId="0" xfId="1" applyNumberFormat="1" applyFont="1" applyAlignment="1">
      <alignment horizontal="left"/>
    </xf>
    <xf numFmtId="164" fontId="7" fillId="0" borderId="0" xfId="1" applyNumberFormat="1"/>
    <xf numFmtId="165" fontId="7" fillId="0" borderId="0" xfId="1" applyNumberFormat="1" applyAlignment="1">
      <alignment horizontal="right"/>
    </xf>
    <xf numFmtId="165" fontId="9" fillId="0" borderId="0" xfId="1" applyNumberFormat="1" applyFont="1" applyAlignment="1">
      <alignment horizontal="right"/>
    </xf>
    <xf numFmtId="165" fontId="7" fillId="6" borderId="0" xfId="1" applyNumberFormat="1" applyFill="1" applyAlignment="1">
      <alignment horizontal="right"/>
    </xf>
    <xf numFmtId="165" fontId="9" fillId="6" borderId="0" xfId="1" applyNumberFormat="1" applyFont="1" applyFill="1" applyAlignment="1">
      <alignment horizontal="right"/>
    </xf>
    <xf numFmtId="164" fontId="0" fillId="0" borderId="0" xfId="0" applyNumberFormat="1" applyFill="1" applyAlignment="1">
      <alignment wrapText="1"/>
    </xf>
    <xf numFmtId="0" fontId="14" fillId="7" borderId="0" xfId="0" applyFont="1" applyFill="1" applyAlignment="1"/>
    <xf numFmtId="0" fontId="15" fillId="2" borderId="0" xfId="0" applyFont="1" applyFill="1"/>
    <xf numFmtId="165" fontId="16" fillId="2" borderId="0" xfId="0" applyNumberFormat="1" applyFont="1" applyFill="1" applyAlignment="1">
      <alignment horizontal="left"/>
    </xf>
    <xf numFmtId="165" fontId="1" fillId="2" borderId="0" xfId="0" applyNumberFormat="1" applyFont="1" applyFill="1" applyAlignment="1"/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166" fontId="8" fillId="5" borderId="0" xfId="3" applyNumberFormat="1" applyFont="1" applyFill="1" applyAlignment="1">
      <alignment horizontal="right"/>
    </xf>
    <xf numFmtId="165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8" fillId="5" borderId="0" xfId="1" applyFont="1" applyFill="1" applyAlignment="1">
      <alignment horizontal="right"/>
    </xf>
    <xf numFmtId="0" fontId="7" fillId="0" borderId="2" xfId="1" applyBorder="1"/>
    <xf numFmtId="9" fontId="17" fillId="0" borderId="0" xfId="3" applyFont="1" applyBorder="1"/>
    <xf numFmtId="9" fontId="7" fillId="0" borderId="0" xfId="1" applyNumberFormat="1" applyAlignment="1">
      <alignment horizontal="right"/>
    </xf>
    <xf numFmtId="10" fontId="7" fillId="0" borderId="0" xfId="1" applyNumberFormat="1"/>
    <xf numFmtId="10" fontId="17" fillId="0" borderId="0" xfId="3" applyNumberFormat="1" applyFont="1" applyBorder="1"/>
    <xf numFmtId="10" fontId="4" fillId="3" borderId="0" xfId="0" applyNumberFormat="1" applyFont="1" applyFill="1" applyBorder="1"/>
    <xf numFmtId="10" fontId="7" fillId="0" borderId="0" xfId="1" applyNumberFormat="1" applyAlignment="1">
      <alignment horizontal="right"/>
    </xf>
    <xf numFmtId="0" fontId="6" fillId="4" borderId="0" xfId="0" applyFont="1" applyFill="1" applyAlignment="1">
      <alignment horizontal="center"/>
    </xf>
    <xf numFmtId="165" fontId="16" fillId="2" borderId="0" xfId="0" applyNumberFormat="1" applyFont="1" applyFill="1" applyAlignment="1"/>
    <xf numFmtId="10" fontId="18" fillId="3" borderId="0" xfId="0" applyNumberFormat="1" applyFont="1" applyFill="1" applyBorder="1"/>
    <xf numFmtId="165" fontId="1" fillId="2" borderId="0" xfId="0" applyNumberFormat="1" applyFont="1" applyFill="1"/>
    <xf numFmtId="9" fontId="0" fillId="0" borderId="0" xfId="0" applyNumberFormat="1"/>
    <xf numFmtId="10" fontId="0" fillId="0" borderId="0" xfId="0" applyNumberFormat="1"/>
    <xf numFmtId="0" fontId="2" fillId="8" borderId="0" xfId="0" applyFont="1" applyFill="1"/>
    <xf numFmtId="165" fontId="2" fillId="8" borderId="0" xfId="0" applyNumberFormat="1" applyFont="1" applyFill="1"/>
    <xf numFmtId="0" fontId="20" fillId="8" borderId="0" xfId="0" applyFont="1" applyFill="1"/>
    <xf numFmtId="10" fontId="20" fillId="8" borderId="0" xfId="0" applyNumberFormat="1" applyFont="1" applyFill="1" applyAlignment="1"/>
    <xf numFmtId="9" fontId="15" fillId="2" borderId="0" xfId="0" applyNumberFormat="1" applyFont="1" applyFill="1" applyAlignment="1">
      <alignment horizontal="left"/>
    </xf>
    <xf numFmtId="10" fontId="15" fillId="2" borderId="0" xfId="0" applyNumberFormat="1" applyFont="1" applyFill="1"/>
    <xf numFmtId="9" fontId="15" fillId="2" borderId="0" xfId="0" applyNumberFormat="1" applyFont="1" applyFill="1" applyAlignment="1">
      <alignment horizontal="center"/>
    </xf>
    <xf numFmtId="9" fontId="15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9" borderId="0" xfId="0" applyFont="1" applyFill="1"/>
    <xf numFmtId="0" fontId="5" fillId="9" borderId="0" xfId="0" applyFont="1" applyFill="1"/>
    <xf numFmtId="0" fontId="21" fillId="2" borderId="1" xfId="0" applyFont="1" applyFill="1" applyBorder="1"/>
    <xf numFmtId="0" fontId="21" fillId="2" borderId="1" xfId="0" applyFont="1" applyFill="1" applyBorder="1" applyAlignment="1">
      <alignment horizontal="center"/>
    </xf>
    <xf numFmtId="0" fontId="21" fillId="2" borderId="1" xfId="0" applyFont="1" applyFill="1" applyBorder="1" applyAlignment="1"/>
    <xf numFmtId="10" fontId="4" fillId="3" borderId="0" xfId="0" applyNumberFormat="1" applyFont="1" applyFill="1" applyBorder="1" applyAlignment="1">
      <alignment horizontal="center"/>
    </xf>
    <xf numFmtId="10" fontId="19" fillId="3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5" fillId="2" borderId="0" xfId="0" applyNumberFormat="1" applyFont="1" applyFill="1" applyAlignment="1">
      <alignment horizontal="center"/>
    </xf>
    <xf numFmtId="10" fontId="18" fillId="3" borderId="0" xfId="0" applyNumberFormat="1" applyFont="1" applyFill="1" applyBorder="1" applyAlignment="1">
      <alignment horizontal="center"/>
    </xf>
    <xf numFmtId="10" fontId="4" fillId="3" borderId="0" xfId="0" applyNumberFormat="1" applyFont="1" applyFill="1" applyBorder="1" applyAlignment="1">
      <alignment wrapText="1"/>
    </xf>
    <xf numFmtId="10" fontId="19" fillId="3" borderId="0" xfId="0" applyNumberFormat="1" applyFont="1" applyFill="1" applyBorder="1" applyAlignment="1">
      <alignment wrapText="1"/>
    </xf>
    <xf numFmtId="10" fontId="20" fillId="8" borderId="0" xfId="0" applyNumberFormat="1" applyFont="1" applyFill="1"/>
    <xf numFmtId="10" fontId="1" fillId="2" borderId="0" xfId="0" applyNumberFormat="1" applyFont="1" applyFill="1"/>
    <xf numFmtId="9" fontId="20" fillId="8" borderId="0" xfId="0" applyNumberFormat="1" applyFont="1" applyFill="1"/>
    <xf numFmtId="166" fontId="1" fillId="2" borderId="0" xfId="0" applyNumberFormat="1" applyFont="1" applyFill="1"/>
    <xf numFmtId="165" fontId="11" fillId="5" borderId="0" xfId="1" applyNumberFormat="1" applyFont="1" applyFill="1" applyAlignment="1">
      <alignment horizontal="left"/>
    </xf>
    <xf numFmtId="165" fontId="0" fillId="0" borderId="0" xfId="0" applyNumberFormat="1" applyFill="1"/>
    <xf numFmtId="165" fontId="11" fillId="5" borderId="0" xfId="1" applyNumberFormat="1" applyFont="1" applyFill="1" applyAlignment="1">
      <alignment horizontal="right"/>
    </xf>
    <xf numFmtId="165" fontId="9" fillId="6" borderId="0" xfId="1" applyNumberFormat="1" applyFont="1" applyFill="1" applyAlignment="1">
      <alignment horizontal="left" indent="3"/>
    </xf>
    <xf numFmtId="165" fontId="7" fillId="0" borderId="0" xfId="1" applyNumberFormat="1" applyAlignment="1">
      <alignment horizontal="left" indent="4"/>
    </xf>
    <xf numFmtId="165" fontId="7" fillId="6" borderId="0" xfId="1" applyNumberFormat="1" applyFill="1" applyAlignment="1">
      <alignment horizontal="left" indent="4"/>
    </xf>
    <xf numFmtId="165" fontId="9" fillId="0" borderId="0" xfId="1" applyNumberFormat="1" applyFont="1" applyAlignment="1">
      <alignment horizontal="left" indent="6"/>
    </xf>
    <xf numFmtId="165" fontId="7" fillId="6" borderId="0" xfId="1" applyNumberFormat="1" applyFill="1" applyAlignment="1">
      <alignment horizontal="left" indent="7"/>
    </xf>
    <xf numFmtId="165" fontId="7" fillId="0" borderId="0" xfId="1" applyNumberFormat="1" applyAlignment="1">
      <alignment horizontal="left" indent="7"/>
    </xf>
    <xf numFmtId="165" fontId="9" fillId="0" borderId="0" xfId="1" applyNumberFormat="1" applyFont="1" applyAlignment="1">
      <alignment horizontal="left"/>
    </xf>
    <xf numFmtId="165" fontId="7" fillId="6" borderId="0" xfId="1" applyNumberFormat="1" applyFill="1" applyAlignment="1">
      <alignment horizontal="left" indent="1"/>
    </xf>
    <xf numFmtId="165" fontId="7" fillId="0" borderId="0" xfId="1" applyNumberFormat="1" applyAlignment="1">
      <alignment horizontal="left" indent="1"/>
    </xf>
    <xf numFmtId="165" fontId="9" fillId="6" borderId="0" xfId="1" applyNumberFormat="1" applyFont="1" applyFill="1" applyAlignment="1">
      <alignment horizontal="left"/>
    </xf>
    <xf numFmtId="165" fontId="9" fillId="0" borderId="0" xfId="1" applyNumberFormat="1" applyFont="1" applyAlignment="1">
      <alignment horizontal="left" indent="3"/>
    </xf>
    <xf numFmtId="165" fontId="9" fillId="6" borderId="0" xfId="1" applyNumberFormat="1" applyFont="1" applyFill="1" applyAlignment="1">
      <alignment horizontal="left" indent="6"/>
    </xf>
    <xf numFmtId="165" fontId="7" fillId="6" borderId="0" xfId="1" applyNumberFormat="1" applyFill="1" applyAlignment="1">
      <alignment horizontal="left"/>
    </xf>
    <xf numFmtId="165" fontId="7" fillId="0" borderId="0" xfId="1" applyNumberFormat="1" applyAlignment="1">
      <alignment horizontal="left"/>
    </xf>
    <xf numFmtId="165" fontId="7" fillId="0" borderId="0" xfId="1" applyNumberFormat="1"/>
    <xf numFmtId="165" fontId="10" fillId="0" borderId="0" xfId="1" applyNumberFormat="1" applyFont="1" applyAlignment="1">
      <alignment horizontal="left"/>
    </xf>
    <xf numFmtId="165" fontId="8" fillId="5" borderId="0" xfId="1" applyNumberFormat="1" applyFont="1" applyFill="1" applyAlignment="1">
      <alignment horizontal="left"/>
    </xf>
    <xf numFmtId="165" fontId="22" fillId="5" borderId="0" xfId="1" applyNumberFormat="1" applyFont="1" applyFill="1" applyAlignment="1">
      <alignment horizontal="right"/>
    </xf>
    <xf numFmtId="165" fontId="23" fillId="6" borderId="0" xfId="1" applyNumberFormat="1" applyFont="1" applyFill="1" applyAlignment="1">
      <alignment horizontal="right"/>
    </xf>
    <xf numFmtId="0" fontId="1" fillId="2" borderId="0" xfId="0" applyFont="1" applyFill="1" applyAlignment="1">
      <alignment horizontal="center" wrapText="1"/>
    </xf>
    <xf numFmtId="165" fontId="0" fillId="10" borderId="0" xfId="0" applyNumberFormat="1" applyFont="1" applyFill="1" applyBorder="1"/>
    <xf numFmtId="165" fontId="0" fillId="10" borderId="0" xfId="0" applyNumberFormat="1" applyFont="1" applyFill="1" applyBorder="1" applyAlignment="1">
      <alignment horizontal="right"/>
    </xf>
    <xf numFmtId="9" fontId="1" fillId="2" borderId="0" xfId="0" applyNumberFormat="1" applyFont="1" applyFill="1"/>
    <xf numFmtId="165" fontId="0" fillId="2" borderId="0" xfId="0" applyNumberFormat="1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0" fillId="0" borderId="0" xfId="0" applyNumberFormat="1"/>
    <xf numFmtId="165" fontId="7" fillId="0" borderId="0" xfId="1" applyNumberFormat="1" applyFont="1" applyBorder="1" applyAlignment="1">
      <alignment horizontal="right"/>
    </xf>
    <xf numFmtId="10" fontId="1" fillId="2" borderId="0" xfId="0" applyNumberFormat="1" applyFont="1" applyFill="1" applyAlignment="1"/>
    <xf numFmtId="165" fontId="0" fillId="0" borderId="0" xfId="0" applyNumberFormat="1" applyFont="1" applyBorder="1"/>
    <xf numFmtId="165" fontId="18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0" fontId="18" fillId="2" borderId="0" xfId="0" applyNumberFormat="1" applyFont="1" applyFill="1" applyAlignment="1">
      <alignment horizontal="center"/>
    </xf>
    <xf numFmtId="9" fontId="18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165" fontId="2" fillId="2" borderId="4" xfId="0" applyNumberFormat="1" applyFont="1" applyFill="1" applyBorder="1"/>
    <xf numFmtId="165" fontId="2" fillId="2" borderId="4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0" fontId="24" fillId="0" borderId="0" xfId="0" applyFont="1"/>
    <xf numFmtId="10" fontId="24" fillId="0" borderId="0" xfId="0" applyNumberFormat="1" applyFont="1" applyAlignment="1">
      <alignment horizontal="right"/>
    </xf>
    <xf numFmtId="0" fontId="4" fillId="3" borderId="0" xfId="0" applyNumberFormat="1" applyFont="1" applyFill="1" applyBorder="1"/>
    <xf numFmtId="0" fontId="24" fillId="2" borderId="6" xfId="0" applyFont="1" applyFill="1" applyBorder="1"/>
    <xf numFmtId="0" fontId="25" fillId="2" borderId="6" xfId="0" applyFont="1" applyFill="1" applyBorder="1"/>
    <xf numFmtId="0" fontId="24" fillId="2" borderId="0" xfId="0" applyFont="1" applyFill="1"/>
    <xf numFmtId="10" fontId="24" fillId="2" borderId="0" xfId="0" applyNumberFormat="1" applyFont="1" applyFill="1" applyAlignment="1">
      <alignment horizontal="right"/>
    </xf>
    <xf numFmtId="167" fontId="24" fillId="2" borderId="0" xfId="0" applyNumberFormat="1" applyFont="1" applyFill="1"/>
    <xf numFmtId="3" fontId="24" fillId="2" borderId="0" xfId="0" applyNumberFormat="1" applyFont="1" applyFill="1"/>
    <xf numFmtId="1" fontId="4" fillId="3" borderId="0" xfId="0" applyNumberFormat="1" applyFont="1" applyFill="1" applyBorder="1" applyAlignment="1">
      <alignment wrapText="1"/>
    </xf>
    <xf numFmtId="0" fontId="4" fillId="3" borderId="0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66" fontId="4" fillId="3" borderId="0" xfId="0" applyNumberFormat="1" applyFont="1" applyFill="1" applyBorder="1" applyAlignment="1">
      <alignment horizontal="center"/>
    </xf>
    <xf numFmtId="9" fontId="4" fillId="3" borderId="0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/>
    <xf numFmtId="165" fontId="2" fillId="2" borderId="0" xfId="0" applyNumberFormat="1" applyFont="1" applyFill="1"/>
    <xf numFmtId="0" fontId="1" fillId="2" borderId="0" xfId="0" applyNumberFormat="1" applyFont="1" applyFill="1"/>
    <xf numFmtId="2" fontId="1" fillId="2" borderId="0" xfId="0" applyNumberFormat="1" applyFont="1" applyFill="1"/>
    <xf numFmtId="165" fontId="2" fillId="2" borderId="0" xfId="0" applyNumberFormat="1" applyFont="1" applyFill="1" applyAlignment="1"/>
    <xf numFmtId="8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right" wrapText="1"/>
    </xf>
    <xf numFmtId="164" fontId="1" fillId="2" borderId="0" xfId="0" applyNumberFormat="1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168" fontId="1" fillId="2" borderId="0" xfId="0" applyNumberFormat="1" applyFont="1" applyFill="1" applyAlignment="1">
      <alignment horizontal="right" wrapText="1"/>
    </xf>
    <xf numFmtId="168" fontId="1" fillId="2" borderId="0" xfId="0" applyNumberFormat="1" applyFont="1" applyFill="1" applyAlignment="1">
      <alignment horizontal="right"/>
    </xf>
    <xf numFmtId="10" fontId="1" fillId="2" borderId="0" xfId="0" applyNumberFormat="1" applyFont="1" applyFill="1" applyAlignment="1">
      <alignment horizontal="left"/>
    </xf>
    <xf numFmtId="0" fontId="26" fillId="2" borderId="0" xfId="0" applyFont="1" applyFill="1"/>
    <xf numFmtId="10" fontId="26" fillId="2" borderId="0" xfId="0" applyNumberFormat="1" applyFont="1" applyFill="1" applyAlignment="1">
      <alignment horizontal="right"/>
    </xf>
  </cellXfs>
  <cellStyles count="4">
    <cellStyle name="Normal" xfId="0" builtinId="0"/>
    <cellStyle name="Normal 2" xfId="1" xr:uid="{67BF1640-DBE5-40EB-9038-649A46EF4168}"/>
    <cellStyle name="Percent" xfId="3" builtinId="5"/>
    <cellStyle name="Percent 2" xfId="2" xr:uid="{992B82D1-F4E5-4F14-9ACA-2E11F2968307}"/>
  </cellStyles>
  <dxfs count="134"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8C8C8"/>
        </patternFill>
      </fill>
      <alignment horizontal="right" vertical="bottom" textRotation="0" wrapText="0" indent="0" justifyLastLine="0" shrinkToFit="0" readingOrder="0"/>
    </dxf>
    <dxf>
      <font>
        <color rgb="FF9C0006"/>
      </font>
    </dxf>
    <dxf>
      <font>
        <color theme="9" tint="-0.249977111117893"/>
      </font>
      <fill>
        <patternFill patternType="solid">
          <bgColor theme="0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8C8C8"/>
        </patternFill>
      </fill>
      <alignment horizontal="right" vertical="bottom" textRotation="0" wrapText="0" indent="0" justifyLastLine="0" shrinkToFit="0" readingOrder="0"/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C8C8C8"/>
        </patternFill>
      </fill>
      <alignment horizontal="right" vertical="bottom" textRotation="0" wrapText="0" indent="0" justifyLastLine="0" shrinkToFit="0" readingOrder="0"/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9C0006"/>
      </font>
    </dxf>
    <dxf>
      <font>
        <color theme="9" tint="-0.249977111117893"/>
      </font>
      <fill>
        <patternFill patternType="solid">
          <bgColor theme="0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9C0006"/>
      </font>
    </dxf>
    <dxf>
      <font>
        <color theme="9" tint="-0.249977111117893"/>
      </font>
      <fill>
        <patternFill patternType="solid">
          <bgColor theme="0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9C0006"/>
      </font>
    </dxf>
    <dxf>
      <font>
        <color theme="9" tint="-0.249977111117893"/>
      </font>
      <fill>
        <patternFill patternType="solid">
          <bgColor theme="0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9C0006"/>
      </font>
    </dxf>
    <dxf>
      <font>
        <color theme="9" tint="-0.249977111117893"/>
      </font>
      <fill>
        <patternFill patternType="solid">
          <bgColor theme="0"/>
        </patternFill>
      </fill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  <dxf>
      <font>
        <color theme="9"/>
      </font>
      <fill>
        <patternFill patternType="solid">
          <bgColor theme="0"/>
        </patternFill>
      </fill>
    </dxf>
    <dxf>
      <font>
        <color rgb="FFC0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F03B90-6E2E-434A-81BE-1FBA1962D505}" name="Table1" displayName="Table1" ref="A6:K71" totalsRowShown="0" headerRowDxfId="82" dataDxfId="81" headerRowCellStyle="Normal 2">
  <autoFilter ref="A6:K71" xr:uid="{25F03B90-6E2E-434A-81BE-1FBA1962D505}"/>
  <tableColumns count="11">
    <tableColumn id="1" xr3:uid="{0A804D9C-7113-470B-8567-4D65DD4461B9}" name="Year" dataDxfId="80"/>
    <tableColumn id="3" xr3:uid="{4CFE1D4E-E73D-456E-8E5F-198D80BDA10F}" name="31 DEC '14" dataDxfId="79"/>
    <tableColumn id="4" xr3:uid="{1C3DFEFD-22F0-4210-8A8A-12645A50FAE7}" name="31 DEC '15" dataDxfId="78"/>
    <tableColumn id="5" xr3:uid="{51B831CA-1388-442C-8495-BA4367CD1B81}" name="31 DEC '16" dataDxfId="77"/>
    <tableColumn id="6" xr3:uid="{BDB452F0-2F5C-4DF3-89FD-D3554B75661F}" name="31 DEC '17" dataDxfId="76"/>
    <tableColumn id="7" xr3:uid="{09715692-848D-411D-BBDE-FB78504CE091}" name="31 DEC '18" dataDxfId="75"/>
    <tableColumn id="8" xr3:uid="{8C60752D-0725-43D5-8ACF-B89D52156D44}" name="31 DEC '19" dataDxfId="74"/>
    <tableColumn id="9" xr3:uid="{EB916533-FDC4-4C07-9FAE-5EFA4C6DE98D}" name="31 DEC '20" dataDxfId="73"/>
    <tableColumn id="10" xr3:uid="{984885E6-FAE9-4C7C-8C73-0697D026BBD3}" name="31 DEC '21" dataDxfId="72"/>
    <tableColumn id="11" xr3:uid="{E5BFBFB1-A417-40CD-BB28-6A31637F1D58}" name="31 DEC '22" dataDxfId="71"/>
    <tableColumn id="12" xr3:uid="{094DDB39-6AD0-4CDA-9261-F972BBB87E40}" name="31 DEC '23" dataDxfId="7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D70D03-056D-4585-B821-EC71C450241F}" name="Table4" displayName="Table4" ref="A13:K79" totalsRowShown="0" headerRowDxfId="44" headerRowCellStyle="Normal 2">
  <autoFilter ref="A13:K79" xr:uid="{FDD70D03-056D-4585-B821-EC71C450241F}"/>
  <tableColumns count="11">
    <tableColumn id="1" xr3:uid="{CBC6F651-EF77-479D-81BC-1D78357F2A9F}" name="QUATER"/>
    <tableColumn id="5" xr3:uid="{7738D2BC-03DA-4788-AD59-F8B942EEB61D}" name="31 MAR '22"/>
    <tableColumn id="6" xr3:uid="{4EBB1EEC-7BCB-428A-9C99-3EF647ECF8C2}" name="30 JUN '22"/>
    <tableColumn id="7" xr3:uid="{FBAA7EDF-108E-4B34-8F3D-E3B979A07BB3}" name="30 SEP '22"/>
    <tableColumn id="8" xr3:uid="{25DCD41B-7B0E-4B1C-B904-612E501CE026}" name="31 DEC '22"/>
    <tableColumn id="9" xr3:uid="{8593631F-8CFE-4CAD-AFEC-5BEA33F6443A}" name="31 MAR '23"/>
    <tableColumn id="10" xr3:uid="{0A42BE3B-C34C-4BBC-BBF1-0A49B20C9B0C}" name="30 JUN '23"/>
    <tableColumn id="11" xr3:uid="{B9462064-7CDA-4F5E-8A6D-9ECE314B8FB9}" name="30 SEP '23"/>
    <tableColumn id="12" xr3:uid="{77D6E4C5-6BB5-4C33-80D7-4C81932A1DBD}" name="31 DEC '23" dataCellStyle="Normal 2"/>
    <tableColumn id="13" xr3:uid="{FFE08FF3-06CF-4337-A766-C720C2B1CEF1}" name="31 MAR '24" dataCellStyle="Normal 2"/>
    <tableColumn id="2" xr3:uid="{3DC7430F-C8E7-41E5-B500-0A3D709319B3}" name="31 JUN '24" dataDxfId="43" dataCellStyle="Normal 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20BB15-7C2E-4163-82CA-84366CE2C032}" name="Table5" displayName="Table5" ref="A4:L78" totalsRowShown="0" headerRowDxfId="13" dataDxfId="12" headerRowCellStyle="Normal 2">
  <autoFilter ref="A4:L78" xr:uid="{6C20BB15-7C2E-4163-82CA-84366CE2C032}"/>
  <tableColumns count="12">
    <tableColumn id="1" xr3:uid="{4E0B70B1-892A-4DE4-B996-047B1F6039BE}" name="Years" dataDxfId="11"/>
    <tableColumn id="2" xr3:uid="{3840BB0D-C90F-4B26-A970-6833154A1BE2}" name="31 DEC '13" dataDxfId="10"/>
    <tableColumn id="3" xr3:uid="{94111ADD-CCE4-4EB5-BEDE-C244A7ABF706}" name="31 DEC '14" dataDxfId="9"/>
    <tableColumn id="4" xr3:uid="{239CA2C4-1C09-426E-9421-928EA5114179}" name="31 DEC '15" dataDxfId="8"/>
    <tableColumn id="5" xr3:uid="{85019B32-9619-4E10-A366-51C7BFD476F6}" name="31 DEC '16" dataDxfId="7"/>
    <tableColumn id="6" xr3:uid="{B7B5808A-9C5A-411E-A614-D3A0107A835E}" name="31 DEC '17" dataDxfId="6"/>
    <tableColumn id="7" xr3:uid="{33076FDB-8663-45FE-A5A4-75879E0D615C}" name="31 DEC '18" dataDxfId="5"/>
    <tableColumn id="8" xr3:uid="{62B67D55-15C3-40C6-909F-5B96619AD932}" name="31 DEC '19" dataDxfId="4"/>
    <tableColumn id="9" xr3:uid="{2A5A3F7F-C7B9-4F2F-A07D-42AC06C35DD4}" name="31 DEC '20" dataDxfId="3"/>
    <tableColumn id="10" xr3:uid="{0B75AA26-2FD8-4F08-A598-2EF3FF27BF32}" name="31 DEC '21" dataDxfId="2"/>
    <tableColumn id="11" xr3:uid="{A8EB873A-F71A-4D15-8BFF-9913D05F2BE6}" name="31 DEC '22" dataDxfId="1"/>
    <tableColumn id="12" xr3:uid="{1F4332E7-7A01-4D3D-9280-D6A4C18D372E}" name="31 DEC '23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19"/>
  <sheetViews>
    <sheetView tabSelected="1" topLeftCell="A18" workbookViewId="0">
      <selection activeCell="P112" sqref="P112"/>
    </sheetView>
  </sheetViews>
  <sheetFormatPr defaultRowHeight="12.75"/>
  <cols>
    <col min="1" max="1" width="4.7109375" style="1" customWidth="1"/>
    <col min="2" max="2" width="32" style="1" bestFit="1" customWidth="1"/>
    <col min="3" max="3" width="10.140625" style="1" bestFit="1" customWidth="1"/>
    <col min="4" max="4" width="11.140625" style="1" bestFit="1" customWidth="1"/>
    <col min="5" max="5" width="10.42578125" style="13" customWidth="1"/>
    <col min="6" max="6" width="10.42578125" style="1" customWidth="1"/>
    <col min="7" max="7" width="10.85546875" style="1" customWidth="1"/>
    <col min="8" max="8" width="12" style="1" customWidth="1"/>
    <col min="9" max="9" width="10.42578125" style="1" customWidth="1"/>
    <col min="10" max="10" width="10" style="1" customWidth="1"/>
    <col min="11" max="11" width="11.5703125" style="1" customWidth="1"/>
    <col min="12" max="12" width="14.140625" style="1" customWidth="1"/>
    <col min="13" max="13" width="10.28515625" style="1" bestFit="1" customWidth="1"/>
    <col min="14" max="14" width="11.7109375" style="1" customWidth="1"/>
    <col min="15" max="15" width="9.7109375" style="1" bestFit="1" customWidth="1"/>
    <col min="16" max="16" width="10.42578125" style="1" customWidth="1"/>
    <col min="17" max="16384" width="9.140625" style="1"/>
  </cols>
  <sheetData>
    <row r="2" spans="1:19" s="3" customFormat="1" ht="18">
      <c r="B2" s="2" t="s">
        <v>0</v>
      </c>
      <c r="E2" s="12"/>
    </row>
    <row r="4" spans="1:19">
      <c r="B4" s="1" t="s">
        <v>1</v>
      </c>
      <c r="C4" s="53" t="s">
        <v>2</v>
      </c>
      <c r="E4" s="13" t="s">
        <v>3</v>
      </c>
      <c r="F4" s="5"/>
      <c r="H4" s="160">
        <f ca="1">P119</f>
        <v>424.99855163487456</v>
      </c>
    </row>
    <row r="5" spans="1:19">
      <c r="B5" s="1" t="s">
        <v>4</v>
      </c>
      <c r="C5" s="54">
        <v>45544</v>
      </c>
      <c r="E5" s="13" t="s">
        <v>5</v>
      </c>
      <c r="F5" s="5"/>
      <c r="H5" s="161">
        <v>447.61</v>
      </c>
    </row>
    <row r="6" spans="1:19">
      <c r="B6" s="1" t="s">
        <v>6</v>
      </c>
      <c r="C6" s="54">
        <v>45657</v>
      </c>
      <c r="E6" s="13" t="s">
        <v>7</v>
      </c>
      <c r="F6" s="11"/>
      <c r="H6" s="167">
        <f ca="1">H4/H5-1</f>
        <v>-5.051595890423688E-2</v>
      </c>
    </row>
    <row r="8" spans="1:19" s="9" customFormat="1">
      <c r="A8" s="8" t="s">
        <v>8</v>
      </c>
      <c r="B8" s="6" t="s">
        <v>9</v>
      </c>
      <c r="C8" s="7"/>
      <c r="D8" s="7"/>
      <c r="E8" s="1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B9" s="82" t="s">
        <v>10</v>
      </c>
      <c r="C9" s="81"/>
      <c r="E9" s="82" t="s">
        <v>11</v>
      </c>
      <c r="F9" s="81"/>
      <c r="G9" s="81"/>
      <c r="H9" s="81"/>
      <c r="I9" s="10"/>
      <c r="J9" s="82" t="s">
        <v>12</v>
      </c>
      <c r="K9" s="81"/>
      <c r="L9" s="81"/>
      <c r="M9" s="81"/>
      <c r="N9" s="9"/>
      <c r="O9" s="82" t="s">
        <v>13</v>
      </c>
      <c r="P9" s="81"/>
      <c r="Q9" s="81"/>
      <c r="R9" s="81"/>
    </row>
    <row r="10" spans="1:19">
      <c r="B10" s="83" t="s">
        <v>14</v>
      </c>
      <c r="C10" s="83" t="s">
        <v>15</v>
      </c>
      <c r="E10" s="83" t="s">
        <v>14</v>
      </c>
      <c r="F10" s="83"/>
      <c r="G10" s="84" t="s">
        <v>16</v>
      </c>
      <c r="H10" s="83" t="s">
        <v>15</v>
      </c>
      <c r="I10" s="10"/>
      <c r="J10" s="83" t="s">
        <v>14</v>
      </c>
      <c r="K10" s="83"/>
      <c r="L10" s="84" t="s">
        <v>16</v>
      </c>
      <c r="M10" s="84" t="s">
        <v>15</v>
      </c>
      <c r="O10" s="83" t="s">
        <v>14</v>
      </c>
      <c r="P10" s="83"/>
      <c r="Q10" s="84" t="s">
        <v>16</v>
      </c>
      <c r="R10" s="83" t="s">
        <v>15</v>
      </c>
    </row>
    <row r="11" spans="1:19" ht="17.25" customHeight="1">
      <c r="B11" s="13" t="s">
        <v>17</v>
      </c>
      <c r="C11" s="150">
        <v>2</v>
      </c>
      <c r="E11" s="13" t="s">
        <v>17</v>
      </c>
      <c r="G11" s="8">
        <v>2024</v>
      </c>
      <c r="H11" s="86">
        <v>-0.15</v>
      </c>
      <c r="O11" s="13" t="s">
        <v>17</v>
      </c>
      <c r="Q11" s="8">
        <v>2024</v>
      </c>
      <c r="R11" s="152">
        <v>0.15</v>
      </c>
    </row>
    <row r="12" spans="1:19">
      <c r="B12" s="13" t="s">
        <v>18</v>
      </c>
      <c r="C12" s="150">
        <v>2</v>
      </c>
      <c r="E12" s="13" t="s">
        <v>17</v>
      </c>
      <c r="G12" s="8">
        <v>2029</v>
      </c>
      <c r="H12" s="86">
        <v>0.01</v>
      </c>
      <c r="J12" s="13" t="s">
        <v>17</v>
      </c>
      <c r="L12" s="8">
        <v>2029</v>
      </c>
      <c r="M12" s="152">
        <v>0.02</v>
      </c>
      <c r="O12" s="13" t="s">
        <v>17</v>
      </c>
      <c r="Q12" s="8">
        <v>2029</v>
      </c>
      <c r="R12" s="152">
        <v>0.04</v>
      </c>
    </row>
    <row r="13" spans="1:19">
      <c r="C13" s="8"/>
      <c r="E13" s="13" t="s">
        <v>18</v>
      </c>
      <c r="G13" s="8">
        <v>2024</v>
      </c>
      <c r="H13" s="86">
        <v>-0.15</v>
      </c>
      <c r="I13" s="13"/>
      <c r="J13" s="13" t="s">
        <v>18</v>
      </c>
      <c r="L13" s="8">
        <v>2024</v>
      </c>
      <c r="M13" s="152">
        <f>'IS-QTR'!M3</f>
        <v>2.5578736412750547E-2</v>
      </c>
      <c r="O13" s="13" t="s">
        <v>18</v>
      </c>
      <c r="P13" s="13"/>
      <c r="Q13" s="8">
        <v>2024</v>
      </c>
      <c r="R13" s="152">
        <v>0.15</v>
      </c>
    </row>
    <row r="14" spans="1:19">
      <c r="B14" s="85" t="s">
        <v>19</v>
      </c>
      <c r="C14" s="84" t="s">
        <v>15</v>
      </c>
      <c r="E14" s="13" t="s">
        <v>18</v>
      </c>
      <c r="G14" s="8">
        <v>2029</v>
      </c>
      <c r="H14" s="86">
        <v>0.01</v>
      </c>
      <c r="J14" s="13" t="s">
        <v>18</v>
      </c>
      <c r="L14" s="8">
        <v>2029</v>
      </c>
      <c r="M14" s="152">
        <v>0.02</v>
      </c>
      <c r="O14" s="13" t="s">
        <v>18</v>
      </c>
      <c r="Q14" s="8">
        <v>2029</v>
      </c>
      <c r="R14" s="152">
        <v>0.03</v>
      </c>
    </row>
    <row r="15" spans="1:19">
      <c r="B15" s="13" t="s">
        <v>17</v>
      </c>
      <c r="C15" s="150">
        <v>2</v>
      </c>
      <c r="E15" s="1"/>
      <c r="H15" s="8"/>
      <c r="J15" s="80"/>
      <c r="M15" s="8"/>
      <c r="R15" s="8"/>
    </row>
    <row r="16" spans="1:19">
      <c r="B16" s="13" t="s">
        <v>18</v>
      </c>
      <c r="C16" s="150">
        <v>2</v>
      </c>
      <c r="E16" s="85" t="s">
        <v>19</v>
      </c>
      <c r="F16" s="83"/>
      <c r="G16" s="84" t="s">
        <v>16</v>
      </c>
      <c r="H16" s="84" t="s">
        <v>15</v>
      </c>
      <c r="J16" s="85" t="s">
        <v>19</v>
      </c>
      <c r="K16" s="83"/>
      <c r="L16" s="84" t="s">
        <v>16</v>
      </c>
      <c r="M16" s="84" t="s">
        <v>15</v>
      </c>
      <c r="O16" s="85" t="s">
        <v>19</v>
      </c>
      <c r="P16" s="83"/>
      <c r="Q16" s="84" t="s">
        <v>16</v>
      </c>
      <c r="R16" s="84" t="s">
        <v>15</v>
      </c>
    </row>
    <row r="17" spans="1:18">
      <c r="C17" s="8"/>
      <c r="E17" s="13" t="s">
        <v>17</v>
      </c>
      <c r="G17" s="8">
        <v>2024</v>
      </c>
      <c r="H17" s="86">
        <v>2.5000000000000001E-2</v>
      </c>
      <c r="M17" s="8"/>
      <c r="O17" s="13" t="s">
        <v>17</v>
      </c>
      <c r="Q17" s="8">
        <v>2024</v>
      </c>
      <c r="R17" s="86">
        <v>-2.5000000000000001E-2</v>
      </c>
    </row>
    <row r="18" spans="1:18">
      <c r="B18" s="85" t="s">
        <v>20</v>
      </c>
      <c r="C18" s="84" t="s">
        <v>15</v>
      </c>
      <c r="E18" s="13" t="s">
        <v>17</v>
      </c>
      <c r="G18" s="8">
        <v>2029</v>
      </c>
      <c r="H18" s="86">
        <f>M18-1%</f>
        <v>0.90725020642964771</v>
      </c>
      <c r="J18" s="13" t="s">
        <v>17</v>
      </c>
      <c r="L18" s="8">
        <v>2029</v>
      </c>
      <c r="M18" s="86">
        <f>AVERAGE(D49:J49)</f>
        <v>0.91725020642964772</v>
      </c>
      <c r="O18" s="13" t="s">
        <v>17</v>
      </c>
      <c r="Q18" s="8">
        <v>2029</v>
      </c>
      <c r="R18" s="86">
        <f>M18+1%</f>
        <v>0.92725020642964773</v>
      </c>
    </row>
    <row r="19" spans="1:18">
      <c r="B19" s="13" t="s">
        <v>21</v>
      </c>
      <c r="C19" s="150">
        <v>2</v>
      </c>
      <c r="E19" s="13" t="s">
        <v>18</v>
      </c>
      <c r="G19" s="8">
        <v>2024</v>
      </c>
      <c r="H19" s="86">
        <f>2.5%</f>
        <v>2.5000000000000001E-2</v>
      </c>
      <c r="J19" s="13" t="s">
        <v>18</v>
      </c>
      <c r="L19" s="8">
        <v>2029</v>
      </c>
      <c r="M19" s="86">
        <v>0.8</v>
      </c>
      <c r="O19" s="13" t="s">
        <v>18</v>
      </c>
      <c r="Q19" s="8">
        <v>2024</v>
      </c>
      <c r="R19" s="86">
        <f>-2.5%</f>
        <v>-2.5000000000000001E-2</v>
      </c>
    </row>
    <row r="20" spans="1:18">
      <c r="B20" s="13" t="s">
        <v>22</v>
      </c>
      <c r="C20" s="150">
        <v>2</v>
      </c>
      <c r="E20" s="13" t="s">
        <v>18</v>
      </c>
      <c r="G20" s="8">
        <v>2029</v>
      </c>
      <c r="H20" s="86">
        <f>M19+(M19-R20)</f>
        <v>0.81861702533408032</v>
      </c>
      <c r="M20" s="8"/>
      <c r="O20" s="13" t="s">
        <v>18</v>
      </c>
      <c r="Q20" s="8">
        <v>2029</v>
      </c>
      <c r="R20" s="86">
        <f>AVERAGE(D55:I55)</f>
        <v>0.78138297466591977</v>
      </c>
    </row>
    <row r="21" spans="1:18">
      <c r="B21" s="13"/>
      <c r="C21" s="8"/>
      <c r="G21" s="8"/>
      <c r="H21" s="8"/>
      <c r="M21" s="8"/>
      <c r="O21" s="13"/>
      <c r="Q21" s="8"/>
      <c r="R21" s="8"/>
    </row>
    <row r="22" spans="1:18">
      <c r="B22" s="82" t="s">
        <v>23</v>
      </c>
      <c r="C22" s="151"/>
      <c r="E22" s="85" t="s">
        <v>20</v>
      </c>
      <c r="F22" s="85"/>
      <c r="G22" s="85"/>
      <c r="H22" s="84" t="s">
        <v>15</v>
      </c>
      <c r="I22" s="8"/>
      <c r="J22" s="85" t="s">
        <v>20</v>
      </c>
      <c r="K22" s="85"/>
      <c r="L22" s="85"/>
      <c r="M22" s="84" t="s">
        <v>15</v>
      </c>
      <c r="O22" s="85" t="s">
        <v>20</v>
      </c>
      <c r="P22" s="85"/>
      <c r="Q22" s="85"/>
      <c r="R22" s="84" t="s">
        <v>15</v>
      </c>
    </row>
    <row r="23" spans="1:18">
      <c r="B23" s="1" t="s">
        <v>24</v>
      </c>
      <c r="C23" s="86">
        <v>0.20030000000000001</v>
      </c>
      <c r="E23" s="13" t="s">
        <v>21</v>
      </c>
      <c r="F23" s="13"/>
      <c r="H23" s="86">
        <f>M23+0.5%</f>
        <v>8.5726716921580709E-2</v>
      </c>
      <c r="J23" s="13" t="s">
        <v>21</v>
      </c>
      <c r="K23" s="13"/>
      <c r="M23" s="86">
        <f>R23+0.5%</f>
        <v>8.0726716921580705E-2</v>
      </c>
      <c r="O23" s="13" t="s">
        <v>21</v>
      </c>
      <c r="P23" s="13"/>
      <c r="R23" s="86">
        <f>WACC!E22</f>
        <v>7.57267169215807E-2</v>
      </c>
    </row>
    <row r="24" spans="1:18">
      <c r="B24" s="1" t="s">
        <v>25</v>
      </c>
      <c r="C24" s="152">
        <f>AVERAGE(D74:J74)</f>
        <v>3.8679639949967086E-2</v>
      </c>
      <c r="E24" s="13" t="s">
        <v>22</v>
      </c>
      <c r="F24" s="13"/>
      <c r="H24" s="86">
        <v>1.4999999999999999E-2</v>
      </c>
      <c r="J24" s="13" t="s">
        <v>22</v>
      </c>
      <c r="K24" s="13"/>
      <c r="M24" s="153">
        <v>0.02</v>
      </c>
      <c r="O24" s="13" t="s">
        <v>22</v>
      </c>
      <c r="P24" s="13"/>
      <c r="R24" s="86">
        <v>2.5000000000000001E-2</v>
      </c>
    </row>
    <row r="25" spans="1:18">
      <c r="B25" s="1" t="s">
        <v>26</v>
      </c>
      <c r="C25" s="152">
        <f>AVERAGE(D77:J77)</f>
        <v>5.3888618250734599E-2</v>
      </c>
      <c r="F25" s="13"/>
      <c r="H25" s="8"/>
    </row>
    <row r="26" spans="1:18">
      <c r="B26" s="1" t="s">
        <v>27</v>
      </c>
      <c r="C26" s="86">
        <f>AVERAGE(D80:J80)</f>
        <v>-2.5204139174575178E-2</v>
      </c>
      <c r="F26" s="13"/>
      <c r="H26" s="8"/>
    </row>
    <row r="27" spans="1:18">
      <c r="B27" s="13" t="s">
        <v>21</v>
      </c>
      <c r="C27" s="86">
        <f>CHOOSE(C19,H23,M23,R23)</f>
        <v>8.0726716921580705E-2</v>
      </c>
      <c r="F27" s="13"/>
      <c r="H27" s="8"/>
    </row>
    <row r="28" spans="1:18">
      <c r="B28" s="13" t="s">
        <v>22</v>
      </c>
      <c r="C28" s="86">
        <v>0.02</v>
      </c>
      <c r="F28" s="13"/>
      <c r="H28" s="8"/>
    </row>
    <row r="29" spans="1:18">
      <c r="C29" s="13"/>
      <c r="F29" s="13"/>
      <c r="H29" s="8"/>
    </row>
    <row r="30" spans="1:18">
      <c r="A30" s="8" t="s">
        <v>8</v>
      </c>
      <c r="B30" s="6" t="s">
        <v>28</v>
      </c>
      <c r="C30" s="7"/>
      <c r="D30" s="66">
        <v>2017</v>
      </c>
      <c r="E30" s="66">
        <v>2018</v>
      </c>
      <c r="F30" s="66">
        <v>2019</v>
      </c>
      <c r="G30" s="66">
        <v>2020</v>
      </c>
      <c r="H30" s="66">
        <v>2021</v>
      </c>
      <c r="I30" s="66">
        <v>2022</v>
      </c>
      <c r="J30" s="66">
        <v>2023</v>
      </c>
      <c r="K30" s="66">
        <v>2024</v>
      </c>
      <c r="L30" s="66">
        <v>2025</v>
      </c>
      <c r="M30" s="66">
        <v>2026</v>
      </c>
      <c r="N30" s="66">
        <v>2027</v>
      </c>
      <c r="O30" s="66">
        <v>2028</v>
      </c>
      <c r="P30" s="66">
        <v>2029</v>
      </c>
    </row>
    <row r="31" spans="1:18" ht="15" customHeight="1">
      <c r="B31" s="1" t="s">
        <v>29</v>
      </c>
      <c r="D31" s="67">
        <f>'IS-Annual'!E$8</f>
        <v>192906</v>
      </c>
      <c r="E31" s="67">
        <f>'IS-Annual'!F$8</f>
        <v>204164</v>
      </c>
      <c r="F31" s="67">
        <f>'IS-Annual'!G$8</f>
        <v>211163</v>
      </c>
      <c r="G31" s="67">
        <f>'IS-Annual'!H$8</f>
        <v>203746</v>
      </c>
      <c r="H31" s="67">
        <f>'IS-Annual'!I$8</f>
        <v>227974</v>
      </c>
      <c r="I31" s="67">
        <f>'IS-Annual'!J$8</f>
        <v>249940</v>
      </c>
      <c r="J31" s="67">
        <f>'IS-Annual'!K$8</f>
        <v>263067</v>
      </c>
      <c r="K31" s="88">
        <f ca="1">J$31*(1+K$32)</f>
        <v>276720.17730000004</v>
      </c>
      <c r="L31" s="88">
        <f ca="1">K$31*(1+L$32)</f>
        <v>289593.19994799601</v>
      </c>
      <c r="M31" s="88">
        <f t="shared" ref="M31:P31" ca="1" si="0">L$31*(1+M$32)</f>
        <v>301507.06419385655</v>
      </c>
      <c r="N31" s="88">
        <f t="shared" ca="1" si="0"/>
        <v>312288.95680942887</v>
      </c>
      <c r="O31" s="88">
        <f t="shared" ca="1" si="0"/>
        <v>321776.29531729931</v>
      </c>
      <c r="P31" s="88">
        <f t="shared" ca="1" si="0"/>
        <v>329820.70270023175</v>
      </c>
    </row>
    <row r="32" spans="1:18">
      <c r="B32" s="50" t="s">
        <v>30</v>
      </c>
      <c r="C32" s="50"/>
      <c r="D32" s="50"/>
      <c r="E32" s="78">
        <f>((E$31-D$31)/E$31)</f>
        <v>5.5141944711114596E-2</v>
      </c>
      <c r="F32" s="78">
        <f t="shared" ref="F32:J32" si="1">((F$31-E$31)/F$31)</f>
        <v>3.3145011199878768E-2</v>
      </c>
      <c r="G32" s="78">
        <f>((G$31-F$31)/G$31)</f>
        <v>-3.6403168651163706E-2</v>
      </c>
      <c r="H32" s="78">
        <f t="shared" si="1"/>
        <v>0.10627527700527253</v>
      </c>
      <c r="I32" s="78">
        <f t="shared" si="1"/>
        <v>8.788509242218133E-2</v>
      </c>
      <c r="J32" s="78">
        <f t="shared" si="1"/>
        <v>4.9899835403148247E-2</v>
      </c>
      <c r="K32" s="89">
        <f ca="1">OFFSET(K32,$C$11,0)</f>
        <v>5.1900000000000002E-2</v>
      </c>
      <c r="L32" s="89">
        <f ca="1">OFFSET(L32,$C$11,0)</f>
        <v>4.6519999999999999E-2</v>
      </c>
      <c r="M32" s="89">
        <f ca="1">OFFSET(M32,$C$11,0)</f>
        <v>4.1139999999999996E-2</v>
      </c>
      <c r="N32" s="89">
        <f ca="1">OFFSET(N32,$C$11,0)</f>
        <v>3.576E-2</v>
      </c>
      <c r="O32" s="89">
        <f ca="1">OFFSET(O32,$C$11,0)</f>
        <v>3.0380000000000001E-2</v>
      </c>
      <c r="P32" s="89">
        <f ca="1">OFFSET(P32,$C$11,0)</f>
        <v>2.5000000000000001E-2</v>
      </c>
    </row>
    <row r="33" spans="1:18">
      <c r="B33" s="50" t="s">
        <v>31</v>
      </c>
      <c r="E33" s="52"/>
      <c r="K33" s="86">
        <f>K34*(1+H11)</f>
        <v>4.4115000000000001E-2</v>
      </c>
      <c r="L33" s="86">
        <f>$K$33-($K$33-$P$33)/($P$30-K$30)</f>
        <v>3.7291999999999999E-2</v>
      </c>
      <c r="M33" s="86">
        <f>L$33-(L$33-$P$33)/($P$30-L$30)</f>
        <v>3.0469E-2</v>
      </c>
      <c r="N33" s="86">
        <f t="shared" ref="N33:O33" si="2">M$33-(M$33-$P$33)/($P$30-M$30)</f>
        <v>2.3646E-2</v>
      </c>
      <c r="O33" s="86">
        <f t="shared" si="2"/>
        <v>1.6823000000000001E-2</v>
      </c>
      <c r="P33" s="90">
        <v>0.01</v>
      </c>
    </row>
    <row r="34" spans="1:18">
      <c r="B34" s="50" t="s">
        <v>32</v>
      </c>
      <c r="K34" s="87">
        <v>5.1900000000000002E-2</v>
      </c>
      <c r="L34" s="86">
        <f>K$34-(K$34-P34)/(P30-K$30)</f>
        <v>4.6519999999999999E-2</v>
      </c>
      <c r="M34" s="86">
        <f>L$34-(L$34-P34)/(P30-L$30)</f>
        <v>4.1139999999999996E-2</v>
      </c>
      <c r="N34" s="86">
        <f>M$34-(M$34-P34)/(P30-M$30)</f>
        <v>3.576E-2</v>
      </c>
      <c r="O34" s="86">
        <f>N$34-(N$34-P34)/(P30-N$30)</f>
        <v>3.0380000000000001E-2</v>
      </c>
      <c r="P34" s="90">
        <v>2.5000000000000001E-2</v>
      </c>
    </row>
    <row r="35" spans="1:18">
      <c r="B35" s="50" t="s">
        <v>33</v>
      </c>
      <c r="K35" s="86">
        <f>K34*(1+R11)</f>
        <v>5.9684999999999995E-2</v>
      </c>
      <c r="L35" s="86">
        <f>K$35-(K$35-$P$35)/($P$30-K$30)</f>
        <v>5.5747999999999999E-2</v>
      </c>
      <c r="M35" s="86">
        <f t="shared" ref="M35:O35" si="3">L$35-(L$35-$P$35)/($P$30-L$30)</f>
        <v>5.1810999999999996E-2</v>
      </c>
      <c r="N35" s="86">
        <f t="shared" si="3"/>
        <v>4.7874E-2</v>
      </c>
      <c r="O35" s="86">
        <f t="shared" si="3"/>
        <v>4.3937000000000004E-2</v>
      </c>
      <c r="P35" s="90">
        <v>0.04</v>
      </c>
    </row>
    <row r="36" spans="1:18">
      <c r="K36" s="8"/>
      <c r="L36" s="8"/>
      <c r="M36" s="8"/>
      <c r="N36" s="8"/>
      <c r="O36" s="8"/>
      <c r="P36" s="8"/>
    </row>
    <row r="37" spans="1:18" ht="16.5" customHeight="1">
      <c r="B37" s="1" t="s">
        <v>34</v>
      </c>
      <c r="D37" s="51">
        <f>'IS-Annual'!E$22</f>
        <v>39943</v>
      </c>
      <c r="E37" s="51">
        <f>'IS-Annual'!F$22</f>
        <v>43673</v>
      </c>
      <c r="F37" s="51">
        <f>'IS-Annual'!G$22</f>
        <v>43453</v>
      </c>
      <c r="G37" s="51">
        <f>'IS-Annual'!H$22</f>
        <v>41764</v>
      </c>
      <c r="H37" s="51">
        <f>'IS-Annual'!I$22</f>
        <v>48120</v>
      </c>
      <c r="I37" s="51">
        <f>'IS-Annual'!J$22</f>
        <v>52149</v>
      </c>
      <c r="J37" s="51">
        <f>'IS-Annual'!K$22</f>
        <v>101415</v>
      </c>
      <c r="K37" s="88">
        <f ca="1">J$37*(1+K$38)</f>
        <v>104009.0675532991</v>
      </c>
      <c r="L37" s="88">
        <f t="shared" ref="L37:P37" ca="1" si="4">K$37*(1+L$38)</f>
        <v>106553.44024229773</v>
      </c>
      <c r="M37" s="88">
        <f t="shared" ca="1" si="4"/>
        <v>109041.16918133381</v>
      </c>
      <c r="N37" s="88">
        <f t="shared" ca="1" si="4"/>
        <v>111465.31734136082</v>
      </c>
      <c r="O37" s="88">
        <f t="shared" ca="1" si="4"/>
        <v>113818.99081311024</v>
      </c>
      <c r="P37" s="88">
        <f t="shared" ca="1" si="4"/>
        <v>116095.37062937245</v>
      </c>
    </row>
    <row r="38" spans="1:18">
      <c r="B38" s="50" t="s">
        <v>35</v>
      </c>
      <c r="C38" s="50"/>
      <c r="D38" s="50"/>
      <c r="E38" s="76">
        <f>(E$37-D$37)/D$37</f>
        <v>9.33830708759983E-2</v>
      </c>
      <c r="F38" s="76">
        <f t="shared" ref="F38:J38" si="5">(F$37-E$37)/E$37</f>
        <v>-5.0374373182515515E-3</v>
      </c>
      <c r="G38" s="76">
        <f>(G$37-F$37)/F$37</f>
        <v>-3.8869583227855387E-2</v>
      </c>
      <c r="H38" s="76">
        <f t="shared" si="5"/>
        <v>0.15218848769274973</v>
      </c>
      <c r="I38" s="76">
        <f t="shared" si="5"/>
        <v>8.3728179551122189E-2</v>
      </c>
      <c r="J38" s="76">
        <f t="shared" si="5"/>
        <v>0.94471610193867572</v>
      </c>
      <c r="K38" s="89">
        <f ca="1">OFFSET(K38,$C$12,0)</f>
        <v>2.5578736412750547E-2</v>
      </c>
      <c r="L38" s="89">
        <f ca="1">OFFSET(L38,$C$12,0)</f>
        <v>2.4462989130200438E-2</v>
      </c>
      <c r="M38" s="89">
        <f ca="1">OFFSET(M38,$C$12,0)</f>
        <v>2.334724184765033E-2</v>
      </c>
      <c r="N38" s="89">
        <f ca="1">OFFSET(N38,$C$12,0)</f>
        <v>2.2231494565100221E-2</v>
      </c>
      <c r="O38" s="89">
        <f ca="1">OFFSET(O38,$C$12,0)</f>
        <v>2.1115747282550112E-2</v>
      </c>
      <c r="P38" s="89">
        <f ca="1">OFFSET(P38,$C$12,0)</f>
        <v>0.02</v>
      </c>
    </row>
    <row r="39" spans="1:18">
      <c r="B39" s="50" t="s">
        <v>31</v>
      </c>
      <c r="K39" s="86">
        <f>K40*(1+H11)</f>
        <v>2.1741925950837963E-2</v>
      </c>
      <c r="L39" s="86">
        <f>K$39-((K$39-P$39)/($P30-K$30))</f>
        <v>1.9393540760670371E-2</v>
      </c>
      <c r="M39" s="86">
        <f>L$39-((L$39-$P39)/($P30-L$30))</f>
        <v>1.704515557050278E-2</v>
      </c>
      <c r="N39" s="86">
        <f>M$39-((M$39-$P39)/($P30-M$30))</f>
        <v>1.4696770380335187E-2</v>
      </c>
      <c r="O39" s="86">
        <f>N$39-((N$39-$P39)/($P30-N$30))</f>
        <v>1.2348385190167593E-2</v>
      </c>
      <c r="P39" s="90">
        <f>H14</f>
        <v>0.01</v>
      </c>
    </row>
    <row r="40" spans="1:18">
      <c r="B40" s="50" t="s">
        <v>32</v>
      </c>
      <c r="H40" s="11"/>
      <c r="K40" s="87">
        <f>M13</f>
        <v>2.5578736412750547E-2</v>
      </c>
      <c r="L40" s="86">
        <f>K$40-((K$40-$P40)/($P30-K$30))</f>
        <v>2.4462989130200438E-2</v>
      </c>
      <c r="M40" s="86">
        <f>L$40-((L$40-$P40)/($P30-L$30))</f>
        <v>2.334724184765033E-2</v>
      </c>
      <c r="N40" s="86">
        <f>M$40-((M$40-$P40)/($P30-M$30))</f>
        <v>2.2231494565100221E-2</v>
      </c>
      <c r="O40" s="86">
        <f>N$40-((N$40-$P40)/($P30-N$30))</f>
        <v>2.1115747282550112E-2</v>
      </c>
      <c r="P40" s="90">
        <f>M14</f>
        <v>0.02</v>
      </c>
    </row>
    <row r="41" spans="1:18">
      <c r="B41" s="50" t="s">
        <v>33</v>
      </c>
      <c r="K41" s="86">
        <f>AVERAGE(E38:I38)</f>
        <v>5.7078543514752653E-2</v>
      </c>
      <c r="L41" s="86">
        <f>K$41-((K$41-$P41)/($P30-K$30))</f>
        <v>5.1662834811802123E-2</v>
      </c>
      <c r="M41" s="86">
        <f>L$41-((L$41-$P41)/($P30-L$30))</f>
        <v>4.6247126108851594E-2</v>
      </c>
      <c r="N41" s="86">
        <f>M$41-((M$41-$P41)/($P30-M$30))</f>
        <v>4.0831417405901065E-2</v>
      </c>
      <c r="O41" s="86">
        <f>N$41-((N$41-$P41)/($P30-N$30))</f>
        <v>3.5415708702950535E-2</v>
      </c>
      <c r="P41" s="90">
        <f>R14</f>
        <v>0.03</v>
      </c>
    </row>
    <row r="44" spans="1:18">
      <c r="B44" s="72" t="s">
        <v>36</v>
      </c>
      <c r="C44" s="72"/>
      <c r="D44" s="73">
        <f>D$31+D$37</f>
        <v>232849</v>
      </c>
      <c r="E44" s="73">
        <f t="shared" ref="E44:P44" si="6">E$31+E$37</f>
        <v>247837</v>
      </c>
      <c r="F44" s="73">
        <f t="shared" si="6"/>
        <v>254616</v>
      </c>
      <c r="G44" s="73">
        <f t="shared" si="6"/>
        <v>245510</v>
      </c>
      <c r="H44" s="73">
        <f t="shared" si="6"/>
        <v>276094</v>
      </c>
      <c r="I44" s="73">
        <f t="shared" si="6"/>
        <v>302089</v>
      </c>
      <c r="J44" s="73">
        <f t="shared" si="6"/>
        <v>364482</v>
      </c>
      <c r="K44" s="73">
        <f t="shared" ca="1" si="6"/>
        <v>380729.24485329911</v>
      </c>
      <c r="L44" s="73">
        <f t="shared" ca="1" si="6"/>
        <v>396146.64019029372</v>
      </c>
      <c r="M44" s="73">
        <f t="shared" ca="1" si="6"/>
        <v>410548.23337519035</v>
      </c>
      <c r="N44" s="73">
        <f t="shared" ca="1" si="6"/>
        <v>423754.27415078972</v>
      </c>
      <c r="O44" s="73">
        <f t="shared" ca="1" si="6"/>
        <v>435595.28613040957</v>
      </c>
      <c r="P44" s="73">
        <f t="shared" ca="1" si="6"/>
        <v>445916.07332960423</v>
      </c>
      <c r="Q44" s="69"/>
      <c r="R44" s="69"/>
    </row>
    <row r="45" spans="1:18">
      <c r="B45" s="74" t="s">
        <v>30</v>
      </c>
      <c r="C45" s="74"/>
      <c r="D45" s="74"/>
      <c r="E45" s="75">
        <f>E$44/D$44-1</f>
        <v>6.4367895073631498E-2</v>
      </c>
      <c r="F45" s="75">
        <f t="shared" ref="F45:P45" si="7">F$44/E$44-1</f>
        <v>2.735265517255292E-2</v>
      </c>
      <c r="G45" s="75">
        <f>G$44/F$44-1</f>
        <v>-3.5763659785716495E-2</v>
      </c>
      <c r="H45" s="75">
        <f t="shared" si="7"/>
        <v>0.12457333713494356</v>
      </c>
      <c r="I45" s="75">
        <f t="shared" si="7"/>
        <v>9.4152716103935719E-2</v>
      </c>
      <c r="J45" s="75">
        <f t="shared" si="7"/>
        <v>0.20653847045076112</v>
      </c>
      <c r="K45" s="75">
        <f t="shared" ca="1" si="7"/>
        <v>4.45762612510332E-2</v>
      </c>
      <c r="L45" s="75">
        <f t="shared" ca="1" si="7"/>
        <v>4.0494381625281184E-2</v>
      </c>
      <c r="M45" s="75">
        <f t="shared" ca="1" si="7"/>
        <v>3.6354197470862548E-2</v>
      </c>
      <c r="N45" s="75">
        <f ca="1">N$44/M$44-1</f>
        <v>3.2166843508325771E-2</v>
      </c>
      <c r="O45" s="75">
        <f t="shared" ca="1" si="7"/>
        <v>2.7943109254412679E-2</v>
      </c>
      <c r="P45" s="75">
        <f t="shared" ca="1" si="7"/>
        <v>2.3693523616563628E-2</v>
      </c>
    </row>
    <row r="47" spans="1:18">
      <c r="A47" s="8" t="s">
        <v>8</v>
      </c>
      <c r="B47" s="6" t="s">
        <v>37</v>
      </c>
      <c r="C47" s="7"/>
      <c r="D47" s="66">
        <v>2017</v>
      </c>
      <c r="E47" s="66">
        <v>2018</v>
      </c>
      <c r="F47" s="66">
        <v>2019</v>
      </c>
      <c r="G47" s="66">
        <v>2020</v>
      </c>
      <c r="H47" s="66">
        <v>2021</v>
      </c>
      <c r="I47" s="66">
        <v>2022</v>
      </c>
      <c r="J47" s="66">
        <v>2023</v>
      </c>
      <c r="K47" s="66">
        <v>2024</v>
      </c>
      <c r="L47" s="66">
        <v>2025</v>
      </c>
      <c r="M47" s="66">
        <v>2026</v>
      </c>
      <c r="N47" s="66">
        <v>2027</v>
      </c>
      <c r="O47" s="66">
        <v>2028</v>
      </c>
      <c r="P47" s="66">
        <v>2029</v>
      </c>
    </row>
    <row r="48" spans="1:18">
      <c r="B48" s="1" t="s">
        <v>29</v>
      </c>
      <c r="D48" s="67">
        <f>-'IS-Annual'!E$31</f>
        <v>183559</v>
      </c>
      <c r="E48" s="67">
        <f>-'IS-Annual'!F$31</f>
        <v>184815</v>
      </c>
      <c r="F48" s="67">
        <f>-'IS-Annual'!G$31</f>
        <v>192064</v>
      </c>
      <c r="G48" s="67">
        <f>-'IS-Annual'!H$31</f>
        <v>198757</v>
      </c>
      <c r="H48" s="67">
        <f>-'IS-Annual'!I$31</f>
        <v>206808</v>
      </c>
      <c r="I48" s="67">
        <f>-'IS-Annual'!J$31</f>
        <v>225302</v>
      </c>
      <c r="J48" s="67">
        <f>-'IS-Annual'!K$31</f>
        <v>228955</v>
      </c>
      <c r="K48" s="67">
        <f ca="1">K49*K31</f>
        <v>241508.36670756954</v>
      </c>
      <c r="L48" s="67">
        <f t="shared" ref="L48:P48" ca="1" si="8">L49*L31</f>
        <v>265629.42243292159</v>
      </c>
      <c r="M48" s="67">
        <f t="shared" ca="1" si="8"/>
        <v>276557.41687181196</v>
      </c>
      <c r="N48" s="67">
        <f t="shared" ca="1" si="8"/>
        <v>286447.11009914795</v>
      </c>
      <c r="O48" s="67">
        <f t="shared" ca="1" si="8"/>
        <v>295149.37330396008</v>
      </c>
      <c r="P48" s="67">
        <f t="shared" ca="1" si="8"/>
        <v>302528.10763655906</v>
      </c>
    </row>
    <row r="49" spans="2:16">
      <c r="B49" s="50" t="s">
        <v>38</v>
      </c>
      <c r="C49" s="50"/>
      <c r="D49" s="78">
        <f>D$48/D$31</f>
        <v>0.95154634899899437</v>
      </c>
      <c r="E49" s="78">
        <f t="shared" ref="E49:J49" si="9">E$48/E$31</f>
        <v>0.90522814991869283</v>
      </c>
      <c r="F49" s="78">
        <f t="shared" si="9"/>
        <v>0.90955328348242825</v>
      </c>
      <c r="G49" s="78">
        <f t="shared" si="9"/>
        <v>0.97551362971542999</v>
      </c>
      <c r="H49" s="78">
        <f t="shared" si="9"/>
        <v>0.90715607920201424</v>
      </c>
      <c r="I49" s="78">
        <f t="shared" si="9"/>
        <v>0.90142434184204212</v>
      </c>
      <c r="J49" s="78">
        <f t="shared" si="9"/>
        <v>0.87032961184793223</v>
      </c>
      <c r="K49" s="77">
        <f ca="1">OFFSET(K$49,$C15,0)</f>
        <v>0.87275300653534782</v>
      </c>
      <c r="L49" s="77">
        <f t="shared" ref="L49:P49" ca="1" si="10">OFFSET(L$49,$C15,0)</f>
        <v>0.91725020642964772</v>
      </c>
      <c r="M49" s="77">
        <f t="shared" ca="1" si="10"/>
        <v>0.91725020642964772</v>
      </c>
      <c r="N49" s="77">
        <f t="shared" ca="1" si="10"/>
        <v>0.91725020642964772</v>
      </c>
      <c r="O49" s="77">
        <f t="shared" ca="1" si="10"/>
        <v>0.91725020642964772</v>
      </c>
      <c r="P49" s="77">
        <f t="shared" ca="1" si="10"/>
        <v>0.91725020642964772</v>
      </c>
    </row>
    <row r="50" spans="2:16">
      <c r="B50" s="50" t="s">
        <v>31</v>
      </c>
      <c r="E50" s="52"/>
      <c r="K50" s="86">
        <f>K51*(1+H17)</f>
        <v>0.89457183169873145</v>
      </c>
      <c r="L50" s="90">
        <f>$R$18</f>
        <v>0.92725020642964773</v>
      </c>
      <c r="M50" s="90">
        <f>$R$18</f>
        <v>0.92725020642964773</v>
      </c>
      <c r="N50" s="90">
        <f>$R$18</f>
        <v>0.92725020642964773</v>
      </c>
      <c r="O50" s="90">
        <f>$R$18</f>
        <v>0.92725020642964773</v>
      </c>
      <c r="P50" s="90">
        <f>$R$18</f>
        <v>0.92725020642964773</v>
      </c>
    </row>
    <row r="51" spans="2:16">
      <c r="B51" s="50" t="s">
        <v>32</v>
      </c>
      <c r="K51" s="87">
        <f>'IS-QTR'!L4</f>
        <v>0.87275300653534782</v>
      </c>
      <c r="L51" s="90">
        <f>M18</f>
        <v>0.91725020642964772</v>
      </c>
      <c r="M51" s="90">
        <f>M18</f>
        <v>0.91725020642964772</v>
      </c>
      <c r="N51" s="90">
        <f>M18</f>
        <v>0.91725020642964772</v>
      </c>
      <c r="O51" s="90">
        <f>M18</f>
        <v>0.91725020642964772</v>
      </c>
      <c r="P51" s="90">
        <f>M18</f>
        <v>0.91725020642964772</v>
      </c>
    </row>
    <row r="52" spans="2:16">
      <c r="B52" s="50" t="s">
        <v>33</v>
      </c>
      <c r="K52" s="86">
        <f>K51*(1+R17)</f>
        <v>0.85093418137196408</v>
      </c>
      <c r="L52" s="90">
        <f>$H$18</f>
        <v>0.90725020642964771</v>
      </c>
      <c r="M52" s="90">
        <f>$H$18</f>
        <v>0.90725020642964771</v>
      </c>
      <c r="N52" s="90">
        <f>$H$18</f>
        <v>0.90725020642964771</v>
      </c>
      <c r="O52" s="90">
        <f>$H$18</f>
        <v>0.90725020642964771</v>
      </c>
      <c r="P52" s="90">
        <f>$H$18</f>
        <v>0.90725020642964771</v>
      </c>
    </row>
    <row r="54" spans="2:16">
      <c r="B54" s="1" t="s">
        <v>34</v>
      </c>
      <c r="D54" s="51">
        <f>-'IS-Annual'!E$41</f>
        <v>31288</v>
      </c>
      <c r="E54" s="51">
        <f>-'IS-Annual'!F$41</f>
        <v>34399</v>
      </c>
      <c r="F54" s="51">
        <f>-'IS-Annual'!G$41</f>
        <v>33639</v>
      </c>
      <c r="G54" s="51">
        <f>-'IS-Annual'!H$41</f>
        <v>32532</v>
      </c>
      <c r="H54" s="51">
        <f>-'IS-Annual'!I$41</f>
        <v>37137</v>
      </c>
      <c r="I54" s="51">
        <f>-'IS-Annual'!J$41</f>
        <v>41327</v>
      </c>
      <c r="J54" s="51">
        <f>-'IS-Annual'!K$41</f>
        <v>92189</v>
      </c>
      <c r="K54" s="69">
        <f ca="1">K37*K55</f>
        <v>89806.938278716989</v>
      </c>
      <c r="L54" s="69">
        <f t="shared" ref="L54:P54" ca="1" si="11">L37*L55</f>
        <v>90651.657985684302</v>
      </c>
      <c r="M54" s="69">
        <f t="shared" ca="1" si="11"/>
        <v>91038.37766122297</v>
      </c>
      <c r="N54" s="69">
        <f t="shared" ca="1" si="11"/>
        <v>91176.215411498677</v>
      </c>
      <c r="O54" s="69">
        <f t="shared" ca="1" si="11"/>
        <v>91115.377258835826</v>
      </c>
      <c r="P54" s="69">
        <f ca="1">P37*P55</f>
        <v>92876.296503497972</v>
      </c>
    </row>
    <row r="55" spans="2:16">
      <c r="B55" s="50" t="s">
        <v>38</v>
      </c>
      <c r="C55" s="50"/>
      <c r="D55" s="79">
        <f>D$54/D$37</f>
        <v>0.7833162256215106</v>
      </c>
      <c r="E55" s="79">
        <f t="shared" ref="E55:J55" si="12">E$54/E$37</f>
        <v>0.78764911959334138</v>
      </c>
      <c r="F55" s="79">
        <f t="shared" si="12"/>
        <v>0.77414677927876097</v>
      </c>
      <c r="G55" s="79">
        <f t="shared" si="12"/>
        <v>0.77894837659228044</v>
      </c>
      <c r="H55" s="79">
        <f t="shared" si="12"/>
        <v>0.77175810473815465</v>
      </c>
      <c r="I55" s="79">
        <f t="shared" si="12"/>
        <v>0.79247924217147026</v>
      </c>
      <c r="J55" s="79">
        <f t="shared" si="12"/>
        <v>0.90902726421140856</v>
      </c>
      <c r="K55" s="77">
        <f ca="1">OFFSET(K$55,$C16,0)</f>
        <v>0.863452969931643</v>
      </c>
      <c r="L55" s="77">
        <f t="shared" ref="L55:P55" ca="1" si="13">OFFSET(L$55,$C16,0)</f>
        <v>0.85076237594531445</v>
      </c>
      <c r="M55" s="77">
        <f t="shared" ca="1" si="13"/>
        <v>0.83489913346240374</v>
      </c>
      <c r="N55" s="77">
        <f t="shared" ca="1" si="13"/>
        <v>0.81797834148063231</v>
      </c>
      <c r="O55" s="77">
        <f t="shared" ca="1" si="13"/>
        <v>0.80052877474943052</v>
      </c>
      <c r="P55" s="77">
        <f t="shared" ca="1" si="13"/>
        <v>0.8</v>
      </c>
    </row>
    <row r="56" spans="2:16">
      <c r="B56" s="50" t="s">
        <v>31</v>
      </c>
      <c r="K56" s="64">
        <f>K57*(1+H19)</f>
        <v>0.88503929417993399</v>
      </c>
      <c r="L56" s="64">
        <f>K56-(($K56-$P56)/($P47-K$47))</f>
        <v>0.87175484041076323</v>
      </c>
      <c r="M56" s="64">
        <f>L56-((L56-$P56)/($P$47-L$47))</f>
        <v>0.85847038664159248</v>
      </c>
      <c r="N56" s="64">
        <f t="shared" ref="N56:O56" si="14">M56-((M56-$P56)/($P$47-M$47))</f>
        <v>0.84518593287242172</v>
      </c>
      <c r="O56" s="64">
        <f t="shared" si="14"/>
        <v>0.83190147910325107</v>
      </c>
      <c r="P56" s="68">
        <f>H20</f>
        <v>0.81861702533408032</v>
      </c>
    </row>
    <row r="57" spans="2:16">
      <c r="B57" s="50" t="s">
        <v>32</v>
      </c>
      <c r="H57" s="11"/>
      <c r="K57" s="92">
        <f>'IS-QTR'!L5</f>
        <v>0.863452969931643</v>
      </c>
      <c r="L57" s="91">
        <f>K57-(($K57-$P57)/($P47-K$47))</f>
        <v>0.85076237594531445</v>
      </c>
      <c r="M57" s="91">
        <f>L57-((K$57-$P57)/($P47-L$47))</f>
        <v>0.83489913346240374</v>
      </c>
      <c r="N57" s="91">
        <f t="shared" ref="N57:O57" si="15">M57-((L$57-$P57)/($P47-M$47))</f>
        <v>0.81797834148063231</v>
      </c>
      <c r="O57" s="91">
        <f t="shared" si="15"/>
        <v>0.80052877474943052</v>
      </c>
      <c r="P57" s="68">
        <f>M19</f>
        <v>0.8</v>
      </c>
    </row>
    <row r="58" spans="2:16">
      <c r="B58" s="50" t="s">
        <v>33</v>
      </c>
      <c r="K58" s="64">
        <f>K57*(1+R19)</f>
        <v>0.8418666456833519</v>
      </c>
      <c r="L58" s="91">
        <f>K58-((K$58-$P58)/($P47-K$47))</f>
        <v>0.82976991147986545</v>
      </c>
      <c r="M58" s="91">
        <f t="shared" ref="M58:O58" si="16">L58-((L$58-$P58)/($P47-L$47))</f>
        <v>0.817673177276379</v>
      </c>
      <c r="N58" s="91">
        <f t="shared" si="16"/>
        <v>0.80557644307289256</v>
      </c>
      <c r="O58" s="91">
        <f t="shared" si="16"/>
        <v>0.79347970886940611</v>
      </c>
      <c r="P58" s="68">
        <f>R20</f>
        <v>0.78138297466591977</v>
      </c>
    </row>
    <row r="61" spans="2:16">
      <c r="B61" s="72" t="s">
        <v>39</v>
      </c>
      <c r="C61" s="72"/>
      <c r="D61" s="73">
        <f>D48+D54</f>
        <v>214847</v>
      </c>
      <c r="E61" s="73">
        <f t="shared" ref="E61:O61" si="17">E48+E54</f>
        <v>219214</v>
      </c>
      <c r="F61" s="73">
        <f t="shared" si="17"/>
        <v>225703</v>
      </c>
      <c r="G61" s="73">
        <f t="shared" si="17"/>
        <v>231289</v>
      </c>
      <c r="H61" s="73">
        <f t="shared" si="17"/>
        <v>243945</v>
      </c>
      <c r="I61" s="73">
        <f t="shared" si="17"/>
        <v>266629</v>
      </c>
      <c r="J61" s="73">
        <f t="shared" si="17"/>
        <v>321144</v>
      </c>
      <c r="K61" s="73">
        <f t="shared" ca="1" si="17"/>
        <v>331315.30498628656</v>
      </c>
      <c r="L61" s="73">
        <f t="shared" ca="1" si="17"/>
        <v>356281.08041860588</v>
      </c>
      <c r="M61" s="73">
        <f t="shared" ca="1" si="17"/>
        <v>367595.7945330349</v>
      </c>
      <c r="N61" s="73">
        <f t="shared" ca="1" si="17"/>
        <v>377623.32551064662</v>
      </c>
      <c r="O61" s="73">
        <f t="shared" ca="1" si="17"/>
        <v>386264.7505627959</v>
      </c>
      <c r="P61" s="73">
        <f ca="1">P48+P54</f>
        <v>395404.40414005704</v>
      </c>
    </row>
    <row r="62" spans="2:16">
      <c r="B62" s="74" t="s">
        <v>38</v>
      </c>
      <c r="C62" s="74"/>
      <c r="D62" s="93">
        <f>D61/D44</f>
        <v>0.92268809400083318</v>
      </c>
      <c r="E62" s="93">
        <f t="shared" ref="E62:P62" si="18">E61/E44</f>
        <v>0.88450876987697558</v>
      </c>
      <c r="F62" s="93">
        <f t="shared" si="18"/>
        <v>0.88644468533006571</v>
      </c>
      <c r="G62" s="93">
        <f t="shared" si="18"/>
        <v>0.94207567919840329</v>
      </c>
      <c r="H62" s="93">
        <f t="shared" si="18"/>
        <v>0.88355777380167622</v>
      </c>
      <c r="I62" s="93">
        <f t="shared" si="18"/>
        <v>0.88261737434994325</v>
      </c>
      <c r="J62" s="93">
        <f t="shared" si="18"/>
        <v>0.88109700890578957</v>
      </c>
      <c r="K62" s="93">
        <f t="shared" ca="1" si="18"/>
        <v>0.87021238705723147</v>
      </c>
      <c r="L62" s="93">
        <f t="shared" ca="1" si="18"/>
        <v>0.8993666593952736</v>
      </c>
      <c r="M62" s="93">
        <f t="shared" ca="1" si="18"/>
        <v>0.89537785002985937</v>
      </c>
      <c r="N62" s="93">
        <f t="shared" ca="1" si="18"/>
        <v>0.89113750242970358</v>
      </c>
      <c r="O62" s="93">
        <f t="shared" ca="1" si="18"/>
        <v>0.8867514476434325</v>
      </c>
      <c r="P62" s="93">
        <f t="shared" ca="1" si="18"/>
        <v>0.88672382044364906</v>
      </c>
    </row>
    <row r="64" spans="2:16">
      <c r="B64" s="72" t="s">
        <v>40</v>
      </c>
      <c r="C64" s="72"/>
      <c r="D64" s="73">
        <f>D44-D61</f>
        <v>18002</v>
      </c>
      <c r="E64" s="73">
        <f t="shared" ref="E64:P64" si="19">E44-E61</f>
        <v>28623</v>
      </c>
      <c r="F64" s="73">
        <f t="shared" si="19"/>
        <v>28913</v>
      </c>
      <c r="G64" s="73">
        <f t="shared" si="19"/>
        <v>14221</v>
      </c>
      <c r="H64" s="73">
        <f t="shared" si="19"/>
        <v>32149</v>
      </c>
      <c r="I64" s="73">
        <f t="shared" si="19"/>
        <v>35460</v>
      </c>
      <c r="J64" s="73">
        <f t="shared" si="19"/>
        <v>43338</v>
      </c>
      <c r="K64" s="73">
        <f t="shared" ca="1" si="19"/>
        <v>49413.939867012552</v>
      </c>
      <c r="L64" s="73">
        <f t="shared" ca="1" si="19"/>
        <v>39865.55977168784</v>
      </c>
      <c r="M64" s="73">
        <f t="shared" ca="1" si="19"/>
        <v>42952.438842155447</v>
      </c>
      <c r="N64" s="73">
        <f t="shared" ca="1" si="19"/>
        <v>46130.948640143091</v>
      </c>
      <c r="O64" s="73">
        <f t="shared" ca="1" si="19"/>
        <v>49330.535567613668</v>
      </c>
      <c r="P64" s="73">
        <f t="shared" ca="1" si="19"/>
        <v>50511.669189547189</v>
      </c>
    </row>
    <row r="65" spans="1:22">
      <c r="B65" s="74" t="s">
        <v>38</v>
      </c>
      <c r="C65" s="74"/>
      <c r="D65" s="95">
        <f>D64/D44</f>
        <v>7.7311905999166847E-2</v>
      </c>
      <c r="E65" s="95">
        <f t="shared" ref="E65:V65" si="20">E64/E44</f>
        <v>0.11549123012302441</v>
      </c>
      <c r="F65" s="95">
        <f t="shared" si="20"/>
        <v>0.11355531466993433</v>
      </c>
      <c r="G65" s="95">
        <f t="shared" si="20"/>
        <v>5.7924320801596679E-2</v>
      </c>
      <c r="H65" s="95">
        <f t="shared" si="20"/>
        <v>0.11644222619832376</v>
      </c>
      <c r="I65" s="95">
        <f>I64/I44</f>
        <v>0.11738262565005678</v>
      </c>
      <c r="J65" s="95">
        <f t="shared" si="20"/>
        <v>0.11890299109421042</v>
      </c>
      <c r="K65" s="95">
        <f t="shared" ca="1" si="20"/>
        <v>0.12978761294276858</v>
      </c>
      <c r="L65" s="95">
        <f t="shared" ca="1" si="20"/>
        <v>0.10063334060472644</v>
      </c>
      <c r="M65" s="95">
        <f t="shared" ca="1" si="20"/>
        <v>0.1046221499701406</v>
      </c>
      <c r="N65" s="95">
        <f t="shared" ca="1" si="20"/>
        <v>0.10886249757029648</v>
      </c>
      <c r="O65" s="95">
        <f t="shared" ca="1" si="20"/>
        <v>0.11324855235656744</v>
      </c>
      <c r="P65" s="95">
        <f t="shared" ca="1" si="20"/>
        <v>0.11327617955635091</v>
      </c>
      <c r="Q65" s="94"/>
      <c r="R65" s="94"/>
      <c r="S65" s="94"/>
      <c r="T65" s="94"/>
      <c r="U65" s="94"/>
      <c r="V65" s="94"/>
    </row>
    <row r="66" spans="1:22">
      <c r="I66" s="96"/>
      <c r="J66" s="96"/>
    </row>
    <row r="67" spans="1:22">
      <c r="A67" s="8" t="s">
        <v>8</v>
      </c>
      <c r="B67" s="6" t="s">
        <v>41</v>
      </c>
      <c r="C67" s="7"/>
      <c r="D67" s="66">
        <v>2017</v>
      </c>
      <c r="E67" s="66">
        <v>2018</v>
      </c>
      <c r="F67" s="66">
        <v>2019</v>
      </c>
      <c r="G67" s="66">
        <v>2020</v>
      </c>
      <c r="H67" s="66">
        <v>2021</v>
      </c>
      <c r="I67" s="66">
        <v>2022</v>
      </c>
      <c r="J67" s="66">
        <v>2023</v>
      </c>
    </row>
    <row r="68" spans="1:22" ht="15">
      <c r="B68" s="1" t="s">
        <v>42</v>
      </c>
      <c r="D68" s="128">
        <v>23838</v>
      </c>
      <c r="E68" s="128">
        <v>4001</v>
      </c>
      <c r="F68" s="128">
        <v>102696</v>
      </c>
      <c r="G68" s="128">
        <v>55693</v>
      </c>
      <c r="H68" s="128">
        <v>111686</v>
      </c>
      <c r="I68" s="128">
        <v>-30576</v>
      </c>
      <c r="J68" s="128">
        <v>120166</v>
      </c>
    </row>
    <row r="69" spans="1:22" ht="15">
      <c r="B69" s="1" t="s">
        <v>41</v>
      </c>
      <c r="D69" s="120">
        <v>21515</v>
      </c>
      <c r="E69" s="120">
        <v>321</v>
      </c>
      <c r="F69" s="128">
        <v>-20904</v>
      </c>
      <c r="G69" s="128">
        <v>-12440</v>
      </c>
      <c r="H69" s="128">
        <v>-20879</v>
      </c>
      <c r="I69" s="120">
        <v>8518</v>
      </c>
      <c r="J69" s="128">
        <v>-23019</v>
      </c>
    </row>
    <row r="70" spans="1:22">
      <c r="B70" s="1" t="s">
        <v>24</v>
      </c>
      <c r="D70" s="94">
        <f>-D69/D68</f>
        <v>-0.90255054954274683</v>
      </c>
      <c r="E70" s="94">
        <f t="shared" ref="E70:J70" si="21">-E69/E68</f>
        <v>-8.0229942514371405E-2</v>
      </c>
      <c r="F70" s="94">
        <f t="shared" si="21"/>
        <v>0.20355223182986679</v>
      </c>
      <c r="G70" s="94">
        <f t="shared" si="21"/>
        <v>0.22336738907941753</v>
      </c>
      <c r="H70" s="94">
        <f t="shared" si="21"/>
        <v>0.18694375302186486</v>
      </c>
      <c r="I70" s="94">
        <f t="shared" si="21"/>
        <v>0.2785845107273679</v>
      </c>
      <c r="J70" s="94">
        <f t="shared" si="21"/>
        <v>0.19156000865469433</v>
      </c>
    </row>
    <row r="72" spans="1:22">
      <c r="A72" s="119" t="s">
        <v>8</v>
      </c>
      <c r="B72" s="6" t="s">
        <v>43</v>
      </c>
      <c r="C72" s="7"/>
      <c r="D72" s="66">
        <v>2017</v>
      </c>
      <c r="E72" s="66">
        <v>2018</v>
      </c>
      <c r="F72" s="66">
        <v>2019</v>
      </c>
      <c r="G72" s="66">
        <v>2020</v>
      </c>
      <c r="H72" s="66">
        <v>2021</v>
      </c>
      <c r="I72" s="66">
        <v>2022</v>
      </c>
      <c r="J72" s="66">
        <v>2023</v>
      </c>
      <c r="K72" s="66">
        <v>2024</v>
      </c>
      <c r="L72" s="66">
        <v>2025</v>
      </c>
      <c r="M72" s="66">
        <v>2026</v>
      </c>
      <c r="N72" s="66">
        <v>2027</v>
      </c>
      <c r="O72" s="66">
        <v>2028</v>
      </c>
      <c r="P72" s="66">
        <v>2029</v>
      </c>
    </row>
    <row r="73" spans="1:22" ht="15">
      <c r="B73" s="1" t="s">
        <v>44</v>
      </c>
      <c r="D73" s="120">
        <v>9188</v>
      </c>
      <c r="E73" s="120">
        <v>9779</v>
      </c>
      <c r="F73" s="120">
        <v>10064</v>
      </c>
      <c r="G73" s="120">
        <v>10596</v>
      </c>
      <c r="H73" s="120">
        <v>10718</v>
      </c>
      <c r="I73" s="120">
        <v>10899</v>
      </c>
      <c r="J73" s="121">
        <v>12486</v>
      </c>
    </row>
    <row r="74" spans="1:22">
      <c r="B74" s="50" t="s">
        <v>45</v>
      </c>
      <c r="D74" s="122">
        <f>D$73/D$44</f>
        <v>3.9459048567956061E-2</v>
      </c>
      <c r="E74" s="122">
        <f t="shared" ref="E74:J74" si="22">E$73/E$44</f>
        <v>3.9457385297594787E-2</v>
      </c>
      <c r="F74" s="122">
        <f t="shared" si="22"/>
        <v>3.95261884563421E-2</v>
      </c>
      <c r="G74" s="122">
        <f t="shared" si="22"/>
        <v>4.3159138120646819E-2</v>
      </c>
      <c r="H74" s="122">
        <f t="shared" si="22"/>
        <v>3.8820111990843696E-2</v>
      </c>
      <c r="I74" s="122">
        <f t="shared" si="22"/>
        <v>3.6078771487872779E-2</v>
      </c>
      <c r="J74" s="122">
        <f t="shared" si="22"/>
        <v>3.4256835728513339E-2</v>
      </c>
    </row>
    <row r="76" spans="1:22" ht="15">
      <c r="B76" s="1" t="s">
        <v>26</v>
      </c>
      <c r="D76" s="123">
        <v>11708</v>
      </c>
      <c r="E76" s="123">
        <v>14537</v>
      </c>
      <c r="F76" s="123">
        <v>15979</v>
      </c>
      <c r="G76" s="123">
        <v>13012</v>
      </c>
      <c r="H76" s="123">
        <v>13276</v>
      </c>
      <c r="I76" s="123">
        <v>15464</v>
      </c>
      <c r="J76" s="124">
        <v>19409</v>
      </c>
    </row>
    <row r="77" spans="1:22">
      <c r="B77" s="50" t="s">
        <v>45</v>
      </c>
      <c r="D77" s="122">
        <f>D$76/D$44</f>
        <v>5.0281512911801211E-2</v>
      </c>
      <c r="E77" s="122">
        <f t="shared" ref="E77:J77" si="23">E$76/E$44</f>
        <v>5.8655487275911182E-2</v>
      </c>
      <c r="F77" s="122">
        <f t="shared" si="23"/>
        <v>6.275725013353442E-2</v>
      </c>
      <c r="G77" s="122">
        <f t="shared" si="23"/>
        <v>5.2999877805384711E-2</v>
      </c>
      <c r="H77" s="122">
        <f t="shared" si="23"/>
        <v>4.8085072475316376E-2</v>
      </c>
      <c r="I77" s="122">
        <f t="shared" si="23"/>
        <v>5.1190212156020244E-2</v>
      </c>
      <c r="J77" s="122">
        <f t="shared" si="23"/>
        <v>5.3250914997174069E-2</v>
      </c>
    </row>
    <row r="79" spans="1:22" ht="15">
      <c r="B79" s="1" t="s">
        <v>27</v>
      </c>
      <c r="D79" s="126">
        <v>7813</v>
      </c>
      <c r="E79" s="126">
        <v>1813</v>
      </c>
      <c r="F79" s="126">
        <v>-19208</v>
      </c>
      <c r="G79" s="126">
        <v>-15566</v>
      </c>
      <c r="H79" s="126">
        <v>-18869</v>
      </c>
      <c r="I79" s="126">
        <v>14916</v>
      </c>
      <c r="J79" s="124">
        <v>-21683</v>
      </c>
    </row>
    <row r="80" spans="1:22">
      <c r="B80" s="50" t="s">
        <v>45</v>
      </c>
      <c r="D80" s="122">
        <f>D$79/D$44</f>
        <v>3.3553934094627848E-2</v>
      </c>
      <c r="E80" s="122">
        <f t="shared" ref="E80:J80" si="24">E$79/E$44</f>
        <v>7.315291905566965E-3</v>
      </c>
      <c r="F80" s="122">
        <f t="shared" si="24"/>
        <v>-7.5439092594338147E-2</v>
      </c>
      <c r="G80" s="122">
        <f t="shared" si="24"/>
        <v>-6.3402712720459456E-2</v>
      </c>
      <c r="H80" s="122">
        <f t="shared" si="24"/>
        <v>-6.834266590364152E-2</v>
      </c>
      <c r="I80" s="122">
        <f t="shared" si="24"/>
        <v>4.9376177219296297E-2</v>
      </c>
      <c r="J80" s="122">
        <f t="shared" si="24"/>
        <v>-5.9489906223078232E-2</v>
      </c>
    </row>
    <row r="81" spans="2:16">
      <c r="B81" s="50" t="s">
        <v>46</v>
      </c>
      <c r="E81" s="127">
        <f>E$79/(E$44-D$44)</f>
        <v>0.12096343741659994</v>
      </c>
      <c r="F81" s="127">
        <f t="shared" ref="F81:J81" si="25">F$79/(F$44-E$44)</f>
        <v>-2.8334562619855435</v>
      </c>
      <c r="G81" s="127">
        <f t="shared" si="25"/>
        <v>1.7094223588842521</v>
      </c>
      <c r="H81" s="127">
        <f t="shared" si="25"/>
        <v>-0.6169565786031912</v>
      </c>
      <c r="I81" s="127">
        <f t="shared" si="25"/>
        <v>0.57380265435660704</v>
      </c>
      <c r="J81" s="127">
        <f t="shared" si="25"/>
        <v>-0.34752295930633242</v>
      </c>
    </row>
    <row r="83" spans="2:16">
      <c r="B83" s="6" t="s">
        <v>0</v>
      </c>
      <c r="C83" s="7"/>
      <c r="D83" s="66">
        <v>2017</v>
      </c>
      <c r="E83" s="66">
        <v>2018</v>
      </c>
      <c r="F83" s="66">
        <v>2019</v>
      </c>
      <c r="G83" s="66">
        <v>2020</v>
      </c>
      <c r="H83" s="66">
        <v>2021</v>
      </c>
      <c r="I83" s="66">
        <v>2022</v>
      </c>
      <c r="J83" s="66">
        <v>2023</v>
      </c>
      <c r="K83" s="66">
        <v>2024</v>
      </c>
      <c r="L83" s="66">
        <v>2025</v>
      </c>
      <c r="M83" s="66">
        <v>2026</v>
      </c>
      <c r="N83" s="66">
        <v>2027</v>
      </c>
      <c r="O83" s="66">
        <v>2028</v>
      </c>
      <c r="P83" s="66">
        <v>2029</v>
      </c>
    </row>
    <row r="85" spans="2:16">
      <c r="B85" s="1" t="s">
        <v>14</v>
      </c>
      <c r="D85" s="129">
        <f>D44</f>
        <v>232849</v>
      </c>
      <c r="E85" s="129">
        <f t="shared" ref="E85:P85" si="26">E44</f>
        <v>247837</v>
      </c>
      <c r="F85" s="129">
        <f t="shared" si="26"/>
        <v>254616</v>
      </c>
      <c r="G85" s="129">
        <f t="shared" si="26"/>
        <v>245510</v>
      </c>
      <c r="H85" s="129">
        <f t="shared" si="26"/>
        <v>276094</v>
      </c>
      <c r="I85" s="129">
        <f t="shared" si="26"/>
        <v>302089</v>
      </c>
      <c r="J85" s="129">
        <f t="shared" si="26"/>
        <v>364482</v>
      </c>
      <c r="K85" s="129">
        <f t="shared" ca="1" si="26"/>
        <v>380729.24485329911</v>
      </c>
      <c r="L85" s="129">
        <f t="shared" ca="1" si="26"/>
        <v>396146.64019029372</v>
      </c>
      <c r="M85" s="129">
        <f t="shared" ca="1" si="26"/>
        <v>410548.23337519035</v>
      </c>
      <c r="N85" s="129">
        <f t="shared" ca="1" si="26"/>
        <v>423754.27415078972</v>
      </c>
      <c r="O85" s="129">
        <f t="shared" ca="1" si="26"/>
        <v>435595.28613040957</v>
      </c>
      <c r="P85" s="129">
        <f t="shared" ca="1" si="26"/>
        <v>445916.07332960423</v>
      </c>
    </row>
    <row r="86" spans="2:16">
      <c r="B86" s="1" t="s">
        <v>45</v>
      </c>
      <c r="D86" s="130"/>
      <c r="E86" s="131">
        <f>E45</f>
        <v>6.4367895073631498E-2</v>
      </c>
      <c r="F86" s="131">
        <f t="shared" ref="F86:P86" si="27">F45</f>
        <v>2.735265517255292E-2</v>
      </c>
      <c r="G86" s="131">
        <f t="shared" si="27"/>
        <v>-3.5763659785716495E-2</v>
      </c>
      <c r="H86" s="131">
        <f t="shared" si="27"/>
        <v>0.12457333713494356</v>
      </c>
      <c r="I86" s="131">
        <f t="shared" si="27"/>
        <v>9.4152716103935719E-2</v>
      </c>
      <c r="J86" s="131">
        <f t="shared" si="27"/>
        <v>0.20653847045076112</v>
      </c>
      <c r="K86" s="131">
        <f t="shared" ca="1" si="27"/>
        <v>4.45762612510332E-2</v>
      </c>
      <c r="L86" s="131">
        <f t="shared" ca="1" si="27"/>
        <v>4.0494381625281184E-2</v>
      </c>
      <c r="M86" s="131">
        <f t="shared" ca="1" si="27"/>
        <v>3.6354197470862548E-2</v>
      </c>
      <c r="N86" s="131">
        <f t="shared" ca="1" si="27"/>
        <v>3.2166843508325771E-2</v>
      </c>
      <c r="O86" s="131">
        <f t="shared" ca="1" si="27"/>
        <v>2.7943109254412679E-2</v>
      </c>
      <c r="P86" s="131">
        <f t="shared" ca="1" si="27"/>
        <v>2.3693523616563628E-2</v>
      </c>
    </row>
    <row r="87" spans="2:16"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</row>
    <row r="88" spans="2:16">
      <c r="B88" s="1" t="s">
        <v>40</v>
      </c>
      <c r="D88" s="129">
        <f>D64</f>
        <v>18002</v>
      </c>
      <c r="E88" s="129">
        <f t="shared" ref="E88:P88" si="28">E64</f>
        <v>28623</v>
      </c>
      <c r="F88" s="129">
        <f t="shared" si="28"/>
        <v>28913</v>
      </c>
      <c r="G88" s="129">
        <f t="shared" si="28"/>
        <v>14221</v>
      </c>
      <c r="H88" s="129">
        <f t="shared" si="28"/>
        <v>32149</v>
      </c>
      <c r="I88" s="129">
        <f t="shared" si="28"/>
        <v>35460</v>
      </c>
      <c r="J88" s="129">
        <f t="shared" si="28"/>
        <v>43338</v>
      </c>
      <c r="K88" s="129">
        <f ca="1">K64</f>
        <v>49413.939867012552</v>
      </c>
      <c r="L88" s="129">
        <f t="shared" ca="1" si="28"/>
        <v>39865.55977168784</v>
      </c>
      <c r="M88" s="129">
        <f t="shared" ca="1" si="28"/>
        <v>42952.438842155447</v>
      </c>
      <c r="N88" s="129">
        <f t="shared" ca="1" si="28"/>
        <v>46130.948640143091</v>
      </c>
      <c r="O88" s="129">
        <f t="shared" ca="1" si="28"/>
        <v>49330.535567613668</v>
      </c>
      <c r="P88" s="129">
        <f t="shared" ca="1" si="28"/>
        <v>50511.669189547189</v>
      </c>
    </row>
    <row r="89" spans="2:16">
      <c r="B89" s="1" t="s">
        <v>38</v>
      </c>
      <c r="D89" s="132">
        <f>D65</f>
        <v>7.7311905999166847E-2</v>
      </c>
      <c r="E89" s="132">
        <f t="shared" ref="E89:P89" si="29">E65</f>
        <v>0.11549123012302441</v>
      </c>
      <c r="F89" s="132">
        <f t="shared" si="29"/>
        <v>0.11355531466993433</v>
      </c>
      <c r="G89" s="132">
        <f t="shared" si="29"/>
        <v>5.7924320801596679E-2</v>
      </c>
      <c r="H89" s="132">
        <f t="shared" si="29"/>
        <v>0.11644222619832376</v>
      </c>
      <c r="I89" s="132">
        <f t="shared" si="29"/>
        <v>0.11738262565005678</v>
      </c>
      <c r="J89" s="132">
        <f t="shared" si="29"/>
        <v>0.11890299109421042</v>
      </c>
      <c r="K89" s="132">
        <f t="shared" ca="1" si="29"/>
        <v>0.12978761294276858</v>
      </c>
      <c r="L89" s="132">
        <f t="shared" ca="1" si="29"/>
        <v>0.10063334060472644</v>
      </c>
      <c r="M89" s="132">
        <f t="shared" ca="1" si="29"/>
        <v>0.1046221499701406</v>
      </c>
      <c r="N89" s="132">
        <f t="shared" ca="1" si="29"/>
        <v>0.10886249757029648</v>
      </c>
      <c r="O89" s="132">
        <f t="shared" ca="1" si="29"/>
        <v>0.11324855235656744</v>
      </c>
      <c r="P89" s="132">
        <f t="shared" ca="1" si="29"/>
        <v>0.11327617955635091</v>
      </c>
    </row>
    <row r="90" spans="2:16"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2:16">
      <c r="B91" s="1" t="s">
        <v>41</v>
      </c>
      <c r="D91" s="129">
        <f>-D69</f>
        <v>-21515</v>
      </c>
      <c r="E91" s="129">
        <f t="shared" ref="E91:J91" si="30">-E69</f>
        <v>-321</v>
      </c>
      <c r="F91" s="129">
        <f t="shared" si="30"/>
        <v>20904</v>
      </c>
      <c r="G91" s="129">
        <f t="shared" si="30"/>
        <v>12440</v>
      </c>
      <c r="H91" s="129">
        <f t="shared" si="30"/>
        <v>20879</v>
      </c>
      <c r="I91" s="129">
        <f t="shared" si="30"/>
        <v>-8518</v>
      </c>
      <c r="J91" s="129">
        <f>-J69</f>
        <v>23019</v>
      </c>
      <c r="K91" s="88">
        <f ca="1">K88*K92</f>
        <v>9897.6121553626144</v>
      </c>
      <c r="L91" s="88">
        <f ca="1">L88*L92</f>
        <v>7985.0716222690744</v>
      </c>
      <c r="M91" s="88">
        <f ca="1">M88*M92</f>
        <v>8603.3735000837369</v>
      </c>
      <c r="N91" s="88">
        <f t="shared" ref="L91:P91" ca="1" si="31">N88*N92</f>
        <v>9240.0290126206619</v>
      </c>
      <c r="O91" s="88">
        <f t="shared" ca="1" si="31"/>
        <v>9880.9062741930175</v>
      </c>
      <c r="P91" s="88">
        <f t="shared" ca="1" si="31"/>
        <v>10117.487338666302</v>
      </c>
    </row>
    <row r="92" spans="2:16">
      <c r="B92" s="1" t="s">
        <v>24</v>
      </c>
      <c r="D92" s="131">
        <f>D70</f>
        <v>-0.90255054954274683</v>
      </c>
      <c r="E92" s="131">
        <f t="shared" ref="E92:J92" si="32">E70</f>
        <v>-8.0229942514371405E-2</v>
      </c>
      <c r="F92" s="131">
        <f t="shared" si="32"/>
        <v>0.20355223182986679</v>
      </c>
      <c r="G92" s="131">
        <f t="shared" si="32"/>
        <v>0.22336738907941753</v>
      </c>
      <c r="H92" s="131">
        <f t="shared" si="32"/>
        <v>0.18694375302186486</v>
      </c>
      <c r="I92" s="131">
        <f t="shared" si="32"/>
        <v>0.2785845107273679</v>
      </c>
      <c r="J92" s="131">
        <f t="shared" si="32"/>
        <v>0.19156000865469433</v>
      </c>
      <c r="K92" s="133">
        <f>$C23</f>
        <v>0.20030000000000001</v>
      </c>
      <c r="L92" s="133">
        <f>$C23</f>
        <v>0.20030000000000001</v>
      </c>
      <c r="M92" s="133">
        <f>$C23</f>
        <v>0.20030000000000001</v>
      </c>
      <c r="N92" s="133">
        <f>$C23</f>
        <v>0.20030000000000001</v>
      </c>
      <c r="O92" s="133">
        <f>$C23</f>
        <v>0.20030000000000001</v>
      </c>
      <c r="P92" s="133">
        <f>$C23</f>
        <v>0.20030000000000001</v>
      </c>
    </row>
    <row r="93" spans="2:16">
      <c r="D93" s="131"/>
      <c r="E93" s="131"/>
      <c r="F93" s="131"/>
      <c r="G93" s="131"/>
      <c r="H93" s="131"/>
      <c r="I93" s="131"/>
      <c r="J93" s="131"/>
      <c r="K93" s="8"/>
      <c r="L93" s="8"/>
      <c r="M93" s="8"/>
      <c r="N93" s="8"/>
      <c r="O93" s="8"/>
      <c r="P93" s="8"/>
    </row>
    <row r="94" spans="2:16">
      <c r="B94" s="135" t="s">
        <v>47</v>
      </c>
      <c r="C94" s="136"/>
      <c r="D94" s="137">
        <f>D88-D91</f>
        <v>39517</v>
      </c>
      <c r="E94" s="137">
        <f t="shared" ref="E94:J94" si="33">E88-E91</f>
        <v>28944</v>
      </c>
      <c r="F94" s="137">
        <f t="shared" si="33"/>
        <v>8009</v>
      </c>
      <c r="G94" s="137">
        <f t="shared" si="33"/>
        <v>1781</v>
      </c>
      <c r="H94" s="137">
        <f t="shared" si="33"/>
        <v>11270</v>
      </c>
      <c r="I94" s="137">
        <f t="shared" si="33"/>
        <v>43978</v>
      </c>
      <c r="J94" s="137">
        <f t="shared" si="33"/>
        <v>20319</v>
      </c>
      <c r="K94" s="138">
        <f ca="1">K88-K91</f>
        <v>39516.327711649938</v>
      </c>
      <c r="L94" s="138">
        <f t="shared" ref="L94:P94" ca="1" si="34">L88-L91</f>
        <v>31880.488149418765</v>
      </c>
      <c r="M94" s="138">
        <f t="shared" ca="1" si="34"/>
        <v>34349.065342071714</v>
      </c>
      <c r="N94" s="138">
        <f t="shared" ca="1" si="34"/>
        <v>36890.919627522431</v>
      </c>
      <c r="O94" s="138">
        <f t="shared" ca="1" si="34"/>
        <v>39449.62929342065</v>
      </c>
      <c r="P94" s="139">
        <f t="shared" ca="1" si="34"/>
        <v>40394.181850880886</v>
      </c>
    </row>
    <row r="95" spans="2:16">
      <c r="K95" s="8"/>
      <c r="L95" s="8"/>
      <c r="M95" s="8"/>
      <c r="N95" s="8"/>
      <c r="O95" s="8"/>
      <c r="P95" s="8"/>
    </row>
    <row r="96" spans="2:16">
      <c r="B96" s="1" t="s">
        <v>44</v>
      </c>
      <c r="D96" s="129">
        <f>D73</f>
        <v>9188</v>
      </c>
      <c r="E96" s="129">
        <f t="shared" ref="E96:J96" si="35">E73</f>
        <v>9779</v>
      </c>
      <c r="F96" s="129">
        <f t="shared" si="35"/>
        <v>10064</v>
      </c>
      <c r="G96" s="129">
        <f t="shared" si="35"/>
        <v>10596</v>
      </c>
      <c r="H96" s="129">
        <f t="shared" si="35"/>
        <v>10718</v>
      </c>
      <c r="I96" s="129">
        <f t="shared" si="35"/>
        <v>10899</v>
      </c>
      <c r="J96" s="129">
        <f t="shared" si="35"/>
        <v>12486</v>
      </c>
      <c r="K96" s="88">
        <f ca="1">K85*K97</f>
        <v>14726.470109348469</v>
      </c>
      <c r="L96" s="88">
        <f t="shared" ref="L96:P96" ca="1" si="36">L85*L97</f>
        <v>15322.809409949721</v>
      </c>
      <c r="M96" s="88">
        <f t="shared" ca="1" si="36"/>
        <v>15879.857849047423</v>
      </c>
      <c r="N96" s="88">
        <f t="shared" ca="1" si="36"/>
        <v>16390.66275141219</v>
      </c>
      <c r="O96" s="88">
        <f t="shared" ca="1" si="36"/>
        <v>16848.668831427134</v>
      </c>
      <c r="P96" s="88">
        <f t="shared" ca="1" si="36"/>
        <v>17247.873164292214</v>
      </c>
    </row>
    <row r="97" spans="2:17">
      <c r="B97" s="50" t="s">
        <v>45</v>
      </c>
      <c r="D97" s="132">
        <f>D74</f>
        <v>3.9459048567956061E-2</v>
      </c>
      <c r="E97" s="132">
        <f t="shared" ref="E97:J97" si="37">E74</f>
        <v>3.9457385297594787E-2</v>
      </c>
      <c r="F97" s="132">
        <f t="shared" si="37"/>
        <v>3.95261884563421E-2</v>
      </c>
      <c r="G97" s="132">
        <f t="shared" si="37"/>
        <v>4.3159138120646819E-2</v>
      </c>
      <c r="H97" s="132">
        <f t="shared" si="37"/>
        <v>3.8820111990843696E-2</v>
      </c>
      <c r="I97" s="132">
        <f t="shared" si="37"/>
        <v>3.6078771487872779E-2</v>
      </c>
      <c r="J97" s="132">
        <f t="shared" si="37"/>
        <v>3.4256835728513339E-2</v>
      </c>
      <c r="K97" s="134">
        <f>$C$24</f>
        <v>3.8679639949967086E-2</v>
      </c>
      <c r="L97" s="134">
        <f>$C$24</f>
        <v>3.8679639949967086E-2</v>
      </c>
      <c r="M97" s="134">
        <f>$C$24</f>
        <v>3.8679639949967086E-2</v>
      </c>
      <c r="N97" s="134">
        <f>$C$24</f>
        <v>3.8679639949967086E-2</v>
      </c>
      <c r="O97" s="134">
        <f>$C$24</f>
        <v>3.8679639949967086E-2</v>
      </c>
      <c r="P97" s="134">
        <f>$C$24</f>
        <v>3.8679639949967086E-2</v>
      </c>
    </row>
    <row r="98" spans="2:17">
      <c r="D98" s="130"/>
      <c r="E98" s="130"/>
      <c r="F98" s="130"/>
      <c r="G98" s="130"/>
      <c r="H98" s="130"/>
      <c r="I98" s="130"/>
      <c r="J98" s="130"/>
      <c r="K98" s="8"/>
      <c r="L98" s="8"/>
      <c r="M98" s="8"/>
      <c r="N98" s="8"/>
      <c r="O98" s="8"/>
      <c r="P98" s="8"/>
    </row>
    <row r="99" spans="2:17">
      <c r="B99" s="1" t="s">
        <v>26</v>
      </c>
      <c r="D99" s="129">
        <f>D76</f>
        <v>11708</v>
      </c>
      <c r="E99" s="129">
        <f t="shared" ref="E99:J99" si="38">E76</f>
        <v>14537</v>
      </c>
      <c r="F99" s="129">
        <f t="shared" si="38"/>
        <v>15979</v>
      </c>
      <c r="G99" s="129">
        <f t="shared" si="38"/>
        <v>13012</v>
      </c>
      <c r="H99" s="129">
        <f t="shared" si="38"/>
        <v>13276</v>
      </c>
      <c r="I99" s="129">
        <f t="shared" si="38"/>
        <v>15464</v>
      </c>
      <c r="J99" s="129">
        <f t="shared" si="38"/>
        <v>19409</v>
      </c>
      <c r="K99" s="88">
        <f ca="1">K85*K100</f>
        <v>20516.972932789897</v>
      </c>
      <c r="L99" s="88">
        <f t="shared" ref="L99:P99" ca="1" si="39">L85*L100</f>
        <v>21347.795064525853</v>
      </c>
      <c r="M99" s="88">
        <f t="shared" ca="1" si="39"/>
        <v>22123.877021869132</v>
      </c>
      <c r="N99" s="88">
        <f t="shared" ca="1" si="39"/>
        <v>22835.53231182904</v>
      </c>
      <c r="O99" s="88">
        <f t="shared" ca="1" si="39"/>
        <v>23473.628086101147</v>
      </c>
      <c r="P99" s="88">
        <f t="shared" ca="1" si="39"/>
        <v>24029.80104752562</v>
      </c>
    </row>
    <row r="100" spans="2:17">
      <c r="B100" s="50" t="s">
        <v>45</v>
      </c>
      <c r="D100" s="132">
        <f>D77</f>
        <v>5.0281512911801211E-2</v>
      </c>
      <c r="E100" s="132">
        <f t="shared" ref="E100:J100" si="40">E77</f>
        <v>5.8655487275911182E-2</v>
      </c>
      <c r="F100" s="132">
        <f t="shared" si="40"/>
        <v>6.275725013353442E-2</v>
      </c>
      <c r="G100" s="132">
        <f t="shared" si="40"/>
        <v>5.2999877805384711E-2</v>
      </c>
      <c r="H100" s="132">
        <f t="shared" si="40"/>
        <v>4.8085072475316376E-2</v>
      </c>
      <c r="I100" s="132">
        <f t="shared" si="40"/>
        <v>5.1190212156020244E-2</v>
      </c>
      <c r="J100" s="132">
        <f t="shared" si="40"/>
        <v>5.3250914997174069E-2</v>
      </c>
      <c r="K100" s="134">
        <f>$C$25</f>
        <v>5.3888618250734599E-2</v>
      </c>
      <c r="L100" s="134">
        <f>$C$25</f>
        <v>5.3888618250734599E-2</v>
      </c>
      <c r="M100" s="134">
        <f>$C$25</f>
        <v>5.3888618250734599E-2</v>
      </c>
      <c r="N100" s="134">
        <f>$C$25</f>
        <v>5.3888618250734599E-2</v>
      </c>
      <c r="O100" s="134">
        <f>$C$25</f>
        <v>5.3888618250734599E-2</v>
      </c>
      <c r="P100" s="134">
        <f>$C$25</f>
        <v>5.3888618250734599E-2</v>
      </c>
    </row>
    <row r="101" spans="2:17">
      <c r="D101" s="130"/>
      <c r="E101" s="130"/>
      <c r="F101" s="130"/>
      <c r="G101" s="130"/>
      <c r="H101" s="130"/>
      <c r="I101" s="130"/>
      <c r="J101" s="130"/>
      <c r="K101" s="8"/>
      <c r="L101" s="8"/>
      <c r="M101" s="8"/>
      <c r="N101" s="8"/>
      <c r="O101" s="8"/>
      <c r="P101" s="8"/>
    </row>
    <row r="102" spans="2:17">
      <c r="B102" s="1" t="s">
        <v>27</v>
      </c>
      <c r="D102" s="129">
        <f>D79</f>
        <v>7813</v>
      </c>
      <c r="E102" s="129">
        <f t="shared" ref="E102:J102" si="41">E79</f>
        <v>1813</v>
      </c>
      <c r="F102" s="129">
        <f t="shared" si="41"/>
        <v>-19208</v>
      </c>
      <c r="G102" s="129">
        <f t="shared" si="41"/>
        <v>-15566</v>
      </c>
      <c r="H102" s="129">
        <f t="shared" si="41"/>
        <v>-18869</v>
      </c>
      <c r="I102" s="129">
        <f t="shared" si="41"/>
        <v>14916</v>
      </c>
      <c r="J102" s="129">
        <f t="shared" si="41"/>
        <v>-21683</v>
      </c>
      <c r="K102" s="88">
        <f ca="1">K85*K103</f>
        <v>-9595.9528751134603</v>
      </c>
      <c r="L102" s="88">
        <f t="shared" ref="L102:P102" ca="1" si="42">L85*L103</f>
        <v>-9984.5350528965191</v>
      </c>
      <c r="M102" s="88">
        <f t="shared" ca="1" si="42"/>
        <v>-10347.514811864268</v>
      </c>
      <c r="N102" s="88">
        <f t="shared" ca="1" si="42"/>
        <v>-10680.361701517588</v>
      </c>
      <c r="O102" s="88">
        <f t="shared" ca="1" si="42"/>
        <v>-10978.804215419739</v>
      </c>
      <c r="P102" s="88">
        <f t="shared" ca="1" si="42"/>
        <v>-11238.930772379415</v>
      </c>
    </row>
    <row r="103" spans="2:17">
      <c r="B103" s="50" t="s">
        <v>45</v>
      </c>
      <c r="D103" s="132">
        <f>D80</f>
        <v>3.3553934094627848E-2</v>
      </c>
      <c r="E103" s="132">
        <f t="shared" ref="E103:J103" si="43">E80</f>
        <v>7.315291905566965E-3</v>
      </c>
      <c r="F103" s="132">
        <f t="shared" si="43"/>
        <v>-7.5439092594338147E-2</v>
      </c>
      <c r="G103" s="132">
        <f t="shared" si="43"/>
        <v>-6.3402712720459456E-2</v>
      </c>
      <c r="H103" s="132">
        <f t="shared" si="43"/>
        <v>-6.834266590364152E-2</v>
      </c>
      <c r="I103" s="132">
        <f t="shared" si="43"/>
        <v>4.9376177219296297E-2</v>
      </c>
      <c r="J103" s="132">
        <f t="shared" si="43"/>
        <v>-5.9489906223078232E-2</v>
      </c>
      <c r="K103" s="134">
        <f>$C$26</f>
        <v>-2.5204139174575178E-2</v>
      </c>
      <c r="L103" s="134">
        <f>$C$26</f>
        <v>-2.5204139174575178E-2</v>
      </c>
      <c r="M103" s="134">
        <f>$C$26</f>
        <v>-2.5204139174575178E-2</v>
      </c>
      <c r="N103" s="134">
        <f>$C$26</f>
        <v>-2.5204139174575178E-2</v>
      </c>
      <c r="O103" s="134">
        <f>$C$26</f>
        <v>-2.5204139174575178E-2</v>
      </c>
      <c r="P103" s="134">
        <f>$C$26</f>
        <v>-2.5204139174575178E-2</v>
      </c>
    </row>
    <row r="105" spans="2:17">
      <c r="B105" s="154" t="s">
        <v>48</v>
      </c>
      <c r="C105" s="154"/>
      <c r="D105" s="154"/>
      <c r="E105" s="155"/>
      <c r="F105" s="154"/>
      <c r="G105" s="154"/>
      <c r="H105" s="154"/>
      <c r="I105" s="154"/>
      <c r="J105" s="156"/>
      <c r="K105" s="159">
        <f ca="1">K94+K96-K99-K102</f>
        <v>43321.777763321967</v>
      </c>
      <c r="L105" s="159">
        <f t="shared" ref="L105:P105" ca="1" si="44">L94+L96-L99-L102</f>
        <v>35840.03754773915</v>
      </c>
      <c r="M105" s="159">
        <f t="shared" ca="1" si="44"/>
        <v>38452.560981114279</v>
      </c>
      <c r="N105" s="159">
        <f t="shared" ca="1" si="44"/>
        <v>41126.411768623162</v>
      </c>
      <c r="O105" s="159">
        <f t="shared" ca="1" si="44"/>
        <v>43803.47425416638</v>
      </c>
      <c r="P105" s="159">
        <f t="shared" ca="1" si="44"/>
        <v>44851.184740026903</v>
      </c>
    </row>
    <row r="106" spans="2:17">
      <c r="B106" s="154" t="s">
        <v>49</v>
      </c>
      <c r="C106" s="154"/>
      <c r="D106" s="154"/>
      <c r="E106" s="155"/>
      <c r="F106" s="154"/>
      <c r="G106" s="154"/>
      <c r="H106" s="154"/>
      <c r="I106" s="154"/>
      <c r="J106" s="154"/>
      <c r="K106" s="159">
        <f ca="1">K105/(1+$C$27)^K110</f>
        <v>42974.398596672487</v>
      </c>
      <c r="L106" s="159">
        <f t="shared" ref="L106:Q106" ca="1" si="45">L105/(1+$C$27)^L110</f>
        <v>33005.943560596927</v>
      </c>
      <c r="M106" s="159">
        <f t="shared" ca="1" si="45"/>
        <v>34731.216426941355</v>
      </c>
      <c r="N106" s="159">
        <f t="shared" ca="1" si="45"/>
        <v>34371.592661422212</v>
      </c>
      <c r="O106" s="159">
        <f t="shared" ca="1" si="45"/>
        <v>33874.391823878053</v>
      </c>
      <c r="P106" s="159">
        <f t="shared" ca="1" si="45"/>
        <v>32093.788067669295</v>
      </c>
      <c r="Q106" s="159"/>
    </row>
    <row r="109" spans="2:17" ht="15">
      <c r="B109" t="s">
        <v>50</v>
      </c>
      <c r="C109"/>
      <c r="D109"/>
      <c r="E109"/>
      <c r="F109"/>
      <c r="G109"/>
      <c r="H109"/>
      <c r="I109"/>
      <c r="J109"/>
      <c r="K109">
        <v>1</v>
      </c>
      <c r="L109">
        <f>K109+1</f>
        <v>2</v>
      </c>
      <c r="M109">
        <f t="shared" ref="M109:P110" si="46">L109+1</f>
        <v>3</v>
      </c>
      <c r="N109">
        <f t="shared" si="46"/>
        <v>4</v>
      </c>
      <c r="O109">
        <f t="shared" si="46"/>
        <v>5</v>
      </c>
      <c r="P109">
        <f t="shared" si="46"/>
        <v>6</v>
      </c>
    </row>
    <row r="110" spans="2:17">
      <c r="B110" s="1" t="s">
        <v>51</v>
      </c>
      <c r="K110" s="158">
        <f>YEARFRAC($C$5,$C$6)/3</f>
        <v>0.1037037037037037</v>
      </c>
      <c r="L110" s="158">
        <f>YEARFRAC($C$5,$C$6)+0.75</f>
        <v>1.0611111111111111</v>
      </c>
      <c r="M110" s="158">
        <f>YEARFRAC($C$5,$C$6)+1</f>
        <v>1.3111111111111111</v>
      </c>
      <c r="N110" s="158">
        <f>M110+1</f>
        <v>2.3111111111111109</v>
      </c>
      <c r="O110" s="158">
        <f>N110+1</f>
        <v>3.3111111111111109</v>
      </c>
      <c r="P110" s="158">
        <f>O110+1</f>
        <v>4.3111111111111109</v>
      </c>
    </row>
    <row r="112" spans="2:17">
      <c r="B112" s="1" t="s">
        <v>52</v>
      </c>
      <c r="P112" s="165">
        <f ca="1">(P105*(1+C28))/(C27-C28)</f>
        <v>753345.65663914091</v>
      </c>
    </row>
    <row r="113" spans="2:17">
      <c r="B113" s="1" t="s">
        <v>53</v>
      </c>
      <c r="P113" s="166">
        <f ca="1">P112/(1+$C$27)^P110</f>
        <v>539065.26630273461</v>
      </c>
    </row>
    <row r="114" spans="2:17">
      <c r="B114" s="1" t="s">
        <v>54</v>
      </c>
      <c r="P114" s="166">
        <f ca="1">SUM(K106:P106,P113)</f>
        <v>750116.59743991494</v>
      </c>
    </row>
    <row r="115" spans="2:17">
      <c r="B115" s="1" t="s">
        <v>55</v>
      </c>
      <c r="P115" s="166">
        <f>SUM(36884, 234618, 5440)</f>
        <v>276942</v>
      </c>
    </row>
    <row r="116" spans="2:17">
      <c r="B116" s="1" t="s">
        <v>56</v>
      </c>
      <c r="P116" s="166">
        <f>WACC!E16*1000</f>
        <v>124000</v>
      </c>
    </row>
    <row r="117" spans="2:17">
      <c r="B117" s="1" t="s">
        <v>57</v>
      </c>
      <c r="P117" s="164">
        <f ca="1">P114+P115-P116</f>
        <v>903058.59743991494</v>
      </c>
      <c r="Q117" s="157"/>
    </row>
    <row r="118" spans="2:17">
      <c r="B118" s="1" t="s">
        <v>58</v>
      </c>
      <c r="P118" s="162">
        <f>1325+(0.533234*1500)</f>
        <v>2124.8510000000001</v>
      </c>
    </row>
    <row r="119" spans="2:17">
      <c r="B119" s="1" t="s">
        <v>3</v>
      </c>
      <c r="P119" s="163">
        <f ca="1">P117/P118</f>
        <v>424.99855163487456</v>
      </c>
    </row>
  </sheetData>
  <conditionalFormatting sqref="D73:F73">
    <cfRule type="cellIs" dxfId="133" priority="49" operator="lessThan">
      <formula>0</formula>
    </cfRule>
  </conditionalFormatting>
  <conditionalFormatting sqref="D73:G73">
    <cfRule type="cellIs" dxfId="132" priority="48" operator="greaterThan">
      <formula>0</formula>
    </cfRule>
  </conditionalFormatting>
  <conditionalFormatting sqref="H73">
    <cfRule type="cellIs" dxfId="131" priority="47" operator="lessThan">
      <formula>0</formula>
    </cfRule>
  </conditionalFormatting>
  <conditionalFormatting sqref="H73">
    <cfRule type="cellIs" dxfId="130" priority="46" operator="greaterThan">
      <formula>0</formula>
    </cfRule>
  </conditionalFormatting>
  <conditionalFormatting sqref="G73">
    <cfRule type="cellIs" dxfId="129" priority="45" operator="lessThan">
      <formula>0</formula>
    </cfRule>
  </conditionalFormatting>
  <conditionalFormatting sqref="I73">
    <cfRule type="cellIs" dxfId="128" priority="44" operator="lessThan">
      <formula>0</formula>
    </cfRule>
  </conditionalFormatting>
  <conditionalFormatting sqref="I73">
    <cfRule type="cellIs" dxfId="127" priority="43" operator="greaterThan">
      <formula>0</formula>
    </cfRule>
  </conditionalFormatting>
  <conditionalFormatting sqref="J73">
    <cfRule type="cellIs" dxfId="126" priority="42" operator="lessThan">
      <formula>0</formula>
    </cfRule>
  </conditionalFormatting>
  <conditionalFormatting sqref="J73">
    <cfRule type="cellIs" dxfId="125" priority="41" operator="greaterThan">
      <formula>0</formula>
    </cfRule>
  </conditionalFormatting>
  <conditionalFormatting sqref="D73:J73">
    <cfRule type="cellIs" dxfId="124" priority="40" operator="greaterThan">
      <formula>0</formula>
    </cfRule>
  </conditionalFormatting>
  <conditionalFormatting sqref="D73:J73">
    <cfRule type="cellIs" dxfId="123" priority="39" operator="lessThan">
      <formula>0</formula>
    </cfRule>
  </conditionalFormatting>
  <conditionalFormatting sqref="D76:F76">
    <cfRule type="cellIs" dxfId="122" priority="38" operator="lessThan">
      <formula>0</formula>
    </cfRule>
  </conditionalFormatting>
  <conditionalFormatting sqref="D76:G76">
    <cfRule type="cellIs" dxfId="121" priority="37" operator="greaterThan">
      <formula>0</formula>
    </cfRule>
  </conditionalFormatting>
  <conditionalFormatting sqref="H76">
    <cfRule type="cellIs" dxfId="120" priority="36" operator="lessThan">
      <formula>0</formula>
    </cfRule>
  </conditionalFormatting>
  <conditionalFormatting sqref="H76">
    <cfRule type="cellIs" dxfId="119" priority="35" operator="greaterThan">
      <formula>0</formula>
    </cfRule>
  </conditionalFormatting>
  <conditionalFormatting sqref="G76">
    <cfRule type="cellIs" dxfId="118" priority="34" operator="lessThan">
      <formula>0</formula>
    </cfRule>
  </conditionalFormatting>
  <conditionalFormatting sqref="I76">
    <cfRule type="cellIs" dxfId="117" priority="33" operator="lessThan">
      <formula>0</formula>
    </cfRule>
  </conditionalFormatting>
  <conditionalFormatting sqref="I76">
    <cfRule type="cellIs" dxfId="116" priority="32" operator="greaterThan">
      <formula>0</formula>
    </cfRule>
  </conditionalFormatting>
  <conditionalFormatting sqref="J76">
    <cfRule type="cellIs" dxfId="115" priority="31" operator="lessThan">
      <formula>0</formula>
    </cfRule>
  </conditionalFormatting>
  <conditionalFormatting sqref="J76">
    <cfRule type="cellIs" dxfId="114" priority="30" operator="greaterThan">
      <formula>0</formula>
    </cfRule>
  </conditionalFormatting>
  <conditionalFormatting sqref="D76:J76">
    <cfRule type="cellIs" dxfId="113" priority="29" operator="greaterThan">
      <formula>0</formula>
    </cfRule>
  </conditionalFormatting>
  <conditionalFormatting sqref="D76:J76">
    <cfRule type="cellIs" dxfId="112" priority="28" operator="lessThan">
      <formula>0</formula>
    </cfRule>
  </conditionalFormatting>
  <conditionalFormatting sqref="J79">
    <cfRule type="cellIs" dxfId="111" priority="27" operator="lessThan">
      <formula>0</formula>
    </cfRule>
  </conditionalFormatting>
  <conditionalFormatting sqref="J79">
    <cfRule type="cellIs" dxfId="110" priority="26" operator="greaterThan">
      <formula>0</formula>
    </cfRule>
  </conditionalFormatting>
  <conditionalFormatting sqref="J79">
    <cfRule type="cellIs" dxfId="109" priority="25" operator="greaterThan">
      <formula>0</formula>
    </cfRule>
  </conditionalFormatting>
  <conditionalFormatting sqref="J79">
    <cfRule type="cellIs" dxfId="108" priority="24" operator="lessThan">
      <formula>0</formula>
    </cfRule>
  </conditionalFormatting>
  <conditionalFormatting sqref="D79:F79">
    <cfRule type="cellIs" dxfId="107" priority="23" operator="lessThan">
      <formula>0</formula>
    </cfRule>
  </conditionalFormatting>
  <conditionalFormatting sqref="D79:G79">
    <cfRule type="cellIs" dxfId="106" priority="22" operator="greaterThan">
      <formula>0</formula>
    </cfRule>
  </conditionalFormatting>
  <conditionalFormatting sqref="H79">
    <cfRule type="cellIs" dxfId="105" priority="21" operator="lessThan">
      <formula>0</formula>
    </cfRule>
  </conditionalFormatting>
  <conditionalFormatting sqref="H79">
    <cfRule type="cellIs" dxfId="104" priority="20" operator="greaterThan">
      <formula>0</formula>
    </cfRule>
  </conditionalFormatting>
  <conditionalFormatting sqref="G79">
    <cfRule type="cellIs" dxfId="103" priority="19" operator="lessThan">
      <formula>0</formula>
    </cfRule>
  </conditionalFormatting>
  <conditionalFormatting sqref="I79">
    <cfRule type="cellIs" dxfId="102" priority="18" operator="lessThan">
      <formula>0</formula>
    </cfRule>
  </conditionalFormatting>
  <conditionalFormatting sqref="I79">
    <cfRule type="cellIs" dxfId="101" priority="17" operator="greaterThan">
      <formula>0</formula>
    </cfRule>
  </conditionalFormatting>
  <conditionalFormatting sqref="D79:I79">
    <cfRule type="cellIs" dxfId="100" priority="16" operator="greaterThan">
      <formula>0</formula>
    </cfRule>
  </conditionalFormatting>
  <conditionalFormatting sqref="D79:I79">
    <cfRule type="cellIs" dxfId="99" priority="15" operator="lessThan">
      <formula>0</formula>
    </cfRule>
  </conditionalFormatting>
  <conditionalFormatting sqref="D69:E69 I69">
    <cfRule type="cellIs" dxfId="98" priority="10" operator="lessThan">
      <formula>0</formula>
    </cfRule>
  </conditionalFormatting>
  <conditionalFormatting sqref="D69:E69 I69">
    <cfRule type="cellIs" dxfId="97" priority="9" operator="greaterThan">
      <formula>0</formula>
    </cfRule>
  </conditionalFormatting>
  <conditionalFormatting sqref="D68:J68">
    <cfRule type="cellIs" dxfId="96" priority="8" operator="lessThan">
      <formula>0</formula>
    </cfRule>
  </conditionalFormatting>
  <conditionalFormatting sqref="D68:J68">
    <cfRule type="cellIs" dxfId="95" priority="7" operator="greaterThan">
      <formula>0</formula>
    </cfRule>
  </conditionalFormatting>
  <conditionalFormatting sqref="F69:H69">
    <cfRule type="cellIs" dxfId="94" priority="6" operator="lessThan">
      <formula>0</formula>
    </cfRule>
  </conditionalFormatting>
  <conditionalFormatting sqref="F69:H69">
    <cfRule type="cellIs" dxfId="93" priority="5" operator="greaterThan">
      <formula>0</formula>
    </cfRule>
  </conditionalFormatting>
  <conditionalFormatting sqref="J69">
    <cfRule type="cellIs" dxfId="92" priority="4" operator="lessThan">
      <formula>0</formula>
    </cfRule>
  </conditionalFormatting>
  <conditionalFormatting sqref="J69">
    <cfRule type="cellIs" dxfId="91" priority="3" operator="greaterThan">
      <formula>0</formula>
    </cfRule>
  </conditionalFormatting>
  <conditionalFormatting sqref="H6">
    <cfRule type="cellIs" dxfId="90" priority="2" operator="greaterThan">
      <formula>0</formula>
    </cfRule>
  </conditionalFormatting>
  <conditionalFormatting sqref="H6">
    <cfRule type="cellIs" dxfId="8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532F-8FF5-413E-87A3-12016E1CE801}">
  <dimension ref="A2:H22"/>
  <sheetViews>
    <sheetView topLeftCell="A2" workbookViewId="0">
      <selection activeCell="H22" sqref="H22"/>
    </sheetView>
  </sheetViews>
  <sheetFormatPr defaultColWidth="8.7109375" defaultRowHeight="12.75"/>
  <cols>
    <col min="1" max="1" width="3.5703125" style="145" customWidth="1"/>
    <col min="2" max="5" width="9.140625" style="145"/>
    <col min="6" max="6" width="12.5703125" style="145" customWidth="1"/>
    <col min="7" max="16384" width="8.7109375" style="145"/>
  </cols>
  <sheetData>
    <row r="2" spans="1:8" s="143" customFormat="1" ht="21">
      <c r="B2" s="144" t="s">
        <v>21</v>
      </c>
    </row>
    <row r="4" spans="1:8">
      <c r="B4" s="145" t="s">
        <v>59</v>
      </c>
    </row>
    <row r="5" spans="1:8">
      <c r="B5" s="145" t="s">
        <v>60</v>
      </c>
    </row>
    <row r="7" spans="1:8">
      <c r="A7" s="145" t="s">
        <v>8</v>
      </c>
      <c r="B7" s="7" t="s">
        <v>21</v>
      </c>
      <c r="C7" s="7"/>
      <c r="D7" s="7"/>
      <c r="E7" s="7"/>
    </row>
    <row r="8" spans="1:8">
      <c r="B8" s="145" t="s">
        <v>61</v>
      </c>
      <c r="E8" s="4">
        <v>965.91</v>
      </c>
    </row>
    <row r="10" spans="1:8">
      <c r="B10" s="145" t="s">
        <v>62</v>
      </c>
      <c r="E10" s="146">
        <f>E8/(E8+E16)</f>
        <v>0.8862291381857218</v>
      </c>
    </row>
    <row r="11" spans="1:8">
      <c r="B11" s="145" t="s">
        <v>63</v>
      </c>
      <c r="E11" s="146">
        <f>E12+(E13*E14)</f>
        <v>8.1352000000000008E-2</v>
      </c>
    </row>
    <row r="12" spans="1:8">
      <c r="B12" s="145" t="s">
        <v>64</v>
      </c>
      <c r="E12" s="64">
        <v>3.9070000000000001E-2</v>
      </c>
    </row>
    <row r="13" spans="1:8">
      <c r="B13" s="145" t="s">
        <v>65</v>
      </c>
      <c r="E13" s="142">
        <v>0.87</v>
      </c>
    </row>
    <row r="14" spans="1:8">
      <c r="B14" s="145" t="s">
        <v>66</v>
      </c>
      <c r="E14" s="64">
        <v>4.8599999999999997E-2</v>
      </c>
      <c r="H14" s="147"/>
    </row>
    <row r="15" spans="1:8">
      <c r="E15" s="140"/>
    </row>
    <row r="16" spans="1:8">
      <c r="B16" s="145" t="s">
        <v>67</v>
      </c>
      <c r="E16" s="149">
        <v>124</v>
      </c>
    </row>
    <row r="17" spans="1:5">
      <c r="B17" s="145" t="s">
        <v>68</v>
      </c>
      <c r="E17" s="141">
        <f>E16/(E16+E8)</f>
        <v>0.11377086181427826</v>
      </c>
    </row>
    <row r="18" spans="1:5">
      <c r="B18" s="145" t="s">
        <v>69</v>
      </c>
      <c r="E18" s="64">
        <v>3.9899999999999998E-2</v>
      </c>
    </row>
    <row r="19" spans="1:5">
      <c r="B19" s="145" t="s">
        <v>70</v>
      </c>
      <c r="E19" s="64">
        <v>0.20030000000000001</v>
      </c>
    </row>
    <row r="21" spans="1:5">
      <c r="B21" s="145" t="s">
        <v>71</v>
      </c>
      <c r="E21" s="148">
        <f>E8+E16</f>
        <v>1089.9099999999999</v>
      </c>
    </row>
    <row r="22" spans="1:5">
      <c r="A22" s="145" t="s">
        <v>8</v>
      </c>
      <c r="B22" s="168" t="s">
        <v>21</v>
      </c>
      <c r="C22" s="168"/>
      <c r="D22" s="168"/>
      <c r="E22" s="169">
        <f>(E10*E11)+(E17*E18)*(1-E19)</f>
        <v>7.57267169215807E-2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6268-744E-400C-A393-2857EB63E218}">
  <dimension ref="A3:L71"/>
  <sheetViews>
    <sheetView topLeftCell="A3" workbookViewId="0">
      <selection activeCell="M5" sqref="M5"/>
    </sheetView>
  </sheetViews>
  <sheetFormatPr defaultRowHeight="15"/>
  <cols>
    <col min="1" max="1" width="85.5703125" bestFit="1" customWidth="1"/>
    <col min="2" max="10" width="15" bestFit="1" customWidth="1"/>
    <col min="11" max="11" width="15" customWidth="1"/>
  </cols>
  <sheetData>
    <row r="3" spans="1:12">
      <c r="A3" s="15" t="s">
        <v>72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2">
      <c r="A4" s="15" t="s">
        <v>73</v>
      </c>
      <c r="B4" s="15"/>
      <c r="C4" s="15"/>
      <c r="D4" s="15"/>
      <c r="E4" s="15"/>
      <c r="F4" s="15"/>
      <c r="G4" s="15"/>
      <c r="H4" s="15"/>
      <c r="I4" s="15"/>
      <c r="J4" s="17"/>
      <c r="K4" s="17"/>
    </row>
    <row r="5" spans="1:12">
      <c r="A5" s="15" t="s">
        <v>74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2" s="22" customFormat="1">
      <c r="A6" s="20" t="s">
        <v>16</v>
      </c>
      <c r="B6" s="21" t="s">
        <v>75</v>
      </c>
      <c r="C6" s="21" t="s">
        <v>76</v>
      </c>
      <c r="D6" s="21" t="s">
        <v>77</v>
      </c>
      <c r="E6" s="21" t="s">
        <v>78</v>
      </c>
      <c r="F6" s="21" t="s">
        <v>79</v>
      </c>
      <c r="G6" s="21" t="s">
        <v>80</v>
      </c>
      <c r="H6" s="21" t="s">
        <v>81</v>
      </c>
      <c r="I6" s="21" t="s">
        <v>82</v>
      </c>
      <c r="J6" s="21" t="s">
        <v>83</v>
      </c>
      <c r="K6" s="21" t="s">
        <v>84</v>
      </c>
    </row>
    <row r="7" spans="1:12">
      <c r="A7" s="23" t="s">
        <v>85</v>
      </c>
      <c r="B7" s="24">
        <v>194673</v>
      </c>
      <c r="C7" s="24">
        <v>210821</v>
      </c>
      <c r="D7" s="24">
        <v>223604</v>
      </c>
      <c r="E7" s="24">
        <v>242137</v>
      </c>
      <c r="F7" s="24">
        <v>247837</v>
      </c>
      <c r="G7" s="24">
        <v>254616</v>
      </c>
      <c r="H7" s="24">
        <v>245510</v>
      </c>
      <c r="I7" s="24">
        <v>276094</v>
      </c>
      <c r="J7" s="24">
        <v>302089</v>
      </c>
      <c r="K7" s="24">
        <v>364482</v>
      </c>
    </row>
    <row r="8" spans="1:12">
      <c r="A8" s="23" t="s">
        <v>86</v>
      </c>
      <c r="B8" s="24">
        <v>146879</v>
      </c>
      <c r="C8" s="24">
        <v>162893</v>
      </c>
      <c r="D8" s="24">
        <v>175223</v>
      </c>
      <c r="E8" s="24">
        <v>192906</v>
      </c>
      <c r="F8" s="24">
        <v>204164</v>
      </c>
      <c r="G8" s="24">
        <v>211163</v>
      </c>
      <c r="H8" s="24">
        <v>203746</v>
      </c>
      <c r="I8" s="24">
        <v>227974</v>
      </c>
      <c r="J8" s="24">
        <v>249940</v>
      </c>
      <c r="K8" s="48">
        <v>263067</v>
      </c>
    </row>
    <row r="9" spans="1:12">
      <c r="A9" s="25" t="s">
        <v>87</v>
      </c>
      <c r="B9" s="24">
        <v>41253</v>
      </c>
      <c r="C9" s="24">
        <v>41294</v>
      </c>
      <c r="D9" s="24">
        <v>45881</v>
      </c>
      <c r="E9" s="24">
        <v>60597</v>
      </c>
      <c r="F9" s="24">
        <v>57418</v>
      </c>
      <c r="G9" s="24">
        <v>61078</v>
      </c>
      <c r="H9" s="24">
        <v>63401</v>
      </c>
      <c r="I9" s="24">
        <v>69478</v>
      </c>
      <c r="J9" s="24">
        <v>74645</v>
      </c>
      <c r="K9" s="24">
        <v>83403</v>
      </c>
    </row>
    <row r="10" spans="1:12">
      <c r="A10" s="26" t="s">
        <v>88</v>
      </c>
      <c r="B10" s="24">
        <v>97097</v>
      </c>
      <c r="C10" s="24">
        <v>107001</v>
      </c>
      <c r="D10" s="24">
        <v>119489</v>
      </c>
      <c r="E10" s="24">
        <v>125963</v>
      </c>
      <c r="F10" s="24">
        <v>133336</v>
      </c>
      <c r="G10" s="24">
        <v>134989</v>
      </c>
      <c r="H10" s="24">
        <v>127044</v>
      </c>
      <c r="I10" s="24">
        <v>145043</v>
      </c>
      <c r="J10" s="24">
        <v>157518</v>
      </c>
      <c r="K10" s="24">
        <v>155687</v>
      </c>
      <c r="L10" s="49" t="s">
        <v>89</v>
      </c>
    </row>
    <row r="11" spans="1:12">
      <c r="A11" s="25" t="s">
        <v>90</v>
      </c>
      <c r="B11" s="27" t="s">
        <v>91</v>
      </c>
      <c r="C11" s="27" t="s">
        <v>91</v>
      </c>
      <c r="D11" s="27" t="s">
        <v>91</v>
      </c>
      <c r="E11" s="27" t="s">
        <v>91</v>
      </c>
      <c r="F11" s="24">
        <v>5732</v>
      </c>
      <c r="G11" s="24">
        <v>5856</v>
      </c>
      <c r="H11" s="24">
        <v>5209</v>
      </c>
      <c r="I11" s="24">
        <v>5988</v>
      </c>
      <c r="J11" s="24">
        <v>7514</v>
      </c>
      <c r="K11" s="24">
        <v>15561</v>
      </c>
    </row>
    <row r="12" spans="1:12">
      <c r="A12" s="26" t="s">
        <v>92</v>
      </c>
      <c r="B12" s="24">
        <v>5026</v>
      </c>
      <c r="C12" s="24">
        <v>5235</v>
      </c>
      <c r="D12" s="24">
        <v>4725</v>
      </c>
      <c r="E12" s="24">
        <v>5144</v>
      </c>
      <c r="F12" s="24">
        <v>7678</v>
      </c>
      <c r="G12" s="24">
        <v>9240</v>
      </c>
      <c r="H12" s="24">
        <v>8092</v>
      </c>
      <c r="I12" s="24">
        <v>7465</v>
      </c>
      <c r="J12" s="24">
        <v>10263</v>
      </c>
      <c r="K12" s="24">
        <v>10263</v>
      </c>
    </row>
    <row r="13" spans="1:12">
      <c r="A13" s="28" t="s">
        <v>93</v>
      </c>
      <c r="B13" s="24">
        <v>3503</v>
      </c>
      <c r="C13" s="24">
        <v>9363</v>
      </c>
      <c r="D13" s="24">
        <v>5128</v>
      </c>
      <c r="E13" s="24">
        <v>1202</v>
      </c>
      <c r="F13" s="29" t="s">
        <v>91</v>
      </c>
      <c r="G13" s="29" t="s">
        <v>91</v>
      </c>
      <c r="H13" s="29" t="s">
        <v>91</v>
      </c>
      <c r="I13" s="29" t="s">
        <v>91</v>
      </c>
      <c r="J13" s="29" t="s">
        <v>91</v>
      </c>
      <c r="K13" s="29" t="s">
        <v>91</v>
      </c>
    </row>
    <row r="14" spans="1:12">
      <c r="A14" s="30" t="s">
        <v>94</v>
      </c>
      <c r="B14" s="31" t="s">
        <v>91</v>
      </c>
      <c r="C14" s="31" t="s">
        <v>91</v>
      </c>
      <c r="D14" s="31" t="s">
        <v>91</v>
      </c>
      <c r="E14" s="31" t="s">
        <v>91</v>
      </c>
      <c r="F14" s="31" t="s">
        <v>91</v>
      </c>
      <c r="G14" s="31" t="s">
        <v>91</v>
      </c>
      <c r="H14" s="31" t="s">
        <v>91</v>
      </c>
      <c r="I14" s="31" t="s">
        <v>91</v>
      </c>
      <c r="J14" s="31" t="s">
        <v>91</v>
      </c>
      <c r="K14" s="31" t="s">
        <v>91</v>
      </c>
    </row>
    <row r="15" spans="1:12">
      <c r="A15" s="32" t="s">
        <v>95</v>
      </c>
      <c r="B15" s="27" t="s">
        <v>91</v>
      </c>
      <c r="C15" s="27" t="s">
        <v>91</v>
      </c>
      <c r="D15" s="27" t="s">
        <v>91</v>
      </c>
      <c r="E15" s="27" t="s">
        <v>91</v>
      </c>
      <c r="F15" s="27" t="s">
        <v>91</v>
      </c>
      <c r="G15" s="27" t="s">
        <v>91</v>
      </c>
      <c r="H15" s="27" t="s">
        <v>91</v>
      </c>
      <c r="I15" s="27" t="s">
        <v>91</v>
      </c>
      <c r="J15" s="27" t="s">
        <v>91</v>
      </c>
      <c r="K15" s="27" t="s">
        <v>91</v>
      </c>
    </row>
    <row r="16" spans="1:12">
      <c r="A16" s="23" t="s">
        <v>96</v>
      </c>
      <c r="B16" s="24">
        <v>7104</v>
      </c>
      <c r="C16" s="24">
        <v>7924</v>
      </c>
      <c r="D16" s="24">
        <v>10839</v>
      </c>
      <c r="E16" s="24">
        <v>9288</v>
      </c>
      <c r="F16" s="33" t="s">
        <v>91</v>
      </c>
      <c r="G16" s="33" t="s">
        <v>91</v>
      </c>
      <c r="H16" s="33" t="s">
        <v>91</v>
      </c>
      <c r="I16" s="33" t="s">
        <v>91</v>
      </c>
      <c r="J16" s="33" t="s">
        <v>91</v>
      </c>
      <c r="K16" s="33" t="s">
        <v>91</v>
      </c>
    </row>
    <row r="17" spans="1:11">
      <c r="A17" s="25" t="s">
        <v>88</v>
      </c>
      <c r="B17" s="24">
        <v>5094</v>
      </c>
      <c r="C17" s="24">
        <v>5430</v>
      </c>
      <c r="D17" s="24">
        <v>6208</v>
      </c>
      <c r="E17" s="24">
        <v>6924</v>
      </c>
      <c r="F17" s="27" t="s">
        <v>91</v>
      </c>
      <c r="G17" s="27" t="s">
        <v>91</v>
      </c>
      <c r="H17" s="27" t="s">
        <v>91</v>
      </c>
      <c r="I17" s="27" t="s">
        <v>91</v>
      </c>
      <c r="J17" s="27" t="s">
        <v>91</v>
      </c>
      <c r="K17" s="27" t="s">
        <v>91</v>
      </c>
    </row>
    <row r="18" spans="1:11">
      <c r="A18" s="26" t="s">
        <v>92</v>
      </c>
      <c r="B18" s="24">
        <v>1432</v>
      </c>
      <c r="C18" s="24">
        <v>1510</v>
      </c>
      <c r="D18" s="24">
        <v>1455</v>
      </c>
      <c r="E18" s="24">
        <v>1438</v>
      </c>
      <c r="F18" s="31" t="s">
        <v>91</v>
      </c>
      <c r="G18" s="31" t="s">
        <v>91</v>
      </c>
      <c r="H18" s="31" t="s">
        <v>91</v>
      </c>
      <c r="I18" s="31" t="s">
        <v>91</v>
      </c>
      <c r="J18" s="31" t="s">
        <v>91</v>
      </c>
      <c r="K18" s="31" t="s">
        <v>91</v>
      </c>
    </row>
    <row r="19" spans="1:11">
      <c r="A19" s="25" t="s">
        <v>93</v>
      </c>
      <c r="B19" s="24">
        <v>72</v>
      </c>
      <c r="C19" s="24">
        <v>10</v>
      </c>
      <c r="D19" s="24">
        <v>2425</v>
      </c>
      <c r="E19" s="24">
        <v>208</v>
      </c>
      <c r="F19" s="27" t="s">
        <v>91</v>
      </c>
      <c r="G19" s="27" t="s">
        <v>91</v>
      </c>
      <c r="H19" s="27" t="s">
        <v>91</v>
      </c>
      <c r="I19" s="27" t="s">
        <v>91</v>
      </c>
      <c r="J19" s="27" t="s">
        <v>91</v>
      </c>
      <c r="K19" s="27" t="s">
        <v>91</v>
      </c>
    </row>
    <row r="20" spans="1:11">
      <c r="A20" s="26" t="s">
        <v>97</v>
      </c>
      <c r="B20" s="24">
        <v>506</v>
      </c>
      <c r="C20" s="24">
        <v>974</v>
      </c>
      <c r="D20" s="24">
        <v>751</v>
      </c>
      <c r="E20" s="24">
        <v>718</v>
      </c>
      <c r="F20" s="31" t="s">
        <v>91</v>
      </c>
      <c r="G20" s="31" t="s">
        <v>91</v>
      </c>
      <c r="H20" s="31" t="s">
        <v>91</v>
      </c>
      <c r="I20" s="31" t="s">
        <v>91</v>
      </c>
      <c r="J20" s="31" t="s">
        <v>91</v>
      </c>
      <c r="K20" s="31" t="s">
        <v>91</v>
      </c>
    </row>
    <row r="21" spans="1:11">
      <c r="A21" s="25" t="s">
        <v>98</v>
      </c>
      <c r="B21" s="27" t="s">
        <v>91</v>
      </c>
      <c r="C21" s="27" t="s">
        <v>91</v>
      </c>
      <c r="D21" s="27" t="s">
        <v>91</v>
      </c>
      <c r="E21" s="27" t="s">
        <v>91</v>
      </c>
      <c r="F21" s="27" t="s">
        <v>91</v>
      </c>
      <c r="G21" s="27" t="s">
        <v>91</v>
      </c>
      <c r="H21" s="27" t="s">
        <v>91</v>
      </c>
      <c r="I21" s="27" t="s">
        <v>91</v>
      </c>
      <c r="J21" s="27" t="s">
        <v>91</v>
      </c>
      <c r="K21" s="27" t="s">
        <v>91</v>
      </c>
    </row>
    <row r="22" spans="1:11">
      <c r="A22" s="23" t="s">
        <v>99</v>
      </c>
      <c r="B22" s="24">
        <v>40690</v>
      </c>
      <c r="C22" s="24">
        <v>40004</v>
      </c>
      <c r="D22" s="24">
        <v>37542</v>
      </c>
      <c r="E22" s="24">
        <v>39943</v>
      </c>
      <c r="F22" s="24">
        <v>43673</v>
      </c>
      <c r="G22" s="24">
        <v>43453</v>
      </c>
      <c r="H22" s="24">
        <v>41764</v>
      </c>
      <c r="I22" s="24">
        <v>48120</v>
      </c>
      <c r="J22" s="24">
        <v>52149</v>
      </c>
      <c r="K22" s="24">
        <v>101415</v>
      </c>
    </row>
    <row r="23" spans="1:11">
      <c r="A23" s="25" t="s">
        <v>100</v>
      </c>
      <c r="B23" s="27" t="s">
        <v>91</v>
      </c>
      <c r="C23" s="27" t="s">
        <v>91</v>
      </c>
      <c r="D23" s="27" t="s">
        <v>91</v>
      </c>
      <c r="E23" s="27" t="s">
        <v>91</v>
      </c>
      <c r="F23" s="24">
        <v>23703</v>
      </c>
      <c r="G23" s="24">
        <v>23357</v>
      </c>
      <c r="H23" s="24">
        <v>20750</v>
      </c>
      <c r="I23" s="24">
        <v>23177</v>
      </c>
      <c r="J23" s="24">
        <v>25802</v>
      </c>
      <c r="K23" s="24">
        <v>23791</v>
      </c>
    </row>
    <row r="24" spans="1:11">
      <c r="A24" s="26" t="s">
        <v>101</v>
      </c>
      <c r="B24" s="31" t="s">
        <v>91</v>
      </c>
      <c r="C24" s="31" t="s">
        <v>91</v>
      </c>
      <c r="D24" s="31" t="s">
        <v>91</v>
      </c>
      <c r="E24" s="31" t="s">
        <v>91</v>
      </c>
      <c r="F24" s="24">
        <v>15555</v>
      </c>
      <c r="G24" s="24">
        <v>15353</v>
      </c>
      <c r="H24" s="24">
        <v>15540</v>
      </c>
      <c r="I24" s="24">
        <v>18891</v>
      </c>
      <c r="J24" s="24">
        <v>21023</v>
      </c>
      <c r="K24" s="24">
        <v>72693</v>
      </c>
    </row>
    <row r="25" spans="1:11">
      <c r="A25" s="25" t="s">
        <v>102</v>
      </c>
      <c r="B25" s="27" t="s">
        <v>91</v>
      </c>
      <c r="C25" s="27" t="s">
        <v>91</v>
      </c>
      <c r="D25" s="27" t="s">
        <v>91</v>
      </c>
      <c r="E25" s="27" t="s">
        <v>91</v>
      </c>
      <c r="F25" s="24">
        <v>4415</v>
      </c>
      <c r="G25" s="24">
        <v>4743</v>
      </c>
      <c r="H25" s="24">
        <v>5474</v>
      </c>
      <c r="I25" s="24">
        <v>6052</v>
      </c>
      <c r="J25" s="24">
        <v>5324</v>
      </c>
      <c r="K25" s="24">
        <v>4931</v>
      </c>
    </row>
    <row r="26" spans="1:11">
      <c r="A26" s="26" t="s">
        <v>98</v>
      </c>
      <c r="B26" s="31" t="s">
        <v>91</v>
      </c>
      <c r="C26" s="31" t="s">
        <v>91</v>
      </c>
      <c r="D26" s="31" t="s">
        <v>91</v>
      </c>
      <c r="E26" s="31" t="s">
        <v>91</v>
      </c>
      <c r="F26" s="31" t="s">
        <v>91</v>
      </c>
      <c r="G26" s="31" t="s">
        <v>91</v>
      </c>
      <c r="H26" s="31" t="s">
        <v>91</v>
      </c>
      <c r="I26" s="31" t="s">
        <v>91</v>
      </c>
      <c r="J26" s="31" t="s">
        <v>91</v>
      </c>
      <c r="K26" s="31" t="s">
        <v>91</v>
      </c>
    </row>
    <row r="27" spans="1:11">
      <c r="A27" s="34" t="s">
        <v>103</v>
      </c>
      <c r="B27" s="24" t="s">
        <v>91</v>
      </c>
      <c r="C27" s="24" t="s">
        <v>91</v>
      </c>
      <c r="D27" s="24" t="s">
        <v>91</v>
      </c>
      <c r="E27" s="24" t="s">
        <v>91</v>
      </c>
      <c r="F27" s="24">
        <v>-22455</v>
      </c>
      <c r="G27" s="24">
        <v>72607</v>
      </c>
      <c r="H27" s="24">
        <v>40746</v>
      </c>
      <c r="I27" s="24">
        <v>78542</v>
      </c>
      <c r="J27" s="24">
        <v>-67899</v>
      </c>
      <c r="K27" s="24">
        <v>74855</v>
      </c>
    </row>
    <row r="28" spans="1:11">
      <c r="A28" s="35" t="s">
        <v>104</v>
      </c>
      <c r="B28" s="31" t="s">
        <v>91</v>
      </c>
      <c r="C28" s="31" t="s">
        <v>91</v>
      </c>
      <c r="D28" s="31" t="s">
        <v>91</v>
      </c>
      <c r="E28" s="31" t="s">
        <v>91</v>
      </c>
      <c r="F28" s="24">
        <v>-22155</v>
      </c>
      <c r="G28" s="24">
        <v>71123</v>
      </c>
      <c r="H28" s="31" t="s">
        <v>91</v>
      </c>
      <c r="I28" s="31" t="s">
        <v>91</v>
      </c>
      <c r="J28" s="31" t="s">
        <v>91</v>
      </c>
      <c r="K28" s="31" t="s">
        <v>91</v>
      </c>
    </row>
    <row r="29" spans="1:11">
      <c r="A29" s="36" t="s">
        <v>105</v>
      </c>
      <c r="B29" s="27" t="s">
        <v>91</v>
      </c>
      <c r="C29" s="27" t="s">
        <v>91</v>
      </c>
      <c r="D29" s="27" t="s">
        <v>91</v>
      </c>
      <c r="E29" s="27" t="s">
        <v>91</v>
      </c>
      <c r="F29" s="24">
        <v>-300</v>
      </c>
      <c r="G29" s="24">
        <v>1484</v>
      </c>
      <c r="H29" s="27" t="s">
        <v>91</v>
      </c>
      <c r="I29" s="27" t="s">
        <v>91</v>
      </c>
      <c r="J29" s="27" t="s">
        <v>91</v>
      </c>
      <c r="K29" s="27" t="s">
        <v>91</v>
      </c>
    </row>
    <row r="30" spans="1:11">
      <c r="A30" s="37" t="s">
        <v>106</v>
      </c>
      <c r="B30" s="24">
        <v>-166568</v>
      </c>
      <c r="C30" s="24">
        <v>-175875</v>
      </c>
      <c r="D30" s="24">
        <v>-190860</v>
      </c>
      <c r="E30" s="24">
        <v>-221237</v>
      </c>
      <c r="F30" s="24">
        <v>-219214</v>
      </c>
      <c r="G30" s="24">
        <v>-225703</v>
      </c>
      <c r="H30" s="24">
        <v>-231289</v>
      </c>
      <c r="I30" s="24">
        <v>-243945</v>
      </c>
      <c r="J30" s="24">
        <v>-266629</v>
      </c>
      <c r="K30" s="24">
        <v>-321144</v>
      </c>
    </row>
    <row r="31" spans="1:11">
      <c r="A31" s="38" t="s">
        <v>86</v>
      </c>
      <c r="B31" s="24">
        <v>-130075</v>
      </c>
      <c r="C31" s="24">
        <v>-140669</v>
      </c>
      <c r="D31" s="24">
        <v>-156427</v>
      </c>
      <c r="E31" s="24">
        <v>-183559</v>
      </c>
      <c r="F31" s="24">
        <v>-184815</v>
      </c>
      <c r="G31" s="24">
        <v>-192064</v>
      </c>
      <c r="H31" s="24">
        <v>-198757</v>
      </c>
      <c r="I31" s="24">
        <v>-206808</v>
      </c>
      <c r="J31" s="24">
        <v>-225302</v>
      </c>
      <c r="K31" s="24">
        <v>-228955</v>
      </c>
    </row>
    <row r="32" spans="1:11">
      <c r="A32" s="26" t="s">
        <v>107</v>
      </c>
      <c r="B32" s="24">
        <v>-26406</v>
      </c>
      <c r="C32" s="24">
        <v>-26527</v>
      </c>
      <c r="D32" s="24">
        <v>-30906</v>
      </c>
      <c r="E32" s="24">
        <v>-48891</v>
      </c>
      <c r="F32" s="24">
        <v>-39906</v>
      </c>
      <c r="G32" s="24">
        <v>-44456</v>
      </c>
      <c r="H32" s="24">
        <v>-43951</v>
      </c>
      <c r="I32" s="24">
        <v>-49964</v>
      </c>
      <c r="J32" s="24">
        <v>-57646</v>
      </c>
      <c r="K32" s="24">
        <v>-57187</v>
      </c>
    </row>
    <row r="33" spans="1:11">
      <c r="A33" s="25" t="s">
        <v>108</v>
      </c>
      <c r="B33" s="24">
        <v>-5181</v>
      </c>
      <c r="C33" s="24">
        <v>-5413</v>
      </c>
      <c r="D33" s="24">
        <v>-5131</v>
      </c>
      <c r="E33" s="24">
        <v>-5618</v>
      </c>
      <c r="F33" s="24">
        <v>-5699</v>
      </c>
      <c r="G33" s="24">
        <v>-4986</v>
      </c>
      <c r="H33" s="24">
        <v>-5812</v>
      </c>
      <c r="I33" s="24">
        <v>-6007</v>
      </c>
      <c r="J33" s="24">
        <v>-5152</v>
      </c>
      <c r="K33" s="24">
        <v>-4029</v>
      </c>
    </row>
    <row r="34" spans="1:11">
      <c r="A34" s="26" t="s">
        <v>109</v>
      </c>
      <c r="B34" s="24">
        <v>-6998</v>
      </c>
      <c r="C34" s="24">
        <v>-7517</v>
      </c>
      <c r="D34" s="24">
        <v>-7713</v>
      </c>
      <c r="E34" s="24">
        <v>-9321</v>
      </c>
      <c r="F34" s="24">
        <v>-9793</v>
      </c>
      <c r="G34" s="24">
        <v>-11200</v>
      </c>
      <c r="H34" s="24">
        <v>-12798</v>
      </c>
      <c r="I34" s="24">
        <v>-12569</v>
      </c>
      <c r="J34" s="24">
        <v>-11942</v>
      </c>
      <c r="K34" s="24">
        <v>-15270</v>
      </c>
    </row>
    <row r="35" spans="1:11">
      <c r="A35" s="25" t="s">
        <v>110</v>
      </c>
      <c r="B35" s="24">
        <v>-78873</v>
      </c>
      <c r="C35" s="24">
        <v>-87029</v>
      </c>
      <c r="D35" s="24">
        <v>-95754</v>
      </c>
      <c r="E35" s="24">
        <v>-101748</v>
      </c>
      <c r="F35" s="24">
        <v>-106083</v>
      </c>
      <c r="G35" s="24">
        <v>-107041</v>
      </c>
      <c r="H35" s="24">
        <v>-101091</v>
      </c>
      <c r="I35" s="24">
        <v>-114138</v>
      </c>
      <c r="J35" s="24">
        <v>-124319</v>
      </c>
      <c r="K35" s="24">
        <v>-122569</v>
      </c>
    </row>
    <row r="36" spans="1:11">
      <c r="A36" s="26" t="s">
        <v>111</v>
      </c>
      <c r="B36" s="31" t="s">
        <v>91</v>
      </c>
      <c r="C36" s="31" t="s">
        <v>91</v>
      </c>
      <c r="D36" s="31" t="s">
        <v>91</v>
      </c>
      <c r="E36" s="31" t="s">
        <v>91</v>
      </c>
      <c r="F36" s="24">
        <v>-4061</v>
      </c>
      <c r="G36" s="24">
        <v>-4003</v>
      </c>
      <c r="H36" s="24">
        <v>-3520</v>
      </c>
      <c r="I36" s="24">
        <v>-4201</v>
      </c>
      <c r="J36" s="24">
        <v>-5550</v>
      </c>
      <c r="K36" s="24">
        <v>-5550</v>
      </c>
    </row>
    <row r="37" spans="1:11">
      <c r="A37" s="28" t="s">
        <v>112</v>
      </c>
      <c r="B37" s="24">
        <v>-12198</v>
      </c>
      <c r="C37" s="24">
        <v>-13723</v>
      </c>
      <c r="D37" s="24">
        <v>-16478</v>
      </c>
      <c r="E37" s="24">
        <v>-16241</v>
      </c>
      <c r="F37" s="24">
        <v>-18238</v>
      </c>
      <c r="G37" s="24">
        <v>-19322</v>
      </c>
      <c r="H37" s="24">
        <v>-30480</v>
      </c>
      <c r="I37" s="24">
        <v>-18843</v>
      </c>
      <c r="J37" s="24">
        <v>-19506</v>
      </c>
      <c r="K37" s="24">
        <v>-22605</v>
      </c>
    </row>
    <row r="38" spans="1:11">
      <c r="A38" s="30" t="s">
        <v>112</v>
      </c>
      <c r="B38" s="24">
        <v>-12198</v>
      </c>
      <c r="C38" s="24">
        <v>-13723</v>
      </c>
      <c r="D38" s="24">
        <v>-16478</v>
      </c>
      <c r="E38" s="24">
        <v>-16241</v>
      </c>
      <c r="F38" s="31" t="s">
        <v>91</v>
      </c>
      <c r="G38" s="31" t="s">
        <v>91</v>
      </c>
      <c r="H38" s="24">
        <v>-19809</v>
      </c>
      <c r="I38" s="24">
        <v>-18843</v>
      </c>
      <c r="J38" s="24">
        <v>-19506</v>
      </c>
      <c r="K38" s="24">
        <v>-22605</v>
      </c>
    </row>
    <row r="39" spans="1:11">
      <c r="A39" s="32" t="s">
        <v>113</v>
      </c>
      <c r="B39" s="27" t="s">
        <v>91</v>
      </c>
      <c r="C39" s="27" t="s">
        <v>91</v>
      </c>
      <c r="D39" s="27" t="s">
        <v>91</v>
      </c>
      <c r="E39" s="27" t="s">
        <v>91</v>
      </c>
      <c r="F39" s="27" t="s">
        <v>91</v>
      </c>
      <c r="G39" s="27" t="s">
        <v>91</v>
      </c>
      <c r="H39" s="24">
        <v>-10671</v>
      </c>
      <c r="I39" s="24">
        <v>0</v>
      </c>
      <c r="J39" s="24">
        <v>0</v>
      </c>
      <c r="K39" s="24">
        <v>0</v>
      </c>
    </row>
    <row r="40" spans="1:11">
      <c r="A40" s="26" t="s">
        <v>114</v>
      </c>
      <c r="B40" s="24">
        <v>-419</v>
      </c>
      <c r="C40" s="24">
        <v>-460</v>
      </c>
      <c r="D40" s="24">
        <v>-445</v>
      </c>
      <c r="E40" s="24">
        <v>-1740</v>
      </c>
      <c r="F40" s="24">
        <v>-1035</v>
      </c>
      <c r="G40" s="24">
        <v>-1056</v>
      </c>
      <c r="H40" s="24">
        <v>-1105</v>
      </c>
      <c r="I40" s="24">
        <v>-1086</v>
      </c>
      <c r="J40" s="24">
        <v>-1187</v>
      </c>
      <c r="K40" s="24">
        <v>-1258</v>
      </c>
    </row>
    <row r="41" spans="1:11">
      <c r="A41" s="38" t="s">
        <v>115</v>
      </c>
      <c r="B41" s="24">
        <v>-31756</v>
      </c>
      <c r="C41" s="24">
        <v>-30303</v>
      </c>
      <c r="D41" s="24">
        <v>-28836</v>
      </c>
      <c r="E41" s="24">
        <v>-31288</v>
      </c>
      <c r="F41" s="24">
        <v>-34399</v>
      </c>
      <c r="G41" s="24">
        <v>-33639</v>
      </c>
      <c r="H41" s="24">
        <v>-32532</v>
      </c>
      <c r="I41" s="24">
        <v>-37137</v>
      </c>
      <c r="J41" s="24">
        <v>-41327</v>
      </c>
      <c r="K41" s="24">
        <v>-92189</v>
      </c>
    </row>
    <row r="42" spans="1:11">
      <c r="A42" s="39" t="s">
        <v>116</v>
      </c>
      <c r="B42" s="24">
        <v>-29378</v>
      </c>
      <c r="C42" s="24">
        <v>-27650</v>
      </c>
      <c r="D42" s="24">
        <v>-26194</v>
      </c>
      <c r="E42" s="24">
        <v>-28034</v>
      </c>
      <c r="F42" s="24">
        <v>-31581</v>
      </c>
      <c r="G42" s="24">
        <v>-30734</v>
      </c>
      <c r="H42" s="24">
        <v>-29554</v>
      </c>
      <c r="I42" s="24">
        <v>-34051</v>
      </c>
      <c r="J42" s="24">
        <v>-38162</v>
      </c>
      <c r="K42" s="24">
        <v>-88444</v>
      </c>
    </row>
    <row r="43" spans="1:11">
      <c r="A43" s="32" t="s">
        <v>117</v>
      </c>
      <c r="B43" s="27" t="s">
        <v>91</v>
      </c>
      <c r="C43" s="27" t="s">
        <v>91</v>
      </c>
      <c r="D43" s="27" t="s">
        <v>91</v>
      </c>
      <c r="E43" s="27" t="s">
        <v>91</v>
      </c>
      <c r="F43" s="24">
        <v>-16045</v>
      </c>
      <c r="G43" s="24">
        <v>-15436</v>
      </c>
      <c r="H43" s="24">
        <v>-13120</v>
      </c>
      <c r="I43" s="24">
        <v>-14477</v>
      </c>
      <c r="J43" s="24">
        <v>-17282</v>
      </c>
      <c r="K43" s="24">
        <v>-16464</v>
      </c>
    </row>
    <row r="44" spans="1:11">
      <c r="A44" s="30" t="s">
        <v>118</v>
      </c>
      <c r="B44" s="31" t="s">
        <v>91</v>
      </c>
      <c r="C44" s="31" t="s">
        <v>91</v>
      </c>
      <c r="D44" s="31" t="s">
        <v>91</v>
      </c>
      <c r="E44" s="31" t="s">
        <v>91</v>
      </c>
      <c r="F44" s="24">
        <v>-11641</v>
      </c>
      <c r="G44" s="24">
        <v>-11296</v>
      </c>
      <c r="H44" s="24">
        <v>-11638</v>
      </c>
      <c r="I44" s="24">
        <v>-13959</v>
      </c>
      <c r="J44" s="24">
        <v>-15896</v>
      </c>
      <c r="K44" s="24">
        <v>-67964</v>
      </c>
    </row>
    <row r="45" spans="1:11">
      <c r="A45" s="32" t="s">
        <v>119</v>
      </c>
      <c r="B45" s="27" t="s">
        <v>91</v>
      </c>
      <c r="C45" s="27" t="s">
        <v>91</v>
      </c>
      <c r="D45" s="27" t="s">
        <v>91</v>
      </c>
      <c r="E45" s="27" t="s">
        <v>91</v>
      </c>
      <c r="F45" s="24">
        <v>-3895</v>
      </c>
      <c r="G45" s="24">
        <v>-4002</v>
      </c>
      <c r="H45" s="24">
        <v>-4796</v>
      </c>
      <c r="I45" s="24">
        <v>-5615</v>
      </c>
      <c r="J45" s="24">
        <v>-4984</v>
      </c>
      <c r="K45" s="24">
        <v>-4016</v>
      </c>
    </row>
    <row r="46" spans="1:11">
      <c r="A46" s="26" t="s">
        <v>120</v>
      </c>
      <c r="B46" s="24">
        <v>-2378</v>
      </c>
      <c r="C46" s="24">
        <v>-2653</v>
      </c>
      <c r="D46" s="24">
        <v>-2642</v>
      </c>
      <c r="E46" s="24">
        <v>-3254</v>
      </c>
      <c r="F46" s="24">
        <v>-2818</v>
      </c>
      <c r="G46" s="24">
        <v>-2905</v>
      </c>
      <c r="H46" s="24">
        <v>-2978</v>
      </c>
      <c r="I46" s="24">
        <v>-3086</v>
      </c>
      <c r="J46" s="24">
        <v>-3165</v>
      </c>
      <c r="K46" s="24">
        <v>-3745</v>
      </c>
    </row>
    <row r="47" spans="1:11">
      <c r="A47" s="38" t="s">
        <v>96</v>
      </c>
      <c r="B47" s="24">
        <v>-4737</v>
      </c>
      <c r="C47" s="24">
        <v>-4903</v>
      </c>
      <c r="D47" s="24">
        <v>-5597</v>
      </c>
      <c r="E47" s="24">
        <v>-6390</v>
      </c>
      <c r="F47" s="29" t="s">
        <v>91</v>
      </c>
      <c r="G47" s="29" t="s">
        <v>91</v>
      </c>
      <c r="H47" s="29" t="s">
        <v>91</v>
      </c>
      <c r="I47" s="29" t="s">
        <v>91</v>
      </c>
      <c r="J47" s="29" t="s">
        <v>91</v>
      </c>
      <c r="K47" s="29" t="s">
        <v>91</v>
      </c>
    </row>
    <row r="48" spans="1:11">
      <c r="A48" s="26" t="s">
        <v>110</v>
      </c>
      <c r="B48" s="24">
        <v>-2758</v>
      </c>
      <c r="C48" s="24">
        <v>-2915</v>
      </c>
      <c r="D48" s="24">
        <v>-3448</v>
      </c>
      <c r="E48" s="24">
        <v>-4050</v>
      </c>
      <c r="F48" s="31" t="s">
        <v>91</v>
      </c>
      <c r="G48" s="31" t="s">
        <v>91</v>
      </c>
      <c r="H48" s="31" t="s">
        <v>91</v>
      </c>
      <c r="I48" s="31" t="s">
        <v>91</v>
      </c>
      <c r="J48" s="31" t="s">
        <v>91</v>
      </c>
      <c r="K48" s="31" t="s">
        <v>91</v>
      </c>
    </row>
    <row r="49" spans="1:11">
      <c r="A49" s="25" t="s">
        <v>112</v>
      </c>
      <c r="B49" s="24">
        <v>-1523</v>
      </c>
      <c r="C49" s="24">
        <v>-1586</v>
      </c>
      <c r="D49" s="24">
        <v>-1739</v>
      </c>
      <c r="E49" s="24">
        <v>-1940</v>
      </c>
      <c r="F49" s="27" t="s">
        <v>91</v>
      </c>
      <c r="G49" s="27" t="s">
        <v>91</v>
      </c>
      <c r="H49" s="27" t="s">
        <v>91</v>
      </c>
      <c r="I49" s="27" t="s">
        <v>91</v>
      </c>
      <c r="J49" s="27" t="s">
        <v>91</v>
      </c>
      <c r="K49" s="27" t="s">
        <v>91</v>
      </c>
    </row>
    <row r="50" spans="1:11">
      <c r="A50" s="26" t="s">
        <v>98</v>
      </c>
      <c r="B50" s="31" t="s">
        <v>91</v>
      </c>
      <c r="C50" s="31" t="s">
        <v>91</v>
      </c>
      <c r="D50" s="31" t="s">
        <v>91</v>
      </c>
      <c r="E50" s="31" t="s">
        <v>91</v>
      </c>
      <c r="F50" s="31" t="s">
        <v>91</v>
      </c>
      <c r="G50" s="31" t="s">
        <v>91</v>
      </c>
      <c r="H50" s="31" t="s">
        <v>91</v>
      </c>
      <c r="I50" s="31" t="s">
        <v>91</v>
      </c>
      <c r="J50" s="31" t="s">
        <v>91</v>
      </c>
      <c r="K50" s="31" t="s">
        <v>91</v>
      </c>
    </row>
    <row r="51" spans="1:11">
      <c r="A51" s="25" t="s">
        <v>120</v>
      </c>
      <c r="B51" s="24">
        <v>-456</v>
      </c>
      <c r="C51" s="24">
        <v>-402</v>
      </c>
      <c r="D51" s="24">
        <v>-410</v>
      </c>
      <c r="E51" s="24">
        <v>-400</v>
      </c>
      <c r="F51" s="27" t="s">
        <v>91</v>
      </c>
      <c r="G51" s="27" t="s">
        <v>91</v>
      </c>
      <c r="H51" s="27" t="s">
        <v>91</v>
      </c>
      <c r="I51" s="27" t="s">
        <v>91</v>
      </c>
      <c r="J51" s="27" t="s">
        <v>91</v>
      </c>
      <c r="K51" s="27" t="s">
        <v>91</v>
      </c>
    </row>
    <row r="52" spans="1:11">
      <c r="A52" s="40" t="s">
        <v>121</v>
      </c>
      <c r="B52" s="31">
        <v>28105</v>
      </c>
      <c r="C52" s="31">
        <v>34946</v>
      </c>
      <c r="D52" s="24">
        <v>32744</v>
      </c>
      <c r="E52" s="24">
        <v>20900</v>
      </c>
      <c r="F52" s="24">
        <v>6168</v>
      </c>
      <c r="G52" s="24">
        <v>101520</v>
      </c>
      <c r="H52" s="24">
        <v>54967</v>
      </c>
      <c r="I52" s="24">
        <v>110691</v>
      </c>
      <c r="J52" s="24">
        <v>-32439</v>
      </c>
      <c r="K52" s="24">
        <v>118193</v>
      </c>
    </row>
    <row r="53" spans="1:11">
      <c r="A53" s="41" t="s">
        <v>122</v>
      </c>
      <c r="B53" s="27" t="s">
        <v>91</v>
      </c>
      <c r="C53" s="27" t="s">
        <v>91</v>
      </c>
      <c r="D53" s="24">
        <v>923</v>
      </c>
      <c r="E53" s="24">
        <v>2938</v>
      </c>
      <c r="F53" s="24">
        <v>-2167</v>
      </c>
      <c r="G53" s="24">
        <v>1176</v>
      </c>
      <c r="H53" s="24">
        <v>726</v>
      </c>
      <c r="I53" s="24">
        <v>995</v>
      </c>
      <c r="J53" s="24">
        <v>1863</v>
      </c>
      <c r="K53" s="24">
        <v>1973</v>
      </c>
    </row>
    <row r="54" spans="1:11">
      <c r="A54" s="40" t="s">
        <v>123</v>
      </c>
      <c r="B54" s="24">
        <v>28105</v>
      </c>
      <c r="C54" s="24">
        <v>34946</v>
      </c>
      <c r="D54" s="24">
        <v>33667</v>
      </c>
      <c r="E54" s="24">
        <v>23838</v>
      </c>
      <c r="F54" s="24">
        <v>4001</v>
      </c>
      <c r="G54" s="24">
        <v>102696</v>
      </c>
      <c r="H54" s="24">
        <v>55693</v>
      </c>
      <c r="I54" s="24">
        <v>111686</v>
      </c>
      <c r="J54" s="24">
        <v>-30576</v>
      </c>
      <c r="K54" s="24">
        <v>120166</v>
      </c>
    </row>
    <row r="55" spans="1:11">
      <c r="A55" s="41" t="s">
        <v>124</v>
      </c>
      <c r="B55" s="24">
        <v>-7935</v>
      </c>
      <c r="C55" s="24">
        <v>-10532</v>
      </c>
      <c r="D55" s="24">
        <v>-9240</v>
      </c>
      <c r="E55" s="24">
        <v>21515</v>
      </c>
      <c r="F55" s="24">
        <v>321</v>
      </c>
      <c r="G55" s="24">
        <v>-20904</v>
      </c>
      <c r="H55" s="24">
        <v>-12440</v>
      </c>
      <c r="I55" s="24">
        <v>-20879</v>
      </c>
      <c r="J55" s="24">
        <v>8518</v>
      </c>
      <c r="K55" s="24">
        <v>-23019</v>
      </c>
    </row>
    <row r="56" spans="1:11">
      <c r="A56" s="40" t="s">
        <v>125</v>
      </c>
      <c r="B56" s="31" t="s">
        <v>91</v>
      </c>
      <c r="C56" s="31" t="s">
        <v>91</v>
      </c>
      <c r="D56" s="31" t="s">
        <v>91</v>
      </c>
      <c r="E56" s="31" t="s">
        <v>91</v>
      </c>
      <c r="F56" s="31" t="s">
        <v>91</v>
      </c>
      <c r="G56" s="31" t="s">
        <v>91</v>
      </c>
      <c r="H56" s="31" t="s">
        <v>91</v>
      </c>
      <c r="I56" s="31" t="s">
        <v>91</v>
      </c>
      <c r="J56" s="31" t="s">
        <v>91</v>
      </c>
      <c r="K56" s="31" t="s">
        <v>91</v>
      </c>
    </row>
    <row r="57" spans="1:11">
      <c r="A57" s="41" t="s">
        <v>126</v>
      </c>
      <c r="B57" s="27" t="s">
        <v>91</v>
      </c>
      <c r="C57" s="27" t="s">
        <v>91</v>
      </c>
      <c r="D57" s="27" t="s">
        <v>91</v>
      </c>
      <c r="E57" s="27" t="s">
        <v>91</v>
      </c>
      <c r="F57" s="27" t="s">
        <v>91</v>
      </c>
      <c r="G57" s="27" t="s">
        <v>91</v>
      </c>
      <c r="H57" s="27" t="s">
        <v>91</v>
      </c>
      <c r="I57" s="27" t="s">
        <v>91</v>
      </c>
      <c r="J57" s="27" t="s">
        <v>91</v>
      </c>
      <c r="K57" s="27" t="s">
        <v>91</v>
      </c>
    </row>
    <row r="58" spans="1:11">
      <c r="A58" s="40" t="s">
        <v>127</v>
      </c>
      <c r="B58" s="24">
        <v>20170</v>
      </c>
      <c r="C58" s="24">
        <v>24414</v>
      </c>
      <c r="D58" s="24">
        <v>24427</v>
      </c>
      <c r="E58" s="24">
        <v>45353</v>
      </c>
      <c r="F58" s="24">
        <v>4322</v>
      </c>
      <c r="G58" s="24">
        <v>81792</v>
      </c>
      <c r="H58" s="24">
        <v>43253</v>
      </c>
      <c r="I58" s="24">
        <v>90807</v>
      </c>
      <c r="J58" s="24">
        <v>-22058</v>
      </c>
      <c r="K58" s="24">
        <v>97147</v>
      </c>
    </row>
    <row r="59" spans="1:11">
      <c r="A59" s="41" t="s">
        <v>128</v>
      </c>
      <c r="B59" s="24">
        <v>-298</v>
      </c>
      <c r="C59" s="24">
        <v>-331</v>
      </c>
      <c r="D59" s="24">
        <v>-353</v>
      </c>
      <c r="E59" s="24">
        <v>-413</v>
      </c>
      <c r="F59" s="24">
        <v>-301</v>
      </c>
      <c r="G59" s="24">
        <v>-375</v>
      </c>
      <c r="H59" s="24">
        <v>-732</v>
      </c>
      <c r="I59" s="24">
        <v>-1012</v>
      </c>
      <c r="J59" s="24">
        <v>-761</v>
      </c>
      <c r="K59" s="24">
        <v>-924</v>
      </c>
    </row>
    <row r="60" spans="1:11">
      <c r="A60" s="40" t="s">
        <v>129</v>
      </c>
      <c r="B60" s="24">
        <v>19872</v>
      </c>
      <c r="C60" s="24">
        <v>24083</v>
      </c>
      <c r="D60" s="24">
        <v>24074</v>
      </c>
      <c r="E60" s="24">
        <v>44940</v>
      </c>
      <c r="F60" s="24">
        <v>4021</v>
      </c>
      <c r="G60" s="24">
        <v>81417</v>
      </c>
      <c r="H60" s="24">
        <v>42521</v>
      </c>
      <c r="I60" s="24">
        <v>89795</v>
      </c>
      <c r="J60" s="24">
        <v>-22819</v>
      </c>
      <c r="K60" s="24">
        <v>96223</v>
      </c>
    </row>
    <row r="61" spans="1:11">
      <c r="A61" s="34" t="s">
        <v>130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>
      <c r="A62" s="23" t="s">
        <v>131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</row>
    <row r="63" spans="1:11">
      <c r="A63" s="25" t="s">
        <v>132</v>
      </c>
      <c r="B63" s="24">
        <v>12092</v>
      </c>
      <c r="C63" s="24">
        <v>14656</v>
      </c>
      <c r="D63" s="24">
        <v>14645</v>
      </c>
      <c r="E63" s="24">
        <v>27326</v>
      </c>
      <c r="F63" s="24">
        <v>2446</v>
      </c>
      <c r="G63" s="24">
        <v>49828</v>
      </c>
      <c r="H63" s="24">
        <v>26668</v>
      </c>
      <c r="I63" s="24">
        <v>59460</v>
      </c>
      <c r="J63" s="24">
        <v>-15535</v>
      </c>
      <c r="K63" s="24">
        <v>66412</v>
      </c>
    </row>
    <row r="64" spans="1:11">
      <c r="A64" s="23" t="s">
        <v>133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 spans="1:11">
      <c r="A65" s="25" t="s">
        <v>132</v>
      </c>
      <c r="B65" s="24">
        <v>8.06</v>
      </c>
      <c r="C65" s="24" t="s">
        <v>91</v>
      </c>
      <c r="D65" s="24">
        <v>9.76</v>
      </c>
      <c r="E65" s="24">
        <v>18.219999000000001</v>
      </c>
      <c r="F65" s="24">
        <v>1.63</v>
      </c>
      <c r="G65" s="24">
        <v>33.220001000000003</v>
      </c>
      <c r="H65" s="24">
        <v>17.780000999999999</v>
      </c>
      <c r="I65" s="24">
        <v>39.639999000000003</v>
      </c>
      <c r="J65" s="24">
        <v>-10.36</v>
      </c>
      <c r="K65" s="24">
        <v>44.27</v>
      </c>
    </row>
    <row r="66" spans="1:11">
      <c r="A66" s="37" t="s">
        <v>134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>
      <c r="A67" s="38" t="s">
        <v>131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1:11">
      <c r="A68" s="26" t="s">
        <v>135</v>
      </c>
      <c r="B68" s="24">
        <v>1.643456</v>
      </c>
      <c r="C68" s="24">
        <v>1.6431830000000001</v>
      </c>
      <c r="D68" s="24">
        <v>1.643826</v>
      </c>
      <c r="E68" s="24">
        <v>1.6446149999999999</v>
      </c>
      <c r="F68" s="24">
        <v>1.6437949999999999</v>
      </c>
      <c r="G68" s="24">
        <v>1.6339459999999999</v>
      </c>
      <c r="H68" s="24">
        <v>1.5944689999999999</v>
      </c>
      <c r="I68" s="24">
        <v>1.5101800000000001</v>
      </c>
      <c r="J68" s="24">
        <v>1.4688760000000001</v>
      </c>
      <c r="K68" s="24">
        <v>1.45</v>
      </c>
    </row>
    <row r="69" spans="1:11">
      <c r="A69" s="38" t="s">
        <v>133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 spans="1:11">
      <c r="A70" s="26" t="s">
        <v>135</v>
      </c>
      <c r="B70" s="31" t="s">
        <v>91</v>
      </c>
      <c r="C70" s="31" t="s">
        <v>91</v>
      </c>
      <c r="D70" s="31" t="s">
        <v>91</v>
      </c>
      <c r="E70" s="24">
        <v>2466.9233399999998</v>
      </c>
      <c r="F70" s="24">
        <v>2465.6923830000001</v>
      </c>
      <c r="G70" s="24">
        <v>2450.9189449999999</v>
      </c>
      <c r="H70" s="24">
        <v>2391.7036130000001</v>
      </c>
      <c r="I70" s="24">
        <v>2265.2697750000002</v>
      </c>
      <c r="J70" s="24">
        <v>2203.313721</v>
      </c>
      <c r="K70" s="24">
        <v>2173.31</v>
      </c>
    </row>
    <row r="71" spans="1:1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</row>
  </sheetData>
  <conditionalFormatting sqref="A7:K8 A9:J10 A11:K71">
    <cfRule type="cellIs" dxfId="88" priority="8" operator="lessThan">
      <formula>0</formula>
    </cfRule>
  </conditionalFormatting>
  <conditionalFormatting sqref="B7:K8 B9:J10 B11:K60 B63:K63 B68:K68">
    <cfRule type="cellIs" dxfId="87" priority="7" operator="greaterThan">
      <formula>0</formula>
    </cfRule>
  </conditionalFormatting>
  <conditionalFormatting sqref="B65:K65">
    <cfRule type="cellIs" dxfId="86" priority="5" operator="greaterThan">
      <formula>0</formula>
    </cfRule>
  </conditionalFormatting>
  <conditionalFormatting sqref="E70:K70">
    <cfRule type="cellIs" dxfId="85" priority="3" operator="greaterThan">
      <formula>0</formula>
    </cfRule>
  </conditionalFormatting>
  <conditionalFormatting sqref="K9:K10">
    <cfRule type="cellIs" dxfId="84" priority="2" operator="lessThan">
      <formula>0</formula>
    </cfRule>
  </conditionalFormatting>
  <conditionalFormatting sqref="K9:K10">
    <cfRule type="cellIs" dxfId="83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49A5-0930-4692-BA83-025D215878AF}">
  <dimension ref="A1:M79"/>
  <sheetViews>
    <sheetView workbookViewId="0">
      <selection activeCell="M11" sqref="M11"/>
    </sheetView>
  </sheetViews>
  <sheetFormatPr defaultRowHeight="15"/>
  <cols>
    <col min="1" max="1" width="85.5703125" bestFit="1" customWidth="1"/>
    <col min="2" max="2" width="13" bestFit="1" customWidth="1"/>
    <col min="3" max="4" width="12.42578125" bestFit="1" customWidth="1"/>
    <col min="5" max="5" width="12.7109375" bestFit="1" customWidth="1"/>
    <col min="6" max="6" width="13" bestFit="1" customWidth="1"/>
    <col min="7" max="8" width="12.42578125" bestFit="1" customWidth="1"/>
    <col min="9" max="10" width="13" bestFit="1" customWidth="1"/>
    <col min="11" max="11" width="14.28515625" customWidth="1"/>
    <col min="12" max="12" width="18.5703125" bestFit="1" customWidth="1"/>
    <col min="13" max="13" width="13.28515625" bestFit="1" customWidth="1"/>
  </cols>
  <sheetData>
    <row r="1" spans="1:13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18" t="s">
        <v>136</v>
      </c>
      <c r="M1" t="s">
        <v>137</v>
      </c>
    </row>
    <row r="2" spans="1:13">
      <c r="A2" s="19" t="s">
        <v>138</v>
      </c>
      <c r="B2" s="19"/>
      <c r="C2" s="19"/>
      <c r="D2" s="19"/>
      <c r="E2" s="19"/>
      <c r="F2" s="62">
        <f>F$16/B$16-1</f>
        <v>7.7587963591903231E-2</v>
      </c>
      <c r="G2" s="62">
        <f t="shared" ref="G2:H2" si="0">G$16/C$16-1</f>
        <v>4.0551899135675251E-2</v>
      </c>
      <c r="H2" s="62">
        <f t="shared" si="0"/>
        <v>6.7305240341706041E-2</v>
      </c>
      <c r="I2" s="60"/>
      <c r="J2" s="60">
        <f>J$16/F$16-1</f>
        <v>3.1769544731077737E-2</v>
      </c>
      <c r="K2" s="60">
        <f>K$16/G$16-1</f>
        <v>4.2522709260501168E-2</v>
      </c>
      <c r="L2" s="65">
        <f>AVERAGE($F2:$K2)</f>
        <v>5.1947471412172687E-2</v>
      </c>
    </row>
    <row r="3" spans="1:13">
      <c r="A3" s="19" t="s">
        <v>139</v>
      </c>
      <c r="B3" s="19"/>
      <c r="C3" s="19"/>
      <c r="D3" s="19"/>
      <c r="E3" s="19"/>
      <c r="F3" s="62">
        <f>F$30/B$30-1</f>
        <v>0.83995973829894321</v>
      </c>
      <c r="G3" s="62">
        <f t="shared" ref="G3:I3" si="1">G$30/C$30-1</f>
        <v>1.0488380952380951</v>
      </c>
      <c r="H3" s="62">
        <f t="shared" si="1"/>
        <v>0.84940098661028895</v>
      </c>
      <c r="I3" s="62"/>
      <c r="J3" s="60">
        <f>J$30/F$30-1</f>
        <v>0.11214442013129111</v>
      </c>
      <c r="K3" s="60">
        <f>K$30/G$30-1</f>
        <v>-6.0986947305790018E-2</v>
      </c>
      <c r="L3" s="65">
        <f>AVERAGE($F3:$K3)</f>
        <v>0.55787125859456577</v>
      </c>
      <c r="M3" s="71">
        <f>AVERAGE(J3:K3)</f>
        <v>2.5578736412750547E-2</v>
      </c>
    </row>
    <row r="4" spans="1:13">
      <c r="A4" s="19" t="s">
        <v>140</v>
      </c>
      <c r="B4" s="62">
        <f>-B$39/B$16</f>
        <v>0.89923244124439616</v>
      </c>
      <c r="C4" s="62">
        <f t="shared" ref="C4:D4" si="2">-C$39/C$16</f>
        <v>0.86524462770597099</v>
      </c>
      <c r="D4" s="62">
        <f t="shared" si="2"/>
        <v>0.90902715797526457</v>
      </c>
      <c r="E4" s="60"/>
      <c r="F4" s="60">
        <f>-F$39/F$16</f>
        <v>0.88751437981625347</v>
      </c>
      <c r="G4" s="60">
        <f t="shared" ref="G4:H4" si="3">-G$39/G$16</f>
        <v>0.85873011034566848</v>
      </c>
      <c r="H4" s="60">
        <f t="shared" si="3"/>
        <v>0.84113070616871</v>
      </c>
      <c r="I4" s="60"/>
      <c r="J4" s="60">
        <f>-J$39/F$16</f>
        <v>0.85602849173456041</v>
      </c>
      <c r="K4" s="60">
        <f>-K$39/G$16</f>
        <v>0.8651161372919588</v>
      </c>
      <c r="L4" s="65">
        <f>AVERAGE($B4:$K4)</f>
        <v>0.87275300653534782</v>
      </c>
      <c r="M4" s="70">
        <f>AVERAGE(J4:K4)</f>
        <v>0.86057231451325955</v>
      </c>
    </row>
    <row r="5" spans="1:13">
      <c r="A5" s="19" t="s">
        <v>141</v>
      </c>
      <c r="B5" s="62">
        <f>-B$49/B$30</f>
        <v>0.79198121120617349</v>
      </c>
      <c r="C5" s="62">
        <f t="shared" ref="C5:K5" si="4">-C$49/C$30</f>
        <v>0.79359999999999997</v>
      </c>
      <c r="D5" s="62">
        <f t="shared" si="4"/>
        <v>0.7745595489781536</v>
      </c>
      <c r="E5" s="62"/>
      <c r="F5" s="62">
        <f t="shared" si="4"/>
        <v>0.90116703136396792</v>
      </c>
      <c r="G5" s="62">
        <f t="shared" si="4"/>
        <v>0.90353649920047596</v>
      </c>
      <c r="H5" s="62">
        <f t="shared" si="4"/>
        <v>0.92691384369165108</v>
      </c>
      <c r="I5" s="62"/>
      <c r="J5" s="62">
        <f t="shared" si="4"/>
        <v>0.91043613707165105</v>
      </c>
      <c r="K5" s="62">
        <f t="shared" si="4"/>
        <v>0.90542948794107159</v>
      </c>
      <c r="L5" s="65">
        <f>AVERAGE($B5:$K5)</f>
        <v>0.863452969931643</v>
      </c>
      <c r="M5" s="70">
        <f>AVERAGE(J5:K5)</f>
        <v>0.90793281250636126</v>
      </c>
    </row>
    <row r="6" spans="1:13">
      <c r="A6" s="19" t="s">
        <v>142</v>
      </c>
      <c r="B6" s="19"/>
      <c r="C6" s="19"/>
      <c r="D6" s="19"/>
      <c r="E6" s="60"/>
      <c r="F6" s="60"/>
      <c r="G6" s="60"/>
      <c r="H6" s="19"/>
      <c r="I6" s="60"/>
      <c r="J6" s="60"/>
      <c r="K6" s="63">
        <v>0.20030000000000001</v>
      </c>
      <c r="L6" s="61"/>
    </row>
    <row r="10" spans="1:13">
      <c r="A10" s="15" t="s">
        <v>72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3">
      <c r="A11" s="15" t="s">
        <v>73</v>
      </c>
      <c r="B11" s="16"/>
      <c r="C11" s="16"/>
      <c r="D11" s="16"/>
      <c r="E11" s="16"/>
      <c r="F11" s="16"/>
      <c r="G11" s="16"/>
      <c r="H11" s="16"/>
      <c r="I11" s="55"/>
      <c r="J11" s="55"/>
      <c r="K11" s="55"/>
    </row>
    <row r="12" spans="1:13">
      <c r="A12" s="15" t="s">
        <v>74</v>
      </c>
      <c r="B12" s="15"/>
      <c r="C12" s="15"/>
      <c r="D12" s="15"/>
      <c r="E12" s="15"/>
      <c r="F12" s="15"/>
      <c r="G12" s="17"/>
      <c r="H12" s="17"/>
      <c r="I12" s="15"/>
      <c r="J12" s="15"/>
      <c r="K12" s="15"/>
    </row>
    <row r="13" spans="1:13">
      <c r="A13" s="15" t="s">
        <v>143</v>
      </c>
      <c r="B13" s="15" t="s">
        <v>144</v>
      </c>
      <c r="C13" s="15" t="s">
        <v>145</v>
      </c>
      <c r="D13" s="15" t="s">
        <v>146</v>
      </c>
      <c r="E13" s="15" t="s">
        <v>83</v>
      </c>
      <c r="F13" s="15" t="s">
        <v>147</v>
      </c>
      <c r="G13" s="15" t="s">
        <v>148</v>
      </c>
      <c r="H13" s="15" t="s">
        <v>149</v>
      </c>
      <c r="I13" s="15" t="s">
        <v>84</v>
      </c>
      <c r="J13" s="15" t="s">
        <v>150</v>
      </c>
      <c r="K13" s="58" t="s">
        <v>151</v>
      </c>
    </row>
    <row r="14" spans="1:13">
      <c r="A14" s="20"/>
      <c r="B14" s="21"/>
      <c r="C14" s="21"/>
      <c r="D14" s="21"/>
      <c r="E14" s="21" t="s">
        <v>152</v>
      </c>
      <c r="F14" s="21"/>
      <c r="G14" s="21"/>
      <c r="H14" s="21"/>
      <c r="I14" s="21" t="s">
        <v>152</v>
      </c>
      <c r="J14" s="21"/>
      <c r="K14" s="21"/>
    </row>
    <row r="15" spans="1:13">
      <c r="A15" s="23" t="s">
        <v>85</v>
      </c>
      <c r="B15" s="56">
        <v>70810</v>
      </c>
      <c r="C15" s="56">
        <v>76180</v>
      </c>
      <c r="D15" s="56">
        <v>76934</v>
      </c>
      <c r="E15" s="56" t="s">
        <v>91</v>
      </c>
      <c r="F15" s="56">
        <v>85393</v>
      </c>
      <c r="G15" s="56">
        <v>92503</v>
      </c>
      <c r="H15" s="56">
        <v>93210</v>
      </c>
      <c r="I15" s="56" t="s">
        <v>91</v>
      </c>
      <c r="J15" s="56">
        <v>89869</v>
      </c>
      <c r="K15" s="56">
        <v>93653</v>
      </c>
    </row>
    <row r="16" spans="1:13">
      <c r="A16" s="23" t="s">
        <v>86</v>
      </c>
      <c r="B16" s="56">
        <v>58888</v>
      </c>
      <c r="C16" s="56">
        <v>63055</v>
      </c>
      <c r="D16" s="56">
        <v>62744</v>
      </c>
      <c r="E16" s="56" t="s">
        <v>91</v>
      </c>
      <c r="F16" s="56">
        <v>63457</v>
      </c>
      <c r="G16" s="56">
        <v>65612</v>
      </c>
      <c r="H16" s="56">
        <v>66967</v>
      </c>
      <c r="I16" s="56" t="s">
        <v>91</v>
      </c>
      <c r="J16" s="56">
        <v>65473</v>
      </c>
      <c r="K16" s="56">
        <v>68402</v>
      </c>
    </row>
    <row r="17" spans="1:11">
      <c r="A17" s="25" t="s">
        <v>87</v>
      </c>
      <c r="B17" s="56">
        <v>17492</v>
      </c>
      <c r="C17" s="56">
        <v>18087</v>
      </c>
      <c r="D17" s="56">
        <v>18810</v>
      </c>
      <c r="E17" s="56" t="s">
        <v>91</v>
      </c>
      <c r="F17" s="56">
        <v>19796</v>
      </c>
      <c r="G17" s="56">
        <v>20561</v>
      </c>
      <c r="H17" s="56">
        <v>21360</v>
      </c>
      <c r="I17" s="56" t="s">
        <v>91</v>
      </c>
      <c r="J17" s="56">
        <v>21474</v>
      </c>
      <c r="K17" s="56">
        <v>21953</v>
      </c>
    </row>
    <row r="18" spans="1:11">
      <c r="A18" s="26" t="s">
        <v>88</v>
      </c>
      <c r="B18" s="56">
        <v>37862</v>
      </c>
      <c r="C18" s="56">
        <v>40220</v>
      </c>
      <c r="D18" s="56">
        <v>39597</v>
      </c>
      <c r="E18" s="56" t="s">
        <v>91</v>
      </c>
      <c r="F18" s="56">
        <v>38388</v>
      </c>
      <c r="G18" s="56">
        <v>39126</v>
      </c>
      <c r="H18" s="56">
        <v>39456</v>
      </c>
      <c r="I18" s="56" t="s">
        <v>91</v>
      </c>
      <c r="J18" s="56">
        <v>37472</v>
      </c>
      <c r="K18" s="56">
        <v>38892</v>
      </c>
    </row>
    <row r="19" spans="1:11">
      <c r="A19" s="25" t="s">
        <v>90</v>
      </c>
      <c r="B19" s="56">
        <v>1672</v>
      </c>
      <c r="C19" s="56">
        <v>1887</v>
      </c>
      <c r="D19" s="56">
        <v>1959</v>
      </c>
      <c r="E19" s="56" t="s">
        <v>91</v>
      </c>
      <c r="F19" s="56">
        <v>2044</v>
      </c>
      <c r="G19" s="56">
        <v>2079</v>
      </c>
      <c r="H19" s="56">
        <v>2104</v>
      </c>
      <c r="I19" s="56" t="s">
        <v>91</v>
      </c>
      <c r="J19" s="56">
        <v>2222</v>
      </c>
      <c r="K19" s="56">
        <v>2308</v>
      </c>
    </row>
    <row r="20" spans="1:11">
      <c r="A20" s="26" t="s">
        <v>92</v>
      </c>
      <c r="B20" s="56">
        <v>1862</v>
      </c>
      <c r="C20" s="56">
        <v>2861</v>
      </c>
      <c r="D20" s="56">
        <v>2378</v>
      </c>
      <c r="E20" s="56" t="s">
        <v>91</v>
      </c>
      <c r="F20" s="56">
        <v>3229</v>
      </c>
      <c r="G20" s="56">
        <v>3846</v>
      </c>
      <c r="H20" s="56">
        <v>4047</v>
      </c>
      <c r="I20" s="56" t="s">
        <v>91</v>
      </c>
      <c r="J20" s="56">
        <v>4305</v>
      </c>
      <c r="K20" s="56">
        <v>5249</v>
      </c>
    </row>
    <row r="21" spans="1:11">
      <c r="A21" s="28" t="s">
        <v>93</v>
      </c>
      <c r="B21" s="56" t="s">
        <v>91</v>
      </c>
      <c r="C21" s="45" t="s">
        <v>91</v>
      </c>
      <c r="D21" s="45" t="s">
        <v>91</v>
      </c>
      <c r="E21" s="45" t="s">
        <v>91</v>
      </c>
      <c r="F21" s="45" t="s">
        <v>91</v>
      </c>
      <c r="G21" s="45" t="s">
        <v>91</v>
      </c>
      <c r="H21" s="45" t="s">
        <v>91</v>
      </c>
      <c r="I21" s="45" t="s">
        <v>91</v>
      </c>
      <c r="J21" s="45" t="s">
        <v>91</v>
      </c>
      <c r="K21" s="45"/>
    </row>
    <row r="22" spans="1:11">
      <c r="A22" s="30" t="s">
        <v>94</v>
      </c>
      <c r="B22" s="46" t="s">
        <v>91</v>
      </c>
      <c r="C22" s="46" t="s">
        <v>91</v>
      </c>
      <c r="D22" s="46" t="s">
        <v>91</v>
      </c>
      <c r="E22" s="46" t="s">
        <v>91</v>
      </c>
      <c r="F22" s="46" t="s">
        <v>91</v>
      </c>
      <c r="G22" s="46" t="s">
        <v>91</v>
      </c>
      <c r="H22" s="46" t="s">
        <v>91</v>
      </c>
      <c r="I22" s="46" t="s">
        <v>91</v>
      </c>
      <c r="J22" s="46" t="s">
        <v>91</v>
      </c>
      <c r="K22" s="46"/>
    </row>
    <row r="23" spans="1:11">
      <c r="A23" s="32" t="s">
        <v>95</v>
      </c>
      <c r="B23" s="44" t="s">
        <v>91</v>
      </c>
      <c r="C23" s="44" t="s">
        <v>91</v>
      </c>
      <c r="D23" s="44" t="s">
        <v>91</v>
      </c>
      <c r="E23" s="44" t="s">
        <v>91</v>
      </c>
      <c r="F23" s="44" t="s">
        <v>91</v>
      </c>
      <c r="G23" s="44" t="s">
        <v>91</v>
      </c>
      <c r="H23" s="44" t="s">
        <v>91</v>
      </c>
      <c r="I23" s="44" t="s">
        <v>91</v>
      </c>
      <c r="J23" s="44" t="s">
        <v>91</v>
      </c>
      <c r="K23" s="44"/>
    </row>
    <row r="24" spans="1:11">
      <c r="A24" s="23" t="s">
        <v>96</v>
      </c>
      <c r="B24" s="56" t="s">
        <v>91</v>
      </c>
      <c r="C24" s="47" t="s">
        <v>91</v>
      </c>
      <c r="D24" s="47" t="s">
        <v>91</v>
      </c>
      <c r="E24" s="47" t="s">
        <v>91</v>
      </c>
      <c r="F24" s="47" t="s">
        <v>91</v>
      </c>
      <c r="G24" s="47" t="s">
        <v>91</v>
      </c>
      <c r="H24" s="47" t="s">
        <v>91</v>
      </c>
      <c r="I24" s="47" t="s">
        <v>91</v>
      </c>
      <c r="J24" s="47" t="s">
        <v>91</v>
      </c>
      <c r="K24" s="47"/>
    </row>
    <row r="25" spans="1:11">
      <c r="A25" s="25" t="s">
        <v>88</v>
      </c>
      <c r="B25" s="56" t="s">
        <v>91</v>
      </c>
      <c r="C25" s="44" t="s">
        <v>91</v>
      </c>
      <c r="D25" s="44" t="s">
        <v>91</v>
      </c>
      <c r="E25" s="44" t="s">
        <v>91</v>
      </c>
      <c r="F25" s="44" t="s">
        <v>91</v>
      </c>
      <c r="G25" s="44" t="s">
        <v>91</v>
      </c>
      <c r="H25" s="44" t="s">
        <v>91</v>
      </c>
      <c r="I25" s="44" t="s">
        <v>91</v>
      </c>
      <c r="J25" s="44" t="s">
        <v>91</v>
      </c>
      <c r="K25" s="44"/>
    </row>
    <row r="26" spans="1:11">
      <c r="A26" s="26" t="s">
        <v>92</v>
      </c>
      <c r="B26" s="56" t="s">
        <v>91</v>
      </c>
      <c r="C26" s="46" t="s">
        <v>91</v>
      </c>
      <c r="D26" s="46" t="s">
        <v>91</v>
      </c>
      <c r="E26" s="46" t="s">
        <v>91</v>
      </c>
      <c r="F26" s="46" t="s">
        <v>91</v>
      </c>
      <c r="G26" s="46" t="s">
        <v>91</v>
      </c>
      <c r="H26" s="46" t="s">
        <v>91</v>
      </c>
      <c r="I26" s="46" t="s">
        <v>91</v>
      </c>
      <c r="J26" s="46" t="s">
        <v>91</v>
      </c>
      <c r="K26" s="46"/>
    </row>
    <row r="27" spans="1:11">
      <c r="A27" s="25" t="s">
        <v>93</v>
      </c>
      <c r="B27" s="56" t="s">
        <v>91</v>
      </c>
      <c r="C27" s="44" t="s">
        <v>91</v>
      </c>
      <c r="D27" s="44" t="s">
        <v>91</v>
      </c>
      <c r="E27" s="44" t="s">
        <v>91</v>
      </c>
      <c r="F27" s="44" t="s">
        <v>91</v>
      </c>
      <c r="G27" s="44" t="s">
        <v>91</v>
      </c>
      <c r="H27" s="44" t="s">
        <v>91</v>
      </c>
      <c r="I27" s="44" t="s">
        <v>91</v>
      </c>
      <c r="J27" s="44" t="s">
        <v>91</v>
      </c>
      <c r="K27" s="44"/>
    </row>
    <row r="28" spans="1:11">
      <c r="A28" s="26" t="s">
        <v>97</v>
      </c>
      <c r="B28" s="56" t="s">
        <v>91</v>
      </c>
      <c r="C28" s="46" t="s">
        <v>91</v>
      </c>
      <c r="D28" s="46" t="s">
        <v>91</v>
      </c>
      <c r="E28" s="46" t="s">
        <v>91</v>
      </c>
      <c r="F28" s="46" t="s">
        <v>91</v>
      </c>
      <c r="G28" s="46" t="s">
        <v>91</v>
      </c>
      <c r="H28" s="46" t="s">
        <v>91</v>
      </c>
      <c r="I28" s="46" t="s">
        <v>91</v>
      </c>
      <c r="J28" s="46" t="s">
        <v>91</v>
      </c>
      <c r="K28" s="46"/>
    </row>
    <row r="29" spans="1:11">
      <c r="A29" s="25" t="s">
        <v>98</v>
      </c>
      <c r="B29" s="44" t="s">
        <v>91</v>
      </c>
      <c r="C29" s="44" t="s">
        <v>91</v>
      </c>
      <c r="D29" s="44" t="s">
        <v>91</v>
      </c>
      <c r="E29" s="44" t="s">
        <v>91</v>
      </c>
      <c r="F29" s="44" t="s">
        <v>91</v>
      </c>
      <c r="G29" s="44" t="s">
        <v>91</v>
      </c>
      <c r="H29" s="44" t="s">
        <v>91</v>
      </c>
      <c r="I29" s="44" t="s">
        <v>91</v>
      </c>
      <c r="J29" s="44" t="s">
        <v>91</v>
      </c>
      <c r="K29" s="44"/>
    </row>
    <row r="30" spans="1:11">
      <c r="A30" s="23" t="s">
        <v>99</v>
      </c>
      <c r="B30" s="56">
        <v>11922</v>
      </c>
      <c r="C30" s="56">
        <v>13125</v>
      </c>
      <c r="D30" s="56">
        <v>14190</v>
      </c>
      <c r="E30" s="56" t="s">
        <v>91</v>
      </c>
      <c r="F30" s="56">
        <v>21936</v>
      </c>
      <c r="G30" s="56">
        <v>26891</v>
      </c>
      <c r="H30" s="56">
        <v>26243</v>
      </c>
      <c r="I30" s="56" t="s">
        <v>91</v>
      </c>
      <c r="J30" s="56">
        <v>24396</v>
      </c>
      <c r="K30" s="56">
        <v>25251</v>
      </c>
    </row>
    <row r="31" spans="1:11">
      <c r="A31" s="25" t="s">
        <v>100</v>
      </c>
      <c r="B31" s="56">
        <v>5944</v>
      </c>
      <c r="C31" s="56">
        <v>6612</v>
      </c>
      <c r="D31" s="56">
        <v>6663</v>
      </c>
      <c r="E31" s="56" t="s">
        <v>91</v>
      </c>
      <c r="F31" s="56">
        <v>6001</v>
      </c>
      <c r="G31" s="56">
        <v>5808</v>
      </c>
      <c r="H31" s="56">
        <v>5828</v>
      </c>
      <c r="I31" s="56" t="s">
        <v>91</v>
      </c>
      <c r="J31" s="56">
        <v>5637</v>
      </c>
      <c r="K31" s="56">
        <v>5720</v>
      </c>
    </row>
    <row r="32" spans="1:11">
      <c r="A32" s="26" t="s">
        <v>101</v>
      </c>
      <c r="B32" s="56">
        <v>4818</v>
      </c>
      <c r="C32" s="56">
        <v>4935</v>
      </c>
      <c r="D32" s="56">
        <v>6090</v>
      </c>
      <c r="E32" s="56">
        <v>6709</v>
      </c>
      <c r="F32" s="56">
        <v>14917</v>
      </c>
      <c r="G32" s="56">
        <v>19593</v>
      </c>
      <c r="H32" s="56">
        <v>19033</v>
      </c>
      <c r="I32" s="56">
        <v>6709</v>
      </c>
      <c r="J32" s="56">
        <v>17690</v>
      </c>
      <c r="K32" s="56">
        <v>18048</v>
      </c>
    </row>
    <row r="33" spans="1:11">
      <c r="A33" s="25" t="s">
        <v>102</v>
      </c>
      <c r="B33" s="56">
        <v>1160</v>
      </c>
      <c r="C33" s="56">
        <v>1578</v>
      </c>
      <c r="D33" s="56">
        <v>1437</v>
      </c>
      <c r="E33" s="56" t="s">
        <v>91</v>
      </c>
      <c r="F33" s="56">
        <v>1018</v>
      </c>
      <c r="G33" s="56">
        <v>1490</v>
      </c>
      <c r="H33" s="56">
        <v>1382</v>
      </c>
      <c r="I33" s="56" t="s">
        <v>91</v>
      </c>
      <c r="J33" s="56">
        <v>1069</v>
      </c>
      <c r="K33" s="56">
        <v>1483</v>
      </c>
    </row>
    <row r="34" spans="1:11">
      <c r="A34" s="26" t="s">
        <v>98</v>
      </c>
      <c r="B34" s="46" t="s">
        <v>91</v>
      </c>
      <c r="C34" s="46" t="s">
        <v>91</v>
      </c>
      <c r="D34" s="46" t="s">
        <v>91</v>
      </c>
      <c r="E34" s="46" t="s">
        <v>91</v>
      </c>
      <c r="F34" s="46" t="s">
        <v>91</v>
      </c>
      <c r="G34" s="46" t="s">
        <v>91</v>
      </c>
      <c r="H34" s="46" t="s">
        <v>91</v>
      </c>
      <c r="I34" s="46" t="s">
        <v>91</v>
      </c>
      <c r="J34" s="46" t="s">
        <v>91</v>
      </c>
      <c r="K34" s="46"/>
    </row>
    <row r="35" spans="1:11">
      <c r="A35" s="34" t="s">
        <v>103</v>
      </c>
      <c r="B35" s="56">
        <v>-1978</v>
      </c>
      <c r="C35" s="56">
        <v>-66919</v>
      </c>
      <c r="D35" s="56">
        <v>-13465</v>
      </c>
      <c r="E35" s="56">
        <v>11455</v>
      </c>
      <c r="F35" s="56">
        <v>34758</v>
      </c>
      <c r="G35" s="56">
        <v>33061</v>
      </c>
      <c r="H35" s="56">
        <v>-29778</v>
      </c>
      <c r="I35" s="56">
        <v>11455</v>
      </c>
      <c r="J35" s="56">
        <v>1876</v>
      </c>
      <c r="K35" s="56">
        <v>23857</v>
      </c>
    </row>
    <row r="36" spans="1:11">
      <c r="A36" s="35" t="s">
        <v>104</v>
      </c>
      <c r="B36" s="46" t="s">
        <v>91</v>
      </c>
      <c r="C36" s="56" t="s">
        <v>91</v>
      </c>
      <c r="D36" s="56" t="s">
        <v>91</v>
      </c>
      <c r="E36" s="46" t="s">
        <v>91</v>
      </c>
      <c r="F36" s="46" t="s">
        <v>91</v>
      </c>
      <c r="G36" s="46" t="s">
        <v>91</v>
      </c>
      <c r="H36" s="46" t="s">
        <v>91</v>
      </c>
      <c r="I36" s="46" t="s">
        <v>91</v>
      </c>
      <c r="J36" s="46" t="s">
        <v>91</v>
      </c>
      <c r="K36" s="46"/>
    </row>
    <row r="37" spans="1:11">
      <c r="A37" s="36" t="s">
        <v>105</v>
      </c>
      <c r="B37" s="44" t="s">
        <v>91</v>
      </c>
      <c r="C37" s="56" t="s">
        <v>91</v>
      </c>
      <c r="D37" s="56" t="s">
        <v>91</v>
      </c>
      <c r="E37" s="44" t="s">
        <v>91</v>
      </c>
      <c r="F37" s="44" t="s">
        <v>91</v>
      </c>
      <c r="G37" s="44" t="s">
        <v>91</v>
      </c>
      <c r="H37" s="44" t="s">
        <v>91</v>
      </c>
      <c r="I37" s="44" t="s">
        <v>91</v>
      </c>
      <c r="J37" s="44" t="s">
        <v>91</v>
      </c>
      <c r="K37" s="44"/>
    </row>
    <row r="38" spans="1:11">
      <c r="A38" s="37" t="s">
        <v>106</v>
      </c>
      <c r="B38" s="56">
        <v>-62396</v>
      </c>
      <c r="C38" s="56">
        <v>-64974</v>
      </c>
      <c r="D38" s="56">
        <v>-68027</v>
      </c>
      <c r="E38" s="56" t="s">
        <v>91</v>
      </c>
      <c r="F38" s="56">
        <v>-76087</v>
      </c>
      <c r="G38" s="56">
        <v>-80640</v>
      </c>
      <c r="H38" s="56">
        <v>-80653</v>
      </c>
      <c r="I38" s="56" t="s">
        <v>91</v>
      </c>
      <c r="J38" s="56">
        <v>-76532</v>
      </c>
      <c r="K38" s="56">
        <v>-79625</v>
      </c>
    </row>
    <row r="39" spans="1:11">
      <c r="A39" s="38" t="s">
        <v>86</v>
      </c>
      <c r="B39" s="56">
        <v>-52954</v>
      </c>
      <c r="C39" s="56">
        <v>-54558</v>
      </c>
      <c r="D39" s="56">
        <v>-57036</v>
      </c>
      <c r="E39" s="56" t="s">
        <v>91</v>
      </c>
      <c r="F39" s="56">
        <v>-56319</v>
      </c>
      <c r="G39" s="56">
        <v>-56343</v>
      </c>
      <c r="H39" s="56">
        <v>-56328</v>
      </c>
      <c r="I39" s="56" t="s">
        <v>91</v>
      </c>
      <c r="J39" s="56">
        <v>-54321</v>
      </c>
      <c r="K39" s="56">
        <v>-56762</v>
      </c>
    </row>
    <row r="40" spans="1:11">
      <c r="A40" s="26" t="s">
        <v>107</v>
      </c>
      <c r="B40" s="56">
        <v>-13332</v>
      </c>
      <c r="C40" s="56">
        <v>-13620</v>
      </c>
      <c r="D40" s="56">
        <v>-16005</v>
      </c>
      <c r="E40" s="56" t="s">
        <v>91</v>
      </c>
      <c r="F40" s="56">
        <v>-14221</v>
      </c>
      <c r="G40" s="56">
        <v>-14089</v>
      </c>
      <c r="H40" s="56">
        <v>-13719</v>
      </c>
      <c r="I40" s="56" t="s">
        <v>91</v>
      </c>
      <c r="J40" s="56">
        <v>-14089</v>
      </c>
      <c r="K40" s="56">
        <v>-14107</v>
      </c>
    </row>
    <row r="41" spans="1:11">
      <c r="A41" s="25" t="s">
        <v>108</v>
      </c>
      <c r="B41" s="56">
        <v>-1323</v>
      </c>
      <c r="C41" s="56">
        <v>-1282</v>
      </c>
      <c r="D41" s="56">
        <v>-1450</v>
      </c>
      <c r="E41" s="56" t="s">
        <v>91</v>
      </c>
      <c r="F41" s="56">
        <v>-785</v>
      </c>
      <c r="G41" s="56">
        <v>-1128</v>
      </c>
      <c r="H41" s="56">
        <v>-1144</v>
      </c>
      <c r="I41" s="56" t="s">
        <v>91</v>
      </c>
      <c r="J41" s="56">
        <v>-945</v>
      </c>
      <c r="K41" s="56">
        <v>-954</v>
      </c>
    </row>
    <row r="42" spans="1:11">
      <c r="A42" s="26" t="s">
        <v>109</v>
      </c>
      <c r="B42" s="56">
        <v>-2767</v>
      </c>
      <c r="C42" s="56">
        <v>-2461</v>
      </c>
      <c r="D42" s="56">
        <v>-2506</v>
      </c>
      <c r="E42" s="56" t="s">
        <v>91</v>
      </c>
      <c r="F42" s="56">
        <v>-3587</v>
      </c>
      <c r="G42" s="56">
        <v>-3729</v>
      </c>
      <c r="H42" s="56">
        <v>-3496</v>
      </c>
      <c r="I42" s="56" t="s">
        <v>91</v>
      </c>
      <c r="J42" s="56">
        <v>-3753</v>
      </c>
      <c r="K42" s="56">
        <v>-4046</v>
      </c>
    </row>
    <row r="43" spans="1:11">
      <c r="A43" s="25" t="s">
        <v>110</v>
      </c>
      <c r="B43" s="56">
        <v>-29785</v>
      </c>
      <c r="C43" s="56">
        <v>-31633</v>
      </c>
      <c r="D43" s="56">
        <v>-31292</v>
      </c>
      <c r="E43" s="56" t="s">
        <v>91</v>
      </c>
      <c r="F43" s="56">
        <v>-30319</v>
      </c>
      <c r="G43" s="56">
        <v>-30621</v>
      </c>
      <c r="H43" s="56">
        <v>-31049</v>
      </c>
      <c r="I43" s="56" t="s">
        <v>91</v>
      </c>
      <c r="J43" s="56">
        <v>-29395</v>
      </c>
      <c r="K43" s="56">
        <v>-30391</v>
      </c>
    </row>
    <row r="44" spans="1:11">
      <c r="A44" s="26" t="s">
        <v>111</v>
      </c>
      <c r="B44" s="56">
        <v>-1232</v>
      </c>
      <c r="C44" s="56">
        <v>-1498</v>
      </c>
      <c r="D44" s="56">
        <v>-1418</v>
      </c>
      <c r="E44" s="56" t="s">
        <v>91</v>
      </c>
      <c r="F44" s="56">
        <v>-1477</v>
      </c>
      <c r="G44" s="56">
        <v>-1457</v>
      </c>
      <c r="H44" s="56">
        <v>-1489</v>
      </c>
      <c r="I44" s="56" t="s">
        <v>91</v>
      </c>
      <c r="J44" s="56">
        <v>-1691</v>
      </c>
      <c r="K44" s="56">
        <v>-1739</v>
      </c>
    </row>
    <row r="45" spans="1:11">
      <c r="A45" s="28" t="s">
        <v>112</v>
      </c>
      <c r="B45" s="56">
        <v>-4251</v>
      </c>
      <c r="C45" s="56">
        <v>-3762</v>
      </c>
      <c r="D45" s="56">
        <v>-4068</v>
      </c>
      <c r="E45" s="56" t="s">
        <v>91</v>
      </c>
      <c r="F45" s="56">
        <v>-5602</v>
      </c>
      <c r="G45" s="56">
        <v>-5005</v>
      </c>
      <c r="H45" s="56">
        <v>-5120</v>
      </c>
      <c r="I45" s="56" t="s">
        <v>91</v>
      </c>
      <c r="J45" s="56">
        <v>-4773</v>
      </c>
      <c r="K45" s="56">
        <v>-5195</v>
      </c>
    </row>
    <row r="46" spans="1:11">
      <c r="A46" s="30" t="s">
        <v>112</v>
      </c>
      <c r="B46" s="56">
        <v>-4251</v>
      </c>
      <c r="C46" s="56">
        <v>-3762</v>
      </c>
      <c r="D46" s="56">
        <v>-4068</v>
      </c>
      <c r="E46" s="56" t="s">
        <v>91</v>
      </c>
      <c r="F46" s="56">
        <v>-5602</v>
      </c>
      <c r="G46" s="56">
        <v>-5005</v>
      </c>
      <c r="H46" s="56">
        <v>-5120</v>
      </c>
      <c r="I46" s="56" t="s">
        <v>91</v>
      </c>
      <c r="J46" s="56">
        <v>-4773</v>
      </c>
      <c r="K46" s="56">
        <v>-5195</v>
      </c>
    </row>
    <row r="47" spans="1:11">
      <c r="A47" s="32" t="s">
        <v>113</v>
      </c>
      <c r="B47" s="44" t="s">
        <v>91</v>
      </c>
      <c r="C47" s="44" t="s">
        <v>91</v>
      </c>
      <c r="D47" s="44" t="s">
        <v>91</v>
      </c>
      <c r="E47" s="56" t="s">
        <v>91</v>
      </c>
      <c r="F47" s="56" t="s">
        <v>91</v>
      </c>
      <c r="G47" s="56" t="s">
        <v>91</v>
      </c>
      <c r="H47" s="56" t="s">
        <v>91</v>
      </c>
      <c r="I47" s="56" t="s">
        <v>91</v>
      </c>
      <c r="J47" s="56" t="s">
        <v>91</v>
      </c>
      <c r="K47" s="56"/>
    </row>
    <row r="48" spans="1:11">
      <c r="A48" s="26" t="s">
        <v>114</v>
      </c>
      <c r="B48" s="56">
        <v>-264</v>
      </c>
      <c r="C48" s="56">
        <v>-302</v>
      </c>
      <c r="D48" s="56">
        <v>-297</v>
      </c>
      <c r="E48" s="56" t="s">
        <v>91</v>
      </c>
      <c r="F48" s="56">
        <v>-328</v>
      </c>
      <c r="G48" s="56">
        <v>-314</v>
      </c>
      <c r="H48" s="56">
        <v>-311</v>
      </c>
      <c r="I48" s="56" t="s">
        <v>91</v>
      </c>
      <c r="J48" s="56">
        <v>-316</v>
      </c>
      <c r="K48" s="56">
        <v>-330</v>
      </c>
    </row>
    <row r="49" spans="1:11">
      <c r="A49" s="38" t="s">
        <v>115</v>
      </c>
      <c r="B49" s="56">
        <v>-9442</v>
      </c>
      <c r="C49" s="56">
        <v>-10416</v>
      </c>
      <c r="D49" s="56">
        <v>-10991</v>
      </c>
      <c r="E49" s="56" t="s">
        <v>91</v>
      </c>
      <c r="F49" s="56">
        <v>-19768</v>
      </c>
      <c r="G49" s="56">
        <v>-24297</v>
      </c>
      <c r="H49" s="56">
        <v>-24325</v>
      </c>
      <c r="I49" s="56" t="s">
        <v>91</v>
      </c>
      <c r="J49" s="56">
        <v>-22211</v>
      </c>
      <c r="K49" s="56">
        <v>-22863</v>
      </c>
    </row>
    <row r="50" spans="1:11">
      <c r="A50" s="39" t="s">
        <v>116</v>
      </c>
      <c r="B50" s="56">
        <v>-8672</v>
      </c>
      <c r="C50" s="56">
        <v>-9631</v>
      </c>
      <c r="D50" s="56">
        <v>-10196</v>
      </c>
      <c r="E50" s="56" t="s">
        <v>91</v>
      </c>
      <c r="F50" s="56">
        <v>-18878</v>
      </c>
      <c r="G50" s="56">
        <v>-23362</v>
      </c>
      <c r="H50" s="56">
        <v>-23376</v>
      </c>
      <c r="I50" s="56" t="s">
        <v>91</v>
      </c>
      <c r="J50" s="56">
        <v>-21211</v>
      </c>
      <c r="K50" s="56">
        <v>-21963</v>
      </c>
    </row>
    <row r="51" spans="1:11">
      <c r="A51" s="32" t="s">
        <v>117</v>
      </c>
      <c r="B51" s="56">
        <v>-3925</v>
      </c>
      <c r="C51" s="56">
        <v>-4260</v>
      </c>
      <c r="D51" s="56">
        <v>-4581</v>
      </c>
      <c r="E51" s="56" t="s">
        <v>91</v>
      </c>
      <c r="F51" s="56">
        <v>-4161</v>
      </c>
      <c r="G51" s="56">
        <v>-4014</v>
      </c>
      <c r="H51" s="56">
        <v>-4038</v>
      </c>
      <c r="I51" s="56" t="s">
        <v>91</v>
      </c>
      <c r="J51" s="56">
        <v>-3938</v>
      </c>
      <c r="K51" s="56">
        <v>-3912</v>
      </c>
    </row>
    <row r="52" spans="1:11">
      <c r="A52" s="30" t="s">
        <v>118</v>
      </c>
      <c r="B52" s="56">
        <v>-3591</v>
      </c>
      <c r="C52" s="56">
        <v>-3844</v>
      </c>
      <c r="D52" s="56">
        <v>-4295</v>
      </c>
      <c r="E52" s="56" t="s">
        <v>91</v>
      </c>
      <c r="F52" s="56">
        <v>-13846</v>
      </c>
      <c r="G52" s="56">
        <v>-18159</v>
      </c>
      <c r="H52" s="56">
        <v>-18249</v>
      </c>
      <c r="I52" s="56" t="s">
        <v>91</v>
      </c>
      <c r="J52" s="56">
        <v>-16268</v>
      </c>
      <c r="K52" s="56">
        <v>-16819</v>
      </c>
    </row>
    <row r="53" spans="1:11">
      <c r="A53" s="32" t="s">
        <v>119</v>
      </c>
      <c r="B53" s="56">
        <v>-1156</v>
      </c>
      <c r="C53" s="56">
        <v>-1527</v>
      </c>
      <c r="D53" s="56">
        <v>-1320</v>
      </c>
      <c r="E53" s="56" t="s">
        <v>91</v>
      </c>
      <c r="F53" s="56">
        <v>-871</v>
      </c>
      <c r="G53" s="56">
        <v>-1189</v>
      </c>
      <c r="H53" s="56">
        <v>-1089</v>
      </c>
      <c r="I53" s="56" t="s">
        <v>91</v>
      </c>
      <c r="J53" s="56">
        <v>-1005</v>
      </c>
      <c r="K53" s="56">
        <v>-1232</v>
      </c>
    </row>
    <row r="54" spans="1:11">
      <c r="A54" s="26" t="s">
        <v>120</v>
      </c>
      <c r="B54" s="56">
        <v>-770</v>
      </c>
      <c r="C54" s="56">
        <v>-785</v>
      </c>
      <c r="D54" s="56">
        <v>-795</v>
      </c>
      <c r="E54" s="56" t="s">
        <v>91</v>
      </c>
      <c r="F54" s="56">
        <v>-890</v>
      </c>
      <c r="G54" s="56">
        <v>-935</v>
      </c>
      <c r="H54" s="56">
        <v>-949</v>
      </c>
      <c r="I54" s="56" t="s">
        <v>91</v>
      </c>
      <c r="J54" s="56">
        <v>-1000</v>
      </c>
      <c r="K54" s="56">
        <v>-900</v>
      </c>
    </row>
    <row r="55" spans="1:11">
      <c r="A55" s="38" t="s">
        <v>96</v>
      </c>
      <c r="B55" s="56" t="s">
        <v>91</v>
      </c>
      <c r="C55" s="45" t="s">
        <v>91</v>
      </c>
      <c r="D55" s="45" t="s">
        <v>91</v>
      </c>
      <c r="E55" s="45" t="s">
        <v>91</v>
      </c>
      <c r="F55" s="45" t="s">
        <v>91</v>
      </c>
      <c r="G55" s="45" t="s">
        <v>91</v>
      </c>
      <c r="H55" s="45" t="s">
        <v>91</v>
      </c>
      <c r="I55" s="45" t="s">
        <v>91</v>
      </c>
      <c r="J55" s="45" t="s">
        <v>91</v>
      </c>
      <c r="K55" s="45"/>
    </row>
    <row r="56" spans="1:11">
      <c r="A56" s="26" t="s">
        <v>110</v>
      </c>
      <c r="B56" s="56" t="s">
        <v>91</v>
      </c>
      <c r="C56" s="46" t="s">
        <v>91</v>
      </c>
      <c r="D56" s="46" t="s">
        <v>91</v>
      </c>
      <c r="E56" s="46" t="s">
        <v>91</v>
      </c>
      <c r="F56" s="46" t="s">
        <v>91</v>
      </c>
      <c r="G56" s="46" t="s">
        <v>91</v>
      </c>
      <c r="H56" s="46" t="s">
        <v>91</v>
      </c>
      <c r="I56" s="46" t="s">
        <v>91</v>
      </c>
      <c r="J56" s="46" t="s">
        <v>91</v>
      </c>
      <c r="K56" s="46"/>
    </row>
    <row r="57" spans="1:11">
      <c r="A57" s="25" t="s">
        <v>112</v>
      </c>
      <c r="B57" s="56" t="s">
        <v>91</v>
      </c>
      <c r="C57" s="44" t="s">
        <v>91</v>
      </c>
      <c r="D57" s="44" t="s">
        <v>91</v>
      </c>
      <c r="E57" s="44" t="s">
        <v>91</v>
      </c>
      <c r="F57" s="44" t="s">
        <v>91</v>
      </c>
      <c r="G57" s="44" t="s">
        <v>91</v>
      </c>
      <c r="H57" s="44" t="s">
        <v>91</v>
      </c>
      <c r="I57" s="44" t="s">
        <v>91</v>
      </c>
      <c r="J57" s="44" t="s">
        <v>91</v>
      </c>
      <c r="K57" s="44"/>
    </row>
    <row r="58" spans="1:11">
      <c r="A58" s="26" t="s">
        <v>98</v>
      </c>
      <c r="B58" s="46" t="s">
        <v>91</v>
      </c>
      <c r="C58" s="46" t="s">
        <v>91</v>
      </c>
      <c r="D58" s="46" t="s">
        <v>91</v>
      </c>
      <c r="E58" s="46" t="s">
        <v>91</v>
      </c>
      <c r="F58" s="46" t="s">
        <v>91</v>
      </c>
      <c r="G58" s="46" t="s">
        <v>91</v>
      </c>
      <c r="H58" s="46" t="s">
        <v>91</v>
      </c>
      <c r="I58" s="46" t="s">
        <v>91</v>
      </c>
      <c r="J58" s="46" t="s">
        <v>91</v>
      </c>
      <c r="K58" s="46"/>
    </row>
    <row r="59" spans="1:11">
      <c r="A59" s="25" t="s">
        <v>120</v>
      </c>
      <c r="B59" s="56" t="s">
        <v>91</v>
      </c>
      <c r="C59" s="44" t="s">
        <v>91</v>
      </c>
      <c r="D59" s="44" t="s">
        <v>91</v>
      </c>
      <c r="E59" s="44" t="s">
        <v>91</v>
      </c>
      <c r="F59" s="44" t="s">
        <v>91</v>
      </c>
      <c r="G59" s="44" t="s">
        <v>91</v>
      </c>
      <c r="H59" s="44" t="s">
        <v>91</v>
      </c>
      <c r="I59" s="44" t="s">
        <v>91</v>
      </c>
      <c r="J59" s="44" t="s">
        <v>91</v>
      </c>
      <c r="K59" s="44"/>
    </row>
    <row r="60" spans="1:11">
      <c r="A60" s="40" t="s">
        <v>121</v>
      </c>
      <c r="B60" s="56">
        <v>6436</v>
      </c>
      <c r="C60" s="56">
        <v>-55713</v>
      </c>
      <c r="D60" s="56">
        <v>-4558</v>
      </c>
      <c r="E60" s="56" t="s">
        <v>91</v>
      </c>
      <c r="F60" s="56">
        <v>44064</v>
      </c>
      <c r="G60" s="56">
        <v>44924</v>
      </c>
      <c r="H60" s="56">
        <v>-17221</v>
      </c>
      <c r="I60" s="56" t="s">
        <v>91</v>
      </c>
      <c r="J60" s="56">
        <v>15213</v>
      </c>
      <c r="K60" s="56">
        <v>37885</v>
      </c>
    </row>
    <row r="61" spans="1:11">
      <c r="A61" s="41" t="s">
        <v>122</v>
      </c>
      <c r="B61" s="56">
        <v>376</v>
      </c>
      <c r="C61" s="56">
        <v>231</v>
      </c>
      <c r="D61" s="56">
        <v>441</v>
      </c>
      <c r="E61" s="56" t="s">
        <v>91</v>
      </c>
      <c r="F61" s="56">
        <v>688</v>
      </c>
      <c r="G61" s="56">
        <v>511</v>
      </c>
      <c r="H61" s="56">
        <v>262</v>
      </c>
      <c r="I61" s="56" t="s">
        <v>91</v>
      </c>
      <c r="J61" s="56">
        <v>493</v>
      </c>
      <c r="K61" s="56">
        <v>252</v>
      </c>
    </row>
    <row r="62" spans="1:11">
      <c r="A62" s="40" t="s">
        <v>123</v>
      </c>
      <c r="B62" s="56">
        <v>6812</v>
      </c>
      <c r="C62" s="56">
        <v>-55482</v>
      </c>
      <c r="D62" s="56">
        <v>-4117</v>
      </c>
      <c r="E62" s="56" t="s">
        <v>91</v>
      </c>
      <c r="F62" s="56">
        <v>44752</v>
      </c>
      <c r="G62" s="56">
        <v>45435</v>
      </c>
      <c r="H62" s="56">
        <v>-16959</v>
      </c>
      <c r="I62" s="56" t="s">
        <v>91</v>
      </c>
      <c r="J62" s="56">
        <v>15706</v>
      </c>
      <c r="K62" s="56">
        <v>38137</v>
      </c>
    </row>
    <row r="63" spans="1:11">
      <c r="A63" s="41" t="s">
        <v>124</v>
      </c>
      <c r="B63" s="56">
        <v>-1227</v>
      </c>
      <c r="C63" s="56">
        <v>12106</v>
      </c>
      <c r="D63" s="56">
        <v>1529</v>
      </c>
      <c r="E63" s="56" t="s">
        <v>91</v>
      </c>
      <c r="F63" s="56">
        <v>-8995</v>
      </c>
      <c r="G63" s="56">
        <v>-9236</v>
      </c>
      <c r="H63" s="56">
        <v>4392</v>
      </c>
      <c r="I63" s="56" t="s">
        <v>91</v>
      </c>
      <c r="J63" s="56">
        <v>-2874</v>
      </c>
      <c r="K63" s="56">
        <v>-7639</v>
      </c>
    </row>
    <row r="64" spans="1:11">
      <c r="A64" s="40" t="s">
        <v>125</v>
      </c>
      <c r="B64" s="46" t="s">
        <v>91</v>
      </c>
      <c r="C64" s="46" t="s">
        <v>91</v>
      </c>
      <c r="D64" s="46" t="s">
        <v>91</v>
      </c>
      <c r="E64" s="46" t="s">
        <v>91</v>
      </c>
      <c r="F64" s="46" t="s">
        <v>91</v>
      </c>
      <c r="G64" s="46" t="s">
        <v>91</v>
      </c>
      <c r="H64" s="46" t="s">
        <v>91</v>
      </c>
      <c r="I64" s="46" t="s">
        <v>91</v>
      </c>
      <c r="J64" s="46" t="s">
        <v>91</v>
      </c>
      <c r="K64" s="46"/>
    </row>
    <row r="65" spans="1:11">
      <c r="A65" s="41" t="s">
        <v>126</v>
      </c>
      <c r="B65" s="44" t="s">
        <v>91</v>
      </c>
      <c r="C65" s="44" t="s">
        <v>91</v>
      </c>
      <c r="D65" s="44" t="s">
        <v>91</v>
      </c>
      <c r="E65" s="44" t="s">
        <v>91</v>
      </c>
      <c r="F65" s="44" t="s">
        <v>91</v>
      </c>
      <c r="G65" s="44" t="s">
        <v>91</v>
      </c>
      <c r="H65" s="44" t="s">
        <v>91</v>
      </c>
      <c r="I65" s="44" t="s">
        <v>91</v>
      </c>
      <c r="J65" s="44" t="s">
        <v>91</v>
      </c>
      <c r="K65" s="44"/>
    </row>
    <row r="66" spans="1:11">
      <c r="A66" s="40" t="s">
        <v>127</v>
      </c>
      <c r="B66" s="56">
        <v>5585</v>
      </c>
      <c r="C66" s="56">
        <v>-43376</v>
      </c>
      <c r="D66" s="56">
        <v>-2588</v>
      </c>
      <c r="E66" s="56" t="s">
        <v>91</v>
      </c>
      <c r="F66" s="56">
        <v>35757</v>
      </c>
      <c r="G66" s="56">
        <v>36199</v>
      </c>
      <c r="H66" s="56">
        <v>-12567</v>
      </c>
      <c r="I66" s="56" t="s">
        <v>91</v>
      </c>
      <c r="J66" s="56">
        <v>12832</v>
      </c>
      <c r="K66" s="56">
        <v>301498</v>
      </c>
    </row>
    <row r="67" spans="1:11">
      <c r="A67" s="41" t="s">
        <v>128</v>
      </c>
      <c r="B67" s="56">
        <v>-125</v>
      </c>
      <c r="C67" s="56">
        <v>-379</v>
      </c>
      <c r="D67" s="56">
        <v>-100</v>
      </c>
      <c r="E67" s="56" t="s">
        <v>91</v>
      </c>
      <c r="F67" s="56">
        <v>-253</v>
      </c>
      <c r="G67" s="56">
        <v>-287</v>
      </c>
      <c r="H67" s="56">
        <v>-200</v>
      </c>
      <c r="I67" s="56" t="s">
        <v>91</v>
      </c>
      <c r="J67" s="56">
        <v>-130</v>
      </c>
      <c r="K67" s="56">
        <v>-150</v>
      </c>
    </row>
    <row r="68" spans="1:11">
      <c r="A68" s="40" t="s">
        <v>129</v>
      </c>
      <c r="B68" s="56">
        <v>5460</v>
      </c>
      <c r="C68" s="56">
        <v>-43755</v>
      </c>
      <c r="D68" s="56">
        <v>-2688</v>
      </c>
      <c r="E68" s="56">
        <v>18164</v>
      </c>
      <c r="F68" s="56">
        <v>35504</v>
      </c>
      <c r="G68" s="56">
        <v>35912</v>
      </c>
      <c r="H68" s="56">
        <v>-12767</v>
      </c>
      <c r="I68" s="56">
        <v>18164</v>
      </c>
      <c r="J68" s="56">
        <v>12702</v>
      </c>
      <c r="K68" s="56">
        <v>30348</v>
      </c>
    </row>
    <row r="69" spans="1:11">
      <c r="A69" s="34" t="s">
        <v>130</v>
      </c>
      <c r="B69" s="29"/>
      <c r="C69" s="29"/>
      <c r="D69" s="29"/>
      <c r="E69" s="29"/>
      <c r="F69" s="29"/>
      <c r="G69" s="29"/>
      <c r="H69" s="29"/>
      <c r="I69" s="29"/>
      <c r="J69" s="27"/>
      <c r="K69" s="27"/>
    </row>
    <row r="70" spans="1:11">
      <c r="A70" s="23" t="s">
        <v>131</v>
      </c>
      <c r="B70" s="33"/>
      <c r="C70" s="33"/>
      <c r="D70" s="33"/>
      <c r="E70" s="33"/>
      <c r="F70" s="33"/>
      <c r="G70" s="33"/>
      <c r="H70" s="33"/>
      <c r="I70" s="33"/>
      <c r="J70" s="27"/>
      <c r="K70" s="27"/>
    </row>
    <row r="71" spans="1:11">
      <c r="A71" s="25" t="s">
        <v>132</v>
      </c>
      <c r="B71" s="24">
        <v>3702</v>
      </c>
      <c r="C71" s="24">
        <v>-29754</v>
      </c>
      <c r="D71" s="24">
        <v>-1832</v>
      </c>
      <c r="E71" s="24">
        <v>12412</v>
      </c>
      <c r="F71" s="24">
        <v>24377</v>
      </c>
      <c r="G71" s="24">
        <v>24775</v>
      </c>
      <c r="H71" s="24">
        <v>-8824</v>
      </c>
      <c r="I71" s="24">
        <v>12412</v>
      </c>
      <c r="J71" s="57">
        <v>8825</v>
      </c>
      <c r="K71" s="57">
        <v>21122</v>
      </c>
    </row>
    <row r="72" spans="1:11">
      <c r="A72" s="23" t="s">
        <v>133</v>
      </c>
      <c r="B72" s="33"/>
      <c r="C72" s="33"/>
      <c r="D72" s="33"/>
      <c r="E72" s="33"/>
      <c r="F72" s="33"/>
      <c r="G72" s="33"/>
      <c r="H72" s="33"/>
      <c r="I72" s="33"/>
      <c r="J72" s="43"/>
      <c r="K72" s="43"/>
    </row>
    <row r="73" spans="1:11">
      <c r="A73" s="25" t="s">
        <v>132</v>
      </c>
      <c r="B73" s="24">
        <v>2.4700000000000002</v>
      </c>
      <c r="C73" s="24">
        <v>-19.84</v>
      </c>
      <c r="D73" s="24">
        <v>-1.22</v>
      </c>
      <c r="E73" s="24">
        <v>8.27</v>
      </c>
      <c r="F73" s="24">
        <v>16.25</v>
      </c>
      <c r="G73" s="24">
        <v>16.52</v>
      </c>
      <c r="H73" s="24">
        <v>-5.88</v>
      </c>
      <c r="I73" s="24">
        <v>8.27</v>
      </c>
      <c r="J73" s="24">
        <v>5.88</v>
      </c>
      <c r="K73" s="24">
        <v>14.08</v>
      </c>
    </row>
    <row r="74" spans="1:11">
      <c r="A74" s="37" t="s">
        <v>134</v>
      </c>
      <c r="B74" s="33"/>
      <c r="C74" s="33"/>
      <c r="D74" s="33"/>
      <c r="E74" s="33"/>
      <c r="F74" s="33"/>
      <c r="G74" s="33"/>
      <c r="H74" s="33"/>
      <c r="I74" s="33"/>
      <c r="J74" s="43"/>
      <c r="K74" s="43"/>
    </row>
    <row r="75" spans="1:11">
      <c r="A75" s="38" t="s">
        <v>131</v>
      </c>
      <c r="B75" s="29"/>
      <c r="C75" s="29"/>
      <c r="D75" s="29"/>
      <c r="E75" s="29"/>
      <c r="F75" s="29"/>
      <c r="G75" s="29"/>
      <c r="H75" s="29"/>
      <c r="I75" s="29"/>
      <c r="J75" s="43"/>
      <c r="K75" s="43"/>
    </row>
    <row r="76" spans="1:11">
      <c r="A76" s="26" t="s">
        <v>135</v>
      </c>
      <c r="B76" s="24">
        <v>1.4747030000000001</v>
      </c>
      <c r="C76" s="24">
        <v>1.470577</v>
      </c>
      <c r="D76" s="24">
        <v>1.4669460000000001</v>
      </c>
      <c r="E76" s="24">
        <v>1.463422</v>
      </c>
      <c r="F76" s="24">
        <v>1.4564379999999999</v>
      </c>
      <c r="G76" s="24">
        <v>1.4495420000000001</v>
      </c>
      <c r="H76" s="24">
        <v>1.446925</v>
      </c>
      <c r="I76" s="24">
        <v>1.463422</v>
      </c>
      <c r="J76" s="24">
        <v>1.44</v>
      </c>
      <c r="K76" s="24">
        <v>1.43</v>
      </c>
    </row>
    <row r="77" spans="1:11">
      <c r="A77" s="38" t="s">
        <v>133</v>
      </c>
      <c r="B77" s="29"/>
      <c r="C77" s="29"/>
      <c r="D77" s="29"/>
      <c r="E77" s="29"/>
      <c r="F77" s="29"/>
      <c r="G77" s="29"/>
      <c r="H77" s="29"/>
      <c r="I77" s="29"/>
      <c r="J77" s="43"/>
      <c r="K77" s="43"/>
    </row>
    <row r="78" spans="1:11">
      <c r="A78" s="26" t="s">
        <v>135</v>
      </c>
      <c r="B78" s="24">
        <v>2212.0539549999999</v>
      </c>
      <c r="C78" s="24">
        <v>2205.8652339999999</v>
      </c>
      <c r="D78" s="24">
        <v>2200.4196780000002</v>
      </c>
      <c r="E78" s="24">
        <v>2195.133789</v>
      </c>
      <c r="F78" s="24">
        <v>2184.6572270000001</v>
      </c>
      <c r="G78" s="24">
        <v>2174.313721</v>
      </c>
      <c r="H78" s="24">
        <v>2170.3876949999999</v>
      </c>
      <c r="I78" s="24">
        <v>2165.3876949999999</v>
      </c>
      <c r="J78" s="24">
        <v>2159.0500000000002</v>
      </c>
      <c r="K78" s="24">
        <v>1255.18</v>
      </c>
    </row>
    <row r="79" spans="1:11">
      <c r="A79" s="42" t="s">
        <v>153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</row>
  </sheetData>
  <conditionalFormatting sqref="A15:H16 A17:G18 A19:H78 K15 K17">
    <cfRule type="cellIs" dxfId="69" priority="32" operator="lessThan">
      <formula>0</formula>
    </cfRule>
  </conditionalFormatting>
  <conditionalFormatting sqref="I15:I68 B15:H16 B17:G18 B19:H68 B71:I71 B76:I76 B73:I73 K15 K17">
    <cfRule type="cellIs" dxfId="68" priority="31" operator="greaterThan">
      <formula>0</formula>
    </cfRule>
  </conditionalFormatting>
  <conditionalFormatting sqref="B78:I78">
    <cfRule type="cellIs" dxfId="67" priority="29" operator="greaterThan">
      <formula>0</formula>
    </cfRule>
  </conditionalFormatting>
  <conditionalFormatting sqref="H17:H18">
    <cfRule type="cellIs" dxfId="66" priority="28" operator="lessThan">
      <formula>0</formula>
    </cfRule>
  </conditionalFormatting>
  <conditionalFormatting sqref="H17:H18">
    <cfRule type="cellIs" dxfId="65" priority="27" operator="greaterThan">
      <formula>0</formula>
    </cfRule>
  </conditionalFormatting>
  <conditionalFormatting sqref="J15:J16 J19:J68">
    <cfRule type="cellIs" dxfId="64" priority="22" operator="lessThan">
      <formula>0</formula>
    </cfRule>
  </conditionalFormatting>
  <conditionalFormatting sqref="J15:J16 J19:J68">
    <cfRule type="cellIs" dxfId="63" priority="21" operator="greaterThan">
      <formula>0</formula>
    </cfRule>
  </conditionalFormatting>
  <conditionalFormatting sqref="J17:J18">
    <cfRule type="cellIs" dxfId="62" priority="20" operator="lessThan">
      <formula>0</formula>
    </cfRule>
  </conditionalFormatting>
  <conditionalFormatting sqref="J17:J18">
    <cfRule type="cellIs" dxfId="61" priority="19" operator="greaterThan">
      <formula>0</formula>
    </cfRule>
  </conditionalFormatting>
  <conditionalFormatting sqref="J71:K71">
    <cfRule type="cellIs" dxfId="60" priority="18" operator="lessThan">
      <formula>0</formula>
    </cfRule>
  </conditionalFormatting>
  <conditionalFormatting sqref="J71:K71">
    <cfRule type="cellIs" dxfId="59" priority="17" operator="greaterThan">
      <formula>0</formula>
    </cfRule>
  </conditionalFormatting>
  <conditionalFormatting sqref="J73:K73">
    <cfRule type="cellIs" dxfId="58" priority="16" operator="lessThan">
      <formula>0</formula>
    </cfRule>
  </conditionalFormatting>
  <conditionalFormatting sqref="J73:K73">
    <cfRule type="cellIs" dxfId="57" priority="15" operator="greaterThan">
      <formula>0</formula>
    </cfRule>
  </conditionalFormatting>
  <conditionalFormatting sqref="J78:K78">
    <cfRule type="cellIs" dxfId="56" priority="12" operator="lessThan">
      <formula>0</formula>
    </cfRule>
  </conditionalFormatting>
  <conditionalFormatting sqref="J78:K78">
    <cfRule type="cellIs" dxfId="55" priority="11" operator="greaterThan">
      <formula>0</formula>
    </cfRule>
  </conditionalFormatting>
  <conditionalFormatting sqref="J76:K76">
    <cfRule type="cellIs" dxfId="54" priority="10" operator="lessThan">
      <formula>0</formula>
    </cfRule>
  </conditionalFormatting>
  <conditionalFormatting sqref="J76:K76">
    <cfRule type="cellIs" dxfId="53" priority="9" operator="greaterThan">
      <formula>0</formula>
    </cfRule>
  </conditionalFormatting>
  <conditionalFormatting sqref="I15:I78">
    <cfRule type="cellIs" dxfId="52" priority="8" operator="lessThan">
      <formula>0</formula>
    </cfRule>
  </conditionalFormatting>
  <conditionalFormatting sqref="I78">
    <cfRule type="cellIs" dxfId="51" priority="7" operator="lessThan">
      <formula>0</formula>
    </cfRule>
  </conditionalFormatting>
  <conditionalFormatting sqref="K19:K68">
    <cfRule type="cellIs" dxfId="50" priority="6" operator="lessThan">
      <formula>0</formula>
    </cfRule>
  </conditionalFormatting>
  <conditionalFormatting sqref="K19:K68">
    <cfRule type="cellIs" dxfId="49" priority="5" operator="greaterThan">
      <formula>0</formula>
    </cfRule>
  </conditionalFormatting>
  <conditionalFormatting sqref="K17:K18">
    <cfRule type="cellIs" dxfId="48" priority="4" operator="lessThan">
      <formula>0</formula>
    </cfRule>
  </conditionalFormatting>
  <conditionalFormatting sqref="K17:K18">
    <cfRule type="cellIs" dxfId="47" priority="3" operator="greaterThan">
      <formula>0</formula>
    </cfRule>
  </conditionalFormatting>
  <conditionalFormatting sqref="K16">
    <cfRule type="cellIs" dxfId="46" priority="2" operator="lessThan">
      <formula>0</formula>
    </cfRule>
  </conditionalFormatting>
  <conditionalFormatting sqref="K16">
    <cfRule type="cellIs" dxfId="45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6635-DEE2-4EBD-8860-C887672B521C}">
  <dimension ref="A1:N78"/>
  <sheetViews>
    <sheetView workbookViewId="0">
      <selection activeCell="F14" sqref="F14:K14"/>
    </sheetView>
  </sheetViews>
  <sheetFormatPr defaultRowHeight="15"/>
  <cols>
    <col min="1" max="1" width="66.140625" customWidth="1"/>
    <col min="2" max="12" width="12.7109375" bestFit="1" customWidth="1"/>
  </cols>
  <sheetData>
    <row r="1" spans="1:12">
      <c r="A1" s="15" t="s">
        <v>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A2" s="15" t="s">
        <v>73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>
      <c r="A3" s="15" t="s">
        <v>74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>
      <c r="A4" s="15" t="s">
        <v>154</v>
      </c>
      <c r="B4" s="15" t="s">
        <v>155</v>
      </c>
      <c r="C4" s="15" t="s">
        <v>75</v>
      </c>
      <c r="D4" s="15" t="s">
        <v>76</v>
      </c>
      <c r="E4" s="15" t="s">
        <v>77</v>
      </c>
      <c r="F4" s="15" t="s">
        <v>78</v>
      </c>
      <c r="G4" s="15" t="s">
        <v>79</v>
      </c>
      <c r="H4" s="15" t="s">
        <v>80</v>
      </c>
      <c r="I4" s="15" t="s">
        <v>81</v>
      </c>
      <c r="J4" s="15" t="s">
        <v>82</v>
      </c>
      <c r="K4" s="15" t="s">
        <v>83</v>
      </c>
      <c r="L4" s="15" t="s">
        <v>84</v>
      </c>
    </row>
    <row r="5" spans="1:12">
      <c r="A5" s="97" t="s">
        <v>156</v>
      </c>
      <c r="B5" s="98">
        <v>27704</v>
      </c>
      <c r="C5" s="98">
        <v>32010</v>
      </c>
      <c r="D5" s="98">
        <v>31491</v>
      </c>
      <c r="E5" s="98">
        <v>32535</v>
      </c>
      <c r="F5" s="98">
        <v>45776</v>
      </c>
      <c r="G5" s="98">
        <v>37400</v>
      </c>
      <c r="H5" s="98">
        <v>38687</v>
      </c>
      <c r="I5" s="98">
        <v>39773</v>
      </c>
      <c r="J5" s="98">
        <v>39421</v>
      </c>
      <c r="K5" s="98">
        <v>37224</v>
      </c>
      <c r="L5" s="117">
        <v>49146</v>
      </c>
    </row>
    <row r="6" spans="1:12">
      <c r="A6" s="100" t="s">
        <v>127</v>
      </c>
      <c r="B6" s="98">
        <v>19845</v>
      </c>
      <c r="C6" s="98">
        <v>20170</v>
      </c>
      <c r="D6" s="98">
        <v>24414</v>
      </c>
      <c r="E6" s="98">
        <v>24427</v>
      </c>
      <c r="F6" s="98">
        <v>45353</v>
      </c>
      <c r="G6" s="98">
        <v>4322</v>
      </c>
      <c r="H6" s="98">
        <v>81792</v>
      </c>
      <c r="I6" s="98">
        <v>43253</v>
      </c>
      <c r="J6" s="98">
        <v>90807</v>
      </c>
      <c r="K6" s="98">
        <v>-22058</v>
      </c>
      <c r="L6" s="56">
        <v>97147</v>
      </c>
    </row>
    <row r="7" spans="1:12">
      <c r="A7" s="100" t="s">
        <v>157</v>
      </c>
      <c r="B7" s="56">
        <v>7859</v>
      </c>
      <c r="C7" s="56">
        <v>11840</v>
      </c>
      <c r="D7" s="56">
        <v>7077</v>
      </c>
      <c r="E7" s="56">
        <v>8108</v>
      </c>
      <c r="F7" s="56">
        <v>423</v>
      </c>
      <c r="G7" s="56">
        <v>33078</v>
      </c>
      <c r="H7" s="56">
        <v>-43105</v>
      </c>
      <c r="I7" s="56">
        <v>-3480</v>
      </c>
      <c r="J7" s="56">
        <v>-51386</v>
      </c>
      <c r="K7" s="56">
        <v>59282</v>
      </c>
      <c r="L7" s="56">
        <f>L5-L6</f>
        <v>-48001</v>
      </c>
    </row>
    <row r="8" spans="1:12">
      <c r="A8" s="101" t="s">
        <v>93</v>
      </c>
      <c r="B8" s="98">
        <v>-4065</v>
      </c>
      <c r="C8" s="98">
        <v>-3575</v>
      </c>
      <c r="D8" s="98">
        <v>-9373</v>
      </c>
      <c r="E8" s="98">
        <v>-7553</v>
      </c>
      <c r="F8" s="98">
        <v>-1410</v>
      </c>
      <c r="G8" s="98">
        <v>22155</v>
      </c>
      <c r="H8" s="98">
        <v>-71123</v>
      </c>
      <c r="I8" s="98">
        <v>-40905</v>
      </c>
      <c r="J8" s="98">
        <v>-77576</v>
      </c>
      <c r="K8" s="98">
        <v>67623</v>
      </c>
      <c r="L8" s="56">
        <v>-74855</v>
      </c>
    </row>
    <row r="9" spans="1:12">
      <c r="A9" s="102" t="s">
        <v>158</v>
      </c>
      <c r="B9" s="56" t="s">
        <v>91</v>
      </c>
      <c r="C9" s="56" t="s">
        <v>91</v>
      </c>
      <c r="D9" s="56" t="s">
        <v>91</v>
      </c>
      <c r="E9" s="98">
        <v>-5128</v>
      </c>
      <c r="F9" s="98">
        <v>-1202</v>
      </c>
      <c r="G9" s="56" t="s">
        <v>91</v>
      </c>
      <c r="H9" s="56" t="s">
        <v>91</v>
      </c>
      <c r="I9" s="56" t="s">
        <v>91</v>
      </c>
      <c r="J9" s="56" t="s">
        <v>91</v>
      </c>
      <c r="K9" s="56" t="s">
        <v>91</v>
      </c>
      <c r="L9" s="56"/>
    </row>
    <row r="10" spans="1:12">
      <c r="A10" s="101" t="s">
        <v>159</v>
      </c>
      <c r="B10" s="56" t="s">
        <v>91</v>
      </c>
      <c r="C10" s="56" t="s">
        <v>91</v>
      </c>
      <c r="D10" s="56" t="s">
        <v>91</v>
      </c>
      <c r="E10" s="98">
        <v>-2425</v>
      </c>
      <c r="F10" s="98">
        <v>-208</v>
      </c>
      <c r="G10" s="56" t="s">
        <v>91</v>
      </c>
      <c r="H10" s="56" t="s">
        <v>91</v>
      </c>
      <c r="I10" s="56" t="s">
        <v>91</v>
      </c>
      <c r="J10" s="56" t="s">
        <v>91</v>
      </c>
      <c r="K10" s="56" t="s">
        <v>91</v>
      </c>
      <c r="L10" s="56"/>
    </row>
    <row r="11" spans="1:12">
      <c r="A11" s="102" t="s">
        <v>160</v>
      </c>
      <c r="B11" s="98">
        <v>6508</v>
      </c>
      <c r="C11" s="98">
        <v>7370</v>
      </c>
      <c r="D11" s="98">
        <v>7779</v>
      </c>
      <c r="E11" s="98">
        <v>8901</v>
      </c>
      <c r="F11" s="98">
        <v>9188</v>
      </c>
      <c r="G11" s="98">
        <v>9779</v>
      </c>
      <c r="H11" s="98">
        <v>10064</v>
      </c>
      <c r="I11" s="98">
        <v>10596</v>
      </c>
      <c r="J11" s="98">
        <v>10718</v>
      </c>
      <c r="K11" s="98">
        <v>10899</v>
      </c>
      <c r="L11" s="56">
        <v>12486</v>
      </c>
    </row>
    <row r="12" spans="1:12">
      <c r="A12" s="103" t="s">
        <v>161</v>
      </c>
      <c r="B12" s="56" t="s">
        <v>91</v>
      </c>
      <c r="C12" s="45" t="s">
        <v>91</v>
      </c>
      <c r="D12" s="45" t="s">
        <v>91</v>
      </c>
      <c r="E12" s="45" t="s">
        <v>91</v>
      </c>
      <c r="F12" s="45" t="s">
        <v>91</v>
      </c>
      <c r="G12" s="45" t="s">
        <v>91</v>
      </c>
      <c r="H12" s="45" t="s">
        <v>91</v>
      </c>
      <c r="I12" s="45" t="s">
        <v>91</v>
      </c>
      <c r="J12" s="45" t="s">
        <v>91</v>
      </c>
      <c r="K12" s="45" t="s">
        <v>91</v>
      </c>
      <c r="L12" s="45"/>
    </row>
    <row r="13" spans="1:12">
      <c r="A13" s="104" t="s">
        <v>162</v>
      </c>
      <c r="B13" s="98">
        <v>373</v>
      </c>
      <c r="C13" s="98">
        <v>-341</v>
      </c>
      <c r="D13" s="98">
        <v>751</v>
      </c>
      <c r="E13" s="98">
        <v>-161</v>
      </c>
      <c r="F13" s="98">
        <v>458</v>
      </c>
      <c r="G13" s="98">
        <v>2957</v>
      </c>
      <c r="H13" s="98">
        <v>-1254</v>
      </c>
      <c r="I13" s="98">
        <v>11263</v>
      </c>
      <c r="J13" s="98">
        <v>-3397</v>
      </c>
      <c r="K13" s="98">
        <v>-4324</v>
      </c>
      <c r="L13" s="46">
        <v>-6203</v>
      </c>
    </row>
    <row r="14" spans="1:12">
      <c r="A14" s="100" t="s">
        <v>163</v>
      </c>
      <c r="B14" s="44">
        <v>5043</v>
      </c>
      <c r="C14" s="44">
        <v>8386</v>
      </c>
      <c r="D14" s="44">
        <v>7920</v>
      </c>
      <c r="E14" s="44">
        <v>6921</v>
      </c>
      <c r="F14" s="44">
        <v>-7813</v>
      </c>
      <c r="G14" s="44">
        <v>-1813</v>
      </c>
      <c r="H14" s="44">
        <v>19208</v>
      </c>
      <c r="I14" s="44">
        <v>15566</v>
      </c>
      <c r="J14" s="44">
        <v>18869</v>
      </c>
      <c r="K14" s="44">
        <v>-14916</v>
      </c>
      <c r="L14" s="44">
        <v>21683</v>
      </c>
    </row>
    <row r="15" spans="1:12">
      <c r="A15" s="101" t="s">
        <v>164</v>
      </c>
      <c r="B15" s="98">
        <v>578</v>
      </c>
      <c r="C15" s="98">
        <v>7404</v>
      </c>
      <c r="D15" s="98">
        <v>2262</v>
      </c>
      <c r="E15" s="98">
        <v>4372</v>
      </c>
      <c r="F15" s="98">
        <v>25027</v>
      </c>
      <c r="G15" s="98">
        <v>3449</v>
      </c>
      <c r="H15" s="98">
        <v>6087</v>
      </c>
      <c r="I15" s="98">
        <v>4819</v>
      </c>
      <c r="J15" s="98">
        <v>4595</v>
      </c>
      <c r="K15" s="98">
        <v>4057</v>
      </c>
      <c r="L15" s="118">
        <v>2628</v>
      </c>
    </row>
    <row r="16" spans="1:12">
      <c r="A16" s="101" t="s">
        <v>165</v>
      </c>
      <c r="B16" s="98">
        <v>-340</v>
      </c>
      <c r="C16" s="98">
        <v>-3413</v>
      </c>
      <c r="D16" s="98">
        <v>84</v>
      </c>
      <c r="E16" s="98">
        <v>-360</v>
      </c>
      <c r="F16" s="98">
        <v>-7231</v>
      </c>
      <c r="G16" s="98">
        <v>1174</v>
      </c>
      <c r="H16" s="98">
        <v>357</v>
      </c>
      <c r="I16" s="98">
        <v>1307</v>
      </c>
      <c r="J16" s="98">
        <v>1802</v>
      </c>
      <c r="K16" s="98">
        <v>769</v>
      </c>
      <c r="L16" s="44">
        <v>375</v>
      </c>
    </row>
    <row r="17" spans="1:14">
      <c r="A17" s="102" t="s">
        <v>166</v>
      </c>
      <c r="B17" s="98">
        <v>519</v>
      </c>
      <c r="C17" s="98">
        <v>1159</v>
      </c>
      <c r="D17" s="98">
        <v>1392</v>
      </c>
      <c r="E17" s="98">
        <v>968</v>
      </c>
      <c r="F17" s="98">
        <v>1761</v>
      </c>
      <c r="G17" s="98">
        <v>1794</v>
      </c>
      <c r="H17" s="98">
        <v>1707</v>
      </c>
      <c r="I17" s="98">
        <v>1587</v>
      </c>
      <c r="J17" s="98">
        <v>2306</v>
      </c>
      <c r="K17" s="98">
        <v>1861</v>
      </c>
      <c r="L17" s="46">
        <v>1854</v>
      </c>
    </row>
    <row r="18" spans="1:14">
      <c r="A18" s="101" t="s">
        <v>167</v>
      </c>
      <c r="B18" s="98">
        <v>1035</v>
      </c>
      <c r="C18" s="98">
        <v>-1890</v>
      </c>
      <c r="D18" s="98">
        <v>-1650</v>
      </c>
      <c r="E18" s="98">
        <v>-3302</v>
      </c>
      <c r="F18" s="98">
        <v>-1990</v>
      </c>
      <c r="G18" s="98">
        <v>-3443</v>
      </c>
      <c r="H18" s="98">
        <v>-2303</v>
      </c>
      <c r="I18" s="98">
        <v>-1609</v>
      </c>
      <c r="J18" s="98">
        <v>-5834</v>
      </c>
      <c r="K18" s="98">
        <v>-5592</v>
      </c>
      <c r="L18" s="44">
        <v>-1949</v>
      </c>
    </row>
    <row r="19" spans="1:14">
      <c r="A19" s="102" t="s">
        <v>168</v>
      </c>
      <c r="B19" s="98">
        <v>-2430</v>
      </c>
      <c r="C19" s="98">
        <v>-520</v>
      </c>
      <c r="D19" s="98">
        <v>-974</v>
      </c>
      <c r="E19" s="98">
        <v>-946</v>
      </c>
      <c r="F19" s="98">
        <v>-775</v>
      </c>
      <c r="G19" s="46" t="s">
        <v>91</v>
      </c>
      <c r="H19" s="46" t="s">
        <v>91</v>
      </c>
      <c r="I19" s="46" t="s">
        <v>91</v>
      </c>
      <c r="J19" s="46" t="s">
        <v>91</v>
      </c>
      <c r="K19" s="46" t="s">
        <v>91</v>
      </c>
      <c r="L19" s="46" t="s">
        <v>91</v>
      </c>
    </row>
    <row r="20" spans="1:14">
      <c r="A20" s="101" t="s">
        <v>169</v>
      </c>
      <c r="B20" s="44" t="s">
        <v>91</v>
      </c>
      <c r="C20" s="44" t="s">
        <v>91</v>
      </c>
      <c r="D20" s="44" t="s">
        <v>91</v>
      </c>
      <c r="E20" s="44" t="s">
        <v>91</v>
      </c>
      <c r="F20" s="44" t="s">
        <v>91</v>
      </c>
      <c r="G20" s="44" t="s">
        <v>91</v>
      </c>
      <c r="H20" s="44" t="s">
        <v>91</v>
      </c>
      <c r="I20" s="44" t="s">
        <v>91</v>
      </c>
      <c r="J20" s="44" t="s">
        <v>91</v>
      </c>
      <c r="K20" s="98">
        <v>-4779</v>
      </c>
      <c r="L20" s="44">
        <v>1426</v>
      </c>
    </row>
    <row r="21" spans="1:14">
      <c r="A21" s="100" t="s">
        <v>98</v>
      </c>
      <c r="B21" s="98">
        <v>2167</v>
      </c>
      <c r="C21" s="98">
        <v>741</v>
      </c>
      <c r="D21" s="98">
        <v>1088</v>
      </c>
      <c r="E21" s="98">
        <v>2145</v>
      </c>
      <c r="F21" s="98">
        <v>352</v>
      </c>
      <c r="G21" s="56">
        <v>170</v>
      </c>
      <c r="H21" s="56">
        <v>-1821</v>
      </c>
      <c r="I21" s="56">
        <v>2267</v>
      </c>
      <c r="J21" s="56">
        <v>703</v>
      </c>
      <c r="K21" s="56">
        <v>1660</v>
      </c>
      <c r="L21" s="56">
        <f>L23+L22</f>
        <v>1242</v>
      </c>
    </row>
    <row r="22" spans="1:14">
      <c r="A22" s="101" t="s">
        <v>170</v>
      </c>
      <c r="B22" s="56" t="s">
        <v>91</v>
      </c>
      <c r="C22" s="56" t="s">
        <v>91</v>
      </c>
      <c r="D22" s="56" t="s">
        <v>91</v>
      </c>
      <c r="E22" s="56" t="s">
        <v>91</v>
      </c>
      <c r="F22" s="56" t="s">
        <v>91</v>
      </c>
      <c r="G22" s="98">
        <v>-1832</v>
      </c>
      <c r="H22" s="98">
        <v>-2011</v>
      </c>
      <c r="I22" s="98">
        <v>-1109</v>
      </c>
      <c r="J22" s="98">
        <v>-1686</v>
      </c>
      <c r="K22" s="98">
        <v>-373</v>
      </c>
      <c r="L22" s="56">
        <v>-1328</v>
      </c>
    </row>
    <row r="23" spans="1:14">
      <c r="A23" s="102" t="s">
        <v>171</v>
      </c>
      <c r="B23" s="56" t="s">
        <v>91</v>
      </c>
      <c r="C23" s="56" t="s">
        <v>91</v>
      </c>
      <c r="D23" s="56" t="s">
        <v>91</v>
      </c>
      <c r="E23" s="56" t="s">
        <v>91</v>
      </c>
      <c r="F23" s="56" t="s">
        <v>91</v>
      </c>
      <c r="G23" s="98">
        <v>2002</v>
      </c>
      <c r="H23" s="98">
        <v>190</v>
      </c>
      <c r="I23" s="98">
        <v>3376</v>
      </c>
      <c r="J23" s="98">
        <v>2389</v>
      </c>
      <c r="K23" s="98">
        <v>2033</v>
      </c>
      <c r="L23" s="56">
        <v>2570</v>
      </c>
    </row>
    <row r="24" spans="1:14">
      <c r="A24" s="101" t="s">
        <v>172</v>
      </c>
      <c r="B24" s="98">
        <v>3514</v>
      </c>
      <c r="C24" s="98">
        <v>4905</v>
      </c>
      <c r="D24" s="98">
        <v>5718</v>
      </c>
      <c r="E24" s="98">
        <v>4044</v>
      </c>
      <c r="F24" s="98">
        <v>-24957</v>
      </c>
      <c r="G24" s="98">
        <v>-4957</v>
      </c>
      <c r="H24" s="98">
        <v>15181</v>
      </c>
      <c r="I24" s="98">
        <v>7195</v>
      </c>
      <c r="J24" s="98">
        <v>15297</v>
      </c>
      <c r="K24" s="98">
        <v>-12892</v>
      </c>
      <c r="L24" s="56">
        <v>14865</v>
      </c>
      <c r="N24" s="125"/>
    </row>
    <row r="25" spans="1:14">
      <c r="A25" s="102" t="s">
        <v>173</v>
      </c>
      <c r="B25" s="98">
        <v>-27535</v>
      </c>
      <c r="C25" s="98">
        <v>-19369</v>
      </c>
      <c r="D25" s="98">
        <v>-26668</v>
      </c>
      <c r="E25" s="98">
        <v>-84267</v>
      </c>
      <c r="F25" s="98">
        <v>-41091</v>
      </c>
      <c r="G25" s="98">
        <v>-32849</v>
      </c>
      <c r="H25" s="98">
        <v>-5621</v>
      </c>
      <c r="I25" s="98">
        <v>-37757</v>
      </c>
      <c r="J25" s="98">
        <v>29392</v>
      </c>
      <c r="K25" s="98">
        <v>-87601</v>
      </c>
      <c r="L25" s="46">
        <v>-32663</v>
      </c>
    </row>
    <row r="26" spans="1:14">
      <c r="A26" s="106" t="s">
        <v>174</v>
      </c>
      <c r="B26" s="98">
        <v>-8558</v>
      </c>
      <c r="C26" s="98">
        <v>-7014</v>
      </c>
      <c r="D26" s="98">
        <v>-10220</v>
      </c>
      <c r="E26" s="98">
        <v>-16508</v>
      </c>
      <c r="F26" s="98">
        <v>-20326</v>
      </c>
      <c r="G26" s="98">
        <v>-43210</v>
      </c>
      <c r="H26" s="98">
        <v>-18642</v>
      </c>
      <c r="I26" s="98">
        <v>-30161</v>
      </c>
      <c r="J26" s="98">
        <v>-8448</v>
      </c>
      <c r="K26" s="98">
        <v>-67930</v>
      </c>
      <c r="L26" s="56">
        <v>-16462</v>
      </c>
    </row>
    <row r="27" spans="1:14">
      <c r="A27" s="107" t="s">
        <v>175</v>
      </c>
      <c r="B27" s="98">
        <v>-12250</v>
      </c>
      <c r="C27" s="98">
        <v>-3000</v>
      </c>
      <c r="D27" s="98">
        <v>-5258</v>
      </c>
      <c r="E27" s="98">
        <v>0</v>
      </c>
      <c r="F27" s="98">
        <v>0</v>
      </c>
      <c r="G27" s="46" t="s">
        <v>91</v>
      </c>
      <c r="H27" s="46" t="s">
        <v>91</v>
      </c>
      <c r="I27" s="46" t="s">
        <v>91</v>
      </c>
      <c r="J27" s="46" t="s">
        <v>91</v>
      </c>
      <c r="K27" s="46" t="s">
        <v>91</v>
      </c>
      <c r="L27" s="46"/>
    </row>
    <row r="28" spans="1:14">
      <c r="A28" s="108" t="s">
        <v>176</v>
      </c>
      <c r="B28" s="98">
        <v>3869</v>
      </c>
      <c r="C28" s="98">
        <v>8896</v>
      </c>
      <c r="D28" s="98">
        <v>8747</v>
      </c>
      <c r="E28" s="98">
        <v>28464</v>
      </c>
      <c r="F28" s="98">
        <v>19512</v>
      </c>
      <c r="G28" s="98">
        <v>18783</v>
      </c>
      <c r="H28" s="98">
        <v>14336</v>
      </c>
      <c r="I28" s="98">
        <v>38756</v>
      </c>
      <c r="J28" s="98">
        <v>15849</v>
      </c>
      <c r="K28" s="98">
        <v>33664</v>
      </c>
      <c r="L28" s="44">
        <v>40631</v>
      </c>
    </row>
    <row r="29" spans="1:14">
      <c r="A29" s="109" t="s">
        <v>177</v>
      </c>
      <c r="B29" s="56" t="s">
        <v>91</v>
      </c>
      <c r="C29" s="56" t="s">
        <v>91</v>
      </c>
      <c r="D29" s="56" t="s">
        <v>91</v>
      </c>
      <c r="E29" s="56" t="s">
        <v>91</v>
      </c>
      <c r="F29" s="56" t="s">
        <v>91</v>
      </c>
      <c r="G29" s="56" t="s">
        <v>91</v>
      </c>
      <c r="H29" s="56" t="s">
        <v>91</v>
      </c>
      <c r="I29" s="56" t="s">
        <v>91</v>
      </c>
      <c r="J29" s="56" t="s">
        <v>91</v>
      </c>
      <c r="K29" s="56" t="s">
        <v>91</v>
      </c>
      <c r="L29" s="56"/>
    </row>
    <row r="30" spans="1:14">
      <c r="A30" s="110" t="s">
        <v>178</v>
      </c>
      <c r="B30" s="56" t="s">
        <v>91</v>
      </c>
      <c r="C30" s="56" t="s">
        <v>91</v>
      </c>
      <c r="D30" s="56" t="s">
        <v>91</v>
      </c>
      <c r="E30" s="56" t="s">
        <v>91</v>
      </c>
      <c r="F30" s="56" t="s">
        <v>91</v>
      </c>
      <c r="G30" s="56" t="s">
        <v>91</v>
      </c>
      <c r="H30" s="56" t="s">
        <v>91</v>
      </c>
      <c r="I30" s="56" t="s">
        <v>91</v>
      </c>
      <c r="J30" s="56" t="s">
        <v>91</v>
      </c>
      <c r="K30" s="56" t="s">
        <v>91</v>
      </c>
      <c r="L30" s="56"/>
    </row>
    <row r="31" spans="1:14">
      <c r="A31" s="102" t="s">
        <v>179</v>
      </c>
      <c r="B31" s="98">
        <v>-7546</v>
      </c>
      <c r="C31" s="98">
        <v>-7774</v>
      </c>
      <c r="D31" s="98">
        <v>-8186</v>
      </c>
      <c r="E31" s="98">
        <v>-96568</v>
      </c>
      <c r="F31" s="98">
        <v>-158492</v>
      </c>
      <c r="G31" s="98">
        <v>-141844</v>
      </c>
      <c r="H31" s="98">
        <v>-136123</v>
      </c>
      <c r="I31" s="98">
        <v>-208429</v>
      </c>
      <c r="J31" s="98">
        <v>-152637</v>
      </c>
      <c r="K31" s="98">
        <v>-183922</v>
      </c>
      <c r="L31" s="56">
        <v>-235007</v>
      </c>
    </row>
    <row r="32" spans="1:14">
      <c r="A32" s="101" t="s">
        <v>180</v>
      </c>
      <c r="B32" s="98">
        <v>4311</v>
      </c>
      <c r="C32" s="98">
        <v>1697</v>
      </c>
      <c r="D32" s="98">
        <v>2172</v>
      </c>
      <c r="E32" s="98">
        <v>18757</v>
      </c>
      <c r="F32" s="98">
        <v>49327</v>
      </c>
      <c r="G32" s="98">
        <v>39693</v>
      </c>
      <c r="H32" s="98">
        <v>15929</v>
      </c>
      <c r="I32" s="98">
        <v>31873</v>
      </c>
      <c r="J32" s="98">
        <v>27188</v>
      </c>
      <c r="K32" s="98">
        <v>90088</v>
      </c>
      <c r="L32" s="56">
        <v>52302</v>
      </c>
    </row>
    <row r="33" spans="1:12">
      <c r="A33" s="102" t="s">
        <v>181</v>
      </c>
      <c r="B33" s="98">
        <v>11203</v>
      </c>
      <c r="C33" s="98">
        <v>6795</v>
      </c>
      <c r="D33" s="98">
        <v>6583</v>
      </c>
      <c r="E33" s="98">
        <v>26177</v>
      </c>
      <c r="F33" s="98">
        <v>86727</v>
      </c>
      <c r="G33" s="98">
        <v>113045</v>
      </c>
      <c r="H33" s="98">
        <v>137767</v>
      </c>
      <c r="I33" s="98">
        <v>149709</v>
      </c>
      <c r="J33" s="98">
        <v>160402</v>
      </c>
      <c r="K33" s="98">
        <v>66318</v>
      </c>
      <c r="L33" s="56">
        <v>153201</v>
      </c>
    </row>
    <row r="34" spans="1:12">
      <c r="A34" s="101" t="s">
        <v>182</v>
      </c>
      <c r="B34" s="98">
        <v>-6431</v>
      </c>
      <c r="C34" s="98">
        <v>-4824</v>
      </c>
      <c r="D34" s="98">
        <v>-4902</v>
      </c>
      <c r="E34" s="98">
        <v>-31399</v>
      </c>
      <c r="F34" s="98">
        <v>-2708</v>
      </c>
      <c r="G34" s="98">
        <v>-3279</v>
      </c>
      <c r="H34" s="98">
        <v>-1683</v>
      </c>
      <c r="I34" s="98">
        <v>-2532</v>
      </c>
      <c r="J34" s="98">
        <v>-456</v>
      </c>
      <c r="K34" s="98">
        <v>-10594</v>
      </c>
      <c r="L34" s="56">
        <v>-8604</v>
      </c>
    </row>
    <row r="35" spans="1:12">
      <c r="A35" s="102" t="s">
        <v>183</v>
      </c>
      <c r="B35" s="98">
        <v>-11087</v>
      </c>
      <c r="C35" s="98">
        <v>-15185</v>
      </c>
      <c r="D35" s="98">
        <v>-16082</v>
      </c>
      <c r="E35" s="98">
        <v>-12954</v>
      </c>
      <c r="F35" s="98">
        <v>-11708</v>
      </c>
      <c r="G35" s="98">
        <v>-14537</v>
      </c>
      <c r="H35" s="98">
        <v>-15979</v>
      </c>
      <c r="I35" s="98">
        <v>-13012</v>
      </c>
      <c r="J35" s="98">
        <v>-13276</v>
      </c>
      <c r="K35" s="98">
        <v>-15464</v>
      </c>
      <c r="L35" s="56">
        <v>-19409</v>
      </c>
    </row>
    <row r="36" spans="1:12">
      <c r="A36" s="103" t="s">
        <v>98</v>
      </c>
      <c r="B36" s="56">
        <v>-1046</v>
      </c>
      <c r="C36" s="56">
        <v>1040</v>
      </c>
      <c r="D36" s="56">
        <v>478</v>
      </c>
      <c r="E36" s="56">
        <v>-236</v>
      </c>
      <c r="F36" s="56">
        <v>-3423</v>
      </c>
      <c r="G36" s="56">
        <v>-1500</v>
      </c>
      <c r="H36" s="56">
        <v>-1226</v>
      </c>
      <c r="I36" s="56">
        <v>-3961</v>
      </c>
      <c r="J36" s="56">
        <v>770</v>
      </c>
      <c r="K36" s="98">
        <v>239</v>
      </c>
      <c r="L36" s="56">
        <v>685</v>
      </c>
    </row>
    <row r="37" spans="1:12">
      <c r="A37" s="104" t="s">
        <v>184</v>
      </c>
      <c r="B37" s="98">
        <v>-490</v>
      </c>
      <c r="C37" s="98">
        <v>-181</v>
      </c>
      <c r="D37" s="98">
        <v>-179</v>
      </c>
      <c r="E37" s="98">
        <v>-307</v>
      </c>
      <c r="F37" s="98">
        <v>-1435</v>
      </c>
      <c r="G37" s="98">
        <v>-1771</v>
      </c>
      <c r="H37" s="98">
        <v>-75</v>
      </c>
      <c r="I37" s="98">
        <v>-772</v>
      </c>
      <c r="J37" s="98">
        <v>-88</v>
      </c>
      <c r="K37" s="56" t="s">
        <v>91</v>
      </c>
      <c r="L37" s="56" t="s">
        <v>91</v>
      </c>
    </row>
    <row r="38" spans="1:12">
      <c r="A38" s="105" t="s">
        <v>185</v>
      </c>
      <c r="B38" s="98">
        <v>654</v>
      </c>
      <c r="C38" s="98">
        <v>885</v>
      </c>
      <c r="D38" s="98">
        <v>492</v>
      </c>
      <c r="E38" s="98">
        <v>490</v>
      </c>
      <c r="F38" s="98">
        <v>1702</v>
      </c>
      <c r="G38" s="98">
        <v>342</v>
      </c>
      <c r="H38" s="98">
        <v>345</v>
      </c>
      <c r="I38" s="98">
        <v>393</v>
      </c>
      <c r="J38" s="98">
        <v>561</v>
      </c>
      <c r="K38" s="56" t="s">
        <v>91</v>
      </c>
      <c r="L38" s="56" t="s">
        <v>91</v>
      </c>
    </row>
    <row r="39" spans="1:12">
      <c r="A39" s="102" t="s">
        <v>186</v>
      </c>
      <c r="B39" s="98">
        <v>-1210</v>
      </c>
      <c r="C39" s="98">
        <v>336</v>
      </c>
      <c r="D39" s="98">
        <v>165</v>
      </c>
      <c r="E39" s="98">
        <v>-419</v>
      </c>
      <c r="F39" s="98">
        <v>-3690</v>
      </c>
      <c r="G39" s="98">
        <v>-71</v>
      </c>
      <c r="H39" s="98">
        <v>-1496</v>
      </c>
      <c r="I39" s="98">
        <v>-3582</v>
      </c>
      <c r="J39" s="98">
        <v>297</v>
      </c>
      <c r="K39" s="56" t="s">
        <v>91</v>
      </c>
      <c r="L39" s="56" t="s">
        <v>91</v>
      </c>
    </row>
    <row r="40" spans="1:12">
      <c r="A40" s="110" t="s">
        <v>187</v>
      </c>
      <c r="B40" s="98">
        <v>961</v>
      </c>
      <c r="C40" s="98">
        <v>2731</v>
      </c>
      <c r="D40" s="98">
        <v>3803</v>
      </c>
      <c r="E40" s="98">
        <v>12791</v>
      </c>
      <c r="F40" s="98">
        <v>-1398</v>
      </c>
      <c r="G40" s="98">
        <v>-5812</v>
      </c>
      <c r="H40" s="98">
        <v>730</v>
      </c>
      <c r="I40" s="98">
        <v>-18344</v>
      </c>
      <c r="J40" s="98">
        <v>-28508</v>
      </c>
      <c r="K40" s="98">
        <v>-1662</v>
      </c>
      <c r="L40" s="56">
        <v>-14405</v>
      </c>
    </row>
    <row r="41" spans="1:12">
      <c r="A41" s="111" t="s">
        <v>188</v>
      </c>
      <c r="B41" s="56">
        <v>6084</v>
      </c>
      <c r="C41" s="56">
        <v>1993</v>
      </c>
      <c r="D41" s="56">
        <v>4403</v>
      </c>
      <c r="E41" s="56">
        <v>14172</v>
      </c>
      <c r="F41" s="56">
        <v>2645</v>
      </c>
      <c r="G41" s="98">
        <v>2409</v>
      </c>
      <c r="H41" s="98">
        <v>8144</v>
      </c>
      <c r="I41" s="98">
        <v>5925</v>
      </c>
      <c r="J41" s="98">
        <v>2961</v>
      </c>
      <c r="K41" s="98">
        <v>7822</v>
      </c>
      <c r="L41" s="56">
        <v>2133</v>
      </c>
    </row>
    <row r="42" spans="1:12">
      <c r="A42" s="105" t="s">
        <v>189</v>
      </c>
      <c r="B42" s="98">
        <v>2622</v>
      </c>
      <c r="C42" s="98">
        <v>845</v>
      </c>
      <c r="D42" s="98">
        <v>3358</v>
      </c>
      <c r="E42" s="98">
        <v>9431</v>
      </c>
      <c r="F42" s="98">
        <v>1342</v>
      </c>
      <c r="G42" s="98">
        <v>2409</v>
      </c>
      <c r="H42" s="98">
        <v>8144</v>
      </c>
      <c r="I42" s="98">
        <v>5925</v>
      </c>
      <c r="J42" s="98">
        <v>2961</v>
      </c>
      <c r="K42" s="98">
        <v>7822</v>
      </c>
      <c r="L42" s="56">
        <v>2133</v>
      </c>
    </row>
    <row r="43" spans="1:12">
      <c r="A43" s="104" t="s">
        <v>190</v>
      </c>
      <c r="B43" s="98">
        <v>3462</v>
      </c>
      <c r="C43" s="98">
        <v>1148</v>
      </c>
      <c r="D43" s="98">
        <v>1045</v>
      </c>
      <c r="E43" s="98">
        <v>4741</v>
      </c>
      <c r="F43" s="98">
        <v>1303</v>
      </c>
      <c r="G43" s="56" t="s">
        <v>91</v>
      </c>
      <c r="H43" s="56" t="s">
        <v>91</v>
      </c>
      <c r="I43" s="56" t="s">
        <v>91</v>
      </c>
      <c r="J43" s="56" t="s">
        <v>91</v>
      </c>
      <c r="K43" s="56" t="s">
        <v>91</v>
      </c>
      <c r="L43" s="56" t="s">
        <v>91</v>
      </c>
    </row>
    <row r="44" spans="1:12">
      <c r="A44" s="105" t="s">
        <v>191</v>
      </c>
      <c r="B44" s="56">
        <v>-6677</v>
      </c>
      <c r="C44" s="56">
        <v>-2832</v>
      </c>
      <c r="D44" s="56">
        <v>-3743</v>
      </c>
      <c r="E44" s="56">
        <v>-2577</v>
      </c>
      <c r="F44" s="56">
        <v>-5465</v>
      </c>
      <c r="G44" s="98">
        <v>-7395</v>
      </c>
      <c r="H44" s="98">
        <v>-5095</v>
      </c>
      <c r="I44" s="98">
        <v>-2700</v>
      </c>
      <c r="J44" s="98">
        <v>-3032</v>
      </c>
      <c r="K44" s="98">
        <v>-1502</v>
      </c>
      <c r="L44" s="56">
        <v>-5921</v>
      </c>
    </row>
    <row r="45" spans="1:12">
      <c r="A45" s="102" t="s">
        <v>192</v>
      </c>
      <c r="B45" s="98">
        <v>-2835</v>
      </c>
      <c r="C45" s="98">
        <v>-1289</v>
      </c>
      <c r="D45" s="98">
        <v>-1916</v>
      </c>
      <c r="E45" s="98">
        <v>-1264</v>
      </c>
      <c r="F45" s="98">
        <v>-1856</v>
      </c>
      <c r="G45" s="98">
        <v>-7395</v>
      </c>
      <c r="H45" s="98">
        <v>-5095</v>
      </c>
      <c r="I45" s="98">
        <v>-2700</v>
      </c>
      <c r="J45" s="98">
        <v>-3032</v>
      </c>
      <c r="K45" s="98">
        <v>-1502</v>
      </c>
      <c r="L45" s="56">
        <v>-5921</v>
      </c>
    </row>
    <row r="46" spans="1:12">
      <c r="A46" s="110" t="s">
        <v>193</v>
      </c>
      <c r="B46" s="98">
        <v>-3842</v>
      </c>
      <c r="C46" s="98">
        <v>-1543</v>
      </c>
      <c r="D46" s="98">
        <v>-1827</v>
      </c>
      <c r="E46" s="98">
        <v>-1313</v>
      </c>
      <c r="F46" s="98">
        <v>-3609</v>
      </c>
      <c r="G46" s="45" t="s">
        <v>91</v>
      </c>
      <c r="H46" s="45" t="s">
        <v>91</v>
      </c>
      <c r="I46" s="45" t="s">
        <v>91</v>
      </c>
      <c r="J46" s="45" t="s">
        <v>91</v>
      </c>
      <c r="K46" s="45" t="s">
        <v>91</v>
      </c>
      <c r="L46" s="45" t="s">
        <v>91</v>
      </c>
    </row>
    <row r="47" spans="1:12">
      <c r="A47" s="102" t="s">
        <v>194</v>
      </c>
      <c r="B47" s="98">
        <v>7491</v>
      </c>
      <c r="C47" s="98">
        <v>5765</v>
      </c>
      <c r="D47" s="98">
        <v>5479</v>
      </c>
      <c r="E47" s="98">
        <v>3077</v>
      </c>
      <c r="F47" s="98">
        <v>3013</v>
      </c>
      <c r="G47" s="98">
        <v>7019</v>
      </c>
      <c r="H47" s="98">
        <v>5400</v>
      </c>
      <c r="I47" s="98">
        <v>8445</v>
      </c>
      <c r="J47" s="98">
        <v>3959</v>
      </c>
      <c r="K47" s="98">
        <v>4873</v>
      </c>
      <c r="L47" s="46">
        <v>5684</v>
      </c>
    </row>
    <row r="48" spans="1:12">
      <c r="A48" s="101" t="s">
        <v>195</v>
      </c>
      <c r="B48" s="98">
        <v>-1596</v>
      </c>
      <c r="C48" s="98">
        <v>-1862</v>
      </c>
      <c r="D48" s="98">
        <v>-1725</v>
      </c>
      <c r="E48" s="98">
        <v>-2123</v>
      </c>
      <c r="F48" s="98">
        <v>-3549</v>
      </c>
      <c r="G48" s="98">
        <v>-4213</v>
      </c>
      <c r="H48" s="98">
        <v>-2638</v>
      </c>
      <c r="I48" s="98">
        <v>-3761</v>
      </c>
      <c r="J48" s="98">
        <v>-4016</v>
      </c>
      <c r="K48" s="98">
        <v>-2426</v>
      </c>
      <c r="L48" s="44">
        <v>-5390</v>
      </c>
    </row>
    <row r="49" spans="1:12">
      <c r="A49" s="102" t="s">
        <v>196</v>
      </c>
      <c r="B49" s="98">
        <v>-1317</v>
      </c>
      <c r="C49" s="98">
        <v>932</v>
      </c>
      <c r="D49" s="98">
        <v>-378</v>
      </c>
      <c r="E49" s="98">
        <v>130</v>
      </c>
      <c r="F49" s="98">
        <v>2079</v>
      </c>
      <c r="G49" s="98">
        <v>-1943</v>
      </c>
      <c r="H49" s="98">
        <v>266</v>
      </c>
      <c r="I49" s="98">
        <v>-1118</v>
      </c>
      <c r="J49" s="98">
        <v>-624</v>
      </c>
      <c r="K49" s="98">
        <v>-596</v>
      </c>
      <c r="L49" s="46">
        <v>2407</v>
      </c>
    </row>
    <row r="50" spans="1:12">
      <c r="A50" s="101" t="s">
        <v>197</v>
      </c>
      <c r="B50" s="56">
        <v>-3024</v>
      </c>
      <c r="C50" s="44">
        <v>-1265</v>
      </c>
      <c r="D50" s="44">
        <v>-233</v>
      </c>
      <c r="E50" s="98">
        <v>112</v>
      </c>
      <c r="F50" s="98">
        <v>-121</v>
      </c>
      <c r="G50" s="44">
        <v>-1689</v>
      </c>
      <c r="H50" s="44">
        <v>-5347</v>
      </c>
      <c r="I50" s="44">
        <v>-25135</v>
      </c>
      <c r="J50" s="44">
        <v>-27756</v>
      </c>
      <c r="K50" s="44">
        <v>-9833</v>
      </c>
      <c r="L50" s="44">
        <v>-13318</v>
      </c>
    </row>
    <row r="51" spans="1:12">
      <c r="A51" s="112" t="s">
        <v>198</v>
      </c>
      <c r="B51" s="98">
        <v>-2890</v>
      </c>
      <c r="C51" s="98">
        <v>-1287</v>
      </c>
      <c r="D51" s="98">
        <v>-72</v>
      </c>
      <c r="E51" s="56" t="s">
        <v>91</v>
      </c>
      <c r="F51" s="56" t="s">
        <v>91</v>
      </c>
      <c r="G51" s="98">
        <v>-1346</v>
      </c>
      <c r="H51" s="98">
        <v>-4850</v>
      </c>
      <c r="I51" s="98">
        <v>-24706</v>
      </c>
      <c r="J51" s="98">
        <v>-27061</v>
      </c>
      <c r="K51" s="98">
        <v>-7854</v>
      </c>
      <c r="L51" s="56">
        <v>-9171</v>
      </c>
    </row>
    <row r="52" spans="1:12">
      <c r="A52" s="113" t="s">
        <v>199</v>
      </c>
      <c r="B52" s="56" t="s">
        <v>91</v>
      </c>
      <c r="C52" s="56" t="s">
        <v>91</v>
      </c>
      <c r="D52" s="56" t="s">
        <v>91</v>
      </c>
      <c r="E52" s="56" t="s">
        <v>91</v>
      </c>
      <c r="F52" s="56" t="s">
        <v>91</v>
      </c>
      <c r="G52" s="98">
        <v>-1346</v>
      </c>
      <c r="H52" s="98">
        <v>-4850</v>
      </c>
      <c r="I52" s="98">
        <v>-24706</v>
      </c>
      <c r="J52" s="98">
        <v>-27061</v>
      </c>
      <c r="K52" s="98">
        <v>-7854</v>
      </c>
      <c r="L52" s="56">
        <v>-9171</v>
      </c>
    </row>
    <row r="53" spans="1:12">
      <c r="A53" s="112" t="s">
        <v>200</v>
      </c>
      <c r="B53" s="56" t="s">
        <v>91</v>
      </c>
      <c r="C53" s="56" t="s">
        <v>91</v>
      </c>
      <c r="D53" s="56" t="s">
        <v>91</v>
      </c>
      <c r="E53" s="56" t="s">
        <v>91</v>
      </c>
      <c r="F53" s="56" t="s">
        <v>91</v>
      </c>
      <c r="G53" s="56" t="s">
        <v>91</v>
      </c>
      <c r="H53" s="56" t="s">
        <v>91</v>
      </c>
      <c r="I53" s="56" t="s">
        <v>91</v>
      </c>
      <c r="J53" s="56" t="s">
        <v>91</v>
      </c>
      <c r="K53" s="56" t="s">
        <v>91</v>
      </c>
      <c r="L53" s="56" t="s">
        <v>91</v>
      </c>
    </row>
    <row r="54" spans="1:12">
      <c r="A54" s="113" t="s">
        <v>201</v>
      </c>
      <c r="B54" s="98">
        <v>-134</v>
      </c>
      <c r="C54" s="98">
        <v>22</v>
      </c>
      <c r="D54" s="98">
        <v>-161</v>
      </c>
      <c r="E54" s="56" t="s">
        <v>91</v>
      </c>
      <c r="F54" s="98">
        <v>-121</v>
      </c>
      <c r="G54" s="98">
        <v>-343</v>
      </c>
      <c r="H54" s="98">
        <v>-497</v>
      </c>
      <c r="I54" s="98">
        <v>-429</v>
      </c>
      <c r="J54" s="98">
        <v>-695</v>
      </c>
      <c r="K54" s="98">
        <v>-1979</v>
      </c>
      <c r="L54" s="56">
        <v>4147</v>
      </c>
    </row>
    <row r="55" spans="1:12">
      <c r="A55" s="112" t="s">
        <v>202</v>
      </c>
      <c r="B55" s="98">
        <v>64</v>
      </c>
      <c r="C55" s="98">
        <v>-289</v>
      </c>
      <c r="D55" s="98">
        <v>-165</v>
      </c>
      <c r="E55" s="98">
        <v>-172</v>
      </c>
      <c r="F55" s="98">
        <v>248</v>
      </c>
      <c r="G55" s="98">
        <v>-140</v>
      </c>
      <c r="H55" s="98">
        <v>25</v>
      </c>
      <c r="I55" s="98">
        <v>92</v>
      </c>
      <c r="J55" s="98">
        <v>5</v>
      </c>
      <c r="K55" s="98">
        <v>-268</v>
      </c>
      <c r="L55" s="46">
        <v>116</v>
      </c>
    </row>
    <row r="56" spans="1:12">
      <c r="A56" s="113" t="s">
        <v>203</v>
      </c>
      <c r="B56" s="98">
        <v>1194</v>
      </c>
      <c r="C56" s="98">
        <v>15083</v>
      </c>
      <c r="D56" s="98">
        <v>8461</v>
      </c>
      <c r="E56" s="98">
        <v>-39113</v>
      </c>
      <c r="F56" s="98">
        <v>3535</v>
      </c>
      <c r="G56" s="98">
        <v>-1401</v>
      </c>
      <c r="H56" s="98">
        <v>33821</v>
      </c>
      <c r="I56" s="98">
        <v>-16236</v>
      </c>
      <c r="J56" s="98">
        <v>40310</v>
      </c>
      <c r="K56" s="98">
        <v>-52307</v>
      </c>
      <c r="L56" s="44">
        <v>2244</v>
      </c>
    </row>
    <row r="57" spans="1:12">
      <c r="A57" s="112" t="s">
        <v>204</v>
      </c>
      <c r="B57" s="98">
        <v>46992</v>
      </c>
      <c r="C57" s="98">
        <v>48186</v>
      </c>
      <c r="D57" s="98">
        <v>63269</v>
      </c>
      <c r="E57" s="98">
        <v>67161</v>
      </c>
      <c r="F57" s="98">
        <v>28048</v>
      </c>
      <c r="G57" s="98">
        <v>32212</v>
      </c>
      <c r="H57" s="98">
        <v>30811</v>
      </c>
      <c r="I57" s="98">
        <v>64632</v>
      </c>
      <c r="J57" s="98">
        <v>48396</v>
      </c>
      <c r="K57" s="98">
        <v>88706</v>
      </c>
      <c r="L57" s="56">
        <v>36399</v>
      </c>
    </row>
    <row r="58" spans="1:12">
      <c r="A58" s="113" t="s">
        <v>158</v>
      </c>
      <c r="B58" s="56" t="s">
        <v>91</v>
      </c>
      <c r="C58" s="56" t="s">
        <v>91</v>
      </c>
      <c r="D58" s="56" t="s">
        <v>91</v>
      </c>
      <c r="E58" s="56">
        <v>63724</v>
      </c>
      <c r="F58" s="56">
        <v>24109</v>
      </c>
      <c r="G58" s="56" t="s">
        <v>91</v>
      </c>
      <c r="H58" s="56" t="s">
        <v>91</v>
      </c>
      <c r="I58" s="56" t="s">
        <v>91</v>
      </c>
      <c r="J58" s="56" t="s">
        <v>91</v>
      </c>
      <c r="K58" s="56" t="s">
        <v>91</v>
      </c>
      <c r="L58" s="56" t="s">
        <v>91</v>
      </c>
    </row>
    <row r="59" spans="1:12">
      <c r="A59" s="112" t="s">
        <v>205</v>
      </c>
      <c r="B59" s="56" t="s">
        <v>91</v>
      </c>
      <c r="C59" s="56" t="s">
        <v>91</v>
      </c>
      <c r="D59" s="56" t="s">
        <v>91</v>
      </c>
      <c r="E59" s="98">
        <v>56612</v>
      </c>
      <c r="F59" s="98">
        <v>23581</v>
      </c>
      <c r="G59" s="56" t="s">
        <v>91</v>
      </c>
      <c r="H59" s="56" t="s">
        <v>91</v>
      </c>
      <c r="I59" s="56" t="s">
        <v>91</v>
      </c>
      <c r="J59" s="56" t="s">
        <v>91</v>
      </c>
      <c r="K59" s="56" t="s">
        <v>91</v>
      </c>
      <c r="L59" s="56" t="s">
        <v>91</v>
      </c>
    </row>
    <row r="60" spans="1:12">
      <c r="A60" s="106" t="s">
        <v>206</v>
      </c>
      <c r="B60" s="45" t="s">
        <v>91</v>
      </c>
      <c r="C60" s="45" t="s">
        <v>91</v>
      </c>
      <c r="D60" s="45" t="s">
        <v>91</v>
      </c>
      <c r="E60" s="98">
        <v>7112</v>
      </c>
      <c r="F60" s="98">
        <v>528</v>
      </c>
      <c r="G60" s="45" t="s">
        <v>91</v>
      </c>
      <c r="H60" s="45" t="s">
        <v>91</v>
      </c>
      <c r="I60" s="45" t="s">
        <v>91</v>
      </c>
      <c r="J60" s="44" t="s">
        <v>91</v>
      </c>
      <c r="K60" s="44" t="s">
        <v>91</v>
      </c>
      <c r="L60" s="44" t="s">
        <v>91</v>
      </c>
    </row>
    <row r="61" spans="1:12">
      <c r="A61" s="100" t="s">
        <v>207</v>
      </c>
      <c r="B61" s="47" t="s">
        <v>91</v>
      </c>
      <c r="C61" s="47" t="s">
        <v>91</v>
      </c>
      <c r="D61" s="47" t="s">
        <v>91</v>
      </c>
      <c r="E61" s="98">
        <v>3437</v>
      </c>
      <c r="F61" s="98">
        <v>3939</v>
      </c>
      <c r="G61" s="47" t="s">
        <v>91</v>
      </c>
      <c r="H61" s="47" t="s">
        <v>91</v>
      </c>
      <c r="I61" s="47" t="s">
        <v>91</v>
      </c>
      <c r="J61" s="44" t="s">
        <v>91</v>
      </c>
      <c r="K61" s="44" t="s">
        <v>91</v>
      </c>
      <c r="L61" s="44" t="s">
        <v>91</v>
      </c>
    </row>
    <row r="62" spans="1:12">
      <c r="A62" s="101" t="s">
        <v>208</v>
      </c>
      <c r="B62" s="98" t="s">
        <v>91</v>
      </c>
      <c r="C62" s="98" t="s">
        <v>91</v>
      </c>
      <c r="D62" s="98" t="s">
        <v>91</v>
      </c>
      <c r="E62" s="98" t="s">
        <v>91</v>
      </c>
      <c r="F62" s="98" t="s">
        <v>91</v>
      </c>
      <c r="G62" s="98" t="s">
        <v>91</v>
      </c>
      <c r="H62" s="98" t="s">
        <v>91</v>
      </c>
      <c r="I62" s="98" t="s">
        <v>91</v>
      </c>
      <c r="J62" s="56" t="s">
        <v>91</v>
      </c>
      <c r="K62" s="56" t="s">
        <v>91</v>
      </c>
      <c r="L62" s="56" t="s">
        <v>91</v>
      </c>
    </row>
    <row r="63" spans="1:12">
      <c r="A63" s="100" t="s">
        <v>209</v>
      </c>
      <c r="B63" s="98">
        <v>48186</v>
      </c>
      <c r="C63" s="98">
        <v>63269</v>
      </c>
      <c r="D63" s="98">
        <v>71730</v>
      </c>
      <c r="E63" s="98">
        <v>28048</v>
      </c>
      <c r="F63" s="98">
        <v>31583</v>
      </c>
      <c r="G63" s="98">
        <v>30811</v>
      </c>
      <c r="H63" s="98">
        <v>64632</v>
      </c>
      <c r="I63" s="98">
        <v>48396</v>
      </c>
      <c r="J63" s="98">
        <v>88706</v>
      </c>
      <c r="K63" s="98">
        <v>36399</v>
      </c>
      <c r="L63" s="114">
        <v>38543</v>
      </c>
    </row>
    <row r="64" spans="1:12">
      <c r="A64" s="101" t="s">
        <v>210</v>
      </c>
      <c r="B64" s="98">
        <v>48186</v>
      </c>
      <c r="C64" s="98">
        <v>63269</v>
      </c>
      <c r="D64" s="98" t="s">
        <v>91</v>
      </c>
      <c r="E64" s="98">
        <v>28048</v>
      </c>
      <c r="F64" s="98">
        <v>31583</v>
      </c>
      <c r="G64" s="98">
        <v>30811</v>
      </c>
      <c r="H64" s="98">
        <v>64632</v>
      </c>
      <c r="I64" s="98">
        <v>48396</v>
      </c>
      <c r="J64" s="98">
        <v>88706</v>
      </c>
      <c r="K64" s="98">
        <v>36399</v>
      </c>
      <c r="L64" s="98">
        <v>38643</v>
      </c>
    </row>
    <row r="65" spans="1:12">
      <c r="A65" s="109" t="s">
        <v>205</v>
      </c>
      <c r="B65" s="47">
        <v>44786</v>
      </c>
      <c r="C65" s="47">
        <v>60268</v>
      </c>
      <c r="D65" s="47" t="s">
        <v>91</v>
      </c>
      <c r="E65" s="47">
        <v>24109</v>
      </c>
      <c r="F65" s="47">
        <v>28673</v>
      </c>
      <c r="G65" s="98">
        <v>27749</v>
      </c>
      <c r="H65" s="98">
        <v>61151</v>
      </c>
      <c r="I65" s="98">
        <v>44714</v>
      </c>
      <c r="J65" s="98">
        <v>85319</v>
      </c>
      <c r="K65" s="98">
        <v>32260</v>
      </c>
      <c r="L65" s="114">
        <v>33672</v>
      </c>
    </row>
    <row r="66" spans="1:12">
      <c r="A66" s="110" t="s">
        <v>158</v>
      </c>
      <c r="B66" s="98">
        <v>42614</v>
      </c>
      <c r="C66" s="98">
        <v>57974</v>
      </c>
      <c r="D66" s="45" t="s">
        <v>91</v>
      </c>
      <c r="E66" s="98">
        <v>23581</v>
      </c>
      <c r="F66" s="98">
        <v>25460</v>
      </c>
      <c r="G66" s="98">
        <v>27749</v>
      </c>
      <c r="H66" s="98">
        <v>61151</v>
      </c>
      <c r="I66" s="98">
        <v>44714</v>
      </c>
      <c r="J66" s="98">
        <v>85319</v>
      </c>
      <c r="K66" s="98">
        <v>32260</v>
      </c>
      <c r="L66" s="114">
        <v>33672</v>
      </c>
    </row>
    <row r="67" spans="1:12">
      <c r="A67" s="102" t="s">
        <v>206</v>
      </c>
      <c r="B67" s="98">
        <v>2172</v>
      </c>
      <c r="C67" s="98">
        <v>2294</v>
      </c>
      <c r="D67" s="98" t="s">
        <v>91</v>
      </c>
      <c r="E67" s="98">
        <v>528</v>
      </c>
      <c r="F67" s="98">
        <v>3213</v>
      </c>
      <c r="G67" s="98" t="s">
        <v>91</v>
      </c>
      <c r="H67" s="98" t="s">
        <v>91</v>
      </c>
      <c r="I67" s="98" t="s">
        <v>91</v>
      </c>
      <c r="J67" s="98" t="s">
        <v>91</v>
      </c>
      <c r="K67" s="98" t="s">
        <v>91</v>
      </c>
      <c r="L67" s="98"/>
    </row>
    <row r="68" spans="1:12">
      <c r="A68" s="110" t="s">
        <v>207</v>
      </c>
      <c r="B68" s="98">
        <v>3400</v>
      </c>
      <c r="C68" s="98">
        <v>3001</v>
      </c>
      <c r="D68" s="45" t="s">
        <v>91</v>
      </c>
      <c r="E68" s="98">
        <v>3939</v>
      </c>
      <c r="F68" s="98">
        <v>2910</v>
      </c>
      <c r="G68" s="98">
        <v>2612</v>
      </c>
      <c r="H68" s="98">
        <v>3024</v>
      </c>
      <c r="I68" s="98">
        <v>3276</v>
      </c>
      <c r="J68" s="98">
        <v>2865</v>
      </c>
      <c r="K68" s="98">
        <v>3551</v>
      </c>
      <c r="L68" s="114">
        <v>4350</v>
      </c>
    </row>
    <row r="69" spans="1:12">
      <c r="A69" s="102" t="s">
        <v>211</v>
      </c>
      <c r="B69" s="98" t="s">
        <v>91</v>
      </c>
      <c r="C69" s="98" t="s">
        <v>91</v>
      </c>
      <c r="D69" s="98" t="s">
        <v>91</v>
      </c>
      <c r="E69" s="98" t="s">
        <v>91</v>
      </c>
      <c r="F69" s="98" t="s">
        <v>91</v>
      </c>
      <c r="G69" s="98">
        <v>450</v>
      </c>
      <c r="H69" s="98">
        <v>457</v>
      </c>
      <c r="I69" s="98">
        <v>406</v>
      </c>
      <c r="J69" s="98">
        <v>522</v>
      </c>
      <c r="K69" s="98">
        <v>588</v>
      </c>
      <c r="L69" s="98">
        <v>621</v>
      </c>
    </row>
    <row r="70" spans="1:12">
      <c r="A70" s="115" t="s">
        <v>212</v>
      </c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</row>
    <row r="71" spans="1:12">
      <c r="A71" s="116" t="s">
        <v>213</v>
      </c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</row>
    <row r="72" spans="1:12">
      <c r="A72" s="97" t="s">
        <v>172</v>
      </c>
      <c r="B72" s="99" t="s">
        <v>91</v>
      </c>
      <c r="C72" s="99" t="s">
        <v>91</v>
      </c>
      <c r="D72" s="99" t="s">
        <v>91</v>
      </c>
      <c r="E72" s="99" t="s">
        <v>91</v>
      </c>
      <c r="F72" s="99" t="s">
        <v>91</v>
      </c>
      <c r="G72" s="99" t="s">
        <v>91</v>
      </c>
      <c r="H72" s="99" t="s">
        <v>91</v>
      </c>
      <c r="I72" s="99" t="s">
        <v>91</v>
      </c>
      <c r="J72" s="99" t="s">
        <v>91</v>
      </c>
      <c r="K72" s="99" t="s">
        <v>91</v>
      </c>
      <c r="L72" s="99"/>
    </row>
    <row r="73" spans="1:12">
      <c r="A73" s="100" t="s">
        <v>214</v>
      </c>
      <c r="B73" s="56" t="s">
        <v>91</v>
      </c>
      <c r="C73" s="56" t="s">
        <v>91</v>
      </c>
      <c r="D73" s="56" t="s">
        <v>91</v>
      </c>
      <c r="E73" s="56" t="s">
        <v>91</v>
      </c>
      <c r="F73" s="56" t="s">
        <v>91</v>
      </c>
      <c r="G73" s="56" t="s">
        <v>91</v>
      </c>
      <c r="H73" s="56" t="s">
        <v>91</v>
      </c>
      <c r="I73" s="56" t="s">
        <v>91</v>
      </c>
      <c r="J73" s="56" t="s">
        <v>91</v>
      </c>
      <c r="K73" s="56" t="s">
        <v>91</v>
      </c>
      <c r="L73" s="56"/>
    </row>
    <row r="74" spans="1:12">
      <c r="A74" s="100" t="s">
        <v>215</v>
      </c>
      <c r="B74" s="56" t="s">
        <v>91</v>
      </c>
      <c r="C74" s="56" t="s">
        <v>91</v>
      </c>
      <c r="D74" s="56" t="s">
        <v>91</v>
      </c>
      <c r="E74" s="56" t="s">
        <v>91</v>
      </c>
      <c r="F74" s="56" t="s">
        <v>91</v>
      </c>
      <c r="G74" s="56" t="s">
        <v>91</v>
      </c>
      <c r="H74" s="56" t="s">
        <v>91</v>
      </c>
      <c r="I74" s="56" t="s">
        <v>91</v>
      </c>
      <c r="J74" s="56" t="s">
        <v>91</v>
      </c>
      <c r="K74" s="56" t="s">
        <v>91</v>
      </c>
      <c r="L74" s="56"/>
    </row>
    <row r="75" spans="1:12">
      <c r="A75" s="101" t="s">
        <v>216</v>
      </c>
      <c r="B75" s="56" t="s">
        <v>91</v>
      </c>
      <c r="C75" s="56" t="s">
        <v>91</v>
      </c>
      <c r="D75" s="56" t="s">
        <v>91</v>
      </c>
      <c r="E75" s="56" t="s">
        <v>91</v>
      </c>
      <c r="F75" s="56" t="s">
        <v>91</v>
      </c>
      <c r="G75" s="56" t="s">
        <v>91</v>
      </c>
      <c r="H75" s="56" t="s">
        <v>91</v>
      </c>
      <c r="I75" s="56" t="s">
        <v>91</v>
      </c>
      <c r="J75" s="56" t="s">
        <v>91</v>
      </c>
      <c r="K75" s="56" t="s">
        <v>91</v>
      </c>
      <c r="L75" s="56"/>
    </row>
    <row r="76" spans="1:12">
      <c r="A76" s="102" t="s">
        <v>217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>
      <c r="A77" s="101" t="s">
        <v>218</v>
      </c>
      <c r="B77" s="56" t="s">
        <v>91</v>
      </c>
      <c r="C77" s="56" t="s">
        <v>91</v>
      </c>
      <c r="D77" s="56" t="s">
        <v>91</v>
      </c>
      <c r="E77" s="56" t="s">
        <v>91</v>
      </c>
      <c r="F77" s="56" t="s">
        <v>91</v>
      </c>
      <c r="G77" s="56" t="s">
        <v>91</v>
      </c>
      <c r="H77" s="56" t="s">
        <v>91</v>
      </c>
      <c r="I77" s="56" t="s">
        <v>91</v>
      </c>
      <c r="J77" s="56" t="s">
        <v>91</v>
      </c>
      <c r="K77" s="56" t="s">
        <v>91</v>
      </c>
      <c r="L77" s="56"/>
    </row>
    <row r="78" spans="1:12">
      <c r="A78" s="102" t="s">
        <v>219</v>
      </c>
      <c r="B78" s="56" t="s">
        <v>91</v>
      </c>
      <c r="C78" s="56" t="s">
        <v>91</v>
      </c>
      <c r="D78" s="56" t="s">
        <v>91</v>
      </c>
      <c r="E78" s="56" t="s">
        <v>91</v>
      </c>
      <c r="F78" s="56" t="s">
        <v>91</v>
      </c>
      <c r="G78" s="56" t="s">
        <v>91</v>
      </c>
      <c r="H78" s="56" t="s">
        <v>91</v>
      </c>
      <c r="I78" s="56" t="s">
        <v>91</v>
      </c>
      <c r="J78" s="56" t="s">
        <v>91</v>
      </c>
      <c r="K78" s="56" t="s">
        <v>91</v>
      </c>
      <c r="L78" s="56"/>
    </row>
  </sheetData>
  <conditionalFormatting sqref="A6:H7 A73:H74 A8:G9 A75:G76 A77:H78 A10:H69">
    <cfRule type="cellIs" dxfId="42" priority="34" operator="lessThan">
      <formula>0</formula>
    </cfRule>
  </conditionalFormatting>
  <conditionalFormatting sqref="I6:I59 I73:I78 B6:H7 B73:H74 B8:G9 B75:G76 B10:H59 B77:H78 B62:I62 B67:I67 B64:I64">
    <cfRule type="cellIs" dxfId="41" priority="33" operator="greaterThan">
      <formula>0</formula>
    </cfRule>
  </conditionalFormatting>
  <conditionalFormatting sqref="B69:I69">
    <cfRule type="cellIs" dxfId="40" priority="32" operator="greaterThan">
      <formula>0</formula>
    </cfRule>
  </conditionalFormatting>
  <conditionalFormatting sqref="H8:H9 H75:H76">
    <cfRule type="cellIs" dxfId="39" priority="31" operator="lessThan">
      <formula>0</formula>
    </cfRule>
  </conditionalFormatting>
  <conditionalFormatting sqref="H8:H9 H75:H76">
    <cfRule type="cellIs" dxfId="38" priority="30" operator="greaterThan">
      <formula>0</formula>
    </cfRule>
  </conditionalFormatting>
  <conditionalFormatting sqref="J6:J7 J73:J74 J10:J59 J77:J78">
    <cfRule type="cellIs" dxfId="37" priority="29" operator="lessThan">
      <formula>0</formula>
    </cfRule>
  </conditionalFormatting>
  <conditionalFormatting sqref="J6:J7 J73:J74 J10:J59 J77:J78">
    <cfRule type="cellIs" dxfId="36" priority="28" operator="greaterThan">
      <formula>0</formula>
    </cfRule>
  </conditionalFormatting>
  <conditionalFormatting sqref="J8:J9 J75:J76">
    <cfRule type="cellIs" dxfId="35" priority="27" operator="lessThan">
      <formula>0</formula>
    </cfRule>
  </conditionalFormatting>
  <conditionalFormatting sqref="J8:J9 J75:J76">
    <cfRule type="cellIs" dxfId="34" priority="26" operator="greaterThan">
      <formula>0</formula>
    </cfRule>
  </conditionalFormatting>
  <conditionalFormatting sqref="J62:L62">
    <cfRule type="cellIs" dxfId="33" priority="25" operator="lessThan">
      <formula>0</formula>
    </cfRule>
  </conditionalFormatting>
  <conditionalFormatting sqref="J62:L62">
    <cfRule type="cellIs" dxfId="32" priority="24" operator="greaterThan">
      <formula>0</formula>
    </cfRule>
  </conditionalFormatting>
  <conditionalFormatting sqref="J64:L64">
    <cfRule type="cellIs" dxfId="31" priority="23" operator="lessThan">
      <formula>0</formula>
    </cfRule>
  </conditionalFormatting>
  <conditionalFormatting sqref="J64:L64">
    <cfRule type="cellIs" dxfId="30" priority="22" operator="greaterThan">
      <formula>0</formula>
    </cfRule>
  </conditionalFormatting>
  <conditionalFormatting sqref="J69:L69">
    <cfRule type="cellIs" dxfId="29" priority="21" operator="lessThan">
      <formula>0</formula>
    </cfRule>
  </conditionalFormatting>
  <conditionalFormatting sqref="J69:L69">
    <cfRule type="cellIs" dxfId="28" priority="20" operator="greaterThan">
      <formula>0</formula>
    </cfRule>
  </conditionalFormatting>
  <conditionalFormatting sqref="J67:L67">
    <cfRule type="cellIs" dxfId="27" priority="19" operator="lessThan">
      <formula>0</formula>
    </cfRule>
  </conditionalFormatting>
  <conditionalFormatting sqref="J67:L67">
    <cfRule type="cellIs" dxfId="26" priority="18" operator="greaterThan">
      <formula>0</formula>
    </cfRule>
  </conditionalFormatting>
  <conditionalFormatting sqref="I6:I69 I73:I78">
    <cfRule type="cellIs" dxfId="25" priority="17" operator="lessThan">
      <formula>0</formula>
    </cfRule>
  </conditionalFormatting>
  <conditionalFormatting sqref="I69">
    <cfRule type="cellIs" dxfId="24" priority="16" operator="lessThan">
      <formula>0</formula>
    </cfRule>
  </conditionalFormatting>
  <conditionalFormatting sqref="K6:K7 K73:K74 K10:K59 K77:K78">
    <cfRule type="cellIs" dxfId="23" priority="15" operator="lessThan">
      <formula>0</formula>
    </cfRule>
  </conditionalFormatting>
  <conditionalFormatting sqref="K6:K7 K73:K74 K10:K59 K77:K78">
    <cfRule type="cellIs" dxfId="22" priority="14" operator="greaterThan">
      <formula>0</formula>
    </cfRule>
  </conditionalFormatting>
  <conditionalFormatting sqref="K8:K9 K75:K76">
    <cfRule type="cellIs" dxfId="21" priority="13" operator="lessThan">
      <formula>0</formula>
    </cfRule>
  </conditionalFormatting>
  <conditionalFormatting sqref="K8:K9 K75:K76">
    <cfRule type="cellIs" dxfId="20" priority="12" operator="greaterThan">
      <formula>0</formula>
    </cfRule>
  </conditionalFormatting>
  <conditionalFormatting sqref="L6:L7 L73:L74 L10:L59 L77:L78">
    <cfRule type="cellIs" dxfId="19" priority="11" operator="lessThan">
      <formula>0</formula>
    </cfRule>
  </conditionalFormatting>
  <conditionalFormatting sqref="L6:L7 L73:L74 L10:L59 L77:L78">
    <cfRule type="cellIs" dxfId="18" priority="10" operator="greaterThan">
      <formula>0</formula>
    </cfRule>
  </conditionalFormatting>
  <conditionalFormatting sqref="L8:L9 L75:L76">
    <cfRule type="cellIs" dxfId="17" priority="9" operator="lessThan">
      <formula>0</formula>
    </cfRule>
  </conditionalFormatting>
  <conditionalFormatting sqref="L8:L9 L75:L76">
    <cfRule type="cellIs" dxfId="16" priority="8" operator="greaterThan">
      <formula>0</formula>
    </cfRule>
  </conditionalFormatting>
  <conditionalFormatting sqref="B5:L78">
    <cfRule type="cellIs" dxfId="15" priority="2" operator="greaterThan">
      <formula>0</formula>
    </cfRule>
  </conditionalFormatting>
  <conditionalFormatting sqref="B5:L78">
    <cfRule type="cellIs" dxfId="14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2024-09-11T05:59:18Z</dcterms:created>
  <dcterms:modified xsi:type="dcterms:W3CDTF">2024-09-14T15:48:06Z</dcterms:modified>
  <cp:category/>
  <cp:contentStatus/>
</cp:coreProperties>
</file>