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Engineering\RevoU - Fullstack Software Engineering (FSSE)\FSSE\Milestone 5 Week 23,24&amp;25 Final Project\"/>
    </mc:Choice>
  </mc:AlternateContent>
  <xr:revisionPtr revIDLastSave="0" documentId="13_ncr:1_{E2C260DA-13B7-4DD2-A562-92C96D97287E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5 cities foricsv miss+u22nd (8)" sheetId="13" r:id="rId1"/>
    <sheet name="5 cities forinput 23rd only (7)" sheetId="11" r:id="rId2"/>
    <sheet name="5 cities concat miss+u22nd(6.1)" sheetId="12" r:id="rId3"/>
    <sheet name="5 cities ori miss+u22nd (6)" sheetId="10" r:id="rId4"/>
    <sheet name="polution_row bpjskabkot (5.1)" sheetId="9" r:id="rId5"/>
    <sheet name="5 cities foricsv full tgl (5)" sheetId="7" r:id="rId6"/>
    <sheet name="5 cities Sum Stat(4)" sheetId="6" r:id="rId7"/>
    <sheet name="5 cities miss tgl (3)" sheetId="4" r:id="rId8"/>
    <sheet name="5 cities bt (2)" sheetId="3" r:id="rId9"/>
    <sheet name="5 cities Sum Stat (1)" sheetId="2" r:id="rId10"/>
    <sheet name="data rs frktl (0)" sheetId="1" r:id="rId11"/>
    <sheet name="AQI Indonesia 15-22" sheetId="5" r:id="rId12"/>
  </sheets>
  <definedNames>
    <definedName name="_xlnm._FilterDatabase" localSheetId="8" hidden="1">'5 cities bt (2)'!$A$1:$K$223</definedName>
    <definedName name="_xlnm._FilterDatabase" localSheetId="2" hidden="1">'5 cities concat miss+u22nd(6.1)'!$A$1:$G$97</definedName>
    <definedName name="_xlnm._FilterDatabase" localSheetId="5" hidden="1">'5 cities foricsv full tgl (5)'!$A$2:$H$157</definedName>
    <definedName name="_xlnm._FilterDatabase" localSheetId="0" hidden="1">'5 cities foricsv miss+u22nd (8)'!$A$1:$F$97</definedName>
    <definedName name="_xlnm._FilterDatabase" localSheetId="1" hidden="1">'5 cities forinput 23rd only (7)'!$A$2:$H$7</definedName>
    <definedName name="_xlnm._FilterDatabase" localSheetId="7" hidden="1">'5 cities miss tgl (3)'!$A$1:$I$283</definedName>
    <definedName name="_xlnm._FilterDatabase" localSheetId="3" hidden="1">'5 cities ori miss+u22nd (6)'!$A$1:$G$97</definedName>
    <definedName name="_xlnm._FilterDatabase" localSheetId="9" hidden="1">'5 cities Sum Stat (1)'!$A$1:$E$96</definedName>
    <definedName name="_xlnm._FilterDatabase" localSheetId="6" hidden="1">'5 cities Sum Stat(4)'!$A$1:$F$156</definedName>
    <definedName name="_xlnm._FilterDatabase" localSheetId="4" hidden="1">'polution_row bpjskabkot (5.1)'!$A$1:$G$15</definedName>
  </definedNames>
  <calcPr calcId="191029"/>
</workbook>
</file>

<file path=xl/calcChain.xml><?xml version="1.0" encoding="utf-8"?>
<calcChain xmlns="http://schemas.openxmlformats.org/spreadsheetml/2006/main">
  <c r="J27" i="12" l="1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4" i="10"/>
  <c r="J2" i="10"/>
  <c r="J24" i="12"/>
  <c r="J25" i="12"/>
  <c r="J26" i="12"/>
  <c r="J22" i="12"/>
  <c r="J23" i="12"/>
  <c r="J19" i="12"/>
  <c r="J20" i="12"/>
  <c r="J21" i="12"/>
  <c r="J17" i="12"/>
  <c r="J18" i="12"/>
  <c r="J5" i="12"/>
  <c r="J6" i="12"/>
  <c r="J7" i="12"/>
  <c r="J8" i="12"/>
  <c r="J9" i="12"/>
  <c r="J10" i="12"/>
  <c r="J11" i="12"/>
  <c r="J12" i="12"/>
  <c r="J13" i="12"/>
  <c r="J14" i="12"/>
  <c r="J15" i="12"/>
  <c r="J16" i="12"/>
  <c r="J4" i="12"/>
  <c r="J3" i="12"/>
  <c r="J2" i="12"/>
  <c r="J3" i="10"/>
  <c r="N5" i="6"/>
  <c r="N4" i="6"/>
  <c r="N6" i="6"/>
  <c r="M6" i="6"/>
  <c r="L6" i="6"/>
  <c r="M5" i="6"/>
  <c r="L5" i="6"/>
  <c r="M4" i="6"/>
  <c r="M3" i="6"/>
  <c r="L4" i="6"/>
  <c r="L3" i="6"/>
  <c r="N3" i="6"/>
  <c r="M2" i="6"/>
  <c r="L2" i="6"/>
  <c r="K5" i="2"/>
  <c r="F64" i="4"/>
  <c r="G64" i="4"/>
  <c r="H64" i="4"/>
  <c r="D64" i="4"/>
  <c r="G68" i="4"/>
  <c r="G67" i="4" s="1"/>
  <c r="G66" i="4" s="1"/>
  <c r="D68" i="4"/>
  <c r="D67" i="4" s="1"/>
  <c r="D66" i="4" s="1"/>
  <c r="E77" i="4"/>
  <c r="F77" i="4"/>
  <c r="G77" i="4"/>
  <c r="G78" i="4" s="1"/>
  <c r="D78" i="4"/>
  <c r="D77" i="4"/>
  <c r="E75" i="4"/>
  <c r="F75" i="4"/>
  <c r="G75" i="4"/>
  <c r="E74" i="4"/>
  <c r="F74" i="4"/>
  <c r="G74" i="4"/>
  <c r="D75" i="4"/>
  <c r="D74" i="4"/>
  <c r="E94" i="4"/>
  <c r="F94" i="4"/>
  <c r="G94" i="4"/>
  <c r="E93" i="4"/>
  <c r="F93" i="4"/>
  <c r="G93" i="4"/>
  <c r="D94" i="4"/>
  <c r="D93" i="4"/>
  <c r="E89" i="4"/>
  <c r="F89" i="4"/>
  <c r="G89" i="4"/>
  <c r="E88" i="4"/>
  <c r="F88" i="4"/>
  <c r="G88" i="4"/>
  <c r="D89" i="4"/>
  <c r="D88" i="4"/>
  <c r="E155" i="4"/>
  <c r="F155" i="4"/>
  <c r="G155" i="4"/>
  <c r="H155" i="4"/>
  <c r="E154" i="4"/>
  <c r="F154" i="4"/>
  <c r="G154" i="4"/>
  <c r="H154" i="4"/>
  <c r="D155" i="4"/>
  <c r="D154" i="4"/>
  <c r="E150" i="4"/>
  <c r="F150" i="4"/>
  <c r="G150" i="4"/>
  <c r="H150" i="4"/>
  <c r="E149" i="4"/>
  <c r="F149" i="4"/>
  <c r="G149" i="4"/>
  <c r="H149" i="4"/>
  <c r="D150" i="4"/>
  <c r="D149" i="4"/>
  <c r="G142" i="4"/>
  <c r="D143" i="4"/>
  <c r="E142" i="4"/>
  <c r="E143" i="4" s="1"/>
  <c r="F142" i="4"/>
  <c r="F143" i="4" s="1"/>
  <c r="H142" i="4"/>
  <c r="H143" i="4" s="1"/>
  <c r="D144" i="4"/>
  <c r="D142" i="4"/>
  <c r="E135" i="4"/>
  <c r="E137" i="4" s="1"/>
  <c r="F135" i="4"/>
  <c r="F136" i="4" s="1"/>
  <c r="H135" i="4"/>
  <c r="H136" i="4" s="1"/>
  <c r="E136" i="4"/>
  <c r="E138" i="4" s="1"/>
  <c r="D134" i="4"/>
  <c r="H134" i="4"/>
  <c r="F134" i="4"/>
  <c r="E134" i="4"/>
  <c r="G134" i="4"/>
  <c r="D133" i="4"/>
  <c r="H133" i="4"/>
  <c r="F133" i="4"/>
  <c r="E133" i="4"/>
  <c r="G133" i="4"/>
  <c r="E132" i="4"/>
  <c r="F132" i="4"/>
  <c r="G132" i="4"/>
  <c r="H132" i="4"/>
  <c r="D132" i="4"/>
  <c r="G131" i="4"/>
  <c r="D131" i="4"/>
  <c r="E131" i="4"/>
  <c r="F131" i="4"/>
  <c r="H131" i="4"/>
  <c r="E130" i="4"/>
  <c r="F130" i="4"/>
  <c r="G130" i="4"/>
  <c r="H130" i="4"/>
  <c r="D130" i="4"/>
  <c r="H124" i="4"/>
  <c r="F124" i="4"/>
  <c r="E124" i="4"/>
  <c r="G124" i="4"/>
  <c r="D124" i="4"/>
  <c r="E123" i="4"/>
  <c r="G123" i="4"/>
  <c r="D123" i="4"/>
  <c r="F123" i="4"/>
  <c r="H123" i="4"/>
  <c r="G122" i="4"/>
  <c r="D122" i="4"/>
  <c r="E122" i="4"/>
  <c r="F122" i="4"/>
  <c r="H122" i="4"/>
  <c r="E116" i="4"/>
  <c r="F116" i="4"/>
  <c r="G116" i="4"/>
  <c r="H116" i="4"/>
  <c r="D116" i="4"/>
  <c r="E115" i="4"/>
  <c r="F115" i="4"/>
  <c r="G115" i="4"/>
  <c r="H115" i="4"/>
  <c r="D115" i="4"/>
  <c r="D13" i="4"/>
  <c r="D9" i="4"/>
  <c r="D14" i="4" s="1"/>
  <c r="D44" i="4"/>
  <c r="D45" i="4" s="1"/>
  <c r="H109" i="4"/>
  <c r="F109" i="4"/>
  <c r="E109" i="4"/>
  <c r="H108" i="4"/>
  <c r="F108" i="4"/>
  <c r="E108" i="4"/>
  <c r="G109" i="4"/>
  <c r="G108" i="4"/>
  <c r="D109" i="4"/>
  <c r="D108" i="4"/>
  <c r="H104" i="4"/>
  <c r="F104" i="4"/>
  <c r="E104" i="4"/>
  <c r="G104" i="4"/>
  <c r="D104" i="4"/>
  <c r="G103" i="4"/>
  <c r="D103" i="4"/>
  <c r="E103" i="4"/>
  <c r="F103" i="4"/>
  <c r="H103" i="4"/>
  <c r="E44" i="4"/>
  <c r="E45" i="4" s="1"/>
  <c r="F44" i="4"/>
  <c r="F45" i="4" s="1"/>
  <c r="G44" i="4"/>
  <c r="G45" i="4" s="1"/>
  <c r="E14" i="4"/>
  <c r="F14" i="4"/>
  <c r="G14" i="4"/>
  <c r="E13" i="4"/>
  <c r="F13" i="4"/>
  <c r="G13" i="4"/>
  <c r="D10" i="4"/>
  <c r="E9" i="4"/>
  <c r="E10" i="4" s="1"/>
  <c r="F10" i="4"/>
  <c r="G10" i="4"/>
  <c r="F9" i="4"/>
  <c r="G9" i="4"/>
  <c r="I145" i="4"/>
  <c r="I146" i="4" s="1"/>
  <c r="I147" i="4" s="1"/>
  <c r="J147" i="4" s="1"/>
  <c r="J114" i="4"/>
  <c r="J115" i="4"/>
  <c r="J116" i="4"/>
  <c r="J117" i="4"/>
  <c r="J118" i="4"/>
  <c r="J119" i="4"/>
  <c r="J120" i="4"/>
  <c r="J121" i="4"/>
  <c r="J122" i="4"/>
  <c r="J123" i="4"/>
  <c r="J124" i="4"/>
  <c r="J125" i="4"/>
  <c r="I115" i="4"/>
  <c r="I116" i="4" s="1"/>
  <c r="I114" i="4"/>
  <c r="J83" i="4"/>
  <c r="J84" i="4"/>
  <c r="J85" i="4"/>
  <c r="J86" i="4"/>
  <c r="J87" i="4"/>
  <c r="J88" i="4"/>
  <c r="J89" i="4"/>
  <c r="J90" i="4"/>
  <c r="J91" i="4"/>
  <c r="J92" i="4"/>
  <c r="J93" i="4"/>
  <c r="J94" i="4"/>
  <c r="I84" i="4"/>
  <c r="I85" i="4" s="1"/>
  <c r="I83" i="4"/>
  <c r="J52" i="4"/>
  <c r="J53" i="4"/>
  <c r="J54" i="4"/>
  <c r="J55" i="4"/>
  <c r="J56" i="4"/>
  <c r="J57" i="4"/>
  <c r="J58" i="4"/>
  <c r="J59" i="4"/>
  <c r="J60" i="4"/>
  <c r="J61" i="4"/>
  <c r="J62" i="4"/>
  <c r="J63" i="4"/>
  <c r="I52" i="4"/>
  <c r="I53" i="4" s="1"/>
  <c r="I54" i="4" s="1"/>
  <c r="I21" i="4"/>
  <c r="J21" i="4" s="1"/>
  <c r="I22" i="4"/>
  <c r="I23" i="4" s="1"/>
  <c r="J23" i="4" s="1"/>
  <c r="G26" i="4"/>
  <c r="F21" i="4"/>
  <c r="G21" i="4"/>
  <c r="G18" i="4"/>
  <c r="G3" i="4"/>
  <c r="G4" i="4"/>
  <c r="G5" i="4"/>
  <c r="G6" i="4"/>
  <c r="G7" i="4"/>
  <c r="G8" i="4"/>
  <c r="G11" i="4"/>
  <c r="G12" i="4"/>
  <c r="G15" i="4"/>
  <c r="G16" i="4"/>
  <c r="G17" i="4"/>
  <c r="G19" i="4"/>
  <c r="G20" i="4"/>
  <c r="G22" i="4"/>
  <c r="G23" i="4"/>
  <c r="G24" i="4"/>
  <c r="G25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5" i="4"/>
  <c r="G69" i="4"/>
  <c r="G70" i="4"/>
  <c r="G71" i="4"/>
  <c r="G72" i="4"/>
  <c r="G73" i="4"/>
  <c r="G76" i="4"/>
  <c r="G79" i="4"/>
  <c r="G80" i="4"/>
  <c r="G81" i="4"/>
  <c r="G82" i="4"/>
  <c r="G83" i="4"/>
  <c r="G84" i="4"/>
  <c r="G85" i="4"/>
  <c r="G86" i="4"/>
  <c r="G87" i="4"/>
  <c r="G90" i="4"/>
  <c r="G91" i="4"/>
  <c r="G92" i="4"/>
  <c r="G95" i="4"/>
  <c r="G96" i="4"/>
  <c r="G97" i="4"/>
  <c r="G98" i="4"/>
  <c r="G99" i="4"/>
  <c r="G100" i="4"/>
  <c r="G101" i="4"/>
  <c r="G102" i="4"/>
  <c r="G105" i="4"/>
  <c r="G106" i="4"/>
  <c r="G107" i="4"/>
  <c r="G110" i="4"/>
  <c r="G111" i="4"/>
  <c r="G112" i="4"/>
  <c r="G113" i="4"/>
  <c r="G114" i="4"/>
  <c r="G117" i="4"/>
  <c r="G118" i="4"/>
  <c r="G119" i="4"/>
  <c r="G120" i="4"/>
  <c r="G121" i="4"/>
  <c r="G125" i="4"/>
  <c r="G126" i="4"/>
  <c r="G127" i="4"/>
  <c r="G128" i="4"/>
  <c r="G129" i="4"/>
  <c r="G141" i="4"/>
  <c r="G147" i="4"/>
  <c r="G148" i="4"/>
  <c r="G151" i="4"/>
  <c r="G152" i="4"/>
  <c r="G153" i="4"/>
  <c r="G156" i="4"/>
  <c r="G2" i="4"/>
  <c r="J10" i="5"/>
  <c r="C11" i="5"/>
  <c r="G10" i="5"/>
  <c r="F3" i="5"/>
  <c r="D3" i="4"/>
  <c r="F152" i="4"/>
  <c r="E152" i="4"/>
  <c r="D152" i="4"/>
  <c r="F128" i="4"/>
  <c r="E128" i="4"/>
  <c r="D128" i="4"/>
  <c r="F106" i="4"/>
  <c r="E106" i="4"/>
  <c r="D106" i="4"/>
  <c r="F101" i="4"/>
  <c r="E101" i="4"/>
  <c r="D101" i="4"/>
  <c r="F80" i="4"/>
  <c r="E80" i="4"/>
  <c r="D80" i="4"/>
  <c r="F72" i="4"/>
  <c r="E72" i="4"/>
  <c r="D72" i="4"/>
  <c r="F70" i="4"/>
  <c r="E70" i="4"/>
  <c r="D70" i="4"/>
  <c r="F60" i="4"/>
  <c r="E60" i="4"/>
  <c r="D60" i="4"/>
  <c r="F58" i="4"/>
  <c r="E58" i="4"/>
  <c r="D58" i="4"/>
  <c r="F26" i="4"/>
  <c r="E26" i="4"/>
  <c r="D26" i="4"/>
  <c r="E21" i="4"/>
  <c r="D21" i="4"/>
  <c r="F18" i="4"/>
  <c r="E18" i="4"/>
  <c r="D18" i="4"/>
  <c r="E3" i="4"/>
  <c r="F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3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" i="4"/>
  <c r="E10" i="5"/>
  <c r="D4" i="5"/>
  <c r="D5" i="5"/>
  <c r="D6" i="5"/>
  <c r="D7" i="5"/>
  <c r="D8" i="5"/>
  <c r="D9" i="5"/>
  <c r="D3" i="5"/>
  <c r="H156" i="4"/>
  <c r="H153" i="4"/>
  <c r="H151" i="4"/>
  <c r="H152" i="4" s="1"/>
  <c r="H148" i="4"/>
  <c r="H147" i="4"/>
  <c r="H141" i="4"/>
  <c r="H129" i="4"/>
  <c r="H128" i="4" s="1"/>
  <c r="H127" i="4"/>
  <c r="H126" i="4"/>
  <c r="H125" i="4"/>
  <c r="H121" i="4"/>
  <c r="H120" i="4"/>
  <c r="H119" i="4"/>
  <c r="H118" i="4"/>
  <c r="H117" i="4"/>
  <c r="H114" i="4"/>
  <c r="H113" i="4"/>
  <c r="H112" i="4"/>
  <c r="H111" i="4"/>
  <c r="H110" i="4"/>
  <c r="H107" i="4"/>
  <c r="H105" i="4"/>
  <c r="H106" i="4" s="1"/>
  <c r="H102" i="4"/>
  <c r="H100" i="4"/>
  <c r="H101" i="4" s="1"/>
  <c r="H99" i="4"/>
  <c r="H98" i="4"/>
  <c r="H97" i="4"/>
  <c r="H96" i="4"/>
  <c r="H95" i="4"/>
  <c r="H92" i="4"/>
  <c r="H91" i="4"/>
  <c r="H90" i="4"/>
  <c r="H87" i="4"/>
  <c r="H86" i="4"/>
  <c r="H85" i="4"/>
  <c r="H84" i="4"/>
  <c r="H83" i="4"/>
  <c r="H82" i="4"/>
  <c r="H81" i="4"/>
  <c r="H79" i="4"/>
  <c r="H76" i="4"/>
  <c r="H73" i="4"/>
  <c r="H71" i="4"/>
  <c r="H69" i="4"/>
  <c r="H65" i="4"/>
  <c r="H63" i="4"/>
  <c r="H62" i="4"/>
  <c r="H61" i="4"/>
  <c r="H59" i="4"/>
  <c r="H58" i="4" s="1"/>
  <c r="H57" i="4"/>
  <c r="H56" i="4"/>
  <c r="H55" i="4"/>
  <c r="H54" i="4"/>
  <c r="H53" i="4"/>
  <c r="H52" i="4"/>
  <c r="H51" i="4"/>
  <c r="H50" i="4"/>
  <c r="H49" i="4"/>
  <c r="H48" i="4"/>
  <c r="H47" i="4"/>
  <c r="H46" i="4"/>
  <c r="H43" i="4"/>
  <c r="H42" i="4"/>
  <c r="H41" i="4"/>
  <c r="H40" i="4"/>
  <c r="H39" i="4"/>
  <c r="H38" i="4"/>
  <c r="H37" i="4"/>
  <c r="H36" i="4"/>
  <c r="H35" i="4"/>
  <c r="H34" i="4"/>
  <c r="H33" i="4"/>
  <c r="H44" i="4" s="1"/>
  <c r="H45" i="4" s="1"/>
  <c r="H32" i="4"/>
  <c r="H31" i="4"/>
  <c r="H30" i="4"/>
  <c r="H29" i="4"/>
  <c r="H28" i="4"/>
  <c r="H27" i="4"/>
  <c r="H25" i="4"/>
  <c r="H24" i="4"/>
  <c r="H23" i="4"/>
  <c r="H22" i="4"/>
  <c r="H20" i="4"/>
  <c r="H21" i="4" s="1"/>
  <c r="H19" i="4"/>
  <c r="H17" i="4"/>
  <c r="H18" i="4" s="1"/>
  <c r="H16" i="4"/>
  <c r="H15" i="4"/>
  <c r="H12" i="4"/>
  <c r="H11" i="4"/>
  <c r="H8" i="4"/>
  <c r="H7" i="4"/>
  <c r="H6" i="4"/>
  <c r="H5" i="4"/>
  <c r="H4" i="4"/>
  <c r="H3" i="4" s="1"/>
  <c r="H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2" i="3"/>
  <c r="K27" i="3"/>
  <c r="I21" i="3"/>
  <c r="J21" i="3"/>
  <c r="K21" i="3" s="1"/>
  <c r="I62" i="3"/>
  <c r="J62" i="3"/>
  <c r="I36" i="3"/>
  <c r="J36" i="3"/>
  <c r="J56" i="3"/>
  <c r="I56" i="3"/>
  <c r="I66" i="3"/>
  <c r="J66" i="3"/>
  <c r="I64" i="3"/>
  <c r="J64" i="3"/>
  <c r="I53" i="3"/>
  <c r="J53" i="3"/>
  <c r="K53" i="3" s="1"/>
  <c r="I27" i="3"/>
  <c r="J27" i="3"/>
  <c r="I49" i="3"/>
  <c r="J49" i="3"/>
  <c r="I37" i="3"/>
  <c r="J37" i="3"/>
  <c r="I86" i="3"/>
  <c r="J86" i="3"/>
  <c r="I25" i="3"/>
  <c r="J25" i="3"/>
  <c r="I79" i="3"/>
  <c r="J79" i="3"/>
  <c r="I92" i="3"/>
  <c r="J92" i="3"/>
  <c r="I58" i="3"/>
  <c r="J58" i="3"/>
  <c r="I69" i="3"/>
  <c r="J69" i="3"/>
  <c r="I51" i="3"/>
  <c r="J51" i="3"/>
  <c r="K51" i="3" s="1"/>
  <c r="J82" i="3"/>
  <c r="I82" i="3"/>
  <c r="I13" i="3"/>
  <c r="J13" i="3"/>
  <c r="I10" i="3"/>
  <c r="J10" i="3"/>
  <c r="I6" i="3"/>
  <c r="J6" i="3"/>
  <c r="I87" i="3"/>
  <c r="J87" i="3"/>
  <c r="K87" i="3" s="1"/>
  <c r="I55" i="3"/>
  <c r="J55" i="3"/>
  <c r="I31" i="3"/>
  <c r="J31" i="3"/>
  <c r="I5" i="3"/>
  <c r="J5" i="3"/>
  <c r="K5" i="3" s="1"/>
  <c r="I68" i="3"/>
  <c r="J68" i="3"/>
  <c r="I24" i="3"/>
  <c r="J24" i="3"/>
  <c r="I57" i="3"/>
  <c r="J57" i="3"/>
  <c r="K57" i="3" s="1"/>
  <c r="I91" i="3"/>
  <c r="J91" i="3"/>
  <c r="I28" i="3"/>
  <c r="J28" i="3"/>
  <c r="I67" i="3"/>
  <c r="J67" i="3"/>
  <c r="K67" i="3" s="1"/>
  <c r="I60" i="3"/>
  <c r="J60" i="3"/>
  <c r="I81" i="3"/>
  <c r="J81" i="3"/>
  <c r="I88" i="3"/>
  <c r="J88" i="3"/>
  <c r="I42" i="3"/>
  <c r="J42" i="3"/>
  <c r="I11" i="3"/>
  <c r="J11" i="3"/>
  <c r="I74" i="3"/>
  <c r="J74" i="3"/>
  <c r="K74" i="3" s="1"/>
  <c r="I32" i="3"/>
  <c r="J32" i="3"/>
  <c r="I4" i="3"/>
  <c r="J4" i="3"/>
  <c r="I76" i="3"/>
  <c r="J76" i="3"/>
  <c r="K76" i="3" s="1"/>
  <c r="I84" i="3"/>
  <c r="J84" i="3"/>
  <c r="I75" i="3"/>
  <c r="J75" i="3"/>
  <c r="I71" i="3"/>
  <c r="J71" i="3"/>
  <c r="K71" i="3" s="1"/>
  <c r="I8" i="3"/>
  <c r="J8" i="3"/>
  <c r="I85" i="3"/>
  <c r="J85" i="3"/>
  <c r="I83" i="3"/>
  <c r="J83" i="3"/>
  <c r="I95" i="3"/>
  <c r="J95" i="3"/>
  <c r="J30" i="3"/>
  <c r="I30" i="3"/>
  <c r="I45" i="3"/>
  <c r="I29" i="3"/>
  <c r="J29" i="3"/>
  <c r="I22" i="3"/>
  <c r="J22" i="3"/>
  <c r="I12" i="3"/>
  <c r="J12" i="3"/>
  <c r="I9" i="3"/>
  <c r="J9" i="3"/>
  <c r="I80" i="3"/>
  <c r="J80" i="3"/>
  <c r="I96" i="3"/>
  <c r="J96" i="3"/>
  <c r="I19" i="3"/>
  <c r="J19" i="3"/>
  <c r="K19" i="3" s="1"/>
  <c r="I89" i="3"/>
  <c r="J89" i="3"/>
  <c r="I34" i="3"/>
  <c r="J34" i="3"/>
  <c r="I72" i="3"/>
  <c r="J72" i="3"/>
  <c r="I40" i="3"/>
  <c r="J40" i="3"/>
  <c r="I39" i="3"/>
  <c r="J39" i="3"/>
  <c r="I18" i="3"/>
  <c r="J18" i="3"/>
  <c r="K18" i="3" s="1"/>
  <c r="I16" i="3"/>
  <c r="J16" i="3"/>
  <c r="I2" i="3"/>
  <c r="J2" i="3"/>
  <c r="I77" i="3"/>
  <c r="J77" i="3"/>
  <c r="I26" i="3"/>
  <c r="J26" i="3"/>
  <c r="I94" i="3"/>
  <c r="J94" i="3"/>
  <c r="K94" i="3" s="1"/>
  <c r="I59" i="3"/>
  <c r="J59" i="3"/>
  <c r="K59" i="3" s="1"/>
  <c r="I46" i="3"/>
  <c r="J46" i="3"/>
  <c r="K46" i="3" s="1"/>
  <c r="I50" i="3"/>
  <c r="J50" i="3"/>
  <c r="I20" i="3"/>
  <c r="J20" i="3"/>
  <c r="I7" i="3"/>
  <c r="J7" i="3"/>
  <c r="J45" i="3"/>
  <c r="K45" i="3" s="1"/>
  <c r="I35" i="3"/>
  <c r="J35" i="3"/>
  <c r="K35" i="3" s="1"/>
  <c r="I44" i="3"/>
  <c r="J44" i="3"/>
  <c r="I38" i="3"/>
  <c r="J38" i="3"/>
  <c r="I41" i="3"/>
  <c r="J41" i="3"/>
  <c r="I3" i="3"/>
  <c r="J3" i="3"/>
  <c r="I14" i="3"/>
  <c r="J14" i="3"/>
  <c r="I15" i="3"/>
  <c r="J15" i="3"/>
  <c r="K15" i="3" s="1"/>
  <c r="I54" i="3"/>
  <c r="J54" i="3"/>
  <c r="I90" i="3"/>
  <c r="J90" i="3"/>
  <c r="I43" i="3"/>
  <c r="J43" i="3"/>
  <c r="I73" i="3"/>
  <c r="J73" i="3"/>
  <c r="J65" i="3"/>
  <c r="K65" i="3" s="1"/>
  <c r="I65" i="3"/>
  <c r="J70" i="3"/>
  <c r="J63" i="3"/>
  <c r="K63" i="3" s="1"/>
  <c r="J47" i="3"/>
  <c r="K47" i="3" s="1"/>
  <c r="J33" i="3"/>
  <c r="J93" i="3"/>
  <c r="K93" i="3" s="1"/>
  <c r="J48" i="3"/>
  <c r="K48" i="3" s="1"/>
  <c r="J78" i="3"/>
  <c r="J61" i="3"/>
  <c r="K61" i="3" s="1"/>
  <c r="J23" i="3"/>
  <c r="J52" i="3"/>
  <c r="I70" i="3"/>
  <c r="I63" i="3"/>
  <c r="I47" i="3"/>
  <c r="I33" i="3"/>
  <c r="I93" i="3"/>
  <c r="I48" i="3"/>
  <c r="I78" i="3"/>
  <c r="I61" i="3"/>
  <c r="I23" i="3"/>
  <c r="I52" i="3"/>
  <c r="J17" i="3"/>
  <c r="I17" i="3"/>
  <c r="K70" i="3"/>
  <c r="K3" i="3"/>
  <c r="K89" i="3"/>
  <c r="K69" i="3"/>
  <c r="K52" i="3"/>
  <c r="K26" i="3"/>
  <c r="K88" i="3"/>
  <c r="K68" i="3"/>
  <c r="K25" i="3"/>
  <c r="K2" i="3"/>
  <c r="F12" i="2"/>
  <c r="F11" i="2"/>
  <c r="F10" i="2"/>
  <c r="F9" i="2"/>
  <c r="F8" i="2"/>
  <c r="F7" i="2"/>
  <c r="F6" i="2"/>
  <c r="F3" i="2"/>
  <c r="F5" i="2"/>
  <c r="F4" i="2"/>
  <c r="F2" i="2"/>
  <c r="L223" i="2"/>
  <c r="L222" i="2"/>
  <c r="L221" i="2"/>
  <c r="L220" i="2"/>
  <c r="L219" i="2"/>
  <c r="K223" i="2"/>
  <c r="K222" i="2"/>
  <c r="K221" i="2"/>
  <c r="K220" i="2"/>
  <c r="K219" i="2"/>
  <c r="L216" i="2"/>
  <c r="L215" i="2"/>
  <c r="L214" i="2"/>
  <c r="L213" i="2"/>
  <c r="L212" i="2"/>
  <c r="K216" i="2"/>
  <c r="K215" i="2"/>
  <c r="K214" i="2"/>
  <c r="K213" i="2"/>
  <c r="K212" i="2"/>
  <c r="L209" i="2"/>
  <c r="L208" i="2"/>
  <c r="L207" i="2"/>
  <c r="L206" i="2"/>
  <c r="L205" i="2"/>
  <c r="K209" i="2"/>
  <c r="K208" i="2"/>
  <c r="K207" i="2"/>
  <c r="K206" i="2"/>
  <c r="K205" i="2"/>
  <c r="L202" i="2"/>
  <c r="L201" i="2"/>
  <c r="L200" i="2"/>
  <c r="L199" i="2"/>
  <c r="L198" i="2"/>
  <c r="K202" i="2"/>
  <c r="K201" i="2"/>
  <c r="K200" i="2"/>
  <c r="K199" i="2"/>
  <c r="K198" i="2"/>
  <c r="L195" i="2"/>
  <c r="L194" i="2"/>
  <c r="L193" i="2"/>
  <c r="L192" i="2"/>
  <c r="L191" i="2"/>
  <c r="K195" i="2"/>
  <c r="K194" i="2"/>
  <c r="K193" i="2"/>
  <c r="K192" i="2"/>
  <c r="K191" i="2"/>
  <c r="L188" i="2"/>
  <c r="L187" i="2"/>
  <c r="L186" i="2"/>
  <c r="L185" i="2"/>
  <c r="L184" i="2"/>
  <c r="K188" i="2"/>
  <c r="K187" i="2"/>
  <c r="K186" i="2"/>
  <c r="K185" i="2"/>
  <c r="K184" i="2"/>
  <c r="L181" i="2"/>
  <c r="L180" i="2"/>
  <c r="L179" i="2"/>
  <c r="L178" i="2"/>
  <c r="L177" i="2"/>
  <c r="K181" i="2"/>
  <c r="K180" i="2"/>
  <c r="K179" i="2"/>
  <c r="K178" i="2"/>
  <c r="K177" i="2"/>
  <c r="L174" i="2"/>
  <c r="L173" i="2"/>
  <c r="L172" i="2"/>
  <c r="L171" i="2"/>
  <c r="L170" i="2"/>
  <c r="K174" i="2"/>
  <c r="K173" i="2"/>
  <c r="K172" i="2"/>
  <c r="K171" i="2"/>
  <c r="K170" i="2"/>
  <c r="L167" i="2"/>
  <c r="L166" i="2"/>
  <c r="L165" i="2"/>
  <c r="L164" i="2"/>
  <c r="L163" i="2"/>
  <c r="K167" i="2"/>
  <c r="K166" i="2"/>
  <c r="K165" i="2"/>
  <c r="K164" i="2"/>
  <c r="K163" i="2"/>
  <c r="L160" i="2"/>
  <c r="L159" i="2"/>
  <c r="L158" i="2"/>
  <c r="L157" i="2"/>
  <c r="L156" i="2"/>
  <c r="K160" i="2"/>
  <c r="K159" i="2"/>
  <c r="K158" i="2"/>
  <c r="K157" i="2"/>
  <c r="K156" i="2"/>
  <c r="L153" i="2"/>
  <c r="L152" i="2"/>
  <c r="L151" i="2"/>
  <c r="L150" i="2"/>
  <c r="L149" i="2"/>
  <c r="K153" i="2"/>
  <c r="K152" i="2"/>
  <c r="K151" i="2"/>
  <c r="K150" i="2"/>
  <c r="K149" i="2"/>
  <c r="L146" i="2"/>
  <c r="L145" i="2"/>
  <c r="L144" i="2"/>
  <c r="L143" i="2"/>
  <c r="L142" i="2"/>
  <c r="K146" i="2"/>
  <c r="K145" i="2"/>
  <c r="K144" i="2"/>
  <c r="K143" i="2"/>
  <c r="K142" i="2"/>
  <c r="L139" i="2"/>
  <c r="L138" i="2"/>
  <c r="L137" i="2"/>
  <c r="L136" i="2"/>
  <c r="L135" i="2"/>
  <c r="K139" i="2"/>
  <c r="K138" i="2"/>
  <c r="K137" i="2"/>
  <c r="K136" i="2"/>
  <c r="K135" i="2"/>
  <c r="L132" i="2"/>
  <c r="L131" i="2"/>
  <c r="L130" i="2"/>
  <c r="L129" i="2"/>
  <c r="L128" i="2"/>
  <c r="K132" i="2"/>
  <c r="K131" i="2"/>
  <c r="K130" i="2"/>
  <c r="K129" i="2"/>
  <c r="K128" i="2"/>
  <c r="L125" i="2"/>
  <c r="L124" i="2"/>
  <c r="L123" i="2"/>
  <c r="L122" i="2"/>
  <c r="L121" i="2"/>
  <c r="K125" i="2"/>
  <c r="K124" i="2"/>
  <c r="K123" i="2"/>
  <c r="K122" i="2"/>
  <c r="K121" i="2"/>
  <c r="L118" i="2"/>
  <c r="L117" i="2"/>
  <c r="L116" i="2"/>
  <c r="L115" i="2"/>
  <c r="L114" i="2"/>
  <c r="K118" i="2"/>
  <c r="K117" i="2"/>
  <c r="K116" i="2"/>
  <c r="K115" i="2"/>
  <c r="K114" i="2"/>
  <c r="L111" i="2"/>
  <c r="L110" i="2"/>
  <c r="L109" i="2"/>
  <c r="L108" i="2"/>
  <c r="L107" i="2"/>
  <c r="K111" i="2"/>
  <c r="K110" i="2"/>
  <c r="K109" i="2"/>
  <c r="K108" i="2"/>
  <c r="K107" i="2"/>
  <c r="L104" i="2"/>
  <c r="L103" i="2"/>
  <c r="L102" i="2"/>
  <c r="L101" i="2"/>
  <c r="L100" i="2"/>
  <c r="K104" i="2"/>
  <c r="K103" i="2"/>
  <c r="K102" i="2"/>
  <c r="K101" i="2"/>
  <c r="K100" i="2"/>
  <c r="L97" i="2"/>
  <c r="L96" i="2"/>
  <c r="L95" i="2"/>
  <c r="L94" i="2"/>
  <c r="L93" i="2"/>
  <c r="K97" i="2"/>
  <c r="K96" i="2"/>
  <c r="K95" i="2"/>
  <c r="K94" i="2"/>
  <c r="K93" i="2"/>
  <c r="L83" i="2"/>
  <c r="L82" i="2"/>
  <c r="L81" i="2"/>
  <c r="L80" i="2"/>
  <c r="L79" i="2"/>
  <c r="K83" i="2"/>
  <c r="K82" i="2"/>
  <c r="K81" i="2"/>
  <c r="K80" i="2"/>
  <c r="K79" i="2"/>
  <c r="L76" i="2"/>
  <c r="L75" i="2"/>
  <c r="L74" i="2"/>
  <c r="L73" i="2"/>
  <c r="L72" i="2"/>
  <c r="K76" i="2"/>
  <c r="K75" i="2"/>
  <c r="K74" i="2"/>
  <c r="K73" i="2"/>
  <c r="K72" i="2"/>
  <c r="L65" i="2"/>
  <c r="L66" i="2"/>
  <c r="L67" i="2"/>
  <c r="L68" i="2"/>
  <c r="K67" i="2"/>
  <c r="K66" i="2"/>
  <c r="K65" i="2"/>
  <c r="K68" i="2"/>
  <c r="L69" i="2"/>
  <c r="K69" i="2"/>
  <c r="L62" i="2"/>
  <c r="L61" i="2"/>
  <c r="L60" i="2"/>
  <c r="L59" i="2"/>
  <c r="L58" i="2"/>
  <c r="K62" i="2"/>
  <c r="K61" i="2"/>
  <c r="K60" i="2"/>
  <c r="K59" i="2"/>
  <c r="K58" i="2"/>
  <c r="L53" i="2"/>
  <c r="L51" i="2"/>
  <c r="L52" i="2"/>
  <c r="K53" i="2"/>
  <c r="K52" i="2"/>
  <c r="K51" i="2"/>
  <c r="K55" i="2"/>
  <c r="K54" i="2"/>
  <c r="L55" i="2"/>
  <c r="L54" i="2"/>
  <c r="L48" i="2"/>
  <c r="L47" i="2"/>
  <c r="L46" i="2"/>
  <c r="L45" i="2"/>
  <c r="L44" i="2"/>
  <c r="K48" i="2"/>
  <c r="K47" i="2"/>
  <c r="K46" i="2"/>
  <c r="K45" i="2"/>
  <c r="K44" i="2"/>
  <c r="L41" i="2"/>
  <c r="L40" i="2"/>
  <c r="L39" i="2"/>
  <c r="L38" i="2"/>
  <c r="L37" i="2"/>
  <c r="K41" i="2"/>
  <c r="K40" i="2"/>
  <c r="K39" i="2"/>
  <c r="K38" i="2"/>
  <c r="K37" i="2"/>
  <c r="L34" i="2"/>
  <c r="L33" i="2"/>
  <c r="L32" i="2"/>
  <c r="L31" i="2"/>
  <c r="L30" i="2"/>
  <c r="K34" i="2"/>
  <c r="K33" i="2"/>
  <c r="K32" i="2"/>
  <c r="K31" i="2"/>
  <c r="K30" i="2"/>
  <c r="L27" i="2"/>
  <c r="L26" i="2"/>
  <c r="L25" i="2"/>
  <c r="L24" i="2"/>
  <c r="L23" i="2"/>
  <c r="K27" i="2"/>
  <c r="K26" i="2"/>
  <c r="K25" i="2"/>
  <c r="K24" i="2"/>
  <c r="K23" i="2"/>
  <c r="L20" i="2"/>
  <c r="L19" i="2"/>
  <c r="L18" i="2"/>
  <c r="L17" i="2"/>
  <c r="L16" i="2"/>
  <c r="K20" i="2"/>
  <c r="K19" i="2"/>
  <c r="K18" i="2"/>
  <c r="K17" i="2"/>
  <c r="K16" i="2"/>
  <c r="L9" i="2"/>
  <c r="K9" i="2"/>
  <c r="L13" i="2"/>
  <c r="L12" i="2"/>
  <c r="L11" i="2"/>
  <c r="L10" i="2"/>
  <c r="K13" i="2"/>
  <c r="K12" i="2"/>
  <c r="K11" i="2"/>
  <c r="K10" i="2"/>
  <c r="L5" i="2"/>
  <c r="L6" i="2"/>
  <c r="K6" i="2"/>
  <c r="K4" i="2"/>
  <c r="L4" i="2"/>
  <c r="K3" i="2"/>
  <c r="L3" i="2"/>
  <c r="K2" i="2"/>
  <c r="L2" i="2"/>
  <c r="H88" i="4" l="1"/>
  <c r="H9" i="4"/>
  <c r="H10" i="4" s="1"/>
  <c r="H80" i="4"/>
  <c r="H60" i="4"/>
  <c r="H70" i="4"/>
  <c r="H26" i="4"/>
  <c r="H72" i="4"/>
  <c r="D145" i="4"/>
  <c r="D146" i="4" s="1"/>
  <c r="H144" i="4"/>
  <c r="H145" i="4" s="1"/>
  <c r="F144" i="4"/>
  <c r="F145" i="4" s="1"/>
  <c r="E144" i="4"/>
  <c r="E145" i="4" s="1"/>
  <c r="H137" i="4"/>
  <c r="H138" i="4" s="1"/>
  <c r="H139" i="4" s="1"/>
  <c r="E139" i="4"/>
  <c r="F137" i="4"/>
  <c r="E140" i="4"/>
  <c r="J146" i="4"/>
  <c r="J145" i="4"/>
  <c r="I148" i="4"/>
  <c r="J148" i="4" s="1"/>
  <c r="I117" i="4"/>
  <c r="I86" i="4"/>
  <c r="I55" i="4"/>
  <c r="I56" i="4" s="1"/>
  <c r="J22" i="4"/>
  <c r="I24" i="4"/>
  <c r="J24" i="4" s="1"/>
  <c r="K60" i="3"/>
  <c r="K29" i="3"/>
  <c r="K39" i="3"/>
  <c r="K14" i="3"/>
  <c r="K7" i="3"/>
  <c r="K40" i="3"/>
  <c r="K80" i="3"/>
  <c r="K30" i="3"/>
  <c r="K75" i="3"/>
  <c r="K82" i="3"/>
  <c r="K78" i="3"/>
  <c r="K50" i="3"/>
  <c r="K34" i="3"/>
  <c r="K12" i="3"/>
  <c r="K90" i="3"/>
  <c r="K38" i="3"/>
  <c r="K85" i="3"/>
  <c r="K4" i="3"/>
  <c r="K81" i="3"/>
  <c r="K24" i="3"/>
  <c r="K6" i="3"/>
  <c r="K58" i="3"/>
  <c r="K49" i="3"/>
  <c r="K36" i="3"/>
  <c r="K96" i="3"/>
  <c r="K73" i="3"/>
  <c r="K95" i="3"/>
  <c r="K84" i="3"/>
  <c r="K42" i="3"/>
  <c r="K91" i="3"/>
  <c r="K55" i="3"/>
  <c r="K86" i="3"/>
  <c r="K66" i="3"/>
  <c r="K23" i="3"/>
  <c r="K20" i="3"/>
  <c r="K77" i="3"/>
  <c r="K72" i="3"/>
  <c r="K9" i="3"/>
  <c r="K56" i="3"/>
  <c r="K43" i="3"/>
  <c r="K41" i="3"/>
  <c r="K83" i="3"/>
  <c r="K37" i="3"/>
  <c r="K16" i="3"/>
  <c r="K22" i="3"/>
  <c r="K17" i="3"/>
  <c r="K33" i="3"/>
  <c r="K54" i="3"/>
  <c r="K44" i="3"/>
  <c r="K8" i="3"/>
  <c r="K32" i="3"/>
  <c r="K10" i="3"/>
  <c r="K92" i="3"/>
  <c r="K62" i="3"/>
  <c r="K13" i="3"/>
  <c r="K79" i="3"/>
  <c r="K11" i="3"/>
  <c r="K28" i="3"/>
  <c r="K31" i="3"/>
  <c r="K64" i="3"/>
  <c r="H74" i="4" l="1"/>
  <c r="H89" i="4"/>
  <c r="H93" i="4" s="1"/>
  <c r="H13" i="4"/>
  <c r="H14" i="4"/>
  <c r="H146" i="4"/>
  <c r="E146" i="4"/>
  <c r="F146" i="4"/>
  <c r="F138" i="4"/>
  <c r="F139" i="4" s="1"/>
  <c r="H140" i="4"/>
  <c r="I149" i="4"/>
  <c r="I150" i="4" s="1"/>
  <c r="J150" i="4" s="1"/>
  <c r="I118" i="4"/>
  <c r="I87" i="4"/>
  <c r="I57" i="4"/>
  <c r="I58" i="4" s="1"/>
  <c r="I25" i="4"/>
  <c r="H94" i="4" l="1"/>
  <c r="H75" i="4"/>
  <c r="H77" i="4" s="1"/>
  <c r="F140" i="4"/>
  <c r="I151" i="4"/>
  <c r="J151" i="4" s="1"/>
  <c r="J149" i="4"/>
  <c r="I119" i="4"/>
  <c r="I120" i="4" s="1"/>
  <c r="I88" i="4"/>
  <c r="I59" i="4"/>
  <c r="I60" i="4" s="1"/>
  <c r="I61" i="4" s="1"/>
  <c r="I26" i="4"/>
  <c r="J26" i="4" s="1"/>
  <c r="J25" i="4"/>
  <c r="I27" i="4"/>
  <c r="J27" i="4" s="1"/>
  <c r="I152" i="4" l="1"/>
  <c r="J152" i="4" s="1"/>
  <c r="I121" i="4"/>
  <c r="I122" i="4" s="1"/>
  <c r="I89" i="4"/>
  <c r="I90" i="4"/>
  <c r="I62" i="4"/>
  <c r="I63" i="4" s="1"/>
  <c r="I28" i="4"/>
  <c r="I153" i="4" l="1"/>
  <c r="I123" i="4"/>
  <c r="I124" i="4" s="1"/>
  <c r="I125" i="4" s="1"/>
  <c r="I92" i="4"/>
  <c r="I93" i="4" s="1"/>
  <c r="I91" i="4"/>
  <c r="I29" i="4"/>
  <c r="J29" i="4" s="1"/>
  <c r="J28" i="4"/>
  <c r="I154" i="4" l="1"/>
  <c r="J153" i="4"/>
  <c r="I94" i="4"/>
  <c r="I30" i="4"/>
  <c r="J30" i="4" s="1"/>
  <c r="I155" i="4" l="1"/>
  <c r="J154" i="4"/>
  <c r="I31" i="4"/>
  <c r="J155" i="4" l="1"/>
  <c r="I156" i="4"/>
  <c r="J156" i="4" s="1"/>
  <c r="I32" i="4"/>
  <c r="J32" i="4" s="1"/>
  <c r="J31" i="4"/>
  <c r="G143" i="4"/>
  <c r="G144" i="4" l="1"/>
  <c r="G145" i="4" l="1"/>
  <c r="G146" i="4" s="1"/>
</calcChain>
</file>

<file path=xl/sharedStrings.xml><?xml version="1.0" encoding="utf-8"?>
<sst xmlns="http://schemas.openxmlformats.org/spreadsheetml/2006/main" count="2652" uniqueCount="137">
  <si>
    <t>FKL04</t>
  </si>
  <si>
    <t>FKL05</t>
  </si>
  <si>
    <t>JAWA BARAT</t>
  </si>
  <si>
    <t>DAERAH ISTIMEWA YOGYAKARTA</t>
  </si>
  <si>
    <t>JAWA TIMUR</t>
  </si>
  <si>
    <t>BALI</t>
  </si>
  <si>
    <t>SUMATERA UTARA</t>
  </si>
  <si>
    <t>DKI JAKARTA</t>
  </si>
  <si>
    <t>FKL06</t>
  </si>
  <si>
    <t>KOTA BANDUNG</t>
  </si>
  <si>
    <t>SLEMAN</t>
  </si>
  <si>
    <t>KOTA SURABAYA</t>
  </si>
  <si>
    <t>KOTA DENPASAR</t>
  </si>
  <si>
    <t>KOTA MEDAN</t>
  </si>
  <si>
    <t>KOTA DEPOK</t>
  </si>
  <si>
    <t>KOTA JAKARTA</t>
  </si>
  <si>
    <t>PSTV15</t>
  </si>
  <si>
    <t>FKL48PSTV15</t>
  </si>
  <si>
    <t>sum</t>
  </si>
  <si>
    <t>average</t>
  </si>
  <si>
    <t>std dev</t>
  </si>
  <si>
    <t>min</t>
  </si>
  <si>
    <t>max</t>
  </si>
  <si>
    <t>Sum Stat</t>
  </si>
  <si>
    <t>Sum Stat 12/1</t>
  </si>
  <si>
    <t>Sum Stat 12/2</t>
  </si>
  <si>
    <t>Cities from cost</t>
  </si>
  <si>
    <t>Sum Stat 12/3</t>
  </si>
  <si>
    <t>Sum Stat 12/4</t>
  </si>
  <si>
    <t>Sum Stat 12/5</t>
  </si>
  <si>
    <t>Sum Stat 12/6</t>
  </si>
  <si>
    <t>Sum Stat 12/7</t>
  </si>
  <si>
    <t>Sum Stat 12/8</t>
  </si>
  <si>
    <t>Sum Stat 12/9</t>
  </si>
  <si>
    <t>Sum Stat 12/10</t>
  </si>
  <si>
    <t>Sum Stat 12/11</t>
  </si>
  <si>
    <t>Sum Stat 12/12</t>
  </si>
  <si>
    <t>Sum Stat 12/13</t>
  </si>
  <si>
    <t>Sum Stat 12/14</t>
  </si>
  <si>
    <t>Sum Stat 12/15</t>
  </si>
  <si>
    <t>Sum Stat 12/16</t>
  </si>
  <si>
    <t>Sum Stat 12/17</t>
  </si>
  <si>
    <t>Sum Stat 12/18</t>
  </si>
  <si>
    <t>Sum Stat 12/19</t>
  </si>
  <si>
    <t>Sum Stat 12/20</t>
  </si>
  <si>
    <t>Sum Stat 12/21</t>
  </si>
  <si>
    <t>Sum Stat 12/22</t>
  </si>
  <si>
    <t>Sum Stat 12/23</t>
  </si>
  <si>
    <t>Sum Stat 12/24</t>
  </si>
  <si>
    <t>Sum Stat 12/25</t>
  </si>
  <si>
    <t>Sum Stat 12/26</t>
  </si>
  <si>
    <t>Sum Stat 12/27</t>
  </si>
  <si>
    <t>Sum Stat 12/28</t>
  </si>
  <si>
    <t>Sum Stat 12/29</t>
  </si>
  <si>
    <t>Sum Stat 12/30</t>
  </si>
  <si>
    <t>Sum Stat 12/31</t>
  </si>
  <si>
    <t>F48P15frandb</t>
  </si>
  <si>
    <t>F48P15randbcp</t>
  </si>
  <si>
    <t>bottom</t>
  </si>
  <si>
    <t>top</t>
  </si>
  <si>
    <t>aqius</t>
  </si>
  <si>
    <t>F48P15randbcp7p</t>
  </si>
  <si>
    <t>Characteristic</t>
  </si>
  <si>
    <t>Air quality index</t>
  </si>
  <si>
    <t>Mean</t>
  </si>
  <si>
    <t>aqius23</t>
  </si>
  <si>
    <t>Yearly +/-</t>
  </si>
  <si>
    <t>https://www.statista.com/statistics/1259045/indonesia-air-quality-index/</t>
  </si>
  <si>
    <t>aqius056p</t>
  </si>
  <si>
    <t>PSTV157p</t>
  </si>
  <si>
    <t>Yearly +</t>
  </si>
  <si>
    <t>B</t>
  </si>
  <si>
    <t>T</t>
  </si>
  <si>
    <t>polution</t>
  </si>
  <si>
    <t>caseRespiratory</t>
  </si>
  <si>
    <t>costverifRespiratory</t>
  </si>
  <si>
    <t>time</t>
  </si>
  <si>
    <t>cityId</t>
  </si>
  <si>
    <t>Id</t>
  </si>
  <si>
    <t>kabkota</t>
  </si>
  <si>
    <t>id</t>
  </si>
  <si>
    <t xml:space="preserve"> </t>
  </si>
  <si>
    <t>7:00:00</t>
  </si>
  <si>
    <t>2023-12-01</t>
  </si>
  <si>
    <t>2023-12-02</t>
  </si>
  <si>
    <t>2023-12-03</t>
  </si>
  <si>
    <t>2023-12-04</t>
  </si>
  <si>
    <t>8:00:00</t>
  </si>
  <si>
    <t>timeDate</t>
  </si>
  <si>
    <t>timeHour</t>
  </si>
  <si>
    <t>timeConcat</t>
  </si>
  <si>
    <t>space</t>
  </si>
  <si>
    <t>2023-12-05</t>
  </si>
  <si>
    <t>16:00:00</t>
  </si>
  <si>
    <t>19:00:00</t>
  </si>
  <si>
    <t>20:00:00</t>
  </si>
  <si>
    <t>04:00:00</t>
  </si>
  <si>
    <t>23:00:00</t>
  </si>
  <si>
    <t>2023-12-06</t>
  </si>
  <si>
    <t>2023-12-07</t>
  </si>
  <si>
    <t>2023-12-08</t>
  </si>
  <si>
    <t>2023-12-09</t>
  </si>
  <si>
    <t>2023-12-10</t>
  </si>
  <si>
    <t>Information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</si>
  <si>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</si>
  <si>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</si>
  <si>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</si>
  <si>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</si>
  <si>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</si>
  <si>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</si>
  <si>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</si>
  <si>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</si>
  <si>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2023-12-20</t>
  </si>
  <si>
    <t>2023-12-21</t>
  </si>
  <si>
    <t>2023-12-22</t>
  </si>
  <si>
    <t>2023-12-01 7:00:00</t>
  </si>
  <si>
    <t>2023-12-02 7:00:00</t>
  </si>
  <si>
    <t>2023-12-03 7:00:00</t>
  </si>
  <si>
    <t>2023-12-04 8:00:00</t>
  </si>
  <si>
    <t>2023-12-05 8:00:00</t>
  </si>
  <si>
    <t>2023-12-06 8:00:00</t>
  </si>
  <si>
    <t>2023-12-07 16:00:00</t>
  </si>
  <si>
    <t>2023-12-08 16:00:00</t>
  </si>
  <si>
    <t>2023-12-09 16:00:00</t>
  </si>
  <si>
    <t>2023-12-10 19:00:00</t>
  </si>
  <si>
    <t>2023-12-11 19:00:00</t>
  </si>
  <si>
    <t>2023-12-12 19:00:00</t>
  </si>
  <si>
    <t>2023-12-13 20:00:00</t>
  </si>
  <si>
    <t>2023-12-14 20:00:00</t>
  </si>
  <si>
    <t>2023-12-15 20:00:00</t>
  </si>
  <si>
    <t>2023-12-16 04:00:00</t>
  </si>
  <si>
    <t>2023-12-17 04:00:00</t>
  </si>
  <si>
    <t>2023-12-18 04:00:00</t>
  </si>
  <si>
    <t>2023-12-20 23:00:00</t>
  </si>
  <si>
    <t>2023-12-21 23:00:00</t>
  </si>
  <si>
    <t>2023-12-22 23:00:00</t>
  </si>
  <si>
    <r>
      <t xml:space="preserve">just </t>
    </r>
    <r>
      <rPr>
        <b/>
        <sz val="11"/>
        <color rgb="FFFF0000"/>
        <rFont val="Calibri"/>
        <family val="2"/>
      </rPr>
      <t>ignore timestamp</t>
    </r>
    <r>
      <rPr>
        <b/>
        <sz val="11"/>
        <rFont val="Calibri"/>
        <family val="2"/>
      </rPr>
      <t xml:space="preserve">, focus on </t>
    </r>
    <r>
      <rPr>
        <b/>
        <sz val="11"/>
        <color rgb="FFFF0000"/>
        <rFont val="Calibri"/>
        <family val="2"/>
      </rPr>
      <t xml:space="preserve">caseRespiratory </t>
    </r>
    <r>
      <rPr>
        <b/>
        <sz val="11"/>
        <rFont val="Calibri"/>
        <family val="2"/>
      </rPr>
      <t>and c</t>
    </r>
    <r>
      <rPr>
        <b/>
        <sz val="11"/>
        <color rgb="FFFF0000"/>
        <rFont val="Calibri"/>
        <family val="2"/>
      </rPr>
      <t>ostverifRespiratory only for data input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</si>
</sst>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hh:mm:ss"/>
    <numFmt numFmtId="166" formatCode="[$-409]d\-mmm\-yy;@"/>
    <numFmt numFmtId="167" formatCode="mm/dd/yyyy\ hh:mm:ss"/>
    <numFmt numFmtId="168" formatCode="yyyy/m/d\ h:mm"/>
    <numFmt numFmtId="169" formatCode="yyyy/m/d\ "/>
  </numFmts>
  <fonts count="10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b/>
      <sz val="11"/>
      <color rgb="FFFF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2"/>
  </cellStyleXfs>
  <cellXfs count="254">
    <xf numFmtId="0" fontId="0" fillId="0" borderId="0" xfId="0"/>
    <xf numFmtId="14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164" fontId="0" fillId="0" borderId="0" xfId="1" applyNumberFormat="1" applyFont="1"/>
    <xf numFmtId="14" fontId="0" fillId="2" borderId="1" xfId="0" applyNumberFormat="1" applyFill="1" applyBorder="1"/>
    <xf numFmtId="0" fontId="0" fillId="2" borderId="0" xfId="0" applyFill="1"/>
    <xf numFmtId="1" fontId="0" fillId="2" borderId="2" xfId="0" applyNumberFormat="1" applyFill="1" applyBorder="1"/>
    <xf numFmtId="14" fontId="0" fillId="3" borderId="1" xfId="0" applyNumberFormat="1" applyFill="1" applyBorder="1"/>
    <xf numFmtId="0" fontId="0" fillId="3" borderId="0" xfId="0" applyFill="1"/>
    <xf numFmtId="1" fontId="0" fillId="3" borderId="2" xfId="0" applyNumberFormat="1" applyFill="1" applyBorder="1"/>
    <xf numFmtId="14" fontId="0" fillId="4" borderId="1" xfId="0" applyNumberFormat="1" applyFill="1" applyBorder="1"/>
    <xf numFmtId="0" fontId="0" fillId="4" borderId="0" xfId="0" applyFill="1"/>
    <xf numFmtId="1" fontId="0" fillId="4" borderId="2" xfId="0" applyNumberFormat="1" applyFill="1" applyBorder="1"/>
    <xf numFmtId="14" fontId="0" fillId="5" borderId="1" xfId="0" applyNumberFormat="1" applyFill="1" applyBorder="1"/>
    <xf numFmtId="0" fontId="0" fillId="5" borderId="0" xfId="0" applyFill="1"/>
    <xf numFmtId="1" fontId="0" fillId="5" borderId="2" xfId="0" applyNumberFormat="1" applyFill="1" applyBorder="1"/>
    <xf numFmtId="14" fontId="0" fillId="6" borderId="1" xfId="0" applyNumberFormat="1" applyFill="1" applyBorder="1"/>
    <xf numFmtId="0" fontId="0" fillId="6" borderId="0" xfId="0" applyFill="1"/>
    <xf numFmtId="1" fontId="0" fillId="6" borderId="2" xfId="0" applyNumberFormat="1" applyFill="1" applyBorder="1"/>
    <xf numFmtId="14" fontId="0" fillId="7" borderId="1" xfId="0" applyNumberFormat="1" applyFill="1" applyBorder="1"/>
    <xf numFmtId="0" fontId="0" fillId="7" borderId="0" xfId="0" applyFill="1"/>
    <xf numFmtId="1" fontId="0" fillId="7" borderId="2" xfId="0" applyNumberFormat="1" applyFill="1" applyBorder="1"/>
    <xf numFmtId="14" fontId="0" fillId="8" borderId="1" xfId="0" applyNumberFormat="1" applyFill="1" applyBorder="1"/>
    <xf numFmtId="0" fontId="0" fillId="8" borderId="0" xfId="0" applyFill="1"/>
    <xf numFmtId="1" fontId="0" fillId="8" borderId="2" xfId="0" applyNumberFormat="1" applyFill="1" applyBorder="1"/>
    <xf numFmtId="14" fontId="0" fillId="9" borderId="1" xfId="0" applyNumberFormat="1" applyFill="1" applyBorder="1"/>
    <xf numFmtId="0" fontId="0" fillId="9" borderId="0" xfId="0" applyFill="1"/>
    <xf numFmtId="1" fontId="0" fillId="9" borderId="2" xfId="0" applyNumberFormat="1" applyFill="1" applyBorder="1"/>
    <xf numFmtId="14" fontId="0" fillId="10" borderId="1" xfId="0" applyNumberFormat="1" applyFill="1" applyBorder="1"/>
    <xf numFmtId="0" fontId="0" fillId="10" borderId="0" xfId="0" applyFill="1"/>
    <xf numFmtId="1" fontId="0" fillId="10" borderId="2" xfId="0" applyNumberFormat="1" applyFill="1" applyBorder="1"/>
    <xf numFmtId="14" fontId="0" fillId="11" borderId="1" xfId="0" applyNumberFormat="1" applyFill="1" applyBorder="1"/>
    <xf numFmtId="0" fontId="0" fillId="11" borderId="0" xfId="0" applyFill="1"/>
    <xf numFmtId="1" fontId="0" fillId="11" borderId="2" xfId="0" applyNumberFormat="1" applyFill="1" applyBorder="1"/>
    <xf numFmtId="14" fontId="0" fillId="12" borderId="1" xfId="0" applyNumberFormat="1" applyFill="1" applyBorder="1"/>
    <xf numFmtId="0" fontId="0" fillId="12" borderId="0" xfId="0" applyFill="1"/>
    <xf numFmtId="1" fontId="0" fillId="12" borderId="2" xfId="0" applyNumberFormat="1" applyFill="1" applyBorder="1"/>
    <xf numFmtId="14" fontId="0" fillId="13" borderId="1" xfId="0" applyNumberFormat="1" applyFill="1" applyBorder="1"/>
    <xf numFmtId="0" fontId="0" fillId="13" borderId="0" xfId="0" applyFill="1"/>
    <xf numFmtId="1" fontId="0" fillId="13" borderId="2" xfId="0" applyNumberFormat="1" applyFill="1" applyBorder="1"/>
    <xf numFmtId="14" fontId="0" fillId="14" borderId="1" xfId="0" applyNumberFormat="1" applyFill="1" applyBorder="1"/>
    <xf numFmtId="0" fontId="0" fillId="14" borderId="0" xfId="0" applyFill="1"/>
    <xf numFmtId="1" fontId="0" fillId="14" borderId="2" xfId="0" applyNumberFormat="1" applyFill="1" applyBorder="1"/>
    <xf numFmtId="14" fontId="0" fillId="15" borderId="1" xfId="0" applyNumberFormat="1" applyFill="1" applyBorder="1"/>
    <xf numFmtId="0" fontId="0" fillId="15" borderId="0" xfId="0" applyFill="1"/>
    <xf numFmtId="1" fontId="0" fillId="15" borderId="2" xfId="0" applyNumberFormat="1" applyFill="1" applyBorder="1"/>
    <xf numFmtId="14" fontId="0" fillId="16" borderId="1" xfId="0" applyNumberFormat="1" applyFill="1" applyBorder="1"/>
    <xf numFmtId="0" fontId="0" fillId="16" borderId="0" xfId="0" applyFill="1"/>
    <xf numFmtId="1" fontId="0" fillId="16" borderId="2" xfId="0" applyNumberFormat="1" applyFill="1" applyBorder="1"/>
    <xf numFmtId="14" fontId="0" fillId="17" borderId="1" xfId="0" applyNumberFormat="1" applyFill="1" applyBorder="1"/>
    <xf numFmtId="0" fontId="0" fillId="17" borderId="0" xfId="0" applyFill="1"/>
    <xf numFmtId="1" fontId="0" fillId="17" borderId="2" xfId="0" applyNumberFormat="1" applyFill="1" applyBorder="1"/>
    <xf numFmtId="14" fontId="0" fillId="18" borderId="1" xfId="0" applyNumberFormat="1" applyFill="1" applyBorder="1"/>
    <xf numFmtId="0" fontId="0" fillId="18" borderId="0" xfId="0" applyFill="1"/>
    <xf numFmtId="1" fontId="0" fillId="18" borderId="2" xfId="0" applyNumberFormat="1" applyFill="1" applyBorder="1"/>
    <xf numFmtId="14" fontId="0" fillId="19" borderId="1" xfId="0" applyNumberFormat="1" applyFill="1" applyBorder="1"/>
    <xf numFmtId="0" fontId="0" fillId="19" borderId="0" xfId="0" applyFill="1"/>
    <xf numFmtId="1" fontId="0" fillId="19" borderId="2" xfId="0" applyNumberFormat="1" applyFill="1" applyBorder="1"/>
    <xf numFmtId="14" fontId="0" fillId="20" borderId="1" xfId="0" applyNumberFormat="1" applyFill="1" applyBorder="1"/>
    <xf numFmtId="0" fontId="0" fillId="20" borderId="0" xfId="0" applyFill="1"/>
    <xf numFmtId="1" fontId="0" fillId="20" borderId="2" xfId="0" applyNumberFormat="1" applyFill="1" applyBorder="1"/>
    <xf numFmtId="14" fontId="0" fillId="21" borderId="1" xfId="0" applyNumberFormat="1" applyFill="1" applyBorder="1"/>
    <xf numFmtId="0" fontId="0" fillId="21" borderId="0" xfId="0" applyFill="1"/>
    <xf numFmtId="1" fontId="0" fillId="21" borderId="2" xfId="0" applyNumberFormat="1" applyFill="1" applyBorder="1"/>
    <xf numFmtId="14" fontId="0" fillId="22" borderId="1" xfId="0" applyNumberFormat="1" applyFill="1" applyBorder="1"/>
    <xf numFmtId="0" fontId="0" fillId="22" borderId="0" xfId="0" applyFill="1"/>
    <xf numFmtId="1" fontId="0" fillId="22" borderId="2" xfId="0" applyNumberFormat="1" applyFill="1" applyBorder="1"/>
    <xf numFmtId="14" fontId="0" fillId="23" borderId="1" xfId="0" applyNumberFormat="1" applyFill="1" applyBorder="1"/>
    <xf numFmtId="0" fontId="0" fillId="23" borderId="0" xfId="0" applyFill="1"/>
    <xf numFmtId="1" fontId="0" fillId="23" borderId="2" xfId="0" applyNumberFormat="1" applyFill="1" applyBorder="1"/>
    <xf numFmtId="14" fontId="0" fillId="24" borderId="1" xfId="0" applyNumberFormat="1" applyFill="1" applyBorder="1"/>
    <xf numFmtId="0" fontId="0" fillId="24" borderId="0" xfId="0" applyFill="1"/>
    <xf numFmtId="1" fontId="0" fillId="24" borderId="2" xfId="0" applyNumberFormat="1" applyFill="1" applyBorder="1"/>
    <xf numFmtId="14" fontId="0" fillId="25" borderId="1" xfId="0" applyNumberFormat="1" applyFill="1" applyBorder="1"/>
    <xf numFmtId="0" fontId="0" fillId="25" borderId="0" xfId="0" applyFill="1"/>
    <xf numFmtId="1" fontId="0" fillId="25" borderId="2" xfId="0" applyNumberFormat="1" applyFill="1" applyBorder="1"/>
    <xf numFmtId="14" fontId="0" fillId="26" borderId="1" xfId="0" applyNumberFormat="1" applyFill="1" applyBorder="1"/>
    <xf numFmtId="0" fontId="0" fillId="26" borderId="0" xfId="0" applyFill="1"/>
    <xf numFmtId="1" fontId="0" fillId="26" borderId="2" xfId="0" applyNumberFormat="1" applyFill="1" applyBorder="1"/>
    <xf numFmtId="14" fontId="0" fillId="27" borderId="1" xfId="0" applyNumberFormat="1" applyFill="1" applyBorder="1"/>
    <xf numFmtId="0" fontId="0" fillId="27" borderId="0" xfId="0" applyFill="1"/>
    <xf numFmtId="1" fontId="0" fillId="27" borderId="2" xfId="0" applyNumberFormat="1" applyFill="1" applyBorder="1"/>
    <xf numFmtId="14" fontId="0" fillId="28" borderId="1" xfId="0" applyNumberFormat="1" applyFill="1" applyBorder="1"/>
    <xf numFmtId="0" fontId="0" fillId="28" borderId="0" xfId="0" applyFill="1"/>
    <xf numFmtId="1" fontId="0" fillId="28" borderId="2" xfId="0" applyNumberFormat="1" applyFill="1" applyBorder="1"/>
    <xf numFmtId="14" fontId="0" fillId="29" borderId="1" xfId="0" applyNumberFormat="1" applyFill="1" applyBorder="1"/>
    <xf numFmtId="0" fontId="0" fillId="29" borderId="0" xfId="0" applyFill="1"/>
    <xf numFmtId="1" fontId="0" fillId="29" borderId="2" xfId="0" applyNumberFormat="1" applyFill="1" applyBorder="1"/>
    <xf numFmtId="14" fontId="0" fillId="30" borderId="1" xfId="0" applyNumberFormat="1" applyFill="1" applyBorder="1"/>
    <xf numFmtId="0" fontId="0" fillId="30" borderId="0" xfId="0" applyFill="1"/>
    <xf numFmtId="1" fontId="0" fillId="30" borderId="2" xfId="0" applyNumberFormat="1" applyFill="1" applyBorder="1"/>
    <xf numFmtId="14" fontId="0" fillId="31" borderId="1" xfId="0" applyNumberFormat="1" applyFill="1" applyBorder="1"/>
    <xf numFmtId="0" fontId="0" fillId="31" borderId="0" xfId="0" applyFill="1"/>
    <xf numFmtId="1" fontId="0" fillId="31" borderId="2" xfId="0" applyNumberFormat="1" applyFill="1" applyBorder="1"/>
    <xf numFmtId="164" fontId="0" fillId="2" borderId="2" xfId="1" applyNumberFormat="1" applyFont="1" applyFill="1" applyBorder="1"/>
    <xf numFmtId="164" fontId="0" fillId="3" borderId="2" xfId="1" applyNumberFormat="1" applyFont="1" applyFill="1" applyBorder="1"/>
    <xf numFmtId="164" fontId="0" fillId="4" borderId="2" xfId="1" applyNumberFormat="1" applyFont="1" applyFill="1" applyBorder="1"/>
    <xf numFmtId="164" fontId="0" fillId="5" borderId="2" xfId="1" applyNumberFormat="1" applyFont="1" applyFill="1" applyBorder="1"/>
    <xf numFmtId="164" fontId="0" fillId="6" borderId="2" xfId="1" applyNumberFormat="1" applyFont="1" applyFill="1" applyBorder="1"/>
    <xf numFmtId="164" fontId="0" fillId="7" borderId="2" xfId="1" applyNumberFormat="1" applyFont="1" applyFill="1" applyBorder="1"/>
    <xf numFmtId="164" fontId="0" fillId="8" borderId="2" xfId="1" applyNumberFormat="1" applyFont="1" applyFill="1" applyBorder="1"/>
    <xf numFmtId="164" fontId="0" fillId="9" borderId="2" xfId="1" applyNumberFormat="1" applyFont="1" applyFill="1" applyBorder="1"/>
    <xf numFmtId="164" fontId="0" fillId="10" borderId="2" xfId="1" applyNumberFormat="1" applyFont="1" applyFill="1" applyBorder="1"/>
    <xf numFmtId="164" fontId="0" fillId="11" borderId="2" xfId="1" applyNumberFormat="1" applyFont="1" applyFill="1" applyBorder="1"/>
    <xf numFmtId="164" fontId="0" fillId="12" borderId="2" xfId="1" applyNumberFormat="1" applyFont="1" applyFill="1" applyBorder="1"/>
    <xf numFmtId="164" fontId="0" fillId="13" borderId="2" xfId="1" applyNumberFormat="1" applyFont="1" applyFill="1" applyBorder="1"/>
    <xf numFmtId="164" fontId="0" fillId="14" borderId="2" xfId="1" applyNumberFormat="1" applyFont="1" applyFill="1" applyBorder="1"/>
    <xf numFmtId="164" fontId="0" fillId="15" borderId="2" xfId="1" applyNumberFormat="1" applyFont="1" applyFill="1" applyBorder="1"/>
    <xf numFmtId="164" fontId="0" fillId="16" borderId="2" xfId="1" applyNumberFormat="1" applyFont="1" applyFill="1" applyBorder="1"/>
    <xf numFmtId="164" fontId="0" fillId="17" borderId="2" xfId="1" applyNumberFormat="1" applyFont="1" applyFill="1" applyBorder="1"/>
    <xf numFmtId="164" fontId="0" fillId="18" borderId="2" xfId="1" applyNumberFormat="1" applyFont="1" applyFill="1" applyBorder="1"/>
    <xf numFmtId="164" fontId="0" fillId="19" borderId="2" xfId="1" applyNumberFormat="1" applyFont="1" applyFill="1" applyBorder="1"/>
    <xf numFmtId="164" fontId="0" fillId="20" borderId="2" xfId="1" applyNumberFormat="1" applyFont="1" applyFill="1" applyBorder="1"/>
    <xf numFmtId="164" fontId="0" fillId="21" borderId="2" xfId="1" applyNumberFormat="1" applyFont="1" applyFill="1" applyBorder="1"/>
    <xf numFmtId="164" fontId="0" fillId="22" borderId="2" xfId="1" applyNumberFormat="1" applyFont="1" applyFill="1" applyBorder="1"/>
    <xf numFmtId="164" fontId="0" fillId="23" borderId="2" xfId="1" applyNumberFormat="1" applyFont="1" applyFill="1" applyBorder="1"/>
    <xf numFmtId="164" fontId="0" fillId="24" borderId="2" xfId="1" applyNumberFormat="1" applyFont="1" applyFill="1" applyBorder="1"/>
    <xf numFmtId="164" fontId="0" fillId="25" borderId="2" xfId="1" applyNumberFormat="1" applyFont="1" applyFill="1" applyBorder="1"/>
    <xf numFmtId="164" fontId="0" fillId="26" borderId="2" xfId="1" applyNumberFormat="1" applyFont="1" applyFill="1" applyBorder="1"/>
    <xf numFmtId="164" fontId="0" fillId="27" borderId="2" xfId="1" applyNumberFormat="1" applyFont="1" applyFill="1" applyBorder="1"/>
    <xf numFmtId="164" fontId="0" fillId="28" borderId="2" xfId="1" applyNumberFormat="1" applyFont="1" applyFill="1" applyBorder="1"/>
    <xf numFmtId="164" fontId="0" fillId="29" borderId="2" xfId="1" applyNumberFormat="1" applyFont="1" applyFill="1" applyBorder="1"/>
    <xf numFmtId="164" fontId="0" fillId="30" borderId="2" xfId="1" applyNumberFormat="1" applyFont="1" applyFill="1" applyBorder="1"/>
    <xf numFmtId="164" fontId="0" fillId="31" borderId="2" xfId="1" applyNumberFormat="1" applyFont="1" applyFill="1" applyBorder="1"/>
    <xf numFmtId="164" fontId="0" fillId="0" borderId="2" xfId="1" applyNumberFormat="1" applyFont="1" applyFill="1" applyBorder="1"/>
    <xf numFmtId="164" fontId="0" fillId="0" borderId="0" xfId="1" applyNumberFormat="1" applyFont="1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0" fontId="0" fillId="0" borderId="0" xfId="0" applyNumberFormat="1"/>
    <xf numFmtId="14" fontId="4" fillId="0" borderId="1" xfId="0" applyNumberFormat="1" applyFont="1" applyBorder="1"/>
    <xf numFmtId="0" fontId="4" fillId="0" borderId="0" xfId="0" applyFont="1"/>
    <xf numFmtId="1" fontId="4" fillId="0" borderId="2" xfId="0" applyNumberFormat="1" applyFont="1" applyBorder="1"/>
    <xf numFmtId="164" fontId="4" fillId="0" borderId="2" xfId="1" applyNumberFormat="1" applyFont="1" applyFill="1" applyBorder="1"/>
    <xf numFmtId="164" fontId="4" fillId="0" borderId="0" xfId="1" applyNumberFormat="1" applyFont="1"/>
    <xf numFmtId="0" fontId="5" fillId="0" borderId="0" xfId="0" applyFont="1"/>
    <xf numFmtId="164" fontId="5" fillId="0" borderId="0" xfId="1" applyNumberFormat="1" applyFont="1"/>
    <xf numFmtId="164" fontId="5" fillId="0" borderId="0" xfId="0" applyNumberFormat="1" applyFont="1"/>
    <xf numFmtId="164" fontId="5" fillId="0" borderId="0" xfId="1" applyNumberFormat="1" applyFont="1" applyFill="1"/>
    <xf numFmtId="164" fontId="4" fillId="0" borderId="0" xfId="1" applyNumberFormat="1" applyFont="1" applyFill="1"/>
    <xf numFmtId="164" fontId="4" fillId="0" borderId="0" xfId="0" applyNumberFormat="1" applyFont="1"/>
    <xf numFmtId="164" fontId="4" fillId="0" borderId="2" xfId="1" applyNumberFormat="1" applyFont="1" applyBorder="1"/>
    <xf numFmtId="1" fontId="4" fillId="0" borderId="2" xfId="1" applyNumberFormat="1" applyFont="1" applyBorder="1"/>
    <xf numFmtId="0" fontId="2" fillId="0" borderId="0" xfId="0" applyFont="1"/>
    <xf numFmtId="164" fontId="2" fillId="0" borderId="2" xfId="1" quotePrefix="1" applyNumberFormat="1" applyFont="1" applyBorder="1"/>
    <xf numFmtId="164" fontId="0" fillId="0" borderId="2" xfId="1" applyNumberFormat="1" applyFont="1" applyBorder="1"/>
    <xf numFmtId="1" fontId="4" fillId="0" borderId="2" xfId="0" quotePrefix="1" applyNumberFormat="1" applyFont="1" applyBorder="1"/>
    <xf numFmtId="164" fontId="4" fillId="0" borderId="2" xfId="1" quotePrefix="1" applyNumberFormat="1" applyFont="1" applyBorder="1"/>
    <xf numFmtId="1" fontId="4" fillId="0" borderId="0" xfId="0" applyNumberFormat="1" applyFont="1"/>
    <xf numFmtId="14" fontId="4" fillId="16" borderId="1" xfId="0" applyNumberFormat="1" applyFont="1" applyFill="1" applyBorder="1"/>
    <xf numFmtId="0" fontId="4" fillId="16" borderId="0" xfId="0" applyFont="1" applyFill="1"/>
    <xf numFmtId="1" fontId="4" fillId="16" borderId="2" xfId="0" applyNumberFormat="1" applyFont="1" applyFill="1" applyBorder="1"/>
    <xf numFmtId="164" fontId="4" fillId="16" borderId="2" xfId="1" applyNumberFormat="1" applyFont="1" applyFill="1" applyBorder="1"/>
    <xf numFmtId="164" fontId="2" fillId="0" borderId="0" xfId="1" applyNumberFormat="1" applyFont="1" applyFill="1"/>
    <xf numFmtId="164" fontId="2" fillId="0" borderId="0" xfId="0" applyNumberFormat="1" applyFont="1"/>
    <xf numFmtId="0" fontId="5" fillId="31" borderId="0" xfId="0" applyFont="1" applyFill="1"/>
    <xf numFmtId="1" fontId="4" fillId="0" borderId="0" xfId="0" quotePrefix="1" applyNumberFormat="1" applyFont="1"/>
    <xf numFmtId="164" fontId="4" fillId="0" borderId="0" xfId="1" applyNumberFormat="1" applyFont="1" applyFill="1" applyBorder="1"/>
    <xf numFmtId="1" fontId="4" fillId="0" borderId="0" xfId="1" applyNumberFormat="1" applyFont="1" applyBorder="1"/>
    <xf numFmtId="164" fontId="4" fillId="0" borderId="0" xfId="1" applyNumberFormat="1" applyFont="1" applyBorder="1"/>
    <xf numFmtId="164" fontId="0" fillId="0" borderId="0" xfId="1" applyNumberFormat="1" applyFont="1" applyBorder="1"/>
    <xf numFmtId="164" fontId="4" fillId="0" borderId="0" xfId="1" quotePrefix="1" applyNumberFormat="1" applyFont="1" applyBorder="1"/>
    <xf numFmtId="164" fontId="0" fillId="0" borderId="0" xfId="1" applyNumberFormat="1" applyFont="1" applyFill="1" applyBorder="1"/>
    <xf numFmtId="164" fontId="0" fillId="0" borderId="0" xfId="0" applyNumberFormat="1"/>
    <xf numFmtId="1" fontId="2" fillId="0" borderId="0" xfId="0" applyNumberFormat="1" applyFont="1"/>
    <xf numFmtId="1" fontId="2" fillId="0" borderId="0" xfId="0" quotePrefix="1" applyNumberFormat="1" applyFont="1"/>
    <xf numFmtId="164" fontId="2" fillId="0" borderId="0" xfId="1" quotePrefix="1" applyNumberFormat="1" applyFont="1"/>
    <xf numFmtId="0" fontId="2" fillId="31" borderId="0" xfId="0" applyFont="1" applyFill="1"/>
    <xf numFmtId="1" fontId="0" fillId="0" borderId="0" xfId="1" applyNumberFormat="1" applyFont="1"/>
    <xf numFmtId="1" fontId="0" fillId="0" borderId="2" xfId="1" applyNumberFormat="1" applyFont="1" applyBorder="1"/>
    <xf numFmtId="1" fontId="0" fillId="0" borderId="0" xfId="1" applyNumberFormat="1" applyFont="1" applyBorder="1"/>
    <xf numFmtId="1" fontId="4" fillId="0" borderId="2" xfId="1" applyNumberFormat="1" applyFont="1" applyFill="1" applyBorder="1"/>
    <xf numFmtId="1" fontId="4" fillId="0" borderId="0" xfId="1" applyNumberFormat="1" applyFont="1"/>
    <xf numFmtId="1" fontId="4" fillId="0" borderId="0" xfId="1" applyNumberFormat="1" applyFont="1" applyFill="1" applyBorder="1"/>
    <xf numFmtId="1" fontId="5" fillId="0" borderId="0" xfId="1" applyNumberFormat="1" applyFont="1"/>
    <xf numFmtId="1" fontId="5" fillId="0" borderId="0" xfId="1" applyNumberFormat="1" applyFont="1" applyFill="1"/>
    <xf numFmtId="1" fontId="2" fillId="0" borderId="0" xfId="1" applyNumberFormat="1" applyFont="1" applyFill="1"/>
    <xf numFmtId="1" fontId="4" fillId="0" borderId="0" xfId="1" applyNumberFormat="1" applyFont="1" applyFill="1"/>
    <xf numFmtId="1" fontId="5" fillId="31" borderId="0" xfId="0" applyNumberFormat="1" applyFont="1" applyFill="1"/>
    <xf numFmtId="1" fontId="5" fillId="0" borderId="0" xfId="0" applyNumberFormat="1" applyFont="1"/>
    <xf numFmtId="0" fontId="6" fillId="8" borderId="0" xfId="0" applyFont="1" applyFill="1"/>
    <xf numFmtId="0" fontId="6" fillId="0" borderId="0" xfId="0" applyFont="1"/>
    <xf numFmtId="1" fontId="6" fillId="0" borderId="0" xfId="1" applyNumberFormat="1" applyFont="1"/>
    <xf numFmtId="1" fontId="6" fillId="0" borderId="0" xfId="1" applyNumberFormat="1" applyFont="1" applyBorder="1"/>
    <xf numFmtId="164" fontId="6" fillId="0" borderId="0" xfId="1" applyNumberFormat="1" applyFont="1" applyBorder="1"/>
    <xf numFmtId="14" fontId="6" fillId="8" borderId="1" xfId="0" applyNumberFormat="1" applyFont="1" applyFill="1" applyBorder="1"/>
    <xf numFmtId="0" fontId="6" fillId="9" borderId="0" xfId="0" applyFont="1" applyFill="1"/>
    <xf numFmtId="14" fontId="6" fillId="9" borderId="1" xfId="0" applyNumberFormat="1" applyFont="1" applyFill="1" applyBorder="1"/>
    <xf numFmtId="0" fontId="6" fillId="14" borderId="0" xfId="0" applyFont="1" applyFill="1"/>
    <xf numFmtId="164" fontId="6" fillId="0" borderId="0" xfId="1" applyNumberFormat="1" applyFont="1"/>
    <xf numFmtId="14" fontId="6" fillId="14" borderId="1" xfId="0" applyNumberFormat="1" applyFont="1" applyFill="1" applyBorder="1"/>
    <xf numFmtId="0" fontId="6" fillId="17" borderId="0" xfId="0" applyFont="1" applyFill="1"/>
    <xf numFmtId="14" fontId="6" fillId="17" borderId="1" xfId="0" applyNumberFormat="1" applyFont="1" applyFill="1" applyBorder="1"/>
    <xf numFmtId="1" fontId="6" fillId="0" borderId="0" xfId="1" applyNumberFormat="1" applyFont="1" applyFill="1"/>
    <xf numFmtId="0" fontId="6" fillId="18" borderId="0" xfId="0" applyFont="1" applyFill="1"/>
    <xf numFmtId="14" fontId="6" fillId="18" borderId="1" xfId="0" applyNumberFormat="1" applyFont="1" applyFill="1" applyBorder="1"/>
    <xf numFmtId="0" fontId="6" fillId="19" borderId="0" xfId="0" applyFont="1" applyFill="1"/>
    <xf numFmtId="14" fontId="6" fillId="19" borderId="1" xfId="0" applyNumberFormat="1" applyFont="1" applyFill="1" applyBorder="1"/>
    <xf numFmtId="0" fontId="1" fillId="0" borderId="2" xfId="3"/>
    <xf numFmtId="0" fontId="1" fillId="2" borderId="2" xfId="3" applyFill="1"/>
    <xf numFmtId="22" fontId="1" fillId="0" borderId="2" xfId="3" applyNumberFormat="1"/>
    <xf numFmtId="0" fontId="1" fillId="3" borderId="2" xfId="3" applyFill="1"/>
    <xf numFmtId="0" fontId="1" fillId="23" borderId="2" xfId="3" applyFill="1"/>
    <xf numFmtId="0" fontId="7" fillId="2" borderId="2" xfId="3" applyFont="1" applyFill="1"/>
    <xf numFmtId="0" fontId="7" fillId="0" borderId="2" xfId="3" applyFont="1"/>
    <xf numFmtId="22" fontId="7" fillId="0" borderId="2" xfId="3" applyNumberFormat="1" applyFont="1"/>
    <xf numFmtId="0" fontId="7" fillId="23" borderId="2" xfId="3" applyFont="1" applyFill="1"/>
    <xf numFmtId="1" fontId="6" fillId="0" borderId="2" xfId="1" applyNumberFormat="1" applyFont="1" applyBorder="1"/>
    <xf numFmtId="164" fontId="6" fillId="0" borderId="2" xfId="1" applyNumberFormat="1" applyFont="1" applyBorder="1"/>
    <xf numFmtId="165" fontId="0" fillId="0" borderId="0" xfId="0" applyNumberFormat="1"/>
    <xf numFmtId="165" fontId="2" fillId="0" borderId="0" xfId="0" applyNumberFormat="1" applyFont="1"/>
    <xf numFmtId="14" fontId="2" fillId="0" borderId="2" xfId="0" applyNumberFormat="1" applyFont="1" applyBorder="1"/>
    <xf numFmtId="165" fontId="2" fillId="0" borderId="0" xfId="0" quotePrefix="1" applyNumberFormat="1" applyFont="1"/>
    <xf numFmtId="166" fontId="4" fillId="0" borderId="1" xfId="0" quotePrefix="1" applyNumberFormat="1" applyFont="1" applyBorder="1"/>
    <xf numFmtId="166" fontId="2" fillId="0" borderId="1" xfId="0" quotePrefix="1" applyNumberFormat="1" applyFont="1" applyBorder="1"/>
    <xf numFmtId="14" fontId="4" fillId="0" borderId="1" xfId="0" quotePrefix="1" applyNumberFormat="1" applyFont="1" applyBorder="1"/>
    <xf numFmtId="14" fontId="2" fillId="4" borderId="1" xfId="0" quotePrefix="1" applyNumberFormat="1" applyFont="1" applyFill="1" applyBorder="1"/>
    <xf numFmtId="14" fontId="2" fillId="0" borderId="1" xfId="0" quotePrefix="1" applyNumberFormat="1" applyFont="1" applyBorder="1"/>
    <xf numFmtId="14" fontId="2" fillId="5" borderId="1" xfId="0" quotePrefix="1" applyNumberFormat="1" applyFont="1" applyFill="1" applyBorder="1"/>
    <xf numFmtId="14" fontId="2" fillId="6" borderId="1" xfId="0" quotePrefix="1" applyNumberFormat="1" applyFont="1" applyFill="1" applyBorder="1"/>
    <xf numFmtId="167" fontId="0" fillId="0" borderId="0" xfId="0" applyNumberFormat="1"/>
    <xf numFmtId="20" fontId="0" fillId="0" borderId="0" xfId="0" applyNumberFormat="1"/>
    <xf numFmtId="168" fontId="0" fillId="0" borderId="0" xfId="0" applyNumberFormat="1"/>
    <xf numFmtId="169" fontId="0" fillId="2" borderId="1" xfId="0" applyNumberFormat="1" applyFill="1" applyBorder="1"/>
    <xf numFmtId="14" fontId="2" fillId="7" borderId="1" xfId="0" quotePrefix="1" applyNumberFormat="1" applyFont="1" applyFill="1" applyBorder="1"/>
    <xf numFmtId="14" fontId="2" fillId="8" borderId="1" xfId="0" quotePrefix="1" applyNumberFormat="1" applyFont="1" applyFill="1" applyBorder="1"/>
    <xf numFmtId="14" fontId="2" fillId="9" borderId="1" xfId="0" quotePrefix="1" applyNumberFormat="1" applyFont="1" applyFill="1" applyBorder="1"/>
    <xf numFmtId="14" fontId="2" fillId="10" borderId="1" xfId="0" quotePrefix="1" applyNumberFormat="1" applyFont="1" applyFill="1" applyBorder="1"/>
    <xf numFmtId="14" fontId="2" fillId="11" borderId="1" xfId="0" quotePrefix="1" applyNumberFormat="1" applyFont="1" applyFill="1" applyBorder="1"/>
    <xf numFmtId="0" fontId="3" fillId="0" borderId="0" xfId="0" applyFont="1"/>
    <xf numFmtId="14" fontId="2" fillId="12" borderId="1" xfId="0" quotePrefix="1" applyNumberFormat="1" applyFont="1" applyFill="1" applyBorder="1"/>
    <xf numFmtId="14" fontId="2" fillId="13" borderId="1" xfId="0" quotePrefix="1" applyNumberFormat="1" applyFont="1" applyFill="1" applyBorder="1"/>
    <xf numFmtId="14" fontId="2" fillId="14" borderId="1" xfId="0" quotePrefix="1" applyNumberFormat="1" applyFont="1" applyFill="1" applyBorder="1"/>
    <xf numFmtId="14" fontId="2" fillId="15" borderId="1" xfId="0" quotePrefix="1" applyNumberFormat="1" applyFont="1" applyFill="1" applyBorder="1"/>
    <xf numFmtId="14" fontId="2" fillId="16" borderId="1" xfId="0" quotePrefix="1" applyNumberFormat="1" applyFont="1" applyFill="1" applyBorder="1"/>
    <xf numFmtId="14" fontId="4" fillId="16" borderId="1" xfId="0" quotePrefix="1" applyNumberFormat="1" applyFont="1" applyFill="1" applyBorder="1"/>
    <xf numFmtId="14" fontId="2" fillId="17" borderId="1" xfId="0" quotePrefix="1" applyNumberFormat="1" applyFont="1" applyFill="1" applyBorder="1"/>
    <xf numFmtId="14" fontId="2" fillId="20" borderId="1" xfId="0" quotePrefix="1" applyNumberFormat="1" applyFont="1" applyFill="1" applyBorder="1"/>
    <xf numFmtId="14" fontId="2" fillId="21" borderId="1" xfId="0" quotePrefix="1" applyNumberFormat="1" applyFont="1" applyFill="1" applyBorder="1"/>
    <xf numFmtId="14" fontId="2" fillId="22" borderId="1" xfId="0" quotePrefix="1" applyNumberFormat="1" applyFont="1" applyFill="1" applyBorder="1"/>
    <xf numFmtId="49" fontId="2" fillId="0" borderId="0" xfId="1" applyNumberFormat="1" applyFont="1" applyFill="1"/>
    <xf numFmtId="49" fontId="2" fillId="0" borderId="0" xfId="1" applyNumberFormat="1" applyFont="1"/>
    <xf numFmtId="1" fontId="2" fillId="0" borderId="0" xfId="1" applyNumberFormat="1" applyFont="1"/>
    <xf numFmtId="164" fontId="2" fillId="0" borderId="0" xfId="1" applyNumberFormat="1" applyFont="1"/>
    <xf numFmtId="1" fontId="2" fillId="0" borderId="0" xfId="1" applyNumberFormat="1" applyFont="1" applyBorder="1"/>
    <xf numFmtId="164" fontId="2" fillId="0" borderId="2" xfId="1" applyNumberFormat="1" applyFont="1" applyBorder="1"/>
    <xf numFmtId="1" fontId="2" fillId="0" borderId="2" xfId="0" applyNumberFormat="1" applyFont="1" applyBorder="1"/>
    <xf numFmtId="1" fontId="2" fillId="0" borderId="2" xfId="1" applyNumberFormat="1" applyFont="1" applyBorder="1"/>
    <xf numFmtId="1" fontId="2" fillId="0" borderId="2" xfId="1" applyNumberFormat="1" applyFont="1" applyFill="1" applyBorder="1"/>
    <xf numFmtId="164" fontId="2" fillId="0" borderId="2" xfId="1" applyNumberFormat="1" applyFont="1" applyFill="1" applyBorder="1"/>
    <xf numFmtId="1" fontId="2" fillId="0" borderId="0" xfId="1" applyNumberFormat="1" applyFont="1" applyFill="1" applyBorder="1"/>
    <xf numFmtId="1" fontId="2" fillId="0" borderId="0" xfId="1" quotePrefix="1" applyNumberFormat="1" applyFont="1" applyBorder="1"/>
    <xf numFmtId="1" fontId="4" fillId="0" borderId="0" xfId="0" applyNumberFormat="1" applyFont="1" applyBorder="1"/>
  </cellXfs>
  <cellStyles count="4">
    <cellStyle name="Comma" xfId="1" builtinId="3"/>
    <cellStyle name="Normal" xfId="0" builtinId="0"/>
    <cellStyle name="Normal 2" xfId="3" xr:uid="{64CAEB63-743B-4B89-8C8A-588201293FD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2197-9E5D-4006-AC29-00EC17F6163B}">
  <dimension ref="A1:G222"/>
  <sheetViews>
    <sheetView zoomScale="90" zoomScaleNormal="90" workbookViewId="0"/>
  </sheetViews>
  <sheetFormatPr defaultRowHeight="14.4" x14ac:dyDescent="0.55000000000000004"/>
  <cols>
    <col min="1" max="1" width="6.20703125" bestFit="1" customWidth="1"/>
    <col min="2" max="2" width="7.5234375" bestFit="1" customWidth="1"/>
    <col min="3" max="3" width="7" style="136" bestFit="1" customWidth="1"/>
    <col min="4" max="4" width="13.3125" bestFit="1" customWidth="1"/>
    <col min="5" max="5" width="16.68359375" bestFit="1" customWidth="1"/>
    <col min="6" max="6" width="28.20703125" customWidth="1"/>
    <col min="7" max="7" width="8.89453125" bestFit="1" customWidth="1"/>
    <col min="8" max="8" width="9.68359375" bestFit="1" customWidth="1"/>
  </cols>
  <sheetData>
    <row r="1" spans="1:6" x14ac:dyDescent="0.55000000000000004">
      <c r="A1" s="144" t="s">
        <v>80</v>
      </c>
      <c r="B1" s="144" t="s">
        <v>77</v>
      </c>
      <c r="C1" s="144" t="s">
        <v>73</v>
      </c>
      <c r="D1" s="144" t="s">
        <v>74</v>
      </c>
      <c r="E1" s="144" t="s">
        <v>75</v>
      </c>
      <c r="F1" s="144" t="s">
        <v>76</v>
      </c>
    </row>
    <row r="2" spans="1:6" x14ac:dyDescent="0.55000000000000004">
      <c r="A2" s="165">
        <v>23</v>
      </c>
      <c r="B2" s="165">
        <v>2</v>
      </c>
      <c r="C2" s="242">
        <v>81</v>
      </c>
      <c r="D2" s="243">
        <v>139.49574783325193</v>
      </c>
      <c r="E2" s="243">
        <v>474917846.85000002</v>
      </c>
      <c r="F2" s="244" t="s">
        <v>115</v>
      </c>
    </row>
    <row r="3" spans="1:6" x14ac:dyDescent="0.55000000000000004">
      <c r="A3" s="165">
        <v>52</v>
      </c>
      <c r="B3" s="165">
        <v>1</v>
      </c>
      <c r="C3" s="242">
        <v>150</v>
      </c>
      <c r="D3" s="245">
        <v>23.489329452514649</v>
      </c>
      <c r="E3" s="245">
        <v>4934980.17</v>
      </c>
      <c r="F3" s="246" t="s">
        <v>115</v>
      </c>
    </row>
    <row r="4" spans="1:6" s="132" customFormat="1" x14ac:dyDescent="0.55000000000000004">
      <c r="A4" s="165">
        <v>76</v>
      </c>
      <c r="B4" s="165">
        <v>3</v>
      </c>
      <c r="C4" s="241">
        <v>76</v>
      </c>
      <c r="D4" s="247">
        <v>18.76605949975783</v>
      </c>
      <c r="E4" s="248">
        <v>31559505.250610352</v>
      </c>
      <c r="F4" s="246" t="s">
        <v>115</v>
      </c>
    </row>
    <row r="5" spans="1:6" x14ac:dyDescent="0.55000000000000004">
      <c r="A5" s="165">
        <v>105</v>
      </c>
      <c r="B5" s="165">
        <v>4</v>
      </c>
      <c r="C5" s="242">
        <v>92</v>
      </c>
      <c r="D5" s="245">
        <v>420.17333923339851</v>
      </c>
      <c r="E5" s="245">
        <v>85137418.670000002</v>
      </c>
      <c r="F5" s="246" t="s">
        <v>115</v>
      </c>
    </row>
    <row r="6" spans="1:6" x14ac:dyDescent="0.55000000000000004">
      <c r="A6" s="165">
        <v>134</v>
      </c>
      <c r="B6" s="165">
        <v>5</v>
      </c>
      <c r="C6" s="242">
        <v>53</v>
      </c>
      <c r="D6" s="243">
        <v>11.487902727127079</v>
      </c>
      <c r="E6" s="243">
        <v>47407369.710000001</v>
      </c>
      <c r="F6" s="244" t="s">
        <v>115</v>
      </c>
    </row>
    <row r="7" spans="1:6" s="132" customFormat="1" x14ac:dyDescent="0.55000000000000004">
      <c r="A7" s="165">
        <v>24</v>
      </c>
      <c r="B7" s="165">
        <v>2</v>
      </c>
      <c r="C7" s="242">
        <v>110</v>
      </c>
      <c r="D7" s="249">
        <v>104.81852149963377</v>
      </c>
      <c r="E7" s="249">
        <v>277400817.53500003</v>
      </c>
      <c r="F7" s="250" t="s">
        <v>116</v>
      </c>
    </row>
    <row r="8" spans="1:6" x14ac:dyDescent="0.55000000000000004">
      <c r="A8" s="165">
        <v>53</v>
      </c>
      <c r="B8" s="165">
        <v>1</v>
      </c>
      <c r="C8" s="242">
        <v>113</v>
      </c>
      <c r="D8" s="245">
        <v>261.61609441280359</v>
      </c>
      <c r="E8" s="245">
        <v>376094825.37</v>
      </c>
      <c r="F8" s="246" t="s">
        <v>116</v>
      </c>
    </row>
    <row r="9" spans="1:6" x14ac:dyDescent="0.55000000000000004">
      <c r="A9" s="165">
        <v>77</v>
      </c>
      <c r="B9" s="165">
        <v>3</v>
      </c>
      <c r="C9" s="242">
        <v>64</v>
      </c>
      <c r="D9" s="245">
        <v>286.52542014122008</v>
      </c>
      <c r="E9" s="245">
        <v>1278932432.9200001</v>
      </c>
      <c r="F9" s="246" t="s">
        <v>116</v>
      </c>
    </row>
    <row r="10" spans="1:6" x14ac:dyDescent="0.55000000000000004">
      <c r="A10" s="165">
        <v>106</v>
      </c>
      <c r="B10" s="165">
        <v>4</v>
      </c>
      <c r="C10" s="242">
        <v>93</v>
      </c>
      <c r="D10" s="245">
        <v>7.7173205089569095</v>
      </c>
      <c r="E10" s="245">
        <v>1242221.8500000001</v>
      </c>
      <c r="F10" s="246" t="s">
        <v>116</v>
      </c>
    </row>
    <row r="11" spans="1:6" x14ac:dyDescent="0.55000000000000004">
      <c r="A11" s="165">
        <v>135</v>
      </c>
      <c r="B11" s="165">
        <v>5</v>
      </c>
      <c r="C11" s="242">
        <v>57</v>
      </c>
      <c r="D11" s="243">
        <v>109.37096038818358</v>
      </c>
      <c r="E11" s="245">
        <v>513398941.65000004</v>
      </c>
      <c r="F11" s="246" t="s">
        <v>116</v>
      </c>
    </row>
    <row r="12" spans="1:6" s="132" customFormat="1" x14ac:dyDescent="0.55000000000000004">
      <c r="A12" s="165">
        <v>25</v>
      </c>
      <c r="B12" s="165">
        <v>2</v>
      </c>
      <c r="C12" s="242">
        <v>89</v>
      </c>
      <c r="D12" s="245">
        <v>70.141295166015624</v>
      </c>
      <c r="E12" s="248">
        <v>79883788.219999999</v>
      </c>
      <c r="F12" s="246" t="s">
        <v>117</v>
      </c>
    </row>
    <row r="13" spans="1:6" x14ac:dyDescent="0.55000000000000004">
      <c r="A13" s="165">
        <v>54</v>
      </c>
      <c r="B13" s="165">
        <v>1</v>
      </c>
      <c r="C13" s="242">
        <v>79</v>
      </c>
      <c r="D13" s="245">
        <v>31.134267947673798</v>
      </c>
      <c r="E13" s="245">
        <v>6783136.6000000006</v>
      </c>
      <c r="F13" s="246" t="s">
        <v>117</v>
      </c>
    </row>
    <row r="14" spans="1:6" x14ac:dyDescent="0.55000000000000004">
      <c r="A14" s="165">
        <v>78</v>
      </c>
      <c r="B14" s="165">
        <v>3</v>
      </c>
      <c r="C14" s="241">
        <v>56</v>
      </c>
      <c r="D14" s="165">
        <v>13</v>
      </c>
      <c r="E14" s="245">
        <v>244727455</v>
      </c>
      <c r="F14" s="246" t="s">
        <v>117</v>
      </c>
    </row>
    <row r="15" spans="1:6" x14ac:dyDescent="0.55000000000000004">
      <c r="A15" s="165">
        <v>107</v>
      </c>
      <c r="B15" s="165">
        <v>4</v>
      </c>
      <c r="C15" s="242">
        <v>77</v>
      </c>
      <c r="D15" s="245">
        <v>1312.9918798828126</v>
      </c>
      <c r="E15" s="245">
        <v>3491333891.9700003</v>
      </c>
      <c r="F15" s="246" t="s">
        <v>117</v>
      </c>
    </row>
    <row r="16" spans="1:6" x14ac:dyDescent="0.55000000000000004">
      <c r="A16" s="165">
        <v>136</v>
      </c>
      <c r="B16" s="165">
        <v>5</v>
      </c>
      <c r="C16" s="241">
        <v>57</v>
      </c>
      <c r="D16" s="245">
        <v>58.591174688339223</v>
      </c>
      <c r="E16" s="251">
        <v>310706319.125</v>
      </c>
      <c r="F16" s="250" t="s">
        <v>117</v>
      </c>
    </row>
    <row r="17" spans="1:6" x14ac:dyDescent="0.55000000000000004">
      <c r="A17" s="165">
        <v>26</v>
      </c>
      <c r="B17" s="165">
        <v>2</v>
      </c>
      <c r="C17" s="242">
        <v>93</v>
      </c>
      <c r="D17" s="245">
        <v>210.53629623413087</v>
      </c>
      <c r="E17" s="245">
        <v>49678462.900000006</v>
      </c>
      <c r="F17" s="246" t="s">
        <v>118</v>
      </c>
    </row>
    <row r="18" spans="1:6" x14ac:dyDescent="0.55000000000000004">
      <c r="A18" s="165">
        <v>55</v>
      </c>
      <c r="B18" s="165">
        <v>1</v>
      </c>
      <c r="C18" s="242">
        <v>153</v>
      </c>
      <c r="D18" s="245">
        <v>21.178821468353277</v>
      </c>
      <c r="E18" s="245">
        <v>58787883.290000007</v>
      </c>
      <c r="F18" s="246" t="s">
        <v>118</v>
      </c>
    </row>
    <row r="19" spans="1:6" x14ac:dyDescent="0.55000000000000004">
      <c r="A19" s="165">
        <v>79</v>
      </c>
      <c r="B19" s="165">
        <v>3</v>
      </c>
      <c r="C19" s="241">
        <v>55</v>
      </c>
      <c r="D19" s="165">
        <v>10</v>
      </c>
      <c r="E19" s="245">
        <v>210913943</v>
      </c>
      <c r="F19" s="246" t="s">
        <v>118</v>
      </c>
    </row>
    <row r="20" spans="1:6" x14ac:dyDescent="0.55000000000000004">
      <c r="A20" s="165">
        <v>108</v>
      </c>
      <c r="B20" s="165">
        <v>4</v>
      </c>
      <c r="C20" s="242">
        <v>116</v>
      </c>
      <c r="D20" s="245">
        <v>8.7129330921173107</v>
      </c>
      <c r="E20" s="245">
        <v>38951720.390000001</v>
      </c>
      <c r="F20" s="246" t="s">
        <v>118</v>
      </c>
    </row>
    <row r="21" spans="1:6" x14ac:dyDescent="0.55000000000000004">
      <c r="A21" s="165">
        <v>137</v>
      </c>
      <c r="B21" s="165">
        <v>5</v>
      </c>
      <c r="C21" s="242">
        <v>60</v>
      </c>
      <c r="D21" s="245">
        <v>7.8113889884948735</v>
      </c>
      <c r="E21" s="245">
        <v>108013696.60000001</v>
      </c>
      <c r="F21" s="246" t="s">
        <v>118</v>
      </c>
    </row>
    <row r="22" spans="1:6" x14ac:dyDescent="0.55000000000000004">
      <c r="A22" s="165">
        <v>27</v>
      </c>
      <c r="B22" s="165">
        <v>2</v>
      </c>
      <c r="C22" s="242">
        <v>83</v>
      </c>
      <c r="D22" s="245">
        <v>4.1705398416519168</v>
      </c>
      <c r="E22" s="245">
        <v>14091800.49</v>
      </c>
      <c r="F22" s="246" t="s">
        <v>119</v>
      </c>
    </row>
    <row r="23" spans="1:6" x14ac:dyDescent="0.55000000000000004">
      <c r="A23" s="165">
        <v>56</v>
      </c>
      <c r="B23" s="165">
        <v>1</v>
      </c>
      <c r="C23" s="242">
        <v>126</v>
      </c>
      <c r="D23" s="245">
        <v>136.29085101127626</v>
      </c>
      <c r="E23" s="245">
        <v>1046243735.8800001</v>
      </c>
      <c r="F23" s="246" t="s">
        <v>119</v>
      </c>
    </row>
    <row r="24" spans="1:6" x14ac:dyDescent="0.55000000000000004">
      <c r="A24" s="165">
        <v>80</v>
      </c>
      <c r="B24" s="165">
        <v>3</v>
      </c>
      <c r="C24" s="241">
        <v>93</v>
      </c>
      <c r="D24" s="165">
        <v>6</v>
      </c>
      <c r="E24" s="245">
        <v>174666143</v>
      </c>
      <c r="F24" s="246" t="s">
        <v>119</v>
      </c>
    </row>
    <row r="25" spans="1:6" x14ac:dyDescent="0.55000000000000004">
      <c r="A25" s="165">
        <v>109</v>
      </c>
      <c r="B25" s="165">
        <v>4</v>
      </c>
      <c r="C25" s="242">
        <v>110</v>
      </c>
      <c r="D25" s="245">
        <v>78.963978729248055</v>
      </c>
      <c r="E25" s="245">
        <v>627671259.78000009</v>
      </c>
      <c r="F25" s="246" t="s">
        <v>119</v>
      </c>
    </row>
    <row r="26" spans="1:6" x14ac:dyDescent="0.55000000000000004">
      <c r="A26" s="165">
        <v>138</v>
      </c>
      <c r="B26" s="165">
        <v>5</v>
      </c>
      <c r="C26" s="241">
        <v>60</v>
      </c>
      <c r="D26" s="165">
        <v>31.363024969119579</v>
      </c>
      <c r="E26" s="245">
        <v>239663171.30749512</v>
      </c>
      <c r="F26" s="246" t="s">
        <v>119</v>
      </c>
    </row>
    <row r="27" spans="1:6" x14ac:dyDescent="0.55000000000000004">
      <c r="A27" s="165">
        <v>28</v>
      </c>
      <c r="B27" s="165">
        <v>2</v>
      </c>
      <c r="C27" s="242">
        <v>139</v>
      </c>
      <c r="D27" s="245">
        <v>101.50255172729493</v>
      </c>
      <c r="E27" s="245">
        <v>18504317.850000001</v>
      </c>
      <c r="F27" s="246" t="s">
        <v>120</v>
      </c>
    </row>
    <row r="28" spans="1:6" x14ac:dyDescent="0.55000000000000004">
      <c r="A28" s="165">
        <v>57</v>
      </c>
      <c r="B28" s="165">
        <v>1</v>
      </c>
      <c r="C28" s="242">
        <v>117</v>
      </c>
      <c r="D28" s="245">
        <v>35.846557178497321</v>
      </c>
      <c r="E28" s="245">
        <v>90790255.420000002</v>
      </c>
      <c r="F28" s="246" t="s">
        <v>120</v>
      </c>
    </row>
    <row r="29" spans="1:6" x14ac:dyDescent="0.55000000000000004">
      <c r="A29" s="165">
        <v>81</v>
      </c>
      <c r="B29" s="165">
        <v>3</v>
      </c>
      <c r="C29" s="242">
        <v>114</v>
      </c>
      <c r="D29" s="245">
        <v>2.0902160799503329</v>
      </c>
      <c r="E29" s="245">
        <v>6469973.2800000003</v>
      </c>
      <c r="F29" s="246" t="s">
        <v>120</v>
      </c>
    </row>
    <row r="30" spans="1:6" x14ac:dyDescent="0.55000000000000004">
      <c r="A30" s="165">
        <v>110</v>
      </c>
      <c r="B30" s="165">
        <v>4</v>
      </c>
      <c r="C30" s="242">
        <v>119</v>
      </c>
      <c r="D30" s="248">
        <v>77.044583778381352</v>
      </c>
      <c r="E30" s="248">
        <v>125918153.19000001</v>
      </c>
      <c r="F30" s="246" t="s">
        <v>120</v>
      </c>
    </row>
    <row r="31" spans="1:6" x14ac:dyDescent="0.55000000000000004">
      <c r="A31" s="165">
        <v>139</v>
      </c>
      <c r="B31" s="165">
        <v>5</v>
      </c>
      <c r="C31" s="241">
        <v>55</v>
      </c>
      <c r="D31" s="247">
        <v>19</v>
      </c>
      <c r="E31" s="248">
        <v>36970548.782226563</v>
      </c>
      <c r="F31" s="246" t="s">
        <v>120</v>
      </c>
    </row>
    <row r="32" spans="1:6" x14ac:dyDescent="0.55000000000000004">
      <c r="A32" s="165">
        <v>29</v>
      </c>
      <c r="B32" s="165">
        <v>2</v>
      </c>
      <c r="C32" s="242">
        <v>142</v>
      </c>
      <c r="D32" s="245">
        <v>685.90095581054686</v>
      </c>
      <c r="E32" s="245">
        <v>301740619.53000003</v>
      </c>
      <c r="F32" s="246" t="s">
        <v>121</v>
      </c>
    </row>
    <row r="33" spans="1:6" x14ac:dyDescent="0.55000000000000004">
      <c r="A33" s="165">
        <v>82</v>
      </c>
      <c r="B33" s="165">
        <v>3</v>
      </c>
      <c r="C33" s="241">
        <v>123</v>
      </c>
      <c r="D33" s="245">
        <v>17.560952375531198</v>
      </c>
      <c r="E33" s="251">
        <v>48374346.900000006</v>
      </c>
      <c r="F33" s="250" t="s">
        <v>121</v>
      </c>
    </row>
    <row r="34" spans="1:6" x14ac:dyDescent="0.55000000000000004">
      <c r="A34" s="165">
        <v>111</v>
      </c>
      <c r="B34" s="165">
        <v>4</v>
      </c>
      <c r="C34" s="241">
        <v>113</v>
      </c>
      <c r="D34" s="245">
        <v>43.636761498451236</v>
      </c>
      <c r="E34" s="251">
        <v>87435147.370000005</v>
      </c>
      <c r="F34" s="250" t="s">
        <v>121</v>
      </c>
    </row>
    <row r="35" spans="1:6" x14ac:dyDescent="0.55000000000000004">
      <c r="A35" s="165">
        <v>140</v>
      </c>
      <c r="B35" s="165">
        <v>5</v>
      </c>
      <c r="C35" s="241">
        <v>62</v>
      </c>
      <c r="D35" s="165">
        <v>5.3859251404064707</v>
      </c>
      <c r="E35" s="245">
        <v>1448974.8735351563</v>
      </c>
      <c r="F35" s="246" t="s">
        <v>121</v>
      </c>
    </row>
    <row r="36" spans="1:6" x14ac:dyDescent="0.55000000000000004">
      <c r="A36" s="165">
        <v>30</v>
      </c>
      <c r="B36" s="165">
        <v>2</v>
      </c>
      <c r="C36" s="241">
        <v>152</v>
      </c>
      <c r="D36" s="165">
        <v>411.88269102526829</v>
      </c>
      <c r="E36" s="245">
        <v>16157283.473632813</v>
      </c>
      <c r="F36" s="246" t="s">
        <v>121</v>
      </c>
    </row>
    <row r="37" spans="1:6" x14ac:dyDescent="0.55000000000000004">
      <c r="A37" s="165">
        <v>83</v>
      </c>
      <c r="B37" s="165">
        <v>3</v>
      </c>
      <c r="C37" s="242">
        <v>103</v>
      </c>
      <c r="D37" s="243">
        <v>33.031688671112057</v>
      </c>
      <c r="E37" s="245">
        <v>90278720.520000011</v>
      </c>
      <c r="F37" s="246" t="s">
        <v>122</v>
      </c>
    </row>
    <row r="38" spans="1:6" x14ac:dyDescent="0.55000000000000004">
      <c r="A38" s="165">
        <v>112</v>
      </c>
      <c r="B38" s="165">
        <v>4</v>
      </c>
      <c r="C38" s="242">
        <v>129</v>
      </c>
      <c r="D38" s="245">
        <v>10.228939218521118</v>
      </c>
      <c r="E38" s="245">
        <v>48952141.550000004</v>
      </c>
      <c r="F38" s="246" t="s">
        <v>122</v>
      </c>
    </row>
    <row r="39" spans="1:6" x14ac:dyDescent="0.55000000000000004">
      <c r="A39" s="165">
        <v>141</v>
      </c>
      <c r="B39" s="165">
        <v>5</v>
      </c>
      <c r="C39" s="241">
        <v>59</v>
      </c>
      <c r="D39" s="165">
        <v>10.980230646164273</v>
      </c>
      <c r="E39" s="245">
        <v>34072599</v>
      </c>
      <c r="F39" s="246" t="s">
        <v>122</v>
      </c>
    </row>
    <row r="40" spans="1:6" x14ac:dyDescent="0.55000000000000004">
      <c r="A40" s="165">
        <v>31</v>
      </c>
      <c r="B40" s="165">
        <v>2</v>
      </c>
      <c r="C40" s="241">
        <v>154</v>
      </c>
      <c r="D40" s="245">
        <v>518.94727666629478</v>
      </c>
      <c r="E40" s="245">
        <v>55180857.912109375</v>
      </c>
      <c r="F40" s="246" t="s">
        <v>123</v>
      </c>
    </row>
    <row r="41" spans="1:6" x14ac:dyDescent="0.55000000000000004">
      <c r="A41" s="165">
        <v>58</v>
      </c>
      <c r="B41" s="165">
        <v>1</v>
      </c>
      <c r="C41" s="242">
        <v>126</v>
      </c>
      <c r="D41" s="243">
        <v>539.21121475219729</v>
      </c>
      <c r="E41" s="243">
        <v>2272019985.48</v>
      </c>
      <c r="F41" s="244" t="s">
        <v>123</v>
      </c>
    </row>
    <row r="42" spans="1:6" x14ac:dyDescent="0.55000000000000004">
      <c r="A42" s="165">
        <v>84</v>
      </c>
      <c r="B42" s="165">
        <v>3</v>
      </c>
      <c r="C42" s="241">
        <v>95</v>
      </c>
      <c r="D42" s="245">
        <v>40.73932120323181</v>
      </c>
      <c r="E42" s="251">
        <v>49258994.545000002</v>
      </c>
      <c r="F42" s="250" t="s">
        <v>123</v>
      </c>
    </row>
    <row r="43" spans="1:6" x14ac:dyDescent="0.55000000000000004">
      <c r="A43" s="165">
        <v>113</v>
      </c>
      <c r="B43" s="165">
        <v>4</v>
      </c>
      <c r="C43" s="241">
        <v>140</v>
      </c>
      <c r="D43" s="165">
        <v>94</v>
      </c>
      <c r="E43" s="245">
        <v>63516316.354492188</v>
      </c>
      <c r="F43" s="246" t="s">
        <v>123</v>
      </c>
    </row>
    <row r="44" spans="1:6" s="132" customFormat="1" x14ac:dyDescent="0.55000000000000004">
      <c r="A44" s="165">
        <v>142</v>
      </c>
      <c r="B44" s="165">
        <v>5</v>
      </c>
      <c r="C44" s="241">
        <v>61</v>
      </c>
      <c r="D44" s="165">
        <v>2</v>
      </c>
      <c r="E44" s="248">
        <v>85034499</v>
      </c>
      <c r="F44" s="246" t="s">
        <v>123</v>
      </c>
    </row>
    <row r="45" spans="1:6" x14ac:dyDescent="0.55000000000000004">
      <c r="A45" s="165">
        <v>32</v>
      </c>
      <c r="B45" s="165">
        <v>2</v>
      </c>
      <c r="C45" s="242">
        <v>129</v>
      </c>
      <c r="D45" s="245">
        <v>8.2056321954727185</v>
      </c>
      <c r="E45" s="245">
        <v>28148791.740000002</v>
      </c>
      <c r="F45" s="246" t="s">
        <v>124</v>
      </c>
    </row>
    <row r="46" spans="1:6" s="132" customFormat="1" x14ac:dyDescent="0.55000000000000004">
      <c r="A46" s="165">
        <v>59</v>
      </c>
      <c r="B46" s="165">
        <v>1</v>
      </c>
      <c r="C46" s="242">
        <v>145</v>
      </c>
      <c r="D46" s="245">
        <v>248.25890451431272</v>
      </c>
      <c r="E46" s="248">
        <v>496856688.15000004</v>
      </c>
      <c r="F46" s="246" t="s">
        <v>124</v>
      </c>
    </row>
    <row r="47" spans="1:6" x14ac:dyDescent="0.55000000000000004">
      <c r="A47" s="165">
        <v>85</v>
      </c>
      <c r="B47" s="165">
        <v>3</v>
      </c>
      <c r="C47" s="242">
        <v>101</v>
      </c>
      <c r="D47" s="245">
        <v>48.446953735351563</v>
      </c>
      <c r="E47" s="245">
        <v>8239268.5700000003</v>
      </c>
      <c r="F47" s="246" t="s">
        <v>124</v>
      </c>
    </row>
    <row r="48" spans="1:6" x14ac:dyDescent="0.55000000000000004">
      <c r="A48" s="165">
        <v>114</v>
      </c>
      <c r="B48" s="165">
        <v>4</v>
      </c>
      <c r="C48" s="241">
        <v>115</v>
      </c>
      <c r="D48" s="165">
        <v>107</v>
      </c>
      <c r="E48" s="245">
        <v>357173800</v>
      </c>
      <c r="F48" s="246" t="s">
        <v>124</v>
      </c>
    </row>
    <row r="49" spans="1:7" x14ac:dyDescent="0.55000000000000004">
      <c r="A49" s="165">
        <v>143</v>
      </c>
      <c r="B49" s="165">
        <v>5</v>
      </c>
      <c r="C49" s="241">
        <v>59</v>
      </c>
      <c r="D49" s="165">
        <v>2</v>
      </c>
      <c r="E49" s="245">
        <v>83585524.108886719</v>
      </c>
      <c r="F49" s="246" t="s">
        <v>124</v>
      </c>
    </row>
    <row r="50" spans="1:7" x14ac:dyDescent="0.55000000000000004">
      <c r="A50" s="165">
        <v>33</v>
      </c>
      <c r="B50" s="165">
        <v>2</v>
      </c>
      <c r="C50" s="242">
        <v>110</v>
      </c>
      <c r="D50" s="248">
        <v>236.83927937030791</v>
      </c>
      <c r="E50" s="248">
        <v>814496020.38</v>
      </c>
      <c r="F50" s="246" t="s">
        <v>125</v>
      </c>
    </row>
    <row r="51" spans="1:7" x14ac:dyDescent="0.55000000000000004">
      <c r="A51" s="165">
        <v>60</v>
      </c>
      <c r="B51" s="165">
        <v>1</v>
      </c>
      <c r="C51" s="242">
        <v>126</v>
      </c>
      <c r="D51" s="245">
        <v>76.67032840132714</v>
      </c>
      <c r="E51" s="245">
        <v>154873489.53</v>
      </c>
      <c r="F51" s="246" t="s">
        <v>125</v>
      </c>
    </row>
    <row r="52" spans="1:7" x14ac:dyDescent="0.55000000000000004">
      <c r="A52" s="165">
        <v>86</v>
      </c>
      <c r="B52" s="165">
        <v>3</v>
      </c>
      <c r="C52" s="241">
        <v>117</v>
      </c>
      <c r="D52" s="247">
        <v>63.141379654582124</v>
      </c>
      <c r="E52" s="245">
        <v>41851232.230499268</v>
      </c>
      <c r="F52" s="246" t="s">
        <v>125</v>
      </c>
      <c r="G52" s="3"/>
    </row>
    <row r="53" spans="1:7" x14ac:dyDescent="0.55000000000000004">
      <c r="A53" s="165">
        <v>115</v>
      </c>
      <c r="B53" s="165">
        <v>4</v>
      </c>
      <c r="C53" s="242">
        <v>97</v>
      </c>
      <c r="D53" s="248">
        <v>180.23321695327763</v>
      </c>
      <c r="E53" s="245">
        <v>28413310.720000003</v>
      </c>
      <c r="F53" s="246" t="s">
        <v>125</v>
      </c>
      <c r="G53" s="3"/>
    </row>
    <row r="54" spans="1:7" x14ac:dyDescent="0.55000000000000004">
      <c r="A54" s="165">
        <v>144</v>
      </c>
      <c r="B54" s="165">
        <v>5</v>
      </c>
      <c r="C54" s="241">
        <v>55</v>
      </c>
      <c r="D54" s="247">
        <v>4</v>
      </c>
      <c r="E54" s="245">
        <v>125378286.17211914</v>
      </c>
      <c r="F54" s="246" t="s">
        <v>125</v>
      </c>
      <c r="G54" s="3"/>
    </row>
    <row r="55" spans="1:7" x14ac:dyDescent="0.55000000000000004">
      <c r="A55" s="165">
        <v>34</v>
      </c>
      <c r="B55" s="165">
        <v>2</v>
      </c>
      <c r="C55" s="241">
        <v>139</v>
      </c>
      <c r="D55" s="165">
        <v>364.6459216075018</v>
      </c>
      <c r="E55" s="245">
        <v>239875351.55645752</v>
      </c>
      <c r="F55" s="246" t="s">
        <v>126</v>
      </c>
    </row>
    <row r="56" spans="1:7" s="132" customFormat="1" x14ac:dyDescent="0.55000000000000004">
      <c r="A56" s="165">
        <v>87</v>
      </c>
      <c r="B56" s="165">
        <v>3</v>
      </c>
      <c r="C56" s="241">
        <v>77</v>
      </c>
      <c r="D56" s="165">
        <v>72.556895014655311</v>
      </c>
      <c r="E56" s="248">
        <v>19074808.166442871</v>
      </c>
      <c r="F56" s="246" t="s">
        <v>126</v>
      </c>
    </row>
    <row r="57" spans="1:7" x14ac:dyDescent="0.55000000000000004">
      <c r="A57" s="165">
        <v>116</v>
      </c>
      <c r="B57" s="165">
        <v>4</v>
      </c>
      <c r="C57" s="241">
        <v>111</v>
      </c>
      <c r="D57" s="245">
        <v>190.66370976448061</v>
      </c>
      <c r="E57" s="251">
        <v>35026690.215000004</v>
      </c>
      <c r="F57" s="250" t="s">
        <v>126</v>
      </c>
    </row>
    <row r="58" spans="1:7" s="132" customFormat="1" x14ac:dyDescent="0.55000000000000004">
      <c r="A58" s="165">
        <v>145</v>
      </c>
      <c r="B58" s="165">
        <v>5</v>
      </c>
      <c r="C58" s="241">
        <v>65</v>
      </c>
      <c r="D58" s="165">
        <v>10</v>
      </c>
      <c r="E58" s="248">
        <v>150134748.7265625</v>
      </c>
      <c r="F58" s="246" t="s">
        <v>126</v>
      </c>
    </row>
    <row r="59" spans="1:7" x14ac:dyDescent="0.55000000000000004">
      <c r="A59" s="165">
        <v>35</v>
      </c>
      <c r="B59" s="165">
        <v>2</v>
      </c>
      <c r="C59" s="241">
        <v>135</v>
      </c>
      <c r="D59" s="165">
        <v>394.26484509604052</v>
      </c>
      <c r="E59" s="245">
        <v>323163301.00244141</v>
      </c>
      <c r="F59" s="246" t="s">
        <v>127</v>
      </c>
    </row>
    <row r="60" spans="1:7" x14ac:dyDescent="0.55000000000000004">
      <c r="A60" s="165">
        <v>61</v>
      </c>
      <c r="B60" s="165">
        <v>1</v>
      </c>
      <c r="C60" s="241">
        <v>123</v>
      </c>
      <c r="D60" s="247">
        <v>224.16974358411971</v>
      </c>
      <c r="E60" s="248">
        <v>837161015.58642578</v>
      </c>
      <c r="F60" s="246" t="s">
        <v>127</v>
      </c>
    </row>
    <row r="61" spans="1:7" x14ac:dyDescent="0.55000000000000004">
      <c r="A61" s="165">
        <v>88</v>
      </c>
      <c r="B61" s="165">
        <v>3</v>
      </c>
      <c r="C61" s="242">
        <v>81</v>
      </c>
      <c r="D61" s="248">
        <v>3.0138697457313532</v>
      </c>
      <c r="E61" s="248">
        <v>753667.34000000008</v>
      </c>
      <c r="F61" s="246" t="s">
        <v>127</v>
      </c>
    </row>
    <row r="62" spans="1:7" x14ac:dyDescent="0.55000000000000004">
      <c r="A62" s="165">
        <v>117</v>
      </c>
      <c r="B62" s="165">
        <v>4</v>
      </c>
      <c r="C62" s="242">
        <v>132</v>
      </c>
      <c r="D62" s="245">
        <v>201.09420257568357</v>
      </c>
      <c r="E62" s="245">
        <v>41640069.710000001</v>
      </c>
      <c r="F62" s="246" t="s">
        <v>127</v>
      </c>
    </row>
    <row r="63" spans="1:7" x14ac:dyDescent="0.55000000000000004">
      <c r="A63" s="165">
        <v>146</v>
      </c>
      <c r="B63" s="165">
        <v>5</v>
      </c>
      <c r="C63" s="241">
        <v>71</v>
      </c>
      <c r="D63" s="247">
        <v>13</v>
      </c>
      <c r="E63" s="248">
        <v>170306642.31262207</v>
      </c>
      <c r="F63" s="246" t="s">
        <v>127</v>
      </c>
    </row>
    <row r="64" spans="1:7" x14ac:dyDescent="0.55000000000000004">
      <c r="A64" s="165">
        <v>36</v>
      </c>
      <c r="B64" s="165">
        <v>2</v>
      </c>
      <c r="C64" s="242">
        <v>109</v>
      </c>
      <c r="D64" s="248">
        <v>108.6566746520996</v>
      </c>
      <c r="E64" s="243">
        <v>24775167.34</v>
      </c>
      <c r="F64" s="244" t="s">
        <v>128</v>
      </c>
    </row>
    <row r="65" spans="1:6" x14ac:dyDescent="0.55000000000000004">
      <c r="A65" s="165">
        <v>89</v>
      </c>
      <c r="B65" s="165">
        <v>3</v>
      </c>
      <c r="C65" s="241">
        <v>81</v>
      </c>
      <c r="D65" s="165">
        <v>55.402052113873651</v>
      </c>
      <c r="E65" s="245">
        <v>13065446.474822998</v>
      </c>
      <c r="F65" s="246" t="s">
        <v>128</v>
      </c>
    </row>
    <row r="66" spans="1:6" x14ac:dyDescent="0.55000000000000004">
      <c r="A66" s="165">
        <v>118</v>
      </c>
      <c r="B66" s="165">
        <v>4</v>
      </c>
      <c r="C66" s="241">
        <v>128</v>
      </c>
      <c r="D66" s="165">
        <v>30.471607838291675</v>
      </c>
      <c r="E66" s="248">
        <v>158828056</v>
      </c>
      <c r="F66" s="246" t="s">
        <v>128</v>
      </c>
    </row>
    <row r="67" spans="1:6" x14ac:dyDescent="0.55000000000000004">
      <c r="A67" s="165">
        <v>147</v>
      </c>
      <c r="B67" s="165">
        <v>5</v>
      </c>
      <c r="C67" s="241">
        <v>68</v>
      </c>
      <c r="D67" s="165">
        <v>17</v>
      </c>
      <c r="E67" s="245">
        <v>203581254.62133789</v>
      </c>
      <c r="F67" s="246" t="s">
        <v>128</v>
      </c>
    </row>
    <row r="68" spans="1:6" x14ac:dyDescent="0.55000000000000004">
      <c r="A68" s="165">
        <v>37</v>
      </c>
      <c r="B68" s="165">
        <v>2</v>
      </c>
      <c r="C68" s="242">
        <v>152</v>
      </c>
      <c r="D68" s="245">
        <v>108.6566746520996</v>
      </c>
      <c r="E68" s="245">
        <v>46024985.350000001</v>
      </c>
      <c r="F68" s="246" t="s">
        <v>129</v>
      </c>
    </row>
    <row r="69" spans="1:6" x14ac:dyDescent="0.55000000000000004">
      <c r="A69" s="165">
        <v>62</v>
      </c>
      <c r="B69" s="165">
        <v>1</v>
      </c>
      <c r="C69" s="242">
        <v>90</v>
      </c>
      <c r="D69" s="245">
        <v>13.520496187210082</v>
      </c>
      <c r="E69" s="245">
        <v>5306437.09</v>
      </c>
      <c r="F69" s="246" t="s">
        <v>129</v>
      </c>
    </row>
    <row r="70" spans="1:6" x14ac:dyDescent="0.55000000000000004">
      <c r="A70" s="165">
        <v>90</v>
      </c>
      <c r="B70" s="165">
        <v>3</v>
      </c>
      <c r="C70" s="241">
        <v>72</v>
      </c>
      <c r="D70" s="165">
        <v>53.787304290774046</v>
      </c>
      <c r="E70" s="245">
        <v>6409091</v>
      </c>
      <c r="F70" s="246" t="s">
        <v>129</v>
      </c>
    </row>
    <row r="71" spans="1:6" x14ac:dyDescent="0.55000000000000004">
      <c r="A71" s="165">
        <v>119</v>
      </c>
      <c r="B71" s="165">
        <v>4</v>
      </c>
      <c r="C71" s="241">
        <v>108</v>
      </c>
      <c r="D71" s="165">
        <v>15.555403747246601</v>
      </c>
      <c r="E71" s="245">
        <v>287139617</v>
      </c>
      <c r="F71" s="246" t="s">
        <v>129</v>
      </c>
    </row>
    <row r="72" spans="1:6" x14ac:dyDescent="0.55000000000000004">
      <c r="A72" s="165">
        <v>148</v>
      </c>
      <c r="B72" s="165">
        <v>5</v>
      </c>
      <c r="C72" s="241">
        <v>68</v>
      </c>
      <c r="D72" s="165">
        <v>22</v>
      </c>
      <c r="E72" s="245">
        <v>226045432.69165039</v>
      </c>
      <c r="F72" s="246" t="s">
        <v>129</v>
      </c>
    </row>
    <row r="73" spans="1:6" x14ac:dyDescent="0.55000000000000004">
      <c r="A73" s="165">
        <v>38</v>
      </c>
      <c r="B73" s="165">
        <v>2</v>
      </c>
      <c r="C73" s="242">
        <v>152</v>
      </c>
      <c r="D73" s="245">
        <v>192.42457200527195</v>
      </c>
      <c r="E73" s="245">
        <v>1027267347.9400001</v>
      </c>
      <c r="F73" s="246" t="s">
        <v>130</v>
      </c>
    </row>
    <row r="74" spans="1:6" s="132" customFormat="1" x14ac:dyDescent="0.55000000000000004">
      <c r="A74" s="165">
        <v>63</v>
      </c>
      <c r="B74" s="165">
        <v>1</v>
      </c>
      <c r="C74" s="242">
        <v>89</v>
      </c>
      <c r="D74" s="248">
        <v>20.457878437042236</v>
      </c>
      <c r="E74" s="248">
        <v>65303064.07</v>
      </c>
      <c r="F74" s="246" t="s">
        <v>130</v>
      </c>
    </row>
    <row r="75" spans="1:6" s="132" customFormat="1" x14ac:dyDescent="0.55000000000000004">
      <c r="A75" s="165">
        <v>91</v>
      </c>
      <c r="B75" s="165">
        <v>3</v>
      </c>
      <c r="C75" s="242">
        <v>64</v>
      </c>
      <c r="D75" s="248">
        <v>13.28764391899109</v>
      </c>
      <c r="E75" s="248">
        <v>63706964.330000006</v>
      </c>
      <c r="F75" s="246" t="s">
        <v>130</v>
      </c>
    </row>
    <row r="76" spans="1:6" x14ac:dyDescent="0.55000000000000004">
      <c r="A76" s="165">
        <v>120</v>
      </c>
      <c r="B76" s="165">
        <v>4</v>
      </c>
      <c r="C76" s="242">
        <v>109</v>
      </c>
      <c r="D76" s="245">
        <v>124.69573817729948</v>
      </c>
      <c r="E76" s="245">
        <v>421374772.93000001</v>
      </c>
      <c r="F76" s="246" t="s">
        <v>130</v>
      </c>
    </row>
    <row r="77" spans="1:6" x14ac:dyDescent="0.55000000000000004">
      <c r="A77" s="165">
        <v>149</v>
      </c>
      <c r="B77" s="165">
        <v>5</v>
      </c>
      <c r="C77" s="242">
        <v>65</v>
      </c>
      <c r="D77" s="245">
        <v>17.016497631072994</v>
      </c>
      <c r="E77" s="245">
        <v>61536783.910000004</v>
      </c>
      <c r="F77" s="246" t="s">
        <v>130</v>
      </c>
    </row>
    <row r="78" spans="1:6" x14ac:dyDescent="0.55000000000000004">
      <c r="A78" s="165">
        <v>39</v>
      </c>
      <c r="B78" s="165">
        <v>2</v>
      </c>
      <c r="C78" s="241">
        <v>147</v>
      </c>
      <c r="D78" s="251">
        <v>152.13423123121265</v>
      </c>
      <c r="E78" s="251">
        <v>522264928.48000002</v>
      </c>
      <c r="F78" s="250" t="s">
        <v>131</v>
      </c>
    </row>
    <row r="79" spans="1:6" s="132" customFormat="1" x14ac:dyDescent="0.55000000000000004">
      <c r="A79" s="165">
        <v>92</v>
      </c>
      <c r="B79" s="165">
        <v>3</v>
      </c>
      <c r="C79" s="241">
        <v>80</v>
      </c>
      <c r="D79" s="248">
        <v>12.311260857582093</v>
      </c>
      <c r="E79" s="249">
        <v>33089495.875000004</v>
      </c>
      <c r="F79" s="250" t="s">
        <v>131</v>
      </c>
    </row>
    <row r="80" spans="1:6" s="132" customFormat="1" x14ac:dyDescent="0.55000000000000004">
      <c r="A80" s="165">
        <v>121</v>
      </c>
      <c r="B80" s="165">
        <v>4</v>
      </c>
      <c r="C80" s="242">
        <v>101</v>
      </c>
      <c r="D80" s="248">
        <v>268.97417149543764</v>
      </c>
      <c r="E80" s="248">
        <v>2526212444.7000003</v>
      </c>
      <c r="F80" s="246" t="s">
        <v>131</v>
      </c>
    </row>
    <row r="81" spans="1:6" x14ac:dyDescent="0.55000000000000004">
      <c r="A81" s="165">
        <v>150</v>
      </c>
      <c r="B81" s="165">
        <v>5</v>
      </c>
      <c r="C81" s="241">
        <v>61</v>
      </c>
      <c r="D81" s="165">
        <v>12</v>
      </c>
      <c r="E81" s="245">
        <v>99471770.474487305</v>
      </c>
      <c r="F81" s="246" t="s">
        <v>131</v>
      </c>
    </row>
    <row r="82" spans="1:6" x14ac:dyDescent="0.55000000000000004">
      <c r="A82" s="165">
        <v>151</v>
      </c>
      <c r="B82" s="165">
        <v>5</v>
      </c>
      <c r="C82" s="241">
        <v>65</v>
      </c>
      <c r="D82" s="165">
        <v>7</v>
      </c>
      <c r="E82" s="245">
        <v>71518698.734863281</v>
      </c>
      <c r="F82" s="246" t="s">
        <v>132</v>
      </c>
    </row>
    <row r="83" spans="1:6" x14ac:dyDescent="0.55000000000000004">
      <c r="A83" s="165">
        <v>40</v>
      </c>
      <c r="B83" s="165">
        <v>2</v>
      </c>
      <c r="C83" s="241">
        <v>153.64912280702265</v>
      </c>
      <c r="D83" s="251">
        <v>35.562798643112181</v>
      </c>
      <c r="E83" s="251">
        <v>129018991.25500001</v>
      </c>
      <c r="F83" s="250" t="s">
        <v>133</v>
      </c>
    </row>
    <row r="84" spans="1:6" x14ac:dyDescent="0.55000000000000004">
      <c r="A84" s="165">
        <v>64</v>
      </c>
      <c r="B84" s="165">
        <v>1</v>
      </c>
      <c r="C84" s="242">
        <v>90.36842105264077</v>
      </c>
      <c r="D84" s="243">
        <v>9.8917212963104255</v>
      </c>
      <c r="E84" s="245">
        <v>42227077.060000002</v>
      </c>
      <c r="F84" s="246" t="s">
        <v>133</v>
      </c>
    </row>
    <row r="85" spans="1:6" x14ac:dyDescent="0.55000000000000004">
      <c r="A85" s="165">
        <v>93</v>
      </c>
      <c r="B85" s="165">
        <v>3</v>
      </c>
      <c r="C85" s="242">
        <v>87.315789473684163</v>
      </c>
      <c r="D85" s="243">
        <v>250.55280395507813</v>
      </c>
      <c r="E85" s="245">
        <v>51808775.120000005</v>
      </c>
      <c r="F85" s="246" t="s">
        <v>133</v>
      </c>
    </row>
    <row r="86" spans="1:6" x14ac:dyDescent="0.55000000000000004">
      <c r="A86" s="165">
        <v>122</v>
      </c>
      <c r="B86" s="165">
        <v>4</v>
      </c>
      <c r="C86" s="242">
        <v>116.9122807017593</v>
      </c>
      <c r="D86" s="245">
        <v>144.35050384521483</v>
      </c>
      <c r="E86" s="245">
        <v>43254999.310000002</v>
      </c>
      <c r="F86" s="246" t="s">
        <v>133</v>
      </c>
    </row>
    <row r="87" spans="1:6" x14ac:dyDescent="0.55000000000000004">
      <c r="A87" s="165">
        <v>152</v>
      </c>
      <c r="B87" s="165">
        <v>5</v>
      </c>
      <c r="C87" s="241">
        <v>67.385964912282361</v>
      </c>
      <c r="D87" s="165">
        <v>10.042956139322996</v>
      </c>
      <c r="E87" s="248">
        <v>127887330.14793396</v>
      </c>
      <c r="F87" s="246" t="s">
        <v>133</v>
      </c>
    </row>
    <row r="88" spans="1:6" x14ac:dyDescent="0.55000000000000004">
      <c r="A88" s="165">
        <v>41</v>
      </c>
      <c r="B88" s="165">
        <v>2</v>
      </c>
      <c r="C88" s="241">
        <v>154.03139427515271</v>
      </c>
      <c r="D88" s="245">
        <v>31.783525409698488</v>
      </c>
      <c r="E88" s="245">
        <v>174400705.98000002</v>
      </c>
      <c r="F88" s="246" t="s">
        <v>134</v>
      </c>
    </row>
    <row r="89" spans="1:6" x14ac:dyDescent="0.55000000000000004">
      <c r="A89" s="165">
        <v>65</v>
      </c>
      <c r="B89" s="165">
        <v>1</v>
      </c>
      <c r="C89" s="242">
        <v>89.603878116351552</v>
      </c>
      <c r="D89" s="248">
        <v>180.71417490005493</v>
      </c>
      <c r="E89" s="248">
        <v>121762315.99000001</v>
      </c>
      <c r="F89" s="246" t="s">
        <v>134</v>
      </c>
    </row>
    <row r="90" spans="1:6" x14ac:dyDescent="0.55000000000000004">
      <c r="A90" s="165">
        <v>94</v>
      </c>
      <c r="B90" s="165">
        <v>3</v>
      </c>
      <c r="C90" s="242">
        <v>86.522622345336913</v>
      </c>
      <c r="D90" s="248">
        <v>75.536781921386719</v>
      </c>
      <c r="E90" s="248">
        <v>1054488820.97</v>
      </c>
      <c r="F90" s="246" t="s">
        <v>134</v>
      </c>
    </row>
    <row r="91" spans="1:6" x14ac:dyDescent="0.55000000000000004">
      <c r="A91" s="165">
        <v>123</v>
      </c>
      <c r="B91" s="165">
        <v>4</v>
      </c>
      <c r="C91" s="242">
        <v>115.94644506002078</v>
      </c>
      <c r="D91" s="166">
        <v>37.433015928021632</v>
      </c>
      <c r="E91" s="252">
        <v>409553585.95596313</v>
      </c>
      <c r="F91" s="145" t="s">
        <v>134</v>
      </c>
    </row>
    <row r="92" spans="1:6" s="132" customFormat="1" x14ac:dyDescent="0.55000000000000004">
      <c r="A92" s="165">
        <v>153</v>
      </c>
      <c r="B92" s="165">
        <v>5</v>
      </c>
      <c r="C92" s="241">
        <v>67.642659279779764</v>
      </c>
      <c r="D92" s="165">
        <v>9.0668171182951482</v>
      </c>
      <c r="E92" s="248">
        <v>131012789.27122498</v>
      </c>
      <c r="F92" s="246" t="s">
        <v>134</v>
      </c>
    </row>
    <row r="93" spans="1:6" x14ac:dyDescent="0.55000000000000004">
      <c r="A93" s="165">
        <v>42</v>
      </c>
      <c r="B93" s="165">
        <v>2</v>
      </c>
      <c r="C93" s="241">
        <v>156.78100144171913</v>
      </c>
      <c r="D93" s="245">
        <v>111.84389045715332</v>
      </c>
      <c r="E93" s="245">
        <v>313870446.62</v>
      </c>
      <c r="F93" s="246" t="s">
        <v>135</v>
      </c>
    </row>
    <row r="94" spans="1:6" x14ac:dyDescent="0.55000000000000004">
      <c r="A94" s="165">
        <v>66</v>
      </c>
      <c r="B94" s="165">
        <v>1</v>
      </c>
      <c r="C94" s="242">
        <v>85.180687175001367</v>
      </c>
      <c r="D94" s="248">
        <v>305.79295653820037</v>
      </c>
      <c r="E94" s="248">
        <v>197112929.37</v>
      </c>
      <c r="F94" s="246" t="s">
        <v>135</v>
      </c>
    </row>
    <row r="95" spans="1:6" x14ac:dyDescent="0.55000000000000004">
      <c r="A95" s="165">
        <v>95</v>
      </c>
      <c r="B95" s="165">
        <v>3</v>
      </c>
      <c r="C95" s="242">
        <v>83.890265830781573</v>
      </c>
      <c r="D95" s="248">
        <v>2.0324618244171138</v>
      </c>
      <c r="E95" s="248">
        <v>443714.02</v>
      </c>
      <c r="F95" s="246" t="s">
        <v>135</v>
      </c>
    </row>
    <row r="96" spans="1:6" x14ac:dyDescent="0.55000000000000004">
      <c r="A96" s="165">
        <v>124</v>
      </c>
      <c r="B96" s="165">
        <v>4</v>
      </c>
      <c r="C96" s="242">
        <v>114.46302506034408</v>
      </c>
      <c r="D96" s="165">
        <v>38.312571053393185</v>
      </c>
      <c r="E96" s="245">
        <v>354155576.64886475</v>
      </c>
      <c r="F96" s="246" t="s">
        <v>135</v>
      </c>
    </row>
    <row r="97" spans="1:6" x14ac:dyDescent="0.55000000000000004">
      <c r="A97" s="165">
        <v>154</v>
      </c>
      <c r="B97" s="165">
        <v>5</v>
      </c>
      <c r="C97" s="241">
        <v>68.192237287588796</v>
      </c>
      <c r="D97" s="245">
        <v>11.560028867721565</v>
      </c>
      <c r="E97" s="245">
        <v>2723129.67</v>
      </c>
      <c r="F97" s="246" t="s">
        <v>135</v>
      </c>
    </row>
    <row r="98" spans="1:6" x14ac:dyDescent="0.55000000000000004">
      <c r="C98" s="137"/>
      <c r="D98" s="4"/>
      <c r="E98" s="4"/>
      <c r="F98" s="4"/>
    </row>
    <row r="99" spans="1:6" x14ac:dyDescent="0.55000000000000004">
      <c r="C99" s="137"/>
      <c r="D99" s="4"/>
      <c r="E99" s="4"/>
      <c r="F99" s="4"/>
    </row>
    <row r="100" spans="1:6" x14ac:dyDescent="0.55000000000000004">
      <c r="C100" s="137"/>
      <c r="D100" s="4"/>
      <c r="E100" s="4"/>
      <c r="F100" s="4"/>
    </row>
    <row r="101" spans="1:6" x14ac:dyDescent="0.55000000000000004">
      <c r="C101" s="137"/>
      <c r="D101" s="4"/>
      <c r="E101" s="4"/>
      <c r="F101" s="4"/>
    </row>
    <row r="102" spans="1:6" x14ac:dyDescent="0.55000000000000004">
      <c r="C102" s="137"/>
      <c r="D102" s="4"/>
      <c r="E102" s="4"/>
      <c r="F102" s="4"/>
    </row>
    <row r="103" spans="1:6" x14ac:dyDescent="0.55000000000000004">
      <c r="C103" s="137"/>
      <c r="D103" s="4"/>
      <c r="E103" s="4"/>
      <c r="F103" s="4"/>
    </row>
    <row r="104" spans="1:6" x14ac:dyDescent="0.55000000000000004">
      <c r="C104" s="137"/>
      <c r="D104" s="4"/>
      <c r="E104" s="4"/>
      <c r="F104" s="4"/>
    </row>
    <row r="105" spans="1:6" x14ac:dyDescent="0.55000000000000004">
      <c r="C105" s="137"/>
      <c r="D105" s="4"/>
      <c r="E105" s="4"/>
      <c r="F105" s="4"/>
    </row>
    <row r="106" spans="1:6" x14ac:dyDescent="0.55000000000000004">
      <c r="C106" s="137"/>
      <c r="D106" s="4"/>
      <c r="E106" s="4"/>
      <c r="F106" s="4"/>
    </row>
    <row r="107" spans="1:6" x14ac:dyDescent="0.55000000000000004">
      <c r="C107" s="137"/>
      <c r="D107" s="4"/>
      <c r="E107" s="4"/>
      <c r="F107" s="4"/>
    </row>
    <row r="108" spans="1:6" x14ac:dyDescent="0.55000000000000004">
      <c r="C108" s="137"/>
      <c r="D108" s="4"/>
      <c r="E108" s="4"/>
      <c r="F108" s="4"/>
    </row>
    <row r="109" spans="1:6" x14ac:dyDescent="0.55000000000000004">
      <c r="C109" s="137"/>
      <c r="D109" s="4"/>
      <c r="E109" s="4"/>
      <c r="F109" s="4"/>
    </row>
    <row r="110" spans="1:6" x14ac:dyDescent="0.55000000000000004">
      <c r="C110" s="137"/>
      <c r="D110" s="4"/>
      <c r="E110" s="4"/>
      <c r="F110" s="4"/>
    </row>
    <row r="111" spans="1:6" x14ac:dyDescent="0.55000000000000004">
      <c r="C111" s="137"/>
      <c r="D111" s="4"/>
      <c r="E111" s="4"/>
      <c r="F111" s="4"/>
    </row>
    <row r="112" spans="1:6" x14ac:dyDescent="0.55000000000000004">
      <c r="C112" s="137"/>
      <c r="D112" s="4"/>
      <c r="E112" s="4"/>
      <c r="F112" s="4"/>
    </row>
    <row r="113" spans="3:6" x14ac:dyDescent="0.55000000000000004">
      <c r="C113" s="137"/>
      <c r="D113" s="4"/>
      <c r="E113" s="4"/>
      <c r="F113" s="4"/>
    </row>
    <row r="114" spans="3:6" x14ac:dyDescent="0.55000000000000004">
      <c r="C114" s="137"/>
      <c r="D114" s="4"/>
      <c r="E114" s="4"/>
      <c r="F114" s="4"/>
    </row>
    <row r="115" spans="3:6" x14ac:dyDescent="0.55000000000000004">
      <c r="C115" s="137"/>
      <c r="D115" s="4"/>
      <c r="E115" s="4"/>
      <c r="F115" s="4"/>
    </row>
    <row r="116" spans="3:6" x14ac:dyDescent="0.55000000000000004">
      <c r="C116" s="137"/>
      <c r="D116" s="4"/>
      <c r="E116" s="4"/>
      <c r="F116" s="4"/>
    </row>
    <row r="117" spans="3:6" x14ac:dyDescent="0.55000000000000004">
      <c r="C117" s="137"/>
      <c r="D117" s="4"/>
      <c r="E117" s="4"/>
      <c r="F117" s="4"/>
    </row>
    <row r="118" spans="3:6" x14ac:dyDescent="0.55000000000000004">
      <c r="C118" s="137"/>
      <c r="D118" s="4"/>
      <c r="E118" s="4"/>
      <c r="F118" s="4"/>
    </row>
    <row r="119" spans="3:6" x14ac:dyDescent="0.55000000000000004">
      <c r="C119" s="137"/>
      <c r="D119" s="4"/>
      <c r="E119" s="4"/>
      <c r="F119" s="4"/>
    </row>
    <row r="120" spans="3:6" x14ac:dyDescent="0.55000000000000004">
      <c r="C120" s="137"/>
      <c r="D120" s="4"/>
      <c r="E120" s="4"/>
      <c r="F120" s="4"/>
    </row>
    <row r="121" spans="3:6" x14ac:dyDescent="0.55000000000000004">
      <c r="C121" s="137"/>
      <c r="D121" s="4"/>
      <c r="E121" s="4"/>
      <c r="F121" s="4"/>
    </row>
    <row r="122" spans="3:6" x14ac:dyDescent="0.55000000000000004">
      <c r="C122" s="137"/>
      <c r="D122" s="4"/>
      <c r="E122" s="4"/>
      <c r="F122" s="4"/>
    </row>
    <row r="123" spans="3:6" x14ac:dyDescent="0.55000000000000004">
      <c r="C123" s="137"/>
      <c r="D123" s="4"/>
      <c r="E123" s="4"/>
      <c r="F123" s="4"/>
    </row>
    <row r="124" spans="3:6" x14ac:dyDescent="0.55000000000000004">
      <c r="C124" s="137"/>
      <c r="D124" s="4"/>
      <c r="E124" s="4"/>
      <c r="F124" s="4"/>
    </row>
    <row r="125" spans="3:6" x14ac:dyDescent="0.55000000000000004">
      <c r="C125" s="137"/>
      <c r="D125" s="4"/>
      <c r="E125" s="4"/>
      <c r="F125" s="4"/>
    </row>
    <row r="126" spans="3:6" x14ac:dyDescent="0.55000000000000004">
      <c r="C126" s="137"/>
      <c r="D126" s="4"/>
      <c r="E126" s="4"/>
      <c r="F126" s="4"/>
    </row>
    <row r="127" spans="3:6" x14ac:dyDescent="0.55000000000000004">
      <c r="C127" s="137"/>
      <c r="D127" s="4"/>
      <c r="E127" s="4"/>
      <c r="F127" s="4"/>
    </row>
    <row r="128" spans="3:6" x14ac:dyDescent="0.55000000000000004">
      <c r="C128" s="137"/>
      <c r="D128" s="4"/>
      <c r="E128" s="4"/>
      <c r="F128" s="4"/>
    </row>
    <row r="129" spans="3:6" x14ac:dyDescent="0.55000000000000004">
      <c r="C129" s="137"/>
      <c r="D129" s="4"/>
      <c r="E129" s="4"/>
      <c r="F129" s="4"/>
    </row>
    <row r="130" spans="3:6" x14ac:dyDescent="0.55000000000000004">
      <c r="C130" s="137"/>
      <c r="D130" s="4"/>
      <c r="E130" s="4"/>
      <c r="F130" s="4"/>
    </row>
    <row r="131" spans="3:6" x14ac:dyDescent="0.55000000000000004">
      <c r="C131" s="137"/>
      <c r="D131" s="4"/>
      <c r="E131" s="4"/>
      <c r="F131" s="4"/>
    </row>
    <row r="132" spans="3:6" x14ac:dyDescent="0.55000000000000004">
      <c r="C132" s="137"/>
      <c r="D132" s="4"/>
      <c r="E132" s="4"/>
      <c r="F132" s="4"/>
    </row>
    <row r="133" spans="3:6" x14ac:dyDescent="0.55000000000000004">
      <c r="C133" s="137"/>
      <c r="D133" s="4"/>
      <c r="E133" s="4"/>
      <c r="F133" s="4"/>
    </row>
    <row r="134" spans="3:6" x14ac:dyDescent="0.55000000000000004">
      <c r="C134" s="137"/>
      <c r="D134" s="4"/>
      <c r="E134" s="4"/>
      <c r="F134" s="4"/>
    </row>
    <row r="135" spans="3:6" x14ac:dyDescent="0.55000000000000004">
      <c r="C135" s="137"/>
      <c r="D135" s="4"/>
      <c r="E135" s="4"/>
      <c r="F135" s="4"/>
    </row>
    <row r="136" spans="3:6" x14ac:dyDescent="0.55000000000000004">
      <c r="C136" s="137"/>
      <c r="D136" s="4"/>
      <c r="E136" s="4"/>
      <c r="F136" s="4"/>
    </row>
    <row r="137" spans="3:6" x14ac:dyDescent="0.55000000000000004">
      <c r="C137" s="137"/>
      <c r="D137" s="4"/>
      <c r="E137" s="4"/>
      <c r="F137" s="4"/>
    </row>
    <row r="138" spans="3:6" x14ac:dyDescent="0.55000000000000004">
      <c r="C138" s="137"/>
      <c r="D138" s="4"/>
      <c r="E138" s="4"/>
      <c r="F138" s="4"/>
    </row>
    <row r="139" spans="3:6" x14ac:dyDescent="0.55000000000000004">
      <c r="C139" s="137"/>
      <c r="D139" s="4"/>
      <c r="E139" s="4"/>
      <c r="F139" s="4"/>
    </row>
    <row r="140" spans="3:6" x14ac:dyDescent="0.55000000000000004">
      <c r="C140" s="137"/>
      <c r="D140" s="4"/>
      <c r="E140" s="4"/>
      <c r="F140" s="4"/>
    </row>
    <row r="141" spans="3:6" x14ac:dyDescent="0.55000000000000004">
      <c r="C141" s="137"/>
      <c r="D141" s="4"/>
      <c r="E141" s="4"/>
      <c r="F141" s="4"/>
    </row>
    <row r="142" spans="3:6" x14ac:dyDescent="0.55000000000000004">
      <c r="C142" s="137"/>
      <c r="D142" s="4"/>
      <c r="E142" s="4"/>
      <c r="F142" s="4"/>
    </row>
    <row r="143" spans="3:6" x14ac:dyDescent="0.55000000000000004">
      <c r="C143" s="137"/>
      <c r="D143" s="4"/>
      <c r="E143" s="4"/>
      <c r="F143" s="4"/>
    </row>
    <row r="144" spans="3:6" x14ac:dyDescent="0.55000000000000004">
      <c r="C144" s="137"/>
      <c r="D144" s="4"/>
      <c r="E144" s="4"/>
      <c r="F144" s="4"/>
    </row>
    <row r="145" spans="3:6" x14ac:dyDescent="0.55000000000000004">
      <c r="C145" s="137"/>
      <c r="D145" s="4"/>
      <c r="E145" s="4"/>
      <c r="F145" s="4"/>
    </row>
    <row r="146" spans="3:6" x14ac:dyDescent="0.55000000000000004">
      <c r="C146" s="137"/>
      <c r="D146" s="4"/>
      <c r="E146" s="4"/>
      <c r="F146" s="4"/>
    </row>
    <row r="147" spans="3:6" x14ac:dyDescent="0.55000000000000004">
      <c r="C147" s="137"/>
      <c r="D147" s="4"/>
      <c r="E147" s="4"/>
      <c r="F147" s="4"/>
    </row>
    <row r="148" spans="3:6" x14ac:dyDescent="0.55000000000000004">
      <c r="C148" s="137"/>
      <c r="D148" s="4"/>
      <c r="E148" s="4"/>
      <c r="F148" s="4"/>
    </row>
    <row r="149" spans="3:6" x14ac:dyDescent="0.55000000000000004">
      <c r="C149" s="137"/>
      <c r="D149" s="4"/>
      <c r="E149" s="4"/>
      <c r="F149" s="4"/>
    </row>
    <row r="150" spans="3:6" x14ac:dyDescent="0.55000000000000004">
      <c r="C150" s="137"/>
      <c r="D150" s="4"/>
      <c r="E150" s="4"/>
      <c r="F150" s="4"/>
    </row>
    <row r="151" spans="3:6" x14ac:dyDescent="0.55000000000000004">
      <c r="C151" s="137"/>
      <c r="D151" s="4"/>
      <c r="E151" s="4"/>
      <c r="F151" s="4"/>
    </row>
    <row r="152" spans="3:6" x14ac:dyDescent="0.55000000000000004">
      <c r="C152" s="137"/>
      <c r="D152" s="4"/>
      <c r="E152" s="4"/>
      <c r="F152" s="4"/>
    </row>
    <row r="153" spans="3:6" x14ac:dyDescent="0.55000000000000004">
      <c r="C153" s="137"/>
      <c r="D153" s="4"/>
      <c r="E153" s="4"/>
      <c r="F153" s="4"/>
    </row>
    <row r="154" spans="3:6" x14ac:dyDescent="0.55000000000000004">
      <c r="C154" s="137"/>
      <c r="D154" s="4"/>
      <c r="E154" s="4"/>
      <c r="F154" s="4"/>
    </row>
    <row r="155" spans="3:6" x14ac:dyDescent="0.55000000000000004">
      <c r="C155" s="137"/>
      <c r="D155" s="4"/>
      <c r="E155" s="4"/>
      <c r="F155" s="4"/>
    </row>
    <row r="156" spans="3:6" x14ac:dyDescent="0.55000000000000004">
      <c r="C156" s="137"/>
      <c r="D156" s="4"/>
      <c r="E156" s="4"/>
      <c r="F156" s="4"/>
    </row>
    <row r="157" spans="3:6" x14ac:dyDescent="0.55000000000000004">
      <c r="C157" s="137"/>
      <c r="D157" s="4"/>
      <c r="E157" s="4"/>
      <c r="F157" s="4"/>
    </row>
    <row r="158" spans="3:6" x14ac:dyDescent="0.55000000000000004">
      <c r="C158" s="137"/>
      <c r="D158" s="4"/>
      <c r="E158" s="4"/>
      <c r="F158" s="4"/>
    </row>
    <row r="159" spans="3:6" x14ac:dyDescent="0.55000000000000004">
      <c r="C159" s="137"/>
      <c r="D159" s="4"/>
      <c r="E159" s="4"/>
      <c r="F159" s="4"/>
    </row>
    <row r="160" spans="3:6" x14ac:dyDescent="0.55000000000000004">
      <c r="C160" s="137"/>
      <c r="D160" s="4"/>
      <c r="E160" s="4"/>
      <c r="F160" s="4"/>
    </row>
    <row r="161" spans="3:6" x14ac:dyDescent="0.55000000000000004">
      <c r="C161" s="137"/>
      <c r="D161" s="4"/>
      <c r="E161" s="4"/>
      <c r="F161" s="4"/>
    </row>
    <row r="162" spans="3:6" x14ac:dyDescent="0.55000000000000004">
      <c r="C162" s="137"/>
      <c r="D162" s="4"/>
      <c r="E162" s="4"/>
      <c r="F162" s="4"/>
    </row>
    <row r="163" spans="3:6" x14ac:dyDescent="0.55000000000000004">
      <c r="C163" s="137"/>
      <c r="D163" s="4"/>
      <c r="E163" s="4"/>
      <c r="F163" s="4"/>
    </row>
    <row r="164" spans="3:6" x14ac:dyDescent="0.55000000000000004">
      <c r="C164" s="137"/>
      <c r="D164" s="4"/>
      <c r="E164" s="4"/>
      <c r="F164" s="4"/>
    </row>
    <row r="165" spans="3:6" x14ac:dyDescent="0.55000000000000004">
      <c r="C165" s="137"/>
      <c r="D165" s="4"/>
      <c r="E165" s="4"/>
      <c r="F165" s="4"/>
    </row>
    <row r="166" spans="3:6" x14ac:dyDescent="0.55000000000000004">
      <c r="C166" s="137"/>
      <c r="D166" s="4"/>
      <c r="E166" s="4"/>
      <c r="F166" s="4"/>
    </row>
    <row r="167" spans="3:6" x14ac:dyDescent="0.55000000000000004">
      <c r="C167" s="137"/>
      <c r="D167" s="4"/>
      <c r="E167" s="4"/>
      <c r="F167" s="4"/>
    </row>
    <row r="168" spans="3:6" x14ac:dyDescent="0.55000000000000004">
      <c r="C168" s="137"/>
      <c r="D168" s="4"/>
      <c r="E168" s="4"/>
      <c r="F168" s="4"/>
    </row>
    <row r="169" spans="3:6" x14ac:dyDescent="0.55000000000000004">
      <c r="C169" s="137"/>
      <c r="D169" s="4"/>
      <c r="E169" s="4"/>
      <c r="F169" s="4"/>
    </row>
    <row r="170" spans="3:6" x14ac:dyDescent="0.55000000000000004">
      <c r="C170" s="137"/>
      <c r="D170" s="4"/>
      <c r="E170" s="4"/>
      <c r="F170" s="4"/>
    </row>
    <row r="171" spans="3:6" x14ac:dyDescent="0.55000000000000004">
      <c r="C171" s="137"/>
      <c r="D171" s="4"/>
      <c r="E171" s="4"/>
      <c r="F171" s="4"/>
    </row>
    <row r="172" spans="3:6" x14ac:dyDescent="0.55000000000000004">
      <c r="C172" s="137"/>
      <c r="D172" s="4"/>
      <c r="E172" s="4"/>
      <c r="F172" s="4"/>
    </row>
    <row r="173" spans="3:6" x14ac:dyDescent="0.55000000000000004">
      <c r="C173" s="137"/>
      <c r="D173" s="4"/>
      <c r="E173" s="4"/>
      <c r="F173" s="4"/>
    </row>
    <row r="174" spans="3:6" x14ac:dyDescent="0.55000000000000004">
      <c r="C174" s="137"/>
      <c r="D174" s="4"/>
      <c r="E174" s="4"/>
      <c r="F174" s="4"/>
    </row>
    <row r="175" spans="3:6" x14ac:dyDescent="0.55000000000000004">
      <c r="C175" s="137"/>
      <c r="D175" s="4"/>
      <c r="E175" s="4"/>
      <c r="F175" s="4"/>
    </row>
    <row r="176" spans="3:6" x14ac:dyDescent="0.55000000000000004">
      <c r="C176" s="137"/>
      <c r="D176" s="4"/>
      <c r="E176" s="4"/>
      <c r="F176" s="4"/>
    </row>
    <row r="177" spans="3:6" x14ac:dyDescent="0.55000000000000004">
      <c r="C177" s="137"/>
      <c r="D177" s="4"/>
      <c r="E177" s="4"/>
      <c r="F177" s="4"/>
    </row>
    <row r="178" spans="3:6" x14ac:dyDescent="0.55000000000000004">
      <c r="C178" s="137"/>
      <c r="D178" s="4"/>
      <c r="E178" s="4"/>
      <c r="F178" s="4"/>
    </row>
    <row r="179" spans="3:6" x14ac:dyDescent="0.55000000000000004">
      <c r="C179" s="137"/>
      <c r="D179" s="4"/>
      <c r="E179" s="4"/>
      <c r="F179" s="4"/>
    </row>
    <row r="180" spans="3:6" x14ac:dyDescent="0.55000000000000004">
      <c r="C180" s="137"/>
      <c r="D180" s="4"/>
      <c r="E180" s="4"/>
      <c r="F180" s="4"/>
    </row>
    <row r="181" spans="3:6" x14ac:dyDescent="0.55000000000000004">
      <c r="C181" s="137"/>
      <c r="D181" s="4"/>
      <c r="E181" s="4"/>
      <c r="F181" s="4"/>
    </row>
    <row r="182" spans="3:6" x14ac:dyDescent="0.55000000000000004">
      <c r="C182" s="137"/>
      <c r="D182" s="4"/>
      <c r="E182" s="4"/>
      <c r="F182" s="4"/>
    </row>
    <row r="183" spans="3:6" x14ac:dyDescent="0.55000000000000004">
      <c r="C183" s="137"/>
      <c r="D183" s="4"/>
      <c r="E183" s="4"/>
      <c r="F183" s="4"/>
    </row>
    <row r="184" spans="3:6" x14ac:dyDescent="0.55000000000000004">
      <c r="C184" s="137"/>
      <c r="D184" s="4"/>
      <c r="E184" s="4"/>
      <c r="F184" s="4"/>
    </row>
    <row r="185" spans="3:6" x14ac:dyDescent="0.55000000000000004">
      <c r="C185" s="137"/>
      <c r="D185" s="4"/>
      <c r="E185" s="4"/>
      <c r="F185" s="4"/>
    </row>
    <row r="186" spans="3:6" x14ac:dyDescent="0.55000000000000004">
      <c r="C186" s="137"/>
      <c r="D186" s="4"/>
      <c r="E186" s="4"/>
      <c r="F186" s="4"/>
    </row>
    <row r="187" spans="3:6" x14ac:dyDescent="0.55000000000000004">
      <c r="C187" s="137"/>
      <c r="D187" s="4"/>
      <c r="E187" s="4"/>
      <c r="F187" s="4"/>
    </row>
    <row r="188" spans="3:6" x14ac:dyDescent="0.55000000000000004">
      <c r="C188" s="137"/>
      <c r="D188" s="4"/>
      <c r="E188" s="4"/>
      <c r="F188" s="4"/>
    </row>
    <row r="189" spans="3:6" x14ac:dyDescent="0.55000000000000004">
      <c r="C189" s="137"/>
      <c r="D189" s="4"/>
      <c r="E189" s="4"/>
      <c r="F189" s="4"/>
    </row>
    <row r="190" spans="3:6" x14ac:dyDescent="0.55000000000000004">
      <c r="C190" s="137"/>
      <c r="D190" s="4"/>
      <c r="E190" s="4"/>
      <c r="F190" s="4"/>
    </row>
    <row r="191" spans="3:6" x14ac:dyDescent="0.55000000000000004">
      <c r="C191" s="137"/>
      <c r="D191" s="4"/>
      <c r="E191" s="4"/>
      <c r="F191" s="4"/>
    </row>
    <row r="192" spans="3:6" x14ac:dyDescent="0.55000000000000004">
      <c r="C192" s="137"/>
      <c r="D192" s="4"/>
      <c r="E192" s="4"/>
      <c r="F192" s="4"/>
    </row>
    <row r="193" spans="3:6" x14ac:dyDescent="0.55000000000000004">
      <c r="C193" s="137"/>
      <c r="D193" s="4"/>
      <c r="E193" s="4"/>
      <c r="F193" s="4"/>
    </row>
    <row r="194" spans="3:6" x14ac:dyDescent="0.55000000000000004">
      <c r="C194" s="137"/>
      <c r="D194" s="4"/>
      <c r="E194" s="4"/>
      <c r="F194" s="4"/>
    </row>
    <row r="195" spans="3:6" x14ac:dyDescent="0.55000000000000004">
      <c r="C195" s="137"/>
      <c r="D195" s="4"/>
      <c r="E195" s="4"/>
      <c r="F195" s="4"/>
    </row>
    <row r="196" spans="3:6" x14ac:dyDescent="0.55000000000000004">
      <c r="C196" s="137"/>
      <c r="D196" s="4"/>
      <c r="E196" s="4"/>
      <c r="F196" s="4"/>
    </row>
    <row r="197" spans="3:6" x14ac:dyDescent="0.55000000000000004">
      <c r="C197" s="137"/>
      <c r="D197" s="4"/>
      <c r="E197" s="4"/>
      <c r="F197" s="4"/>
    </row>
    <row r="198" spans="3:6" x14ac:dyDescent="0.55000000000000004">
      <c r="C198" s="137"/>
      <c r="D198" s="4"/>
      <c r="E198" s="4"/>
      <c r="F198" s="4"/>
    </row>
    <row r="199" spans="3:6" x14ac:dyDescent="0.55000000000000004">
      <c r="C199" s="137"/>
      <c r="D199" s="4"/>
      <c r="E199" s="4"/>
      <c r="F199" s="4"/>
    </row>
    <row r="200" spans="3:6" x14ac:dyDescent="0.55000000000000004">
      <c r="C200" s="137"/>
      <c r="D200" s="4"/>
      <c r="E200" s="4"/>
      <c r="F200" s="4"/>
    </row>
    <row r="201" spans="3:6" x14ac:dyDescent="0.55000000000000004">
      <c r="C201" s="137"/>
      <c r="D201" s="4"/>
      <c r="E201" s="4"/>
      <c r="F201" s="4"/>
    </row>
    <row r="202" spans="3:6" x14ac:dyDescent="0.55000000000000004">
      <c r="C202" s="137"/>
      <c r="D202" s="4"/>
      <c r="E202" s="4"/>
      <c r="F202" s="4"/>
    </row>
    <row r="203" spans="3:6" x14ac:dyDescent="0.55000000000000004">
      <c r="C203" s="137"/>
      <c r="D203" s="4"/>
      <c r="E203" s="4"/>
      <c r="F203" s="4"/>
    </row>
    <row r="204" spans="3:6" x14ac:dyDescent="0.55000000000000004">
      <c r="C204" s="137"/>
      <c r="D204" s="4"/>
      <c r="E204" s="4"/>
      <c r="F204" s="4"/>
    </row>
    <row r="205" spans="3:6" x14ac:dyDescent="0.55000000000000004">
      <c r="C205" s="137"/>
      <c r="D205" s="4"/>
      <c r="E205" s="4"/>
      <c r="F205" s="4"/>
    </row>
    <row r="206" spans="3:6" x14ac:dyDescent="0.55000000000000004">
      <c r="C206" s="137"/>
      <c r="D206" s="4"/>
      <c r="E206" s="4"/>
      <c r="F206" s="4"/>
    </row>
    <row r="207" spans="3:6" x14ac:dyDescent="0.55000000000000004">
      <c r="C207" s="137"/>
      <c r="D207" s="4"/>
      <c r="E207" s="4"/>
      <c r="F207" s="4"/>
    </row>
    <row r="208" spans="3:6" x14ac:dyDescent="0.55000000000000004">
      <c r="C208" s="137"/>
      <c r="D208" s="4"/>
      <c r="E208" s="4"/>
      <c r="F208" s="4"/>
    </row>
    <row r="209" spans="3:6" x14ac:dyDescent="0.55000000000000004">
      <c r="C209" s="137"/>
      <c r="D209" s="4"/>
      <c r="E209" s="4"/>
      <c r="F209" s="4"/>
    </row>
    <row r="210" spans="3:6" x14ac:dyDescent="0.55000000000000004">
      <c r="C210" s="137"/>
      <c r="D210" s="4"/>
      <c r="E210" s="4"/>
      <c r="F210" s="4"/>
    </row>
    <row r="211" spans="3:6" x14ac:dyDescent="0.55000000000000004">
      <c r="C211" s="137"/>
      <c r="D211" s="4"/>
      <c r="E211" s="4"/>
      <c r="F211" s="4"/>
    </row>
    <row r="212" spans="3:6" x14ac:dyDescent="0.55000000000000004">
      <c r="C212" s="137"/>
      <c r="D212" s="4"/>
      <c r="E212" s="4"/>
      <c r="F212" s="4"/>
    </row>
    <row r="213" spans="3:6" x14ac:dyDescent="0.55000000000000004">
      <c r="C213" s="137"/>
      <c r="D213" s="4"/>
      <c r="E213" s="4"/>
      <c r="F213" s="4"/>
    </row>
    <row r="214" spans="3:6" x14ac:dyDescent="0.55000000000000004">
      <c r="C214" s="137"/>
      <c r="D214" s="4"/>
      <c r="E214" s="4"/>
      <c r="F214" s="4"/>
    </row>
    <row r="215" spans="3:6" x14ac:dyDescent="0.55000000000000004">
      <c r="C215" s="137"/>
      <c r="D215" s="4"/>
      <c r="E215" s="4"/>
      <c r="F215" s="4"/>
    </row>
    <row r="216" spans="3:6" x14ac:dyDescent="0.55000000000000004">
      <c r="C216" s="137"/>
      <c r="D216" s="4"/>
      <c r="E216" s="4"/>
      <c r="F216" s="4"/>
    </row>
    <row r="217" spans="3:6" x14ac:dyDescent="0.55000000000000004">
      <c r="C217" s="137"/>
      <c r="D217" s="4"/>
      <c r="E217" s="4"/>
      <c r="F217" s="4"/>
    </row>
    <row r="218" spans="3:6" x14ac:dyDescent="0.55000000000000004">
      <c r="C218" s="137"/>
      <c r="D218" s="4"/>
      <c r="E218" s="4"/>
      <c r="F218" s="4"/>
    </row>
    <row r="219" spans="3:6" x14ac:dyDescent="0.55000000000000004">
      <c r="C219" s="137"/>
      <c r="D219" s="4"/>
      <c r="E219" s="4"/>
      <c r="F219" s="4"/>
    </row>
    <row r="220" spans="3:6" x14ac:dyDescent="0.55000000000000004">
      <c r="C220" s="137"/>
      <c r="D220" s="4"/>
      <c r="E220" s="4"/>
      <c r="F220" s="4"/>
    </row>
    <row r="221" spans="3:6" x14ac:dyDescent="0.55000000000000004">
      <c r="C221" s="137"/>
      <c r="D221" s="4"/>
      <c r="E221" s="4"/>
      <c r="F221" s="4"/>
    </row>
    <row r="222" spans="3:6" x14ac:dyDescent="0.55000000000000004">
      <c r="C222" s="137"/>
      <c r="D222" s="4"/>
      <c r="E222" s="4"/>
      <c r="F222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44F3-5C67-49E3-B6BC-7AA131233E35}">
  <dimension ref="A1:O223"/>
  <sheetViews>
    <sheetView workbookViewId="0">
      <selection activeCell="J2" sqref="J2:J6"/>
    </sheetView>
  </sheetViews>
  <sheetFormatPr defaultRowHeight="14.4" x14ac:dyDescent="0.55000000000000004"/>
  <cols>
    <col min="1" max="1" width="10.15625" bestFit="1" customWidth="1"/>
    <col min="2" max="2" width="27.3671875" bestFit="1" customWidth="1"/>
    <col min="3" max="3" width="14.1015625" bestFit="1" customWidth="1"/>
    <col min="4" max="4" width="6.62890625" bestFit="1" customWidth="1"/>
    <col min="5" max="5" width="14.734375" style="4" bestFit="1" customWidth="1"/>
    <col min="6" max="6" width="13.3125" bestFit="1" customWidth="1"/>
    <col min="7" max="7" width="15.7890625" bestFit="1" customWidth="1"/>
    <col min="8" max="8" width="15" customWidth="1"/>
    <col min="10" max="10" width="12.89453125" bestFit="1" customWidth="1"/>
    <col min="11" max="11" width="9.7890625" bestFit="1" customWidth="1"/>
    <col min="12" max="12" width="16.83984375" bestFit="1" customWidth="1"/>
    <col min="13" max="13" width="13.89453125" bestFit="1" customWidth="1"/>
    <col min="14" max="14" width="14.05078125" bestFit="1" customWidth="1"/>
  </cols>
  <sheetData>
    <row r="1" spans="1:13" x14ac:dyDescent="0.55000000000000004">
      <c r="A1" t="s">
        <v>0</v>
      </c>
      <c r="B1" t="s">
        <v>1</v>
      </c>
      <c r="C1" t="s">
        <v>8</v>
      </c>
      <c r="D1" t="s">
        <v>16</v>
      </c>
      <c r="E1" s="4" t="s">
        <v>17</v>
      </c>
      <c r="F1" t="s">
        <v>56</v>
      </c>
      <c r="G1" t="s">
        <v>57</v>
      </c>
      <c r="J1" t="s">
        <v>23</v>
      </c>
      <c r="K1" t="s">
        <v>16</v>
      </c>
      <c r="L1" t="s">
        <v>17</v>
      </c>
      <c r="M1" t="s">
        <v>26</v>
      </c>
    </row>
    <row r="2" spans="1:13" x14ac:dyDescent="0.55000000000000004">
      <c r="A2" s="5">
        <v>44531</v>
      </c>
      <c r="B2" s="6" t="s">
        <v>2</v>
      </c>
      <c r="C2" s="6" t="s">
        <v>9</v>
      </c>
      <c r="D2" s="7">
        <v>130.36985778808591</v>
      </c>
      <c r="E2" s="95">
        <v>357317696</v>
      </c>
      <c r="F2" s="4">
        <f ca="1">RANDBETWEEN(257417696,457417696)</f>
        <v>415404985</v>
      </c>
      <c r="G2" s="4">
        <v>443848455</v>
      </c>
      <c r="J2" t="s">
        <v>18</v>
      </c>
      <c r="K2" s="4">
        <f>SUM(D2:D96)</f>
        <v>13133.047680616379</v>
      </c>
      <c r="L2" s="4">
        <f>SUM(E2:E96)</f>
        <v>38333749367</v>
      </c>
    </row>
    <row r="3" spans="1:13" x14ac:dyDescent="0.55000000000000004">
      <c r="A3" s="5">
        <v>44531</v>
      </c>
      <c r="B3" s="6" t="s">
        <v>7</v>
      </c>
      <c r="C3" s="6" t="s">
        <v>15</v>
      </c>
      <c r="D3" s="7">
        <v>21.952644348144531</v>
      </c>
      <c r="E3" s="95">
        <v>4032918.375</v>
      </c>
      <c r="F3" s="4">
        <f ca="1">RANDBETWEEN(3132918,5132918)</f>
        <v>4170812</v>
      </c>
      <c r="G3" s="4">
        <v>4612131</v>
      </c>
      <c r="J3" t="s">
        <v>19</v>
      </c>
      <c r="K3" s="3">
        <f>AVERAGE(D2:D96)</f>
        <v>138.24260716438295</v>
      </c>
      <c r="L3" s="4">
        <f>AVERAGE(E2:E96)</f>
        <v>403513151.23157895</v>
      </c>
    </row>
    <row r="4" spans="1:13" x14ac:dyDescent="0.55000000000000004">
      <c r="A4" s="5">
        <v>44531</v>
      </c>
      <c r="B4" s="6" t="s">
        <v>4</v>
      </c>
      <c r="C4" s="6" t="s">
        <v>11</v>
      </c>
      <c r="D4" s="7">
        <v>392.68536376953131</v>
      </c>
      <c r="E4" s="95">
        <v>76102424</v>
      </c>
      <c r="F4" s="4">
        <f ca="1">RANDBETWEEN(66102424,86102424)</f>
        <v>73159110</v>
      </c>
      <c r="G4" s="4">
        <v>79567681</v>
      </c>
      <c r="J4" t="s">
        <v>20</v>
      </c>
      <c r="K4" s="3">
        <f>_xlfn.STDEV.P(D2:D96)</f>
        <v>189.49365286860981</v>
      </c>
      <c r="L4" s="4">
        <f>_xlfn.STDEV.P(E2:E96)</f>
        <v>728769716.34990442</v>
      </c>
    </row>
    <row r="5" spans="1:13" x14ac:dyDescent="0.55000000000000004">
      <c r="A5" s="5">
        <v>44531</v>
      </c>
      <c r="B5" s="6" t="s">
        <v>3</v>
      </c>
      <c r="C5" s="6" t="s">
        <v>10</v>
      </c>
      <c r="D5" s="7">
        <v>10.73635768890381</v>
      </c>
      <c r="E5" s="95">
        <v>42340972</v>
      </c>
      <c r="F5" s="4">
        <f ca="1">RANDBETWEEN(32340972,52340972)</f>
        <v>50513704</v>
      </c>
      <c r="G5" s="4">
        <v>44305953</v>
      </c>
      <c r="J5" t="s">
        <v>21</v>
      </c>
      <c r="K5" s="3">
        <f>MIN(D2:D96)</f>
        <v>0.99947261810302734</v>
      </c>
      <c r="L5" s="4">
        <f>MIN(E2:E96)</f>
        <v>257963.875</v>
      </c>
      <c r="M5" s="6" t="s">
        <v>7</v>
      </c>
    </row>
    <row r="6" spans="1:13" x14ac:dyDescent="0.55000000000000004">
      <c r="A6" s="8">
        <v>44532</v>
      </c>
      <c r="B6" s="9" t="s">
        <v>7</v>
      </c>
      <c r="C6" s="9" t="s">
        <v>15</v>
      </c>
      <c r="D6" s="10">
        <v>244.50102281570429</v>
      </c>
      <c r="E6" s="96">
        <v>310255279.25</v>
      </c>
      <c r="F6" s="4">
        <f ca="1">RANDBETWEEN(210255279,410255279)</f>
        <v>299798889</v>
      </c>
      <c r="G6" s="4">
        <v>351490491</v>
      </c>
      <c r="J6" t="s">
        <v>22</v>
      </c>
      <c r="K6" s="4">
        <f>MAX(D2:D96)</f>
        <v>1227.09521484375</v>
      </c>
      <c r="L6" s="4">
        <f>MAX(E2:E96)</f>
        <v>3934444032</v>
      </c>
      <c r="M6" s="69" t="s">
        <v>9</v>
      </c>
    </row>
    <row r="7" spans="1:13" x14ac:dyDescent="0.55000000000000004">
      <c r="A7" s="8">
        <v>44532</v>
      </c>
      <c r="B7" s="9" t="s">
        <v>6</v>
      </c>
      <c r="C7" s="9" t="s">
        <v>13</v>
      </c>
      <c r="D7" s="10">
        <v>267.78076648712158</v>
      </c>
      <c r="E7" s="96">
        <v>1131169969.25</v>
      </c>
      <c r="F7" s="4">
        <f ca="1">RANDBETWEEN(1031169969,1531169969)</f>
        <v>1493727146</v>
      </c>
      <c r="G7" s="4">
        <v>1195263956</v>
      </c>
    </row>
    <row r="8" spans="1:13" x14ac:dyDescent="0.55000000000000004">
      <c r="A8" s="8">
        <v>44532</v>
      </c>
      <c r="B8" s="9" t="s">
        <v>4</v>
      </c>
      <c r="C8" s="9" t="s">
        <v>11</v>
      </c>
      <c r="D8" s="10">
        <v>7.2124490737915039</v>
      </c>
      <c r="E8" s="96">
        <v>1331418.125</v>
      </c>
      <c r="F8" s="4">
        <f ca="1">RANDBETWEEN(331418,2331418)</f>
        <v>1737872</v>
      </c>
      <c r="G8" s="4">
        <v>1160955</v>
      </c>
      <c r="J8" t="s">
        <v>24</v>
      </c>
      <c r="K8" t="s">
        <v>16</v>
      </c>
      <c r="L8" t="s">
        <v>17</v>
      </c>
      <c r="M8" t="s">
        <v>26</v>
      </c>
    </row>
    <row r="9" spans="1:13" x14ac:dyDescent="0.55000000000000004">
      <c r="A9" s="8">
        <v>44532</v>
      </c>
      <c r="B9" s="9" t="s">
        <v>3</v>
      </c>
      <c r="C9" s="9" t="s">
        <v>10</v>
      </c>
      <c r="D9" s="10">
        <v>102.2158508300781</v>
      </c>
      <c r="E9" s="96">
        <v>541590656</v>
      </c>
      <c r="F9" s="4">
        <f ca="1">RANDBETWEEN(441590656,641590656)</f>
        <v>583594812</v>
      </c>
      <c r="G9" s="4">
        <v>479812095</v>
      </c>
      <c r="J9" t="s">
        <v>18</v>
      </c>
      <c r="K9" s="4">
        <f>SUM(D2:D5)</f>
        <v>555.74422359466553</v>
      </c>
      <c r="L9" s="4">
        <f>SUM(E2:E5)</f>
        <v>479794010.375</v>
      </c>
    </row>
    <row r="10" spans="1:13" x14ac:dyDescent="0.55000000000000004">
      <c r="A10" s="11">
        <v>44533</v>
      </c>
      <c r="B10" s="12" t="s">
        <v>2</v>
      </c>
      <c r="C10" s="12" t="s">
        <v>9</v>
      </c>
      <c r="D10" s="13">
        <v>65.5526123046875</v>
      </c>
      <c r="E10" s="97">
        <v>148714294.5</v>
      </c>
      <c r="F10" s="4">
        <f ca="1">RANDBETWEEN(48714294,248714294)</f>
        <v>121576108</v>
      </c>
      <c r="G10" s="4">
        <v>74657746</v>
      </c>
      <c r="J10" t="s">
        <v>19</v>
      </c>
      <c r="K10" s="3">
        <f>AVERAGE(D2:D5)</f>
        <v>138.93605589866638</v>
      </c>
      <c r="L10" s="4">
        <f>AVERAGE(E2:E5)</f>
        <v>119948502.59375</v>
      </c>
      <c r="M10" s="6" t="s">
        <v>11</v>
      </c>
    </row>
    <row r="11" spans="1:13" x14ac:dyDescent="0.55000000000000004">
      <c r="A11" s="11">
        <v>44533</v>
      </c>
      <c r="B11" s="12" t="s">
        <v>7</v>
      </c>
      <c r="C11" s="12" t="s">
        <v>15</v>
      </c>
      <c r="D11" s="13">
        <v>29.09744668006897</v>
      </c>
      <c r="E11" s="97">
        <v>5580890.0625</v>
      </c>
      <c r="F11" s="4">
        <f ca="1">RANDBETWEEN(4580890,6580890)</f>
        <v>5814214</v>
      </c>
      <c r="G11" s="4">
        <v>6339380</v>
      </c>
      <c r="J11" t="s">
        <v>20</v>
      </c>
      <c r="K11" s="3">
        <f>_xlfn.STDEV.P(D2:D5)</f>
        <v>153.77123608959326</v>
      </c>
      <c r="L11" s="4">
        <f>_xlfn.STDEV.P(E2:E5)</f>
        <v>139396883.0856854</v>
      </c>
    </row>
    <row r="12" spans="1:13" x14ac:dyDescent="0.55000000000000004">
      <c r="A12" s="11">
        <v>44533</v>
      </c>
      <c r="B12" s="12" t="s">
        <v>4</v>
      </c>
      <c r="C12" s="12" t="s">
        <v>11</v>
      </c>
      <c r="D12" s="13">
        <v>1227.09521484375</v>
      </c>
      <c r="E12" s="97">
        <v>3434025984</v>
      </c>
      <c r="F12" s="4">
        <f ca="1">RANDBETWEEN(2434025984,4434025984)</f>
        <v>3440705126</v>
      </c>
      <c r="G12" s="4">
        <v>3262928871</v>
      </c>
      <c r="J12" t="s">
        <v>21</v>
      </c>
      <c r="K12" s="3">
        <f>MIN(D2:D5)</f>
        <v>10.73635768890381</v>
      </c>
      <c r="L12" s="4">
        <f>MIN(E2:E5)</f>
        <v>4032918.375</v>
      </c>
      <c r="M12" s="6" t="s">
        <v>7</v>
      </c>
    </row>
    <row r="13" spans="1:13" x14ac:dyDescent="0.55000000000000004">
      <c r="A13" s="14">
        <v>44534</v>
      </c>
      <c r="B13" s="15" t="s">
        <v>2</v>
      </c>
      <c r="C13" s="15" t="s">
        <v>9</v>
      </c>
      <c r="D13" s="16">
        <v>196.76289367675781</v>
      </c>
      <c r="E13" s="98">
        <v>37857180</v>
      </c>
      <c r="F13" s="4"/>
      <c r="J13" t="s">
        <v>22</v>
      </c>
      <c r="K13" s="4">
        <f>MAX(D2:D5)</f>
        <v>392.68536376953131</v>
      </c>
      <c r="L13" s="4">
        <f>MAX(E2:E5)</f>
        <v>357317696</v>
      </c>
      <c r="M13" s="6" t="s">
        <v>9</v>
      </c>
    </row>
    <row r="14" spans="1:13" x14ac:dyDescent="0.55000000000000004">
      <c r="A14" s="14">
        <v>44534</v>
      </c>
      <c r="B14" s="15" t="s">
        <v>7</v>
      </c>
      <c r="C14" s="15" t="s">
        <v>15</v>
      </c>
      <c r="D14" s="16">
        <v>19.793291091918949</v>
      </c>
      <c r="E14" s="98">
        <v>55391524</v>
      </c>
      <c r="F14" s="4"/>
    </row>
    <row r="15" spans="1:13" x14ac:dyDescent="0.55000000000000004">
      <c r="A15" s="14">
        <v>44534</v>
      </c>
      <c r="B15" s="15" t="s">
        <v>4</v>
      </c>
      <c r="C15" s="15" t="s">
        <v>11</v>
      </c>
      <c r="D15" s="16">
        <v>8.1429281234741211</v>
      </c>
      <c r="E15" s="98">
        <v>30974070</v>
      </c>
      <c r="F15" s="4"/>
      <c r="J15" t="s">
        <v>25</v>
      </c>
      <c r="K15" t="s">
        <v>16</v>
      </c>
      <c r="L15" t="s">
        <v>17</v>
      </c>
      <c r="M15" t="s">
        <v>26</v>
      </c>
    </row>
    <row r="16" spans="1:13" x14ac:dyDescent="0.55000000000000004">
      <c r="A16" s="14">
        <v>44534</v>
      </c>
      <c r="B16" s="15" t="s">
        <v>3</v>
      </c>
      <c r="C16" s="15" t="s">
        <v>10</v>
      </c>
      <c r="D16" s="16">
        <v>7.3003635406494141</v>
      </c>
      <c r="E16" s="98">
        <v>116775888</v>
      </c>
      <c r="F16" s="4"/>
      <c r="J16" t="s">
        <v>18</v>
      </c>
      <c r="K16" s="4">
        <f>SUM(D6:D9)</f>
        <v>621.71008920669556</v>
      </c>
      <c r="L16" s="4">
        <f>SUM(E6:E9)</f>
        <v>1984347322.625</v>
      </c>
    </row>
    <row r="17" spans="1:13" x14ac:dyDescent="0.55000000000000004">
      <c r="A17" s="17">
        <v>44535</v>
      </c>
      <c r="B17" s="18" t="s">
        <v>2</v>
      </c>
      <c r="C17" s="18" t="s">
        <v>9</v>
      </c>
      <c r="D17" s="19">
        <v>3.8977007865905762</v>
      </c>
      <c r="E17" s="99">
        <v>10907716</v>
      </c>
      <c r="F17" s="4"/>
      <c r="J17" t="s">
        <v>19</v>
      </c>
      <c r="K17" s="3">
        <f>AVERAGE(D6:D9)</f>
        <v>155.42752230167389</v>
      </c>
      <c r="L17" s="4">
        <f>AVERAGE(E6:E9)</f>
        <v>496086830.65625</v>
      </c>
      <c r="M17" s="9" t="s">
        <v>10</v>
      </c>
    </row>
    <row r="18" spans="1:13" x14ac:dyDescent="0.55000000000000004">
      <c r="A18" s="17">
        <v>44535</v>
      </c>
      <c r="B18" s="18" t="s">
        <v>7</v>
      </c>
      <c r="C18" s="18" t="s">
        <v>15</v>
      </c>
      <c r="D18" s="19">
        <v>127.3746271133423</v>
      </c>
      <c r="E18" s="99">
        <v>912653974</v>
      </c>
      <c r="F18" s="4"/>
      <c r="J18" t="s">
        <v>20</v>
      </c>
      <c r="K18" s="3">
        <f>_xlfn.STDEV.P(D6:D9)</f>
        <v>106.4853627095825</v>
      </c>
      <c r="L18" s="4">
        <f>_xlfn.STDEV.P(E6:E9)</f>
        <v>413738285.26437575</v>
      </c>
    </row>
    <row r="19" spans="1:13" x14ac:dyDescent="0.55000000000000004">
      <c r="A19" s="17">
        <v>44535</v>
      </c>
      <c r="B19" s="18" t="s">
        <v>4</v>
      </c>
      <c r="C19" s="18" t="s">
        <v>11</v>
      </c>
      <c r="D19" s="19">
        <v>73.798110961914063</v>
      </c>
      <c r="E19" s="99">
        <v>499421344</v>
      </c>
      <c r="F19" s="4"/>
      <c r="J19" t="s">
        <v>21</v>
      </c>
      <c r="K19" s="3">
        <f>MIN(D6:D9)</f>
        <v>7.2124490737915039</v>
      </c>
      <c r="L19" s="4">
        <f>MIN(E6:E9)</f>
        <v>1331418.125</v>
      </c>
      <c r="M19" s="9" t="s">
        <v>11</v>
      </c>
    </row>
    <row r="20" spans="1:13" x14ac:dyDescent="0.55000000000000004">
      <c r="A20" s="20">
        <v>44536</v>
      </c>
      <c r="B20" s="21" t="s">
        <v>2</v>
      </c>
      <c r="C20" s="21" t="s">
        <v>9</v>
      </c>
      <c r="D20" s="22">
        <v>94.862197875976563</v>
      </c>
      <c r="E20" s="100">
        <v>18251486</v>
      </c>
      <c r="F20" s="4"/>
      <c r="J20" t="s">
        <v>22</v>
      </c>
      <c r="K20" s="4">
        <f>MAX(D6:D9)</f>
        <v>267.78076648712158</v>
      </c>
      <c r="L20" s="4">
        <f>MAX(E6:E9)</f>
        <v>1131169969.25</v>
      </c>
      <c r="M20" s="9" t="s">
        <v>13</v>
      </c>
    </row>
    <row r="21" spans="1:13" x14ac:dyDescent="0.55000000000000004">
      <c r="A21" s="20">
        <v>44536</v>
      </c>
      <c r="B21" s="21" t="s">
        <v>7</v>
      </c>
      <c r="C21" s="21" t="s">
        <v>15</v>
      </c>
      <c r="D21" s="22">
        <v>33.501455307006843</v>
      </c>
      <c r="E21" s="100">
        <v>91296762.375</v>
      </c>
      <c r="F21" s="4"/>
    </row>
    <row r="22" spans="1:13" x14ac:dyDescent="0.55000000000000004">
      <c r="A22" s="20">
        <v>44536</v>
      </c>
      <c r="B22" s="21" t="s">
        <v>6</v>
      </c>
      <c r="C22" s="21" t="s">
        <v>13</v>
      </c>
      <c r="D22" s="22">
        <v>1.953472971916199</v>
      </c>
      <c r="E22" s="100">
        <v>6501939.5</v>
      </c>
      <c r="F22" s="4"/>
      <c r="J22" t="s">
        <v>27</v>
      </c>
      <c r="K22" t="s">
        <v>16</v>
      </c>
      <c r="L22" t="s">
        <v>17</v>
      </c>
      <c r="M22" t="s">
        <v>26</v>
      </c>
    </row>
    <row r="23" spans="1:13" x14ac:dyDescent="0.55000000000000004">
      <c r="A23" s="20">
        <v>44536</v>
      </c>
      <c r="B23" s="21" t="s">
        <v>4</v>
      </c>
      <c r="C23" s="21" t="s">
        <v>11</v>
      </c>
      <c r="D23" s="22">
        <v>72.004283905029297</v>
      </c>
      <c r="E23" s="100">
        <v>112078835</v>
      </c>
      <c r="F23" s="4"/>
      <c r="J23" t="s">
        <v>18</v>
      </c>
      <c r="K23" s="4">
        <f>SUM(D10:D12)</f>
        <v>1321.7452738285065</v>
      </c>
      <c r="L23" s="4">
        <f>SUM(E10:E12)</f>
        <v>3588321168.5625</v>
      </c>
    </row>
    <row r="24" spans="1:13" x14ac:dyDescent="0.55000000000000004">
      <c r="A24" s="23">
        <v>44537</v>
      </c>
      <c r="B24" s="24" t="s">
        <v>2</v>
      </c>
      <c r="C24" s="24" t="s">
        <v>9</v>
      </c>
      <c r="D24" s="25">
        <v>641.0289306640625</v>
      </c>
      <c r="E24" s="101">
        <v>209808768</v>
      </c>
      <c r="F24" s="4"/>
      <c r="J24" t="s">
        <v>19</v>
      </c>
      <c r="K24" s="3">
        <f>AVERAGE(D10:D12)</f>
        <v>440.58175794283551</v>
      </c>
      <c r="L24" s="4">
        <f>AVERAGE(E10:E12)</f>
        <v>1196107056.1875</v>
      </c>
    </row>
    <row r="25" spans="1:13" x14ac:dyDescent="0.55000000000000004">
      <c r="A25" s="23">
        <v>44537</v>
      </c>
      <c r="B25" s="24" t="s">
        <v>7</v>
      </c>
      <c r="C25" s="24" t="s">
        <v>15</v>
      </c>
      <c r="D25" s="25">
        <v>38.279990673065193</v>
      </c>
      <c r="E25" s="101">
        <v>11607739</v>
      </c>
      <c r="F25" s="4"/>
      <c r="J25" t="s">
        <v>20</v>
      </c>
      <c r="K25" s="3">
        <f>_xlfn.STDEV.P(D10:D12)</f>
        <v>556.34809738139643</v>
      </c>
      <c r="L25" s="4">
        <f>_xlfn.STDEV.P(E10:E12)</f>
        <v>1583526157.7594385</v>
      </c>
    </row>
    <row r="26" spans="1:13" x14ac:dyDescent="0.55000000000000004">
      <c r="A26" s="26">
        <v>44538</v>
      </c>
      <c r="B26" s="27" t="s">
        <v>7</v>
      </c>
      <c r="C26" s="27" t="s">
        <v>15</v>
      </c>
      <c r="D26" s="28">
        <v>6.3179888725280762</v>
      </c>
      <c r="E26" s="102">
        <v>38137276</v>
      </c>
      <c r="F26" s="4"/>
      <c r="J26" t="s">
        <v>21</v>
      </c>
      <c r="K26" s="3">
        <f>MIN(D10:D12)</f>
        <v>29.09744668006897</v>
      </c>
      <c r="L26" s="4">
        <f>MIN(E10:E12)</f>
        <v>5580890.0625</v>
      </c>
      <c r="M26" s="12" t="s">
        <v>15</v>
      </c>
    </row>
    <row r="27" spans="1:13" x14ac:dyDescent="0.55000000000000004">
      <c r="A27" s="26">
        <v>44538</v>
      </c>
      <c r="B27" s="27" t="s">
        <v>6</v>
      </c>
      <c r="C27" s="27" t="s">
        <v>13</v>
      </c>
      <c r="D27" s="28">
        <v>30.870737075805661</v>
      </c>
      <c r="E27" s="102">
        <v>122269728</v>
      </c>
      <c r="F27" s="4"/>
      <c r="J27" t="s">
        <v>22</v>
      </c>
      <c r="K27" s="4">
        <f>MAX(D10:D12)</f>
        <v>1227.09521484375</v>
      </c>
      <c r="L27" s="4">
        <f>MAX(E10:E12)</f>
        <v>3434025984</v>
      </c>
      <c r="M27" s="12" t="s">
        <v>11</v>
      </c>
    </row>
    <row r="28" spans="1:13" x14ac:dyDescent="0.55000000000000004">
      <c r="A28" s="26">
        <v>44538</v>
      </c>
      <c r="B28" s="27" t="s">
        <v>4</v>
      </c>
      <c r="C28" s="27" t="s">
        <v>11</v>
      </c>
      <c r="D28" s="28">
        <v>9.5597562789916992</v>
      </c>
      <c r="E28" s="102">
        <v>38230420</v>
      </c>
      <c r="F28" s="4"/>
    </row>
    <row r="29" spans="1:13" x14ac:dyDescent="0.55000000000000004">
      <c r="A29" s="29">
        <v>44539</v>
      </c>
      <c r="B29" s="30" t="s">
        <v>7</v>
      </c>
      <c r="C29" s="30" t="s">
        <v>15</v>
      </c>
      <c r="D29" s="31">
        <v>503.93571472167969</v>
      </c>
      <c r="E29" s="103">
        <v>2224608416</v>
      </c>
      <c r="F29" s="4"/>
      <c r="J29" t="s">
        <v>28</v>
      </c>
      <c r="K29" t="s">
        <v>16</v>
      </c>
      <c r="L29" t="s">
        <v>17</v>
      </c>
      <c r="M29" t="s">
        <v>26</v>
      </c>
    </row>
    <row r="30" spans="1:13" x14ac:dyDescent="0.55000000000000004">
      <c r="A30" s="32">
        <v>44540</v>
      </c>
      <c r="B30" s="33" t="s">
        <v>2</v>
      </c>
      <c r="C30" s="33" t="s">
        <v>9</v>
      </c>
      <c r="D30" s="34">
        <v>7.6688151359558114</v>
      </c>
      <c r="E30" s="104">
        <v>27708962</v>
      </c>
      <c r="F30" s="4"/>
      <c r="J30" t="s">
        <v>18</v>
      </c>
      <c r="K30" s="4">
        <f>SUM(D13:D16)</f>
        <v>231.99947643280029</v>
      </c>
      <c r="L30" s="4">
        <f>SUM(E13:E16)</f>
        <v>240998662</v>
      </c>
    </row>
    <row r="31" spans="1:13" x14ac:dyDescent="0.55000000000000004">
      <c r="A31" s="32">
        <v>44540</v>
      </c>
      <c r="B31" s="33" t="s">
        <v>7</v>
      </c>
      <c r="C31" s="33" t="s">
        <v>15</v>
      </c>
      <c r="D31" s="34">
        <v>232.01766777038571</v>
      </c>
      <c r="E31" s="104">
        <v>537824574.5</v>
      </c>
      <c r="F31" s="4"/>
      <c r="J31" t="s">
        <v>19</v>
      </c>
      <c r="K31" s="3">
        <f>AVERAGE(D13:D16)</f>
        <v>57.999869108200073</v>
      </c>
      <c r="L31" s="4">
        <f>AVERAGE(E13:E16)</f>
        <v>60249665.5</v>
      </c>
      <c r="M31" s="15" t="s">
        <v>15</v>
      </c>
    </row>
    <row r="32" spans="1:13" x14ac:dyDescent="0.55000000000000004">
      <c r="A32" s="32">
        <v>44540</v>
      </c>
      <c r="B32" s="33" t="s">
        <v>6</v>
      </c>
      <c r="C32" s="33" t="s">
        <v>13</v>
      </c>
      <c r="D32" s="34">
        <v>45.27752685546875</v>
      </c>
      <c r="E32" s="104">
        <v>14995917</v>
      </c>
      <c r="F32" s="4"/>
      <c r="J32" t="s">
        <v>20</v>
      </c>
      <c r="K32" s="3">
        <f>_xlfn.STDEV.P(D13:D16)</f>
        <v>80.266858073984821</v>
      </c>
      <c r="L32" s="4">
        <f>_xlfn.STDEV.P(E13:E16)</f>
        <v>33827870.416643359</v>
      </c>
    </row>
    <row r="33" spans="1:13" x14ac:dyDescent="0.55000000000000004">
      <c r="A33" s="35">
        <v>44541</v>
      </c>
      <c r="B33" s="36" t="s">
        <v>2</v>
      </c>
      <c r="C33" s="36" t="s">
        <v>9</v>
      </c>
      <c r="D33" s="37">
        <v>221.34512090682981</v>
      </c>
      <c r="E33" s="105">
        <v>855738255.875</v>
      </c>
      <c r="F33" s="4"/>
      <c r="J33" t="s">
        <v>21</v>
      </c>
      <c r="K33" s="3">
        <f>MIN(D13:D16)</f>
        <v>7.3003635406494141</v>
      </c>
      <c r="L33" s="4">
        <f>MIN(E13:E16)</f>
        <v>30974070</v>
      </c>
      <c r="M33" s="15" t="s">
        <v>11</v>
      </c>
    </row>
    <row r="34" spans="1:13" x14ac:dyDescent="0.55000000000000004">
      <c r="A34" s="35">
        <v>44541</v>
      </c>
      <c r="B34" s="36" t="s">
        <v>7</v>
      </c>
      <c r="C34" s="36" t="s">
        <v>15</v>
      </c>
      <c r="D34" s="37">
        <v>71.654512524604797</v>
      </c>
      <c r="E34" s="105">
        <v>169287597.375</v>
      </c>
      <c r="F34" s="4"/>
      <c r="J34" t="s">
        <v>22</v>
      </c>
      <c r="K34" s="4">
        <f>MAX(D13:D16)</f>
        <v>196.76289367675781</v>
      </c>
      <c r="L34" s="4">
        <f>MAX(E13:E16)</f>
        <v>116775888</v>
      </c>
      <c r="M34" s="15" t="s">
        <v>10</v>
      </c>
    </row>
    <row r="35" spans="1:13" x14ac:dyDescent="0.55000000000000004">
      <c r="A35" s="35">
        <v>44541</v>
      </c>
      <c r="B35" s="36" t="s">
        <v>4</v>
      </c>
      <c r="C35" s="36" t="s">
        <v>11</v>
      </c>
      <c r="D35" s="37">
        <v>168.4422588348389</v>
      </c>
      <c r="E35" s="105">
        <v>32269366.5</v>
      </c>
      <c r="F35" s="4"/>
    </row>
    <row r="36" spans="1:13" x14ac:dyDescent="0.55000000000000004">
      <c r="A36" s="38">
        <v>44543</v>
      </c>
      <c r="B36" s="39" t="s">
        <v>6</v>
      </c>
      <c r="C36" s="39" t="s">
        <v>13</v>
      </c>
      <c r="D36" s="40">
        <v>2.81670069694519</v>
      </c>
      <c r="E36" s="106">
        <v>735722.25</v>
      </c>
      <c r="F36" s="4"/>
      <c r="J36" t="s">
        <v>29</v>
      </c>
      <c r="K36" t="s">
        <v>16</v>
      </c>
      <c r="L36" t="s">
        <v>17</v>
      </c>
      <c r="M36" t="s">
        <v>26</v>
      </c>
    </row>
    <row r="37" spans="1:13" x14ac:dyDescent="0.55000000000000004">
      <c r="A37" s="38">
        <v>44543</v>
      </c>
      <c r="B37" s="39" t="s">
        <v>4</v>
      </c>
      <c r="C37" s="39" t="s">
        <v>11</v>
      </c>
      <c r="D37" s="40">
        <v>187.9385070800781</v>
      </c>
      <c r="E37" s="106">
        <v>36422484</v>
      </c>
      <c r="F37" s="4"/>
      <c r="J37" t="s">
        <v>18</v>
      </c>
      <c r="K37" s="4">
        <f>SUM(D17:D19)</f>
        <v>205.07043886184692</v>
      </c>
      <c r="L37" s="4">
        <f>SUM(E17:E19)</f>
        <v>1422983034</v>
      </c>
    </row>
    <row r="38" spans="1:13" x14ac:dyDescent="0.55000000000000004">
      <c r="A38" s="41">
        <v>44544</v>
      </c>
      <c r="B38" s="42" t="s">
        <v>2</v>
      </c>
      <c r="C38" s="42" t="s">
        <v>9</v>
      </c>
      <c r="D38" s="43">
        <v>101.5482940673828</v>
      </c>
      <c r="E38" s="107">
        <v>18786434</v>
      </c>
      <c r="F38" s="4"/>
      <c r="J38" t="s">
        <v>19</v>
      </c>
      <c r="K38" s="3">
        <f>AVERAGE(D17:D19)</f>
        <v>68.356812953948975</v>
      </c>
      <c r="L38" s="4">
        <f>AVERAGE(E17:E19)</f>
        <v>474327678</v>
      </c>
      <c r="M38" s="18" t="s">
        <v>11</v>
      </c>
    </row>
    <row r="39" spans="1:13" x14ac:dyDescent="0.55000000000000004">
      <c r="A39" s="41">
        <v>44544</v>
      </c>
      <c r="B39" s="42" t="s">
        <v>7</v>
      </c>
      <c r="C39" s="42" t="s">
        <v>15</v>
      </c>
      <c r="D39" s="43">
        <v>0.99947261810302734</v>
      </c>
      <c r="E39" s="107">
        <v>257963.875</v>
      </c>
      <c r="F39" s="4"/>
      <c r="J39" t="s">
        <v>20</v>
      </c>
      <c r="K39" s="3">
        <f>_xlfn.STDEV.P(D17:D19)</f>
        <v>50.555867623742955</v>
      </c>
      <c r="L39" s="4">
        <f>_xlfn.STDEV.P(E17:E19)</f>
        <v>368563741.66869277</v>
      </c>
    </row>
    <row r="40" spans="1:13" x14ac:dyDescent="0.55000000000000004">
      <c r="A40" s="44">
        <v>44545</v>
      </c>
      <c r="B40" s="45" t="s">
        <v>2</v>
      </c>
      <c r="C40" s="45" t="s">
        <v>9</v>
      </c>
      <c r="D40" s="46">
        <v>101.5482940673828</v>
      </c>
      <c r="E40" s="108">
        <v>38293860</v>
      </c>
      <c r="F40" s="4"/>
      <c r="J40" t="s">
        <v>21</v>
      </c>
      <c r="K40" s="3">
        <f>MIN(D17:D19)</f>
        <v>3.8977007865905762</v>
      </c>
      <c r="L40" s="4">
        <f>MIN(E17:E19)</f>
        <v>10907716</v>
      </c>
      <c r="M40" s="18" t="s">
        <v>9</v>
      </c>
    </row>
    <row r="41" spans="1:13" x14ac:dyDescent="0.55000000000000004">
      <c r="A41" s="44">
        <v>44545</v>
      </c>
      <c r="B41" s="45" t="s">
        <v>7</v>
      </c>
      <c r="C41" s="45" t="s">
        <v>15</v>
      </c>
      <c r="D41" s="46">
        <v>12.635977745056151</v>
      </c>
      <c r="E41" s="108">
        <v>5002583.5</v>
      </c>
      <c r="F41" s="4"/>
      <c r="J41" t="s">
        <v>22</v>
      </c>
      <c r="K41" s="4">
        <f>MAX(D17:D19)</f>
        <v>127.3746271133423</v>
      </c>
      <c r="L41" s="4">
        <f>MAX(E17:E19)</f>
        <v>912653974</v>
      </c>
      <c r="M41" s="18" t="s">
        <v>15</v>
      </c>
    </row>
    <row r="42" spans="1:13" x14ac:dyDescent="0.55000000000000004">
      <c r="A42" s="47">
        <v>44546</v>
      </c>
      <c r="B42" s="48" t="s">
        <v>2</v>
      </c>
      <c r="C42" s="48" t="s">
        <v>9</v>
      </c>
      <c r="D42" s="49">
        <v>179.83604860305789</v>
      </c>
      <c r="E42" s="109">
        <v>893590718.5</v>
      </c>
      <c r="F42" s="4"/>
    </row>
    <row r="43" spans="1:13" x14ac:dyDescent="0.55000000000000004">
      <c r="A43" s="47">
        <v>44546</v>
      </c>
      <c r="B43" s="48" t="s">
        <v>7</v>
      </c>
      <c r="C43" s="48" t="s">
        <v>15</v>
      </c>
      <c r="D43" s="49">
        <v>19.119512557983398</v>
      </c>
      <c r="E43" s="109">
        <v>159259808</v>
      </c>
      <c r="F43" s="4"/>
      <c r="J43" t="s">
        <v>30</v>
      </c>
      <c r="K43" t="s">
        <v>16</v>
      </c>
      <c r="L43" t="s">
        <v>17</v>
      </c>
      <c r="M43" t="s">
        <v>26</v>
      </c>
    </row>
    <row r="44" spans="1:13" x14ac:dyDescent="0.55000000000000004">
      <c r="A44" s="47">
        <v>44546</v>
      </c>
      <c r="B44" s="48" t="s">
        <v>6</v>
      </c>
      <c r="C44" s="48" t="s">
        <v>13</v>
      </c>
      <c r="D44" s="49">
        <v>12.41835880279541</v>
      </c>
      <c r="E44" s="109">
        <v>61854604</v>
      </c>
      <c r="F44" s="4"/>
      <c r="J44" t="s">
        <v>18</v>
      </c>
      <c r="K44" s="4">
        <f>SUM(D20:D23)</f>
        <v>202.32141005992889</v>
      </c>
      <c r="L44" s="4">
        <f>SUM(E20:E23)</f>
        <v>228129022.875</v>
      </c>
    </row>
    <row r="45" spans="1:13" x14ac:dyDescent="0.55000000000000004">
      <c r="A45" s="47">
        <v>44546</v>
      </c>
      <c r="B45" s="48" t="s">
        <v>4</v>
      </c>
      <c r="C45" s="48" t="s">
        <v>11</v>
      </c>
      <c r="D45" s="49">
        <v>116.5380730628967</v>
      </c>
      <c r="E45" s="109">
        <v>329690808.25</v>
      </c>
      <c r="F45" s="4"/>
      <c r="J45" t="s">
        <v>19</v>
      </c>
      <c r="K45" s="3">
        <f>AVERAGE(D20:D23)</f>
        <v>50.580352514982224</v>
      </c>
      <c r="L45" s="4">
        <f>AVERAGE(E20:E23)</f>
        <v>57032255.71875</v>
      </c>
      <c r="M45" s="21" t="s">
        <v>15</v>
      </c>
    </row>
    <row r="46" spans="1:13" x14ac:dyDescent="0.55000000000000004">
      <c r="A46" s="47">
        <v>44546</v>
      </c>
      <c r="B46" s="48" t="s">
        <v>3</v>
      </c>
      <c r="C46" s="48" t="s">
        <v>10</v>
      </c>
      <c r="D46" s="49">
        <v>15.903268814086911</v>
      </c>
      <c r="E46" s="109">
        <v>58724412</v>
      </c>
      <c r="F46" s="4"/>
      <c r="J46" t="s">
        <v>20</v>
      </c>
      <c r="K46" s="3">
        <f>_xlfn.STDEV.P(D20:D23)</f>
        <v>35.623478243698017</v>
      </c>
      <c r="L46" s="4">
        <f>_xlfn.STDEV.P(E20:E23)</f>
        <v>45446240.944958054</v>
      </c>
    </row>
    <row r="47" spans="1:13" x14ac:dyDescent="0.55000000000000004">
      <c r="A47" s="50">
        <v>44547</v>
      </c>
      <c r="B47" s="51" t="s">
        <v>7</v>
      </c>
      <c r="C47" s="51" t="s">
        <v>15</v>
      </c>
      <c r="D47" s="52">
        <v>180.47978973388669</v>
      </c>
      <c r="E47" s="110">
        <v>455283456</v>
      </c>
      <c r="F47" s="4"/>
      <c r="J47" t="s">
        <v>21</v>
      </c>
      <c r="K47" s="3">
        <f>MIN(D20:D23)</f>
        <v>1.953472971916199</v>
      </c>
      <c r="L47" s="4">
        <f>MIN(E20:E23)</f>
        <v>6501939.5</v>
      </c>
      <c r="M47" s="21" t="s">
        <v>13</v>
      </c>
    </row>
    <row r="48" spans="1:13" x14ac:dyDescent="0.55000000000000004">
      <c r="A48" s="50">
        <v>44547</v>
      </c>
      <c r="B48" s="51" t="s">
        <v>4</v>
      </c>
      <c r="C48" s="51" t="s">
        <v>11</v>
      </c>
      <c r="D48" s="52">
        <v>251.3777303695679</v>
      </c>
      <c r="E48" s="110">
        <v>1373410066.5</v>
      </c>
      <c r="F48" s="4"/>
      <c r="J48" t="s">
        <v>22</v>
      </c>
      <c r="K48" s="4">
        <f>MAX(D20:D23)</f>
        <v>94.862197875976563</v>
      </c>
      <c r="L48" s="4">
        <f>MAX(E20:E23)</f>
        <v>112078835</v>
      </c>
      <c r="M48" s="21" t="s">
        <v>11</v>
      </c>
    </row>
    <row r="49" spans="1:14" x14ac:dyDescent="0.55000000000000004">
      <c r="A49" s="53">
        <v>44548</v>
      </c>
      <c r="B49" s="54" t="s">
        <v>2</v>
      </c>
      <c r="C49" s="54" t="s">
        <v>9</v>
      </c>
      <c r="D49" s="55">
        <v>104.52700042724609</v>
      </c>
      <c r="E49" s="111">
        <v>19159800</v>
      </c>
      <c r="F49" s="4"/>
    </row>
    <row r="50" spans="1:14" x14ac:dyDescent="0.55000000000000004">
      <c r="A50" s="53">
        <v>44548</v>
      </c>
      <c r="B50" s="54" t="s">
        <v>7</v>
      </c>
      <c r="C50" s="54" t="s">
        <v>15</v>
      </c>
      <c r="D50" s="55">
        <v>95.279503345489502</v>
      </c>
      <c r="E50" s="111">
        <v>492226611</v>
      </c>
      <c r="F50" s="4"/>
      <c r="J50" t="s">
        <v>31</v>
      </c>
      <c r="K50" t="s">
        <v>16</v>
      </c>
      <c r="L50" t="s">
        <v>17</v>
      </c>
      <c r="M50" t="s">
        <v>26</v>
      </c>
    </row>
    <row r="51" spans="1:14" x14ac:dyDescent="0.55000000000000004">
      <c r="A51" s="53">
        <v>44548</v>
      </c>
      <c r="B51" s="54" t="s">
        <v>6</v>
      </c>
      <c r="C51" s="54" t="s">
        <v>13</v>
      </c>
      <c r="D51" s="55">
        <v>10.593343734741209</v>
      </c>
      <c r="E51" s="111">
        <v>2056168</v>
      </c>
      <c r="F51" s="4"/>
      <c r="J51" t="s">
        <v>18</v>
      </c>
      <c r="K51" s="4">
        <f>SUM(D24:D25)</f>
        <v>679.30892133712769</v>
      </c>
      <c r="L51" s="4">
        <f>SUM(E24:E25)</f>
        <v>221416507</v>
      </c>
    </row>
    <row r="52" spans="1:14" x14ac:dyDescent="0.55000000000000004">
      <c r="A52" s="53">
        <v>44548</v>
      </c>
      <c r="B52" s="54" t="s">
        <v>4</v>
      </c>
      <c r="C52" s="54" t="s">
        <v>11</v>
      </c>
      <c r="D52" s="55">
        <v>13.85530376434326</v>
      </c>
      <c r="E52" s="111">
        <v>2657447.25</v>
      </c>
      <c r="F52" s="4"/>
      <c r="J52" t="s">
        <v>19</v>
      </c>
      <c r="K52" s="3">
        <f>AVERAGE(D24:D25)</f>
        <v>339.65446066856384</v>
      </c>
      <c r="L52" s="4">
        <f>AVERAGE(E24:E25)</f>
        <v>110708253.5</v>
      </c>
      <c r="M52" s="24" t="s">
        <v>9</v>
      </c>
    </row>
    <row r="53" spans="1:14" x14ac:dyDescent="0.55000000000000004">
      <c r="A53" s="56">
        <v>44549</v>
      </c>
      <c r="B53" s="57" t="s">
        <v>2</v>
      </c>
      <c r="C53" s="57" t="s">
        <v>9</v>
      </c>
      <c r="D53" s="58">
        <v>36.768291473388672</v>
      </c>
      <c r="E53" s="112">
        <v>135630880</v>
      </c>
      <c r="F53" s="4"/>
      <c r="J53" t="s">
        <v>20</v>
      </c>
      <c r="K53" s="3">
        <f>_xlfn.STDEV.P(D24:D25)</f>
        <v>301.37446999549866</v>
      </c>
      <c r="L53" s="4">
        <f>_xlfn.STDEV.P(E24:E25)</f>
        <v>99100514.5</v>
      </c>
    </row>
    <row r="54" spans="1:14" x14ac:dyDescent="0.55000000000000004">
      <c r="A54" s="56">
        <v>44549</v>
      </c>
      <c r="B54" s="57" t="s">
        <v>7</v>
      </c>
      <c r="C54" s="57" t="s">
        <v>15</v>
      </c>
      <c r="D54" s="58">
        <v>480.65370178222662</v>
      </c>
      <c r="E54" s="112">
        <v>149819756</v>
      </c>
      <c r="F54" s="4"/>
      <c r="J54" t="s">
        <v>21</v>
      </c>
      <c r="K54" s="3">
        <f>MIN(D25)</f>
        <v>38.279990673065193</v>
      </c>
      <c r="L54" s="4">
        <f>MIN(E25)</f>
        <v>11607739</v>
      </c>
      <c r="M54" s="24" t="s">
        <v>15</v>
      </c>
    </row>
    <row r="55" spans="1:14" x14ac:dyDescent="0.55000000000000004">
      <c r="A55" s="56">
        <v>44549</v>
      </c>
      <c r="B55" s="57" t="s">
        <v>6</v>
      </c>
      <c r="C55" s="57" t="s">
        <v>13</v>
      </c>
      <c r="D55" s="58">
        <v>11.9759578704834</v>
      </c>
      <c r="E55" s="112">
        <v>257812432</v>
      </c>
      <c r="F55" s="4"/>
      <c r="J55" t="s">
        <v>22</v>
      </c>
      <c r="K55" s="4">
        <f>MAX(D24)</f>
        <v>641.0289306640625</v>
      </c>
      <c r="L55" s="4">
        <f>MAX(E24)</f>
        <v>209808768</v>
      </c>
      <c r="M55" s="24" t="s">
        <v>9</v>
      </c>
    </row>
    <row r="56" spans="1:14" x14ac:dyDescent="0.55000000000000004">
      <c r="A56" s="56">
        <v>44549</v>
      </c>
      <c r="B56" s="57" t="s">
        <v>4</v>
      </c>
      <c r="C56" s="57" t="s">
        <v>11</v>
      </c>
      <c r="D56" s="58">
        <v>157.3682861328125</v>
      </c>
      <c r="E56" s="112">
        <v>756249024</v>
      </c>
      <c r="F56" s="4"/>
    </row>
    <row r="57" spans="1:14" x14ac:dyDescent="0.55000000000000004">
      <c r="A57" s="59">
        <v>44550</v>
      </c>
      <c r="B57" s="60" t="s">
        <v>7</v>
      </c>
      <c r="C57" s="60" t="s">
        <v>15</v>
      </c>
      <c r="D57" s="61">
        <v>9.2445993423461914</v>
      </c>
      <c r="E57" s="113">
        <v>40970216</v>
      </c>
      <c r="F57" s="4"/>
      <c r="J57" t="s">
        <v>32</v>
      </c>
      <c r="K57" t="s">
        <v>16</v>
      </c>
      <c r="L57" t="s">
        <v>17</v>
      </c>
      <c r="M57" t="s">
        <v>26</v>
      </c>
    </row>
    <row r="58" spans="1:14" x14ac:dyDescent="0.55000000000000004">
      <c r="A58" s="59">
        <v>44550</v>
      </c>
      <c r="B58" s="60" t="s">
        <v>6</v>
      </c>
      <c r="C58" s="60" t="s">
        <v>13</v>
      </c>
      <c r="D58" s="61">
        <v>234.1614990234375</v>
      </c>
      <c r="E58" s="113">
        <v>45942488</v>
      </c>
      <c r="F58" s="4"/>
      <c r="J58" t="s">
        <v>18</v>
      </c>
      <c r="K58" s="4">
        <f>SUM(D26:D28)</f>
        <v>46.748482227325439</v>
      </c>
      <c r="L58" s="4">
        <f>SUM(E26:E28)</f>
        <v>198637424</v>
      </c>
    </row>
    <row r="59" spans="1:14" x14ac:dyDescent="0.55000000000000004">
      <c r="A59" s="59">
        <v>44550</v>
      </c>
      <c r="B59" s="60" t="s">
        <v>4</v>
      </c>
      <c r="C59" s="60" t="s">
        <v>11</v>
      </c>
      <c r="D59" s="61">
        <v>134.9070129394531</v>
      </c>
      <c r="E59" s="113">
        <v>42752349</v>
      </c>
      <c r="F59" s="4"/>
      <c r="J59" t="s">
        <v>19</v>
      </c>
      <c r="K59" s="3">
        <f>AVERAGE(D26:D28)</f>
        <v>15.58282740910848</v>
      </c>
      <c r="L59" s="4">
        <f>AVERAGE(E26:E28)</f>
        <v>66212474.666666664</v>
      </c>
      <c r="M59" s="24"/>
      <c r="N59" s="27" t="s">
        <v>11</v>
      </c>
    </row>
    <row r="60" spans="1:14" x14ac:dyDescent="0.55000000000000004">
      <c r="A60" s="62">
        <v>44551</v>
      </c>
      <c r="B60" s="63" t="s">
        <v>2</v>
      </c>
      <c r="C60" s="63" t="s">
        <v>9</v>
      </c>
      <c r="D60" s="64">
        <v>29.704229354858398</v>
      </c>
      <c r="E60" s="114">
        <v>128794568</v>
      </c>
      <c r="F60" s="4"/>
      <c r="J60" t="s">
        <v>20</v>
      </c>
      <c r="K60" s="3">
        <f>_xlfn.STDEV.P(D26:D28)</f>
        <v>10.89089529415044</v>
      </c>
      <c r="L60" s="4">
        <f>_xlfn.STDEV.P(E26:E28)</f>
        <v>39638482.206136644</v>
      </c>
    </row>
    <row r="61" spans="1:14" x14ac:dyDescent="0.55000000000000004">
      <c r="A61" s="62">
        <v>44551</v>
      </c>
      <c r="B61" s="63" t="s">
        <v>7</v>
      </c>
      <c r="C61" s="63" t="s">
        <v>15</v>
      </c>
      <c r="D61" s="64">
        <v>168.89175224304199</v>
      </c>
      <c r="E61" s="114">
        <v>112287220</v>
      </c>
      <c r="F61" s="4"/>
      <c r="J61" t="s">
        <v>21</v>
      </c>
      <c r="K61" s="3">
        <f>MIN(D26:D28)</f>
        <v>6.3179888725280762</v>
      </c>
      <c r="L61" s="4">
        <f>MIN(E26:E28)</f>
        <v>38137276</v>
      </c>
      <c r="M61" s="27" t="s">
        <v>15</v>
      </c>
    </row>
    <row r="62" spans="1:14" x14ac:dyDescent="0.55000000000000004">
      <c r="A62" s="62">
        <v>44551</v>
      </c>
      <c r="B62" s="63" t="s">
        <v>6</v>
      </c>
      <c r="C62" s="63" t="s">
        <v>13</v>
      </c>
      <c r="D62" s="64">
        <v>70.595123291015625</v>
      </c>
      <c r="E62" s="114">
        <v>1347999744</v>
      </c>
      <c r="F62" s="4"/>
      <c r="J62" t="s">
        <v>22</v>
      </c>
      <c r="K62" s="4">
        <f>MAX(D26:D28)</f>
        <v>30.870737075805661</v>
      </c>
      <c r="L62" s="4">
        <f>MAX(E26:E28)</f>
        <v>122269728</v>
      </c>
      <c r="M62" s="27" t="s">
        <v>13</v>
      </c>
    </row>
    <row r="63" spans="1:14" x14ac:dyDescent="0.55000000000000004">
      <c r="A63" s="65">
        <v>44552</v>
      </c>
      <c r="B63" s="66" t="s">
        <v>2</v>
      </c>
      <c r="C63" s="66" t="s">
        <v>9</v>
      </c>
      <c r="D63" s="67">
        <v>104.52700042724609</v>
      </c>
      <c r="E63" s="115">
        <v>385976416</v>
      </c>
      <c r="F63" s="4"/>
    </row>
    <row r="64" spans="1:14" x14ac:dyDescent="0.55000000000000004">
      <c r="A64" s="65">
        <v>44552</v>
      </c>
      <c r="B64" s="66" t="s">
        <v>7</v>
      </c>
      <c r="C64" s="66" t="s">
        <v>15</v>
      </c>
      <c r="D64" s="67">
        <v>285.7878098487854</v>
      </c>
      <c r="E64" s="115">
        <v>165079630.84375</v>
      </c>
      <c r="F64" s="4"/>
      <c r="J64" t="s">
        <v>33</v>
      </c>
      <c r="K64" t="s">
        <v>16</v>
      </c>
      <c r="L64" t="s">
        <v>17</v>
      </c>
    </row>
    <row r="65" spans="1:14" x14ac:dyDescent="0.55000000000000004">
      <c r="A65" s="65">
        <v>44552</v>
      </c>
      <c r="B65" s="66" t="s">
        <v>6</v>
      </c>
      <c r="C65" s="66" t="s">
        <v>13</v>
      </c>
      <c r="D65" s="67">
        <v>1.8994970321655269</v>
      </c>
      <c r="E65" s="115">
        <v>354826.03125</v>
      </c>
      <c r="F65" s="4"/>
      <c r="J65" t="s">
        <v>18</v>
      </c>
      <c r="K65" s="4">
        <f>MAX(D29)</f>
        <v>503.93571472167969</v>
      </c>
      <c r="L65" s="4">
        <f>SUM(E29)</f>
        <v>2224608416</v>
      </c>
    </row>
    <row r="66" spans="1:14" x14ac:dyDescent="0.55000000000000004">
      <c r="A66" s="65">
        <v>44552</v>
      </c>
      <c r="B66" s="66" t="s">
        <v>3</v>
      </c>
      <c r="C66" s="66" t="s">
        <v>10</v>
      </c>
      <c r="D66" s="67">
        <v>10.80376529693604</v>
      </c>
      <c r="E66" s="115">
        <v>2057036.875</v>
      </c>
      <c r="F66" s="4"/>
      <c r="J66" t="s">
        <v>19</v>
      </c>
      <c r="K66" s="3">
        <f>MIN(D29)</f>
        <v>503.93571472167969</v>
      </c>
      <c r="L66" s="4">
        <f>AVERAGE(E29)</f>
        <v>2224608416</v>
      </c>
      <c r="M66" s="24"/>
    </row>
    <row r="67" spans="1:14" x14ac:dyDescent="0.55000000000000004">
      <c r="A67" s="68">
        <v>44553</v>
      </c>
      <c r="B67" s="69" t="s">
        <v>2</v>
      </c>
      <c r="C67" s="69" t="s">
        <v>9</v>
      </c>
      <c r="D67" s="70">
        <v>139.0892028808594</v>
      </c>
      <c r="E67" s="116">
        <v>3934444032</v>
      </c>
      <c r="F67" s="4"/>
      <c r="J67" t="s">
        <v>20</v>
      </c>
      <c r="K67" s="4">
        <f>MAX(D29)</f>
        <v>503.93571472167969</v>
      </c>
      <c r="L67" s="4">
        <f>_xlfn.STDEV.P(E29)</f>
        <v>0</v>
      </c>
    </row>
    <row r="68" spans="1:14" x14ac:dyDescent="0.55000000000000004">
      <c r="A68" s="68">
        <v>44553</v>
      </c>
      <c r="B68" s="69" t="s">
        <v>7</v>
      </c>
      <c r="C68" s="69" t="s">
        <v>15</v>
      </c>
      <c r="D68" s="70">
        <v>214.6972846984863</v>
      </c>
      <c r="E68" s="116">
        <v>177946164</v>
      </c>
      <c r="F68" s="4"/>
      <c r="J68" t="s">
        <v>21</v>
      </c>
      <c r="K68" s="3">
        <f>MIN(D29)</f>
        <v>503.93571472167969</v>
      </c>
      <c r="L68" s="4">
        <f>MIN(E29)</f>
        <v>2224608416</v>
      </c>
      <c r="M68" s="30" t="s">
        <v>15</v>
      </c>
    </row>
    <row r="69" spans="1:14" x14ac:dyDescent="0.55000000000000004">
      <c r="A69" s="68">
        <v>44553</v>
      </c>
      <c r="B69" s="69" t="s">
        <v>6</v>
      </c>
      <c r="C69" s="69" t="s">
        <v>13</v>
      </c>
      <c r="D69" s="70">
        <v>195.0820617675781</v>
      </c>
      <c r="E69" s="116">
        <v>2957502464</v>
      </c>
      <c r="F69" s="4"/>
      <c r="J69" t="s">
        <v>22</v>
      </c>
      <c r="K69" s="4">
        <f>MAX(D29)</f>
        <v>503.93571472167969</v>
      </c>
      <c r="L69" s="4">
        <f>MAX(E29)</f>
        <v>2224608416</v>
      </c>
      <c r="M69" s="27"/>
    </row>
    <row r="70" spans="1:14" x14ac:dyDescent="0.55000000000000004">
      <c r="A70" s="68">
        <v>44553</v>
      </c>
      <c r="B70" s="69" t="s">
        <v>4</v>
      </c>
      <c r="C70" s="69" t="s">
        <v>11</v>
      </c>
      <c r="D70" s="70">
        <v>23.61784744262695</v>
      </c>
      <c r="E70" s="116">
        <v>8906290</v>
      </c>
      <c r="F70" s="4"/>
    </row>
    <row r="71" spans="1:14" x14ac:dyDescent="0.55000000000000004">
      <c r="A71" s="68">
        <v>44553</v>
      </c>
      <c r="B71" s="69" t="s">
        <v>3</v>
      </c>
      <c r="C71" s="69" t="s">
        <v>10</v>
      </c>
      <c r="D71" s="70">
        <v>197.60331726074219</v>
      </c>
      <c r="E71" s="116">
        <v>1705533952</v>
      </c>
      <c r="F71" s="4"/>
      <c r="J71" t="s">
        <v>34</v>
      </c>
      <c r="K71" t="s">
        <v>16</v>
      </c>
      <c r="L71" t="s">
        <v>17</v>
      </c>
      <c r="M71" t="s">
        <v>26</v>
      </c>
    </row>
    <row r="72" spans="1:14" x14ac:dyDescent="0.55000000000000004">
      <c r="A72" s="71">
        <v>44554</v>
      </c>
      <c r="B72" s="72" t="s">
        <v>2</v>
      </c>
      <c r="C72" s="72" t="s">
        <v>9</v>
      </c>
      <c r="D72" s="73">
        <v>91.500526428222656</v>
      </c>
      <c r="E72" s="117">
        <v>405036224</v>
      </c>
      <c r="F72" s="4"/>
      <c r="J72" t="s">
        <v>18</v>
      </c>
      <c r="K72" s="4">
        <f>SUM(D30:D32)</f>
        <v>284.9640097618103</v>
      </c>
      <c r="L72" s="4">
        <f>SUM(E30:E32)</f>
        <v>580529453.5</v>
      </c>
    </row>
    <row r="73" spans="1:14" x14ac:dyDescent="0.55000000000000004">
      <c r="A73" s="71">
        <v>44554</v>
      </c>
      <c r="B73" s="72" t="s">
        <v>7</v>
      </c>
      <c r="C73" s="72" t="s">
        <v>15</v>
      </c>
      <c r="D73" s="73">
        <v>744.92559051513672</v>
      </c>
      <c r="E73" s="117">
        <v>253494828</v>
      </c>
      <c r="F73" s="4"/>
      <c r="J73" t="s">
        <v>19</v>
      </c>
      <c r="K73" s="3">
        <f>AVERAGE(D30:D32)</f>
        <v>94.988003253936768</v>
      </c>
      <c r="L73" s="4">
        <f>AVERAGE(E30:E32)</f>
        <v>193509817.83333334</v>
      </c>
      <c r="M73" s="24"/>
      <c r="N73" s="33" t="s">
        <v>9</v>
      </c>
    </row>
    <row r="74" spans="1:14" x14ac:dyDescent="0.55000000000000004">
      <c r="A74" s="71">
        <v>44554</v>
      </c>
      <c r="B74" s="72" t="s">
        <v>6</v>
      </c>
      <c r="C74" s="72" t="s">
        <v>13</v>
      </c>
      <c r="D74" s="73">
        <v>40.865329742431641</v>
      </c>
      <c r="E74" s="117">
        <v>8017777.5</v>
      </c>
      <c r="F74" s="4"/>
      <c r="J74" t="s">
        <v>20</v>
      </c>
      <c r="K74" s="3">
        <f>_xlfn.STDEV.P(D30:D32)</f>
        <v>98.103518514605341</v>
      </c>
      <c r="L74" s="4">
        <f>_xlfn.STDEV.P(E30:E32)</f>
        <v>243522612.39579982</v>
      </c>
    </row>
    <row r="75" spans="1:14" x14ac:dyDescent="0.55000000000000004">
      <c r="A75" s="71">
        <v>44554</v>
      </c>
      <c r="B75" s="72" t="s">
        <v>4</v>
      </c>
      <c r="C75" s="72" t="s">
        <v>11</v>
      </c>
      <c r="D75" s="73">
        <v>123.1212501525879</v>
      </c>
      <c r="E75" s="117">
        <v>22676076.25</v>
      </c>
      <c r="F75" s="4"/>
      <c r="J75" t="s">
        <v>21</v>
      </c>
      <c r="K75" s="3">
        <f>MIN(D30:D32)</f>
        <v>7.6688151359558114</v>
      </c>
      <c r="L75" s="4">
        <f>MIN(E30:E32)</f>
        <v>14995917</v>
      </c>
      <c r="M75" s="33" t="s">
        <v>13</v>
      </c>
    </row>
    <row r="76" spans="1:14" x14ac:dyDescent="0.55000000000000004">
      <c r="A76" s="74">
        <v>44555</v>
      </c>
      <c r="B76" s="75" t="s">
        <v>7</v>
      </c>
      <c r="C76" s="75" t="s">
        <v>15</v>
      </c>
      <c r="D76" s="76">
        <v>337.72329521179199</v>
      </c>
      <c r="E76" s="118">
        <v>2299063504</v>
      </c>
      <c r="F76" s="4"/>
      <c r="J76" t="s">
        <v>22</v>
      </c>
      <c r="K76" s="4">
        <f>MAX(D30:D32)</f>
        <v>232.01766777038571</v>
      </c>
      <c r="L76" s="4">
        <f>MAX(E30:E32)</f>
        <v>537824574.5</v>
      </c>
      <c r="M76" s="33" t="s">
        <v>15</v>
      </c>
    </row>
    <row r="77" spans="1:14" x14ac:dyDescent="0.55000000000000004">
      <c r="A77" s="74">
        <v>44555</v>
      </c>
      <c r="B77" s="75" t="s">
        <v>4</v>
      </c>
      <c r="C77" s="75" t="s">
        <v>11</v>
      </c>
      <c r="D77" s="76">
        <v>69.439544677734375</v>
      </c>
      <c r="E77" s="118">
        <v>32865736</v>
      </c>
      <c r="F77" s="4"/>
    </row>
    <row r="78" spans="1:14" x14ac:dyDescent="0.55000000000000004">
      <c r="A78" s="77">
        <v>44556</v>
      </c>
      <c r="B78" s="78" t="s">
        <v>2</v>
      </c>
      <c r="C78" s="78" t="s">
        <v>9</v>
      </c>
      <c r="D78" s="79">
        <v>201.49024963378909</v>
      </c>
      <c r="E78" s="119">
        <v>563870464</v>
      </c>
      <c r="F78" s="4"/>
      <c r="J78" t="s">
        <v>35</v>
      </c>
      <c r="K78" t="s">
        <v>16</v>
      </c>
      <c r="L78" t="s">
        <v>17</v>
      </c>
      <c r="M78" t="s">
        <v>26</v>
      </c>
    </row>
    <row r="79" spans="1:14" x14ac:dyDescent="0.55000000000000004">
      <c r="A79" s="77">
        <v>44556</v>
      </c>
      <c r="B79" s="78" t="s">
        <v>4</v>
      </c>
      <c r="C79" s="78" t="s">
        <v>11</v>
      </c>
      <c r="D79" s="79">
        <v>5.1521081924438477</v>
      </c>
      <c r="E79" s="119">
        <v>26061940</v>
      </c>
      <c r="F79" s="4"/>
      <c r="J79" t="s">
        <v>18</v>
      </c>
      <c r="K79" s="4">
        <f>SUM(D33:D35)</f>
        <v>461.4418922662735</v>
      </c>
      <c r="L79" s="4">
        <f>SUM(E33:E35)</f>
        <v>1057295219.75</v>
      </c>
    </row>
    <row r="80" spans="1:14" x14ac:dyDescent="0.55000000000000004">
      <c r="A80" s="77">
        <v>44556</v>
      </c>
      <c r="B80" s="78" t="s">
        <v>3</v>
      </c>
      <c r="C80" s="78" t="s">
        <v>10</v>
      </c>
      <c r="D80" s="79">
        <v>10.73635768890381</v>
      </c>
      <c r="E80" s="119">
        <v>264043536</v>
      </c>
      <c r="F80" s="4"/>
      <c r="J80" t="s">
        <v>19</v>
      </c>
      <c r="K80" s="3">
        <f>AVERAGE(D33:D35)</f>
        <v>153.81396408875784</v>
      </c>
      <c r="L80" s="4">
        <f>AVERAGE(E33:E35)</f>
        <v>352431739.91666669</v>
      </c>
      <c r="M80" s="36" t="s">
        <v>15</v>
      </c>
    </row>
    <row r="81" spans="1:14" x14ac:dyDescent="0.55000000000000004">
      <c r="A81" s="80">
        <v>44557</v>
      </c>
      <c r="B81" s="81" t="s">
        <v>2</v>
      </c>
      <c r="C81" s="81" t="s">
        <v>9</v>
      </c>
      <c r="D81" s="82">
        <v>114.95172214508059</v>
      </c>
      <c r="E81" s="120">
        <v>220874635</v>
      </c>
      <c r="F81" s="4"/>
      <c r="J81" t="s">
        <v>20</v>
      </c>
      <c r="K81" s="3">
        <f>_xlfn.STDEV.P(D33:D35)</f>
        <v>61.980157119537481</v>
      </c>
      <c r="L81" s="4">
        <f>_xlfn.STDEV.P(E33:E35)</f>
        <v>360260633.10943431</v>
      </c>
    </row>
    <row r="82" spans="1:14" x14ac:dyDescent="0.55000000000000004">
      <c r="A82" s="80">
        <v>44557</v>
      </c>
      <c r="B82" s="81" t="s">
        <v>7</v>
      </c>
      <c r="C82" s="81" t="s">
        <v>15</v>
      </c>
      <c r="D82" s="82">
        <v>677.79721164703369</v>
      </c>
      <c r="E82" s="120">
        <v>1432727330.5</v>
      </c>
      <c r="F82" s="4"/>
      <c r="J82" t="s">
        <v>21</v>
      </c>
      <c r="K82" s="3">
        <f>MIN(D33:D35)</f>
        <v>71.654512524604797</v>
      </c>
      <c r="L82" s="4">
        <f>MIN(E33:E35)</f>
        <v>32269366.5</v>
      </c>
      <c r="M82" s="36" t="s">
        <v>11</v>
      </c>
    </row>
    <row r="83" spans="1:14" x14ac:dyDescent="0.55000000000000004">
      <c r="A83" s="80">
        <v>44557</v>
      </c>
      <c r="B83" s="81" t="s">
        <v>6</v>
      </c>
      <c r="C83" s="81" t="s">
        <v>13</v>
      </c>
      <c r="D83" s="82">
        <v>40.668262481689453</v>
      </c>
      <c r="E83" s="120">
        <v>958099520</v>
      </c>
      <c r="F83" s="4"/>
      <c r="J83" t="s">
        <v>22</v>
      </c>
      <c r="K83" s="4">
        <f>MAX(D33:D35)</f>
        <v>221.34512090682981</v>
      </c>
      <c r="L83" s="4">
        <f>MAX(E33:E35)</f>
        <v>855738255.875</v>
      </c>
      <c r="M83" s="36" t="s">
        <v>9</v>
      </c>
    </row>
    <row r="84" spans="1:14" x14ac:dyDescent="0.55000000000000004">
      <c r="A84" s="80">
        <v>44557</v>
      </c>
      <c r="B84" s="81" t="s">
        <v>4</v>
      </c>
      <c r="C84" s="81" t="s">
        <v>11</v>
      </c>
      <c r="D84" s="82">
        <v>26.052961349487301</v>
      </c>
      <c r="E84" s="120">
        <v>4996958</v>
      </c>
      <c r="F84" s="4"/>
    </row>
    <row r="85" spans="1:14" x14ac:dyDescent="0.55000000000000004">
      <c r="A85" s="83">
        <v>44558</v>
      </c>
      <c r="B85" s="84" t="s">
        <v>2</v>
      </c>
      <c r="C85" s="84" t="s">
        <v>9</v>
      </c>
      <c r="D85" s="85">
        <v>1.953472971916199</v>
      </c>
      <c r="E85" s="121">
        <v>486024.0625</v>
      </c>
      <c r="F85" s="4"/>
      <c r="J85" t="s">
        <v>36</v>
      </c>
      <c r="K85" t="s">
        <v>16</v>
      </c>
      <c r="L85" t="s">
        <v>17</v>
      </c>
      <c r="M85" t="s">
        <v>26</v>
      </c>
    </row>
    <row r="86" spans="1:14" x14ac:dyDescent="0.55000000000000004">
      <c r="A86" s="83">
        <v>44558</v>
      </c>
      <c r="B86" s="84" t="s">
        <v>6</v>
      </c>
      <c r="C86" s="84" t="s">
        <v>13</v>
      </c>
      <c r="D86" s="85">
        <v>44.437107086181641</v>
      </c>
      <c r="E86" s="121">
        <v>8563031</v>
      </c>
      <c r="F86" s="4"/>
      <c r="J86" t="s">
        <v>18</v>
      </c>
      <c r="K86" s="4"/>
      <c r="L86" s="4"/>
    </row>
    <row r="87" spans="1:14" x14ac:dyDescent="0.55000000000000004">
      <c r="A87" s="83">
        <v>44558</v>
      </c>
      <c r="B87" s="84" t="s">
        <v>3</v>
      </c>
      <c r="C87" s="84" t="s">
        <v>10</v>
      </c>
      <c r="D87" s="85">
        <v>5.0987730026245117</v>
      </c>
      <c r="E87" s="121">
        <v>21002356</v>
      </c>
      <c r="F87" s="4"/>
      <c r="J87" t="s">
        <v>19</v>
      </c>
      <c r="K87" s="3"/>
      <c r="L87" s="4"/>
      <c r="M87" s="24"/>
    </row>
    <row r="88" spans="1:14" x14ac:dyDescent="0.55000000000000004">
      <c r="A88" s="86">
        <v>44559</v>
      </c>
      <c r="B88" s="87" t="s">
        <v>2</v>
      </c>
      <c r="C88" s="87" t="s">
        <v>9</v>
      </c>
      <c r="D88" s="88">
        <v>201.55277526378629</v>
      </c>
      <c r="E88" s="122">
        <v>897518281.9375</v>
      </c>
      <c r="F88" s="4"/>
      <c r="J88" t="s">
        <v>20</v>
      </c>
      <c r="K88" s="3"/>
      <c r="L88" s="4"/>
    </row>
    <row r="89" spans="1:14" x14ac:dyDescent="0.55000000000000004">
      <c r="A89" s="86">
        <v>44559</v>
      </c>
      <c r="B89" s="87" t="s">
        <v>7</v>
      </c>
      <c r="C89" s="87" t="s">
        <v>15</v>
      </c>
      <c r="D89" s="88">
        <v>26.40361046791077</v>
      </c>
      <c r="E89" s="122">
        <v>5219626.5</v>
      </c>
      <c r="F89" s="4"/>
      <c r="J89" t="s">
        <v>21</v>
      </c>
      <c r="K89" s="3"/>
      <c r="L89" s="4"/>
      <c r="M89" s="33"/>
    </row>
    <row r="90" spans="1:14" x14ac:dyDescent="0.55000000000000004">
      <c r="A90" s="86">
        <v>44559</v>
      </c>
      <c r="B90" s="87" t="s">
        <v>6</v>
      </c>
      <c r="C90" s="87" t="s">
        <v>13</v>
      </c>
      <c r="D90" s="88">
        <v>281.82143807411188</v>
      </c>
      <c r="E90" s="122">
        <v>54109688.4375</v>
      </c>
      <c r="F90" s="4"/>
      <c r="J90" t="s">
        <v>22</v>
      </c>
      <c r="K90" s="4"/>
      <c r="L90" s="4"/>
      <c r="M90" s="33"/>
    </row>
    <row r="91" spans="1:14" x14ac:dyDescent="0.55000000000000004">
      <c r="A91" s="89">
        <v>44560</v>
      </c>
      <c r="B91" s="90" t="s">
        <v>2</v>
      </c>
      <c r="C91" s="90" t="s">
        <v>9</v>
      </c>
      <c r="D91" s="91">
        <v>430.66260528564447</v>
      </c>
      <c r="E91" s="123">
        <v>1285230357</v>
      </c>
      <c r="F91" s="4"/>
    </row>
    <row r="92" spans="1:14" x14ac:dyDescent="0.55000000000000004">
      <c r="A92" s="89">
        <v>44560</v>
      </c>
      <c r="B92" s="90" t="s">
        <v>7</v>
      </c>
      <c r="C92" s="90" t="s">
        <v>15</v>
      </c>
      <c r="D92" s="91">
        <v>400.87734985351563</v>
      </c>
      <c r="E92" s="123">
        <v>231852656</v>
      </c>
      <c r="F92" s="4"/>
      <c r="J92" t="s">
        <v>37</v>
      </c>
      <c r="K92" t="s">
        <v>16</v>
      </c>
      <c r="L92" t="s">
        <v>17</v>
      </c>
      <c r="M92" t="s">
        <v>26</v>
      </c>
    </row>
    <row r="93" spans="1:14" x14ac:dyDescent="0.55000000000000004">
      <c r="A93" s="92">
        <v>44561</v>
      </c>
      <c r="B93" s="93" t="s">
        <v>2</v>
      </c>
      <c r="C93" s="93" t="s">
        <v>9</v>
      </c>
      <c r="D93" s="94">
        <v>94.75714635848999</v>
      </c>
      <c r="E93" s="124">
        <v>66710686</v>
      </c>
      <c r="F93" s="4"/>
      <c r="J93" t="s">
        <v>18</v>
      </c>
      <c r="K93" s="4">
        <f>SUM(D36:D37)</f>
        <v>190.75520777702329</v>
      </c>
      <c r="L93" s="4">
        <f>SUM(E36:E37)</f>
        <v>37158206.25</v>
      </c>
    </row>
    <row r="94" spans="1:14" x14ac:dyDescent="0.55000000000000004">
      <c r="A94" s="92">
        <v>44561</v>
      </c>
      <c r="B94" s="93" t="s">
        <v>7</v>
      </c>
      <c r="C94" s="93" t="s">
        <v>15</v>
      </c>
      <c r="D94" s="94">
        <v>6.7479572296142578</v>
      </c>
      <c r="E94" s="124">
        <v>1294258.25</v>
      </c>
      <c r="F94" s="4"/>
      <c r="J94" t="s">
        <v>19</v>
      </c>
      <c r="K94" s="3">
        <f>AVERAGE(D36:D37)</f>
        <v>95.377603888511644</v>
      </c>
      <c r="L94" s="4">
        <f>AVERAGE(E36:E37)</f>
        <v>18579103.125</v>
      </c>
      <c r="M94" s="24"/>
      <c r="N94" s="39" t="s">
        <v>11</v>
      </c>
    </row>
    <row r="95" spans="1:14" x14ac:dyDescent="0.55000000000000004">
      <c r="A95" s="92">
        <v>44561</v>
      </c>
      <c r="B95" s="93" t="s">
        <v>4</v>
      </c>
      <c r="C95" s="93" t="s">
        <v>11</v>
      </c>
      <c r="D95" s="94">
        <v>70.35565185546875</v>
      </c>
      <c r="E95" s="124">
        <v>17293420</v>
      </c>
      <c r="F95" s="4"/>
      <c r="J95" t="s">
        <v>20</v>
      </c>
      <c r="K95" s="3">
        <f>_xlfn.STDEV.P(D36:D37)</f>
        <v>92.560903191566467</v>
      </c>
      <c r="L95" s="4">
        <f>_xlfn.STDEV.P(E36:E37)</f>
        <v>17843380.875</v>
      </c>
    </row>
    <row r="96" spans="1:14" x14ac:dyDescent="0.55000000000000004">
      <c r="A96" s="92">
        <v>44561</v>
      </c>
      <c r="B96" s="93" t="s">
        <v>3</v>
      </c>
      <c r="C96" s="93" t="s">
        <v>10</v>
      </c>
      <c r="D96" s="94">
        <v>54.172031402587891</v>
      </c>
      <c r="E96" s="124">
        <v>722107776</v>
      </c>
      <c r="F96" s="4"/>
      <c r="J96" t="s">
        <v>21</v>
      </c>
      <c r="K96" s="3">
        <f>MIN(D36:D37)</f>
        <v>2.81670069694519</v>
      </c>
      <c r="L96" s="4">
        <f>MIN(E36:E37)</f>
        <v>735722.25</v>
      </c>
      <c r="M96" s="39" t="s">
        <v>13</v>
      </c>
    </row>
    <row r="97" spans="10:14" x14ac:dyDescent="0.55000000000000004">
      <c r="J97" t="s">
        <v>22</v>
      </c>
      <c r="K97" s="4">
        <f>MAX(D36:D37)</f>
        <v>187.9385070800781</v>
      </c>
      <c r="L97" s="4">
        <f>MAX(E36:E37)</f>
        <v>36422484</v>
      </c>
      <c r="M97" s="39" t="s">
        <v>11</v>
      </c>
    </row>
    <row r="99" spans="10:14" x14ac:dyDescent="0.55000000000000004">
      <c r="J99" t="s">
        <v>38</v>
      </c>
      <c r="K99" t="s">
        <v>16</v>
      </c>
      <c r="L99" t="s">
        <v>17</v>
      </c>
      <c r="M99" t="s">
        <v>26</v>
      </c>
    </row>
    <row r="100" spans="10:14" x14ac:dyDescent="0.55000000000000004">
      <c r="J100" t="s">
        <v>18</v>
      </c>
      <c r="K100" s="4">
        <f>SUM(D38:D39)</f>
        <v>102.54776668548583</v>
      </c>
      <c r="L100" s="4">
        <f>SUM(E38:E39)</f>
        <v>19044397.875</v>
      </c>
    </row>
    <row r="101" spans="10:14" x14ac:dyDescent="0.55000000000000004">
      <c r="J101" t="s">
        <v>19</v>
      </c>
      <c r="K101" s="3">
        <f>AVERAGE(D38:D39)</f>
        <v>51.273883342742913</v>
      </c>
      <c r="L101" s="4">
        <f>AVERAGE(E38:E39)</f>
        <v>9522198.9375</v>
      </c>
      <c r="M101" s="24"/>
      <c r="N101" s="42" t="s">
        <v>9</v>
      </c>
    </row>
    <row r="102" spans="10:14" x14ac:dyDescent="0.55000000000000004">
      <c r="J102" t="s">
        <v>20</v>
      </c>
      <c r="K102" s="3">
        <f>_xlfn.STDEV.P(D38:D39)</f>
        <v>50.274410724639878</v>
      </c>
      <c r="L102" s="4">
        <f>_xlfn.STDEV.P(E38:E39)</f>
        <v>9264235.0625</v>
      </c>
    </row>
    <row r="103" spans="10:14" x14ac:dyDescent="0.55000000000000004">
      <c r="J103" t="s">
        <v>21</v>
      </c>
      <c r="K103" s="3">
        <f>MIN(D38:D39)</f>
        <v>0.99947261810302734</v>
      </c>
      <c r="L103" s="4">
        <f>MIN(E38:E39)</f>
        <v>257963.875</v>
      </c>
      <c r="M103" s="42" t="s">
        <v>15</v>
      </c>
    </row>
    <row r="104" spans="10:14" x14ac:dyDescent="0.55000000000000004">
      <c r="J104" t="s">
        <v>22</v>
      </c>
      <c r="K104" s="4">
        <f>MAX(D38:D39)</f>
        <v>101.5482940673828</v>
      </c>
      <c r="L104" s="4">
        <f>MAX(E38:E39)</f>
        <v>18786434</v>
      </c>
      <c r="M104" s="42" t="s">
        <v>9</v>
      </c>
    </row>
    <row r="106" spans="10:14" x14ac:dyDescent="0.55000000000000004">
      <c r="J106" t="s">
        <v>39</v>
      </c>
      <c r="K106" t="s">
        <v>16</v>
      </c>
      <c r="L106" t="s">
        <v>17</v>
      </c>
      <c r="M106" t="s">
        <v>26</v>
      </c>
    </row>
    <row r="107" spans="10:14" x14ac:dyDescent="0.55000000000000004">
      <c r="J107" t="s">
        <v>18</v>
      </c>
      <c r="K107" s="4">
        <f>SUM(D40:D41)</f>
        <v>114.18427181243895</v>
      </c>
      <c r="L107" s="4">
        <f>SUM(E40:E41)</f>
        <v>43296443.5</v>
      </c>
    </row>
    <row r="108" spans="10:14" x14ac:dyDescent="0.55000000000000004">
      <c r="J108" t="s">
        <v>19</v>
      </c>
      <c r="K108" s="3">
        <f>AVERAGE(D40:D41)</f>
        <v>57.092135906219475</v>
      </c>
      <c r="L108" s="4">
        <f>AVERAGE(E40:E41)</f>
        <v>21648221.75</v>
      </c>
      <c r="M108" s="24"/>
      <c r="N108" s="45" t="s">
        <v>9</v>
      </c>
    </row>
    <row r="109" spans="10:14" x14ac:dyDescent="0.55000000000000004">
      <c r="J109" t="s">
        <v>20</v>
      </c>
      <c r="K109" s="3">
        <f>_xlfn.STDEV.P(D40:D41)</f>
        <v>44.456158161163309</v>
      </c>
      <c r="L109" s="4">
        <f>_xlfn.STDEV.P(E40:E41)</f>
        <v>16645638.25</v>
      </c>
    </row>
    <row r="110" spans="10:14" x14ac:dyDescent="0.55000000000000004">
      <c r="J110" t="s">
        <v>21</v>
      </c>
      <c r="K110" s="3">
        <f>MIN(D40:D41)</f>
        <v>12.635977745056151</v>
      </c>
      <c r="L110" s="4">
        <f>MIN(E40:E41)</f>
        <v>5002583.5</v>
      </c>
      <c r="M110" s="45" t="s">
        <v>15</v>
      </c>
    </row>
    <row r="111" spans="10:14" x14ac:dyDescent="0.55000000000000004">
      <c r="J111" t="s">
        <v>22</v>
      </c>
      <c r="K111" s="4">
        <f>MAX(D40:D41)</f>
        <v>101.5482940673828</v>
      </c>
      <c r="L111" s="4">
        <f>MAX(E40:E41)</f>
        <v>38293860</v>
      </c>
      <c r="M111" s="45" t="s">
        <v>9</v>
      </c>
    </row>
    <row r="113" spans="10:14" x14ac:dyDescent="0.55000000000000004">
      <c r="J113" t="s">
        <v>40</v>
      </c>
      <c r="K113" t="s">
        <v>16</v>
      </c>
      <c r="L113" t="s">
        <v>17</v>
      </c>
      <c r="M113" t="s">
        <v>26</v>
      </c>
    </row>
    <row r="114" spans="10:14" x14ac:dyDescent="0.55000000000000004">
      <c r="J114" t="s">
        <v>18</v>
      </c>
      <c r="K114" s="4">
        <f>SUM(D42:D46)</f>
        <v>343.81526184082031</v>
      </c>
      <c r="L114" s="4">
        <f>SUM(E42:E46)</f>
        <v>1503120350.75</v>
      </c>
    </row>
    <row r="115" spans="10:14" x14ac:dyDescent="0.55000000000000004">
      <c r="J115" t="s">
        <v>19</v>
      </c>
      <c r="K115" s="3">
        <f>AVERAGE(D42:D46)</f>
        <v>68.763052368164068</v>
      </c>
      <c r="L115" s="4">
        <f>AVERAGE(E42:E46)</f>
        <v>300624070.14999998</v>
      </c>
      <c r="M115" s="48" t="s">
        <v>11</v>
      </c>
    </row>
    <row r="116" spans="10:14" x14ac:dyDescent="0.55000000000000004">
      <c r="J116" t="s">
        <v>20</v>
      </c>
      <c r="K116" s="3">
        <f>_xlfn.STDEV.P(D42:D46)</f>
        <v>67.901436435797208</v>
      </c>
      <c r="L116" s="4">
        <f>_xlfn.STDEV.P(E42:E46)</f>
        <v>312398616.67781544</v>
      </c>
    </row>
    <row r="117" spans="10:14" x14ac:dyDescent="0.55000000000000004">
      <c r="J117" t="s">
        <v>21</v>
      </c>
      <c r="K117" s="3">
        <f>MIN(D42:D46)</f>
        <v>12.41835880279541</v>
      </c>
      <c r="L117" s="4">
        <f>MIN(E42:E46)</f>
        <v>58724412</v>
      </c>
      <c r="M117" s="48" t="s">
        <v>10</v>
      </c>
    </row>
    <row r="118" spans="10:14" x14ac:dyDescent="0.55000000000000004">
      <c r="J118" t="s">
        <v>22</v>
      </c>
      <c r="K118" s="4">
        <f>MAX(D42:D46)</f>
        <v>179.83604860305789</v>
      </c>
      <c r="L118" s="4">
        <f>MAX(E42:E46)</f>
        <v>893590718.5</v>
      </c>
      <c r="M118" s="48" t="s">
        <v>9</v>
      </c>
    </row>
    <row r="120" spans="10:14" x14ac:dyDescent="0.55000000000000004">
      <c r="J120" t="s">
        <v>41</v>
      </c>
      <c r="K120" t="s">
        <v>16</v>
      </c>
      <c r="L120" t="s">
        <v>17</v>
      </c>
      <c r="M120" t="s">
        <v>26</v>
      </c>
    </row>
    <row r="121" spans="10:14" x14ac:dyDescent="0.55000000000000004">
      <c r="J121" t="s">
        <v>18</v>
      </c>
      <c r="K121" s="4">
        <f>SUM(D47:D48)</f>
        <v>431.85752010345459</v>
      </c>
      <c r="L121" s="4">
        <f>SUM(E47:E48)</f>
        <v>1828693522.5</v>
      </c>
    </row>
    <row r="122" spans="10:14" x14ac:dyDescent="0.55000000000000004">
      <c r="J122" t="s">
        <v>19</v>
      </c>
      <c r="K122" s="3">
        <f>AVERAGE(D47:D48)</f>
        <v>215.92876005172729</v>
      </c>
      <c r="L122" s="4">
        <f>AVERAGE(E47:E48)</f>
        <v>914346761.25</v>
      </c>
      <c r="M122" s="24"/>
      <c r="N122" s="51" t="s">
        <v>11</v>
      </c>
    </row>
    <row r="123" spans="10:14" x14ac:dyDescent="0.55000000000000004">
      <c r="J123" t="s">
        <v>20</v>
      </c>
      <c r="K123" s="3">
        <f>_xlfn.STDEV.P(D47:D48)</f>
        <v>35.448970317840519</v>
      </c>
      <c r="L123" s="4">
        <f>_xlfn.STDEV.P(E47:E48)</f>
        <v>459063305.24999988</v>
      </c>
    </row>
    <row r="124" spans="10:14" x14ac:dyDescent="0.55000000000000004">
      <c r="J124" t="s">
        <v>21</v>
      </c>
      <c r="K124" s="3">
        <f>MIN(D47:D48)</f>
        <v>180.47978973388669</v>
      </c>
      <c r="L124" s="4">
        <f>MIN(E47:E48)</f>
        <v>455283456</v>
      </c>
      <c r="M124" s="51" t="s">
        <v>15</v>
      </c>
    </row>
    <row r="125" spans="10:14" x14ac:dyDescent="0.55000000000000004">
      <c r="J125" t="s">
        <v>22</v>
      </c>
      <c r="K125" s="4">
        <f>MAX(D47:D48)</f>
        <v>251.3777303695679</v>
      </c>
      <c r="L125" s="4">
        <f>MAX(E47:E48)</f>
        <v>1373410066.5</v>
      </c>
      <c r="M125" s="51" t="s">
        <v>11</v>
      </c>
    </row>
    <row r="127" spans="10:14" x14ac:dyDescent="0.55000000000000004">
      <c r="J127" t="s">
        <v>42</v>
      </c>
      <c r="K127" t="s">
        <v>16</v>
      </c>
      <c r="L127" t="s">
        <v>17</v>
      </c>
      <c r="M127" t="s">
        <v>26</v>
      </c>
    </row>
    <row r="128" spans="10:14" x14ac:dyDescent="0.55000000000000004">
      <c r="J128" t="s">
        <v>18</v>
      </c>
      <c r="K128" s="4">
        <f>SUM(D49:D52)</f>
        <v>224.25515127182007</v>
      </c>
      <c r="L128" s="4">
        <f>SUM(E49:E52)</f>
        <v>516100026.25</v>
      </c>
    </row>
    <row r="129" spans="10:15" x14ac:dyDescent="0.55000000000000004">
      <c r="J129" t="s">
        <v>19</v>
      </c>
      <c r="K129" s="3">
        <f>AVERAGE(D49:D52)</f>
        <v>56.063787817955017</v>
      </c>
      <c r="L129" s="4">
        <f>AVERAGE(E49:E52)</f>
        <v>129025006.5625</v>
      </c>
      <c r="M129" s="24"/>
      <c r="N129" s="54" t="s">
        <v>15</v>
      </c>
      <c r="O129" s="54" t="s">
        <v>9</v>
      </c>
    </row>
    <row r="130" spans="10:15" x14ac:dyDescent="0.55000000000000004">
      <c r="J130" t="s">
        <v>20</v>
      </c>
      <c r="K130" s="3">
        <f>_xlfn.STDEV.P(D49:D52)</f>
        <v>43.976336625447011</v>
      </c>
      <c r="L130" s="4">
        <f>_xlfn.STDEV.P(E49:E52)</f>
        <v>209806824.8958452</v>
      </c>
    </row>
    <row r="131" spans="10:15" x14ac:dyDescent="0.55000000000000004">
      <c r="J131" t="s">
        <v>21</v>
      </c>
      <c r="K131" s="3">
        <f>MIN(D49:D52)</f>
        <v>10.593343734741209</v>
      </c>
      <c r="L131" s="4">
        <f>MIN(E49:E52)</f>
        <v>2056168</v>
      </c>
      <c r="M131" s="54" t="s">
        <v>13</v>
      </c>
      <c r="O131" s="54" t="s">
        <v>11</v>
      </c>
    </row>
    <row r="132" spans="10:15" x14ac:dyDescent="0.55000000000000004">
      <c r="J132" t="s">
        <v>22</v>
      </c>
      <c r="K132" s="4">
        <f>MAX(D49:D52)</f>
        <v>104.52700042724609</v>
      </c>
      <c r="L132" s="4">
        <f>MAX(E49:E52)</f>
        <v>492226611</v>
      </c>
      <c r="M132" s="54" t="s">
        <v>15</v>
      </c>
    </row>
    <row r="134" spans="10:15" x14ac:dyDescent="0.55000000000000004">
      <c r="J134" t="s">
        <v>43</v>
      </c>
      <c r="K134" t="s">
        <v>16</v>
      </c>
      <c r="L134" t="s">
        <v>17</v>
      </c>
      <c r="M134" t="s">
        <v>26</v>
      </c>
    </row>
    <row r="135" spans="10:15" x14ac:dyDescent="0.55000000000000004">
      <c r="J135" t="s">
        <v>18</v>
      </c>
      <c r="K135" s="4">
        <f>SUM(D53:D56)</f>
        <v>686.76623725891113</v>
      </c>
      <c r="L135" s="4">
        <f>SUM(E53:E56)</f>
        <v>1299512092</v>
      </c>
    </row>
    <row r="136" spans="10:15" x14ac:dyDescent="0.55000000000000004">
      <c r="J136" t="s">
        <v>19</v>
      </c>
      <c r="K136" s="3">
        <f>AVERAGE(D53:D56)</f>
        <v>171.69155931472778</v>
      </c>
      <c r="L136" s="4">
        <f>AVERAGE(E53:E56)</f>
        <v>324878023</v>
      </c>
      <c r="M136" s="57" t="s">
        <v>13</v>
      </c>
    </row>
    <row r="137" spans="10:15" x14ac:dyDescent="0.55000000000000004">
      <c r="J137" t="s">
        <v>20</v>
      </c>
      <c r="K137" s="3">
        <f>_xlfn.STDEV.P(D53:D56)</f>
        <v>186.66555867542442</v>
      </c>
      <c r="L137" s="4">
        <f>_xlfn.STDEV.P(E53:E56)</f>
        <v>253494877.64974019</v>
      </c>
    </row>
    <row r="138" spans="10:15" x14ac:dyDescent="0.55000000000000004">
      <c r="J138" t="s">
        <v>21</v>
      </c>
      <c r="K138" s="3">
        <f>MIN(D53:D56)</f>
        <v>11.9759578704834</v>
      </c>
      <c r="L138" s="4">
        <f>MIN(E53:E56)</f>
        <v>135630880</v>
      </c>
      <c r="M138" s="57" t="s">
        <v>9</v>
      </c>
      <c r="N138" s="57" t="s">
        <v>15</v>
      </c>
    </row>
    <row r="139" spans="10:15" x14ac:dyDescent="0.55000000000000004">
      <c r="J139" t="s">
        <v>22</v>
      </c>
      <c r="K139" s="4">
        <f>MAX(D53:D56)</f>
        <v>480.65370178222662</v>
      </c>
      <c r="L139" s="4">
        <f>MAX(E53:E56)</f>
        <v>756249024</v>
      </c>
      <c r="M139" s="57" t="s">
        <v>11</v>
      </c>
    </row>
    <row r="141" spans="10:15" x14ac:dyDescent="0.55000000000000004">
      <c r="J141" t="s">
        <v>44</v>
      </c>
      <c r="K141" t="s">
        <v>16</v>
      </c>
      <c r="L141" t="s">
        <v>17</v>
      </c>
      <c r="M141" t="s">
        <v>26</v>
      </c>
    </row>
    <row r="142" spans="10:15" x14ac:dyDescent="0.55000000000000004">
      <c r="J142" t="s">
        <v>18</v>
      </c>
      <c r="K142" s="4">
        <f>SUM(D57:D59)</f>
        <v>378.31311130523682</v>
      </c>
      <c r="L142" s="4">
        <f>SUM(E57:E59)</f>
        <v>129665053</v>
      </c>
    </row>
    <row r="143" spans="10:15" x14ac:dyDescent="0.55000000000000004">
      <c r="J143" t="s">
        <v>19</v>
      </c>
      <c r="K143" s="3">
        <f>AVERAGE(D57:D59)</f>
        <v>126.10437043507893</v>
      </c>
      <c r="L143" s="4">
        <f>AVERAGE(E57:E59)</f>
        <v>43221684.333333336</v>
      </c>
      <c r="M143" s="60" t="s">
        <v>11</v>
      </c>
    </row>
    <row r="144" spans="10:15" x14ac:dyDescent="0.55000000000000004">
      <c r="J144" t="s">
        <v>20</v>
      </c>
      <c r="K144" s="3">
        <f>_xlfn.STDEV.P(D57:D59)</f>
        <v>92.03266748582044</v>
      </c>
      <c r="L144" s="4">
        <f>_xlfn.STDEV.P(E57:E59)</f>
        <v>2056871.2407979155</v>
      </c>
    </row>
    <row r="145" spans="10:14" x14ac:dyDescent="0.55000000000000004">
      <c r="J145" t="s">
        <v>21</v>
      </c>
      <c r="K145" s="3">
        <f>MIN(D57:D59)</f>
        <v>9.2445993423461914</v>
      </c>
      <c r="L145" s="4">
        <f>MIN(E57:E59)</f>
        <v>40970216</v>
      </c>
      <c r="M145" s="60" t="s">
        <v>15</v>
      </c>
    </row>
    <row r="146" spans="10:14" x14ac:dyDescent="0.55000000000000004">
      <c r="J146" t="s">
        <v>22</v>
      </c>
      <c r="K146" s="4">
        <f>MAX(D57:D59)</f>
        <v>234.1614990234375</v>
      </c>
      <c r="L146" s="4">
        <f>MAX(E57:E59)</f>
        <v>45942488</v>
      </c>
      <c r="M146" s="60" t="s">
        <v>13</v>
      </c>
    </row>
    <row r="148" spans="10:14" x14ac:dyDescent="0.55000000000000004">
      <c r="J148" t="s">
        <v>45</v>
      </c>
      <c r="K148" t="s">
        <v>16</v>
      </c>
      <c r="L148" t="s">
        <v>17</v>
      </c>
      <c r="M148" t="s">
        <v>26</v>
      </c>
    </row>
    <row r="149" spans="10:14" x14ac:dyDescent="0.55000000000000004">
      <c r="J149" t="s">
        <v>18</v>
      </c>
      <c r="K149" s="4">
        <f>SUM(D60:D62)</f>
        <v>269.19110488891602</v>
      </c>
      <c r="L149" s="4">
        <f>SUM(E60:E62)</f>
        <v>1589081532</v>
      </c>
    </row>
    <row r="150" spans="10:14" x14ac:dyDescent="0.55000000000000004">
      <c r="J150" t="s">
        <v>19</v>
      </c>
      <c r="K150" s="3">
        <f>AVERAGE(D60:D62)</f>
        <v>89.730368296305343</v>
      </c>
      <c r="L150" s="4">
        <f>AVERAGE(E60:E62)</f>
        <v>529693844</v>
      </c>
      <c r="M150" s="24"/>
      <c r="N150" s="63" t="s">
        <v>13</v>
      </c>
    </row>
    <row r="151" spans="10:14" x14ac:dyDescent="0.55000000000000004">
      <c r="J151" t="s">
        <v>20</v>
      </c>
      <c r="K151" s="3">
        <f>_xlfn.STDEV.P(D60:D62)</f>
        <v>58.411812920541493</v>
      </c>
      <c r="L151" s="4">
        <f>_xlfn.STDEV.P(E60:E62)</f>
        <v>578668893.59149408</v>
      </c>
    </row>
    <row r="152" spans="10:14" x14ac:dyDescent="0.55000000000000004">
      <c r="J152" t="s">
        <v>21</v>
      </c>
      <c r="K152" s="3">
        <f>MIN(D60:D62)</f>
        <v>29.704229354858398</v>
      </c>
      <c r="L152" s="4">
        <f>MIN(E60:E62)</f>
        <v>112287220</v>
      </c>
      <c r="M152" s="63" t="s">
        <v>15</v>
      </c>
      <c r="N152" s="63" t="s">
        <v>9</v>
      </c>
    </row>
    <row r="153" spans="10:14" x14ac:dyDescent="0.55000000000000004">
      <c r="J153" t="s">
        <v>22</v>
      </c>
      <c r="K153" s="4">
        <f>MAX(D60:D62)</f>
        <v>168.89175224304199</v>
      </c>
      <c r="L153" s="4">
        <f>MAX(E60:E62)</f>
        <v>1347999744</v>
      </c>
      <c r="M153" s="63" t="s">
        <v>13</v>
      </c>
    </row>
    <row r="155" spans="10:14" x14ac:dyDescent="0.55000000000000004">
      <c r="J155" t="s">
        <v>46</v>
      </c>
      <c r="K155" t="s">
        <v>16</v>
      </c>
      <c r="L155" t="s">
        <v>17</v>
      </c>
      <c r="M155" t="s">
        <v>26</v>
      </c>
    </row>
    <row r="156" spans="10:14" x14ac:dyDescent="0.55000000000000004">
      <c r="J156" t="s">
        <v>18</v>
      </c>
      <c r="K156" s="4">
        <f>SUM(D63:D66)</f>
        <v>403.01807260513306</v>
      </c>
      <c r="L156" s="4">
        <f>SUM(E63:E66)</f>
        <v>553467909.75</v>
      </c>
    </row>
    <row r="157" spans="10:14" x14ac:dyDescent="0.55000000000000004">
      <c r="J157" t="s">
        <v>19</v>
      </c>
      <c r="K157" s="3">
        <f>AVERAGE(D63:D66)</f>
        <v>100.75451815128326</v>
      </c>
      <c r="L157" s="4">
        <f>AVERAGE(E63:E66)</f>
        <v>138366977.4375</v>
      </c>
      <c r="M157" s="66" t="s">
        <v>15</v>
      </c>
    </row>
    <row r="158" spans="10:14" x14ac:dyDescent="0.55000000000000004">
      <c r="J158" t="s">
        <v>20</v>
      </c>
      <c r="K158" s="3">
        <f>_xlfn.STDEV.P(D63:D66)</f>
        <v>114.14355413081857</v>
      </c>
      <c r="L158" s="4">
        <f>_xlfn.STDEV.P(E63:E66)</f>
        <v>157838330.0636864</v>
      </c>
    </row>
    <row r="159" spans="10:14" x14ac:dyDescent="0.55000000000000004">
      <c r="J159" t="s">
        <v>21</v>
      </c>
      <c r="K159" s="3">
        <f>MIN(D63:D66)</f>
        <v>1.8994970321655269</v>
      </c>
      <c r="L159" s="4">
        <f>MIN(E63:E66)</f>
        <v>354826.03125</v>
      </c>
      <c r="M159" s="66" t="s">
        <v>13</v>
      </c>
      <c r="N159" s="66" t="s">
        <v>10</v>
      </c>
    </row>
    <row r="160" spans="10:14" x14ac:dyDescent="0.55000000000000004">
      <c r="J160" t="s">
        <v>22</v>
      </c>
      <c r="K160" s="4">
        <f>MAX(D63:D66)</f>
        <v>285.7878098487854</v>
      </c>
      <c r="L160" s="4">
        <f>MAX(E63:E66)</f>
        <v>385976416</v>
      </c>
      <c r="M160" s="66" t="s">
        <v>9</v>
      </c>
    </row>
    <row r="162" spans="10:14" x14ac:dyDescent="0.55000000000000004">
      <c r="J162" t="s">
        <v>47</v>
      </c>
      <c r="K162" t="s">
        <v>16</v>
      </c>
      <c r="L162" t="s">
        <v>17</v>
      </c>
      <c r="M162" t="s">
        <v>26</v>
      </c>
    </row>
    <row r="163" spans="10:14" x14ac:dyDescent="0.55000000000000004">
      <c r="J163" t="s">
        <v>18</v>
      </c>
      <c r="K163" s="4">
        <f>SUM(D67:D71)</f>
        <v>770.08971405029297</v>
      </c>
      <c r="L163" s="4">
        <f>SUM(E67:E71)</f>
        <v>8784332902</v>
      </c>
    </row>
    <row r="164" spans="10:14" x14ac:dyDescent="0.55000000000000004">
      <c r="J164" t="s">
        <v>19</v>
      </c>
      <c r="K164" s="3">
        <f>AVERAGE(D67:D71)</f>
        <v>154.0179428100586</v>
      </c>
      <c r="L164" s="4">
        <f>AVERAGE(E67:E71)</f>
        <v>1756866580.4000001</v>
      </c>
      <c r="M164" s="69" t="s">
        <v>10</v>
      </c>
    </row>
    <row r="165" spans="10:14" x14ac:dyDescent="0.55000000000000004">
      <c r="J165" t="s">
        <v>20</v>
      </c>
      <c r="K165" s="3">
        <f>_xlfn.STDEV.P(D67:D71)</f>
        <v>69.992830220652223</v>
      </c>
      <c r="L165" s="4">
        <f>_xlfn.STDEV.P(E67:E71)</f>
        <v>1531950389.5089526</v>
      </c>
    </row>
    <row r="166" spans="10:14" x14ac:dyDescent="0.55000000000000004">
      <c r="J166" t="s">
        <v>21</v>
      </c>
      <c r="K166" s="3">
        <f>MIN(D67:D71)</f>
        <v>23.61784744262695</v>
      </c>
      <c r="L166" s="4">
        <f>MIN(E67:E71)</f>
        <v>8906290</v>
      </c>
      <c r="M166" s="69" t="s">
        <v>11</v>
      </c>
      <c r="N166" s="69" t="s">
        <v>15</v>
      </c>
    </row>
    <row r="167" spans="10:14" x14ac:dyDescent="0.55000000000000004">
      <c r="J167" t="s">
        <v>22</v>
      </c>
      <c r="K167" s="4">
        <f>MAX(D67:D71)</f>
        <v>214.6972846984863</v>
      </c>
      <c r="L167" s="4">
        <f>MAX(E67:E71)</f>
        <v>3934444032</v>
      </c>
      <c r="M167" s="69" t="s">
        <v>9</v>
      </c>
      <c r="N167" s="69" t="s">
        <v>13</v>
      </c>
    </row>
    <row r="169" spans="10:14" x14ac:dyDescent="0.55000000000000004">
      <c r="J169" t="s">
        <v>48</v>
      </c>
      <c r="K169" t="s">
        <v>16</v>
      </c>
      <c r="L169" t="s">
        <v>17</v>
      </c>
      <c r="M169" t="s">
        <v>26</v>
      </c>
    </row>
    <row r="170" spans="10:14" x14ac:dyDescent="0.55000000000000004">
      <c r="J170" t="s">
        <v>18</v>
      </c>
      <c r="K170" s="4">
        <f>SUM(D72:D75)</f>
        <v>1000.4126968383789</v>
      </c>
      <c r="L170" s="4">
        <f>SUM(E72:E75)</f>
        <v>689224905.75</v>
      </c>
    </row>
    <row r="171" spans="10:14" x14ac:dyDescent="0.55000000000000004">
      <c r="J171" t="s">
        <v>19</v>
      </c>
      <c r="K171" s="3">
        <f>AVERAGE(D72:D75)</f>
        <v>250.10317420959473</v>
      </c>
      <c r="L171" s="4">
        <f>AVERAGE(E72:E75)</f>
        <v>172306226.4375</v>
      </c>
      <c r="M171" s="72" t="s">
        <v>15</v>
      </c>
    </row>
    <row r="172" spans="10:14" x14ac:dyDescent="0.55000000000000004">
      <c r="J172" t="s">
        <v>20</v>
      </c>
      <c r="K172" s="3">
        <f>_xlfn.STDEV.P(D72:D75)</f>
        <v>287.1884869542132</v>
      </c>
      <c r="L172" s="4">
        <f>_xlfn.STDEV.P(E72:E75)</f>
        <v>165932755.27193159</v>
      </c>
    </row>
    <row r="173" spans="10:14" x14ac:dyDescent="0.55000000000000004">
      <c r="J173" t="s">
        <v>21</v>
      </c>
      <c r="K173" s="3">
        <f>MIN(D72:D75)</f>
        <v>40.865329742431641</v>
      </c>
      <c r="L173" s="4">
        <f>MIN(E72:E75)</f>
        <v>8017777.5</v>
      </c>
      <c r="M173" s="72" t="s">
        <v>13</v>
      </c>
      <c r="N173" s="72" t="s">
        <v>11</v>
      </c>
    </row>
    <row r="174" spans="10:14" x14ac:dyDescent="0.55000000000000004">
      <c r="J174" t="s">
        <v>22</v>
      </c>
      <c r="K174" s="4">
        <f>MAX(D72:D75)</f>
        <v>744.92559051513672</v>
      </c>
      <c r="L174" s="4">
        <f>MAX(E72:E75)</f>
        <v>405036224</v>
      </c>
      <c r="M174" s="72" t="s">
        <v>9</v>
      </c>
    </row>
    <row r="176" spans="10:14" x14ac:dyDescent="0.55000000000000004">
      <c r="J176" t="s">
        <v>49</v>
      </c>
      <c r="K176" t="s">
        <v>16</v>
      </c>
      <c r="L176" t="s">
        <v>17</v>
      </c>
      <c r="M176" t="s">
        <v>26</v>
      </c>
    </row>
    <row r="177" spans="10:14" x14ac:dyDescent="0.55000000000000004">
      <c r="J177" t="s">
        <v>18</v>
      </c>
      <c r="K177" s="4">
        <f>SUM(D76:D77)</f>
        <v>407.16283988952637</v>
      </c>
      <c r="L177" s="4">
        <f>SUM(E76:E77)</f>
        <v>2331929240</v>
      </c>
    </row>
    <row r="178" spans="10:14" x14ac:dyDescent="0.55000000000000004">
      <c r="J178" t="s">
        <v>19</v>
      </c>
      <c r="K178" s="3">
        <f>AVERAGE(D76:D77)</f>
        <v>203.58141994476318</v>
      </c>
      <c r="L178" s="4">
        <f>AVERAGE(E76:E77)</f>
        <v>1165964620</v>
      </c>
      <c r="M178" s="24"/>
      <c r="N178" s="75" t="s">
        <v>15</v>
      </c>
    </row>
    <row r="179" spans="10:14" x14ac:dyDescent="0.55000000000000004">
      <c r="J179" t="s">
        <v>20</v>
      </c>
      <c r="K179" s="3">
        <f>_xlfn.STDEV.P(D76:D77)</f>
        <v>134.14187526702881</v>
      </c>
      <c r="L179" s="4">
        <f>_xlfn.STDEV.P(E76:E77)</f>
        <v>1133098883.9999998</v>
      </c>
    </row>
    <row r="180" spans="10:14" x14ac:dyDescent="0.55000000000000004">
      <c r="J180" t="s">
        <v>21</v>
      </c>
      <c r="K180" s="3">
        <f>MIN(D76:D77)</f>
        <v>69.439544677734375</v>
      </c>
      <c r="L180" s="4">
        <f>MIN(E76:E77)</f>
        <v>32865736</v>
      </c>
      <c r="M180" s="75" t="s">
        <v>11</v>
      </c>
    </row>
    <row r="181" spans="10:14" x14ac:dyDescent="0.55000000000000004">
      <c r="J181" t="s">
        <v>22</v>
      </c>
      <c r="K181" s="4">
        <f>MAX(D76:D77)</f>
        <v>337.72329521179199</v>
      </c>
      <c r="L181" s="4">
        <f>MAX(E76:E77)</f>
        <v>2299063504</v>
      </c>
      <c r="M181" s="75" t="s">
        <v>15</v>
      </c>
    </row>
    <row r="183" spans="10:14" x14ac:dyDescent="0.55000000000000004">
      <c r="J183" t="s">
        <v>50</v>
      </c>
      <c r="K183" t="s">
        <v>16</v>
      </c>
      <c r="L183" t="s">
        <v>17</v>
      </c>
      <c r="M183" t="s">
        <v>26</v>
      </c>
    </row>
    <row r="184" spans="10:14" x14ac:dyDescent="0.55000000000000004">
      <c r="J184" t="s">
        <v>18</v>
      </c>
      <c r="K184" s="4">
        <f>SUM(D78:D80)</f>
        <v>217.37871551513675</v>
      </c>
      <c r="L184" s="4">
        <f>SUM(E78:E80)</f>
        <v>853975940</v>
      </c>
    </row>
    <row r="185" spans="10:14" x14ac:dyDescent="0.55000000000000004">
      <c r="J185" t="s">
        <v>19</v>
      </c>
      <c r="K185" s="3">
        <f>AVERAGE(D78:D80)</f>
        <v>72.45957183837892</v>
      </c>
      <c r="L185" s="4">
        <f>AVERAGE(E78:E80)</f>
        <v>284658646.66666669</v>
      </c>
      <c r="M185" s="78" t="s">
        <v>10</v>
      </c>
    </row>
    <row r="186" spans="10:14" x14ac:dyDescent="0.55000000000000004">
      <c r="J186" t="s">
        <v>20</v>
      </c>
      <c r="K186" s="3">
        <f>_xlfn.STDEV.P(D78:D80)</f>
        <v>91.266944800648375</v>
      </c>
      <c r="L186" s="4">
        <f>_xlfn.STDEV.P(E78:E80)</f>
        <v>220042782.52590457</v>
      </c>
    </row>
    <row r="187" spans="10:14" x14ac:dyDescent="0.55000000000000004">
      <c r="J187" t="s">
        <v>21</v>
      </c>
      <c r="K187" s="3">
        <f>MIN(D78:D80)</f>
        <v>5.1521081924438477</v>
      </c>
      <c r="L187" s="4">
        <f>MIN(E78:E80)</f>
        <v>26061940</v>
      </c>
      <c r="M187" s="78" t="s">
        <v>11</v>
      </c>
    </row>
    <row r="188" spans="10:14" x14ac:dyDescent="0.55000000000000004">
      <c r="J188" t="s">
        <v>22</v>
      </c>
      <c r="K188" s="4">
        <f>MAX(D78:D80)</f>
        <v>201.49024963378909</v>
      </c>
      <c r="L188" s="4">
        <f>MAX(E78:E80)</f>
        <v>563870464</v>
      </c>
      <c r="M188" s="78" t="s">
        <v>9</v>
      </c>
    </row>
    <row r="190" spans="10:14" x14ac:dyDescent="0.55000000000000004">
      <c r="J190" t="s">
        <v>51</v>
      </c>
      <c r="K190" t="s">
        <v>16</v>
      </c>
      <c r="L190" t="s">
        <v>17</v>
      </c>
      <c r="M190" t="s">
        <v>26</v>
      </c>
    </row>
    <row r="191" spans="10:14" x14ac:dyDescent="0.55000000000000004">
      <c r="J191" t="s">
        <v>18</v>
      </c>
      <c r="K191" s="4">
        <f>SUM(D81:D84)</f>
        <v>859.47015762329102</v>
      </c>
      <c r="L191" s="4">
        <f>SUM(E81:E84)</f>
        <v>2616698443.5</v>
      </c>
    </row>
    <row r="192" spans="10:14" x14ac:dyDescent="0.55000000000000004">
      <c r="J192" t="s">
        <v>19</v>
      </c>
      <c r="K192" s="3">
        <f>AVERAGE(D81:D84)</f>
        <v>214.86753940582275</v>
      </c>
      <c r="L192" s="4">
        <f>AVERAGE(E81:E84)</f>
        <v>654174610.875</v>
      </c>
      <c r="M192" s="81" t="s">
        <v>13</v>
      </c>
      <c r="N192" s="81" t="s">
        <v>9</v>
      </c>
    </row>
    <row r="193" spans="10:15" x14ac:dyDescent="0.55000000000000004">
      <c r="J193" t="s">
        <v>20</v>
      </c>
      <c r="K193" s="3">
        <f>_xlfn.STDEV.P(D81:D84)</f>
        <v>269.38976639235938</v>
      </c>
      <c r="L193" s="4">
        <f>_xlfn.STDEV.P(E81:E84)</f>
        <v>571772503.20990705</v>
      </c>
    </row>
    <row r="194" spans="10:15" x14ac:dyDescent="0.55000000000000004">
      <c r="J194" t="s">
        <v>21</v>
      </c>
      <c r="K194" s="3">
        <f>MIN(D81:D84)</f>
        <v>26.052961349487301</v>
      </c>
      <c r="L194" s="4">
        <f>MIN(E81:E84)</f>
        <v>4996958</v>
      </c>
      <c r="M194" s="81" t="s">
        <v>11</v>
      </c>
    </row>
    <row r="195" spans="10:15" x14ac:dyDescent="0.55000000000000004">
      <c r="J195" t="s">
        <v>22</v>
      </c>
      <c r="K195" s="4">
        <f>MAX(D81:D84)</f>
        <v>677.79721164703369</v>
      </c>
      <c r="L195" s="4">
        <f>MAX(E81:E84)</f>
        <v>1432727330.5</v>
      </c>
      <c r="M195" s="81" t="s">
        <v>15</v>
      </c>
    </row>
    <row r="197" spans="10:15" x14ac:dyDescent="0.55000000000000004">
      <c r="J197" t="s">
        <v>52</v>
      </c>
      <c r="K197" t="s">
        <v>16</v>
      </c>
      <c r="L197" t="s">
        <v>17</v>
      </c>
      <c r="M197" t="s">
        <v>26</v>
      </c>
    </row>
    <row r="198" spans="10:15" x14ac:dyDescent="0.55000000000000004">
      <c r="J198" t="s">
        <v>18</v>
      </c>
      <c r="K198" s="4">
        <f>SUM(D85:D87)</f>
        <v>51.489353060722351</v>
      </c>
      <c r="L198" s="4">
        <f>SUM(E85:E87)</f>
        <v>30051411.0625</v>
      </c>
    </row>
    <row r="199" spans="10:15" x14ac:dyDescent="0.55000000000000004">
      <c r="J199" t="s">
        <v>19</v>
      </c>
      <c r="K199" s="3">
        <f>AVERAGE(D85:D87)</f>
        <v>17.163117686907452</v>
      </c>
      <c r="L199" s="4">
        <f>AVERAGE(E85:E87)</f>
        <v>10017137.020833334</v>
      </c>
      <c r="M199" s="84" t="s">
        <v>13</v>
      </c>
    </row>
    <row r="200" spans="10:15" x14ac:dyDescent="0.55000000000000004">
      <c r="J200" t="s">
        <v>20</v>
      </c>
      <c r="K200" s="3">
        <f>_xlfn.STDEV.P(D85:D87)</f>
        <v>19.328322937847524</v>
      </c>
      <c r="L200" s="4">
        <f>_xlfn.STDEV.P(E85:E87)</f>
        <v>8438632.878307892</v>
      </c>
    </row>
    <row r="201" spans="10:15" x14ac:dyDescent="0.55000000000000004">
      <c r="J201" t="s">
        <v>21</v>
      </c>
      <c r="K201" s="3">
        <f>MIN(D85:D87)</f>
        <v>1.953472971916199</v>
      </c>
      <c r="L201" s="4">
        <f>MIN(E85:E87)</f>
        <v>486024.0625</v>
      </c>
      <c r="M201" s="84" t="s">
        <v>9</v>
      </c>
    </row>
    <row r="202" spans="10:15" x14ac:dyDescent="0.55000000000000004">
      <c r="J202" t="s">
        <v>22</v>
      </c>
      <c r="K202" s="4">
        <f>MAX(D85:D87)</f>
        <v>44.437107086181641</v>
      </c>
      <c r="L202" s="4">
        <f>MAX(E85:E87)</f>
        <v>21002356</v>
      </c>
      <c r="M202" s="84" t="s">
        <v>10</v>
      </c>
    </row>
    <row r="204" spans="10:15" x14ac:dyDescent="0.55000000000000004">
      <c r="J204" t="s">
        <v>53</v>
      </c>
      <c r="K204" t="s">
        <v>16</v>
      </c>
      <c r="L204" t="s">
        <v>17</v>
      </c>
      <c r="M204" t="s">
        <v>26</v>
      </c>
    </row>
    <row r="205" spans="10:15" x14ac:dyDescent="0.55000000000000004">
      <c r="J205" t="s">
        <v>18</v>
      </c>
      <c r="K205" s="4">
        <f>SUM(D88:D90)</f>
        <v>509.77782380580891</v>
      </c>
      <c r="L205" s="4">
        <f>SUM(E88:E90)</f>
        <v>956847596.875</v>
      </c>
    </row>
    <row r="206" spans="10:15" x14ac:dyDescent="0.55000000000000004">
      <c r="J206" t="s">
        <v>19</v>
      </c>
      <c r="K206" s="3">
        <f>AVERAGE(D88:D90)</f>
        <v>169.92594126860297</v>
      </c>
      <c r="L206" s="4">
        <f>AVERAGE(E88:E90)</f>
        <v>318949198.95833331</v>
      </c>
      <c r="M206" s="24"/>
      <c r="N206" s="87" t="s">
        <v>9</v>
      </c>
      <c r="O206" s="87" t="s">
        <v>13</v>
      </c>
    </row>
    <row r="207" spans="10:15" x14ac:dyDescent="0.55000000000000004">
      <c r="J207" t="s">
        <v>20</v>
      </c>
      <c r="K207" s="3">
        <f>_xlfn.STDEV.P(D88:D90)</f>
        <v>106.64507844930286</v>
      </c>
      <c r="L207" s="4">
        <f>_xlfn.STDEV.P(E88:E90)</f>
        <v>409596710.08898377</v>
      </c>
    </row>
    <row r="208" spans="10:15" x14ac:dyDescent="0.55000000000000004">
      <c r="J208" t="s">
        <v>21</v>
      </c>
      <c r="K208" s="3">
        <f>MIN(D88:D90)</f>
        <v>26.40361046791077</v>
      </c>
      <c r="L208" s="4">
        <f>MIN(E88:E90)</f>
        <v>5219626.5</v>
      </c>
      <c r="M208" s="87" t="s">
        <v>15</v>
      </c>
    </row>
    <row r="209" spans="10:14" x14ac:dyDescent="0.55000000000000004">
      <c r="J209" t="s">
        <v>22</v>
      </c>
      <c r="K209" s="4">
        <f>MAX(D88:D90)</f>
        <v>281.82143807411188</v>
      </c>
      <c r="L209" s="4">
        <f>MAX(E88:E90)</f>
        <v>897518281.9375</v>
      </c>
      <c r="M209" s="87" t="s">
        <v>9</v>
      </c>
    </row>
    <row r="211" spans="10:14" x14ac:dyDescent="0.55000000000000004">
      <c r="J211" t="s">
        <v>54</v>
      </c>
      <c r="K211" t="s">
        <v>16</v>
      </c>
      <c r="L211" t="s">
        <v>17</v>
      </c>
      <c r="M211" t="s">
        <v>26</v>
      </c>
    </row>
    <row r="212" spans="10:14" x14ac:dyDescent="0.55000000000000004">
      <c r="J212" t="s">
        <v>18</v>
      </c>
      <c r="K212" s="4">
        <f>SUM(D91:D92)</f>
        <v>831.53995513916016</v>
      </c>
      <c r="L212" s="4">
        <f>SUM(E91:E92)</f>
        <v>1517083013</v>
      </c>
    </row>
    <row r="213" spans="10:14" x14ac:dyDescent="0.55000000000000004">
      <c r="J213" t="s">
        <v>19</v>
      </c>
      <c r="K213" s="3">
        <f>AVERAGE(D91:D92)</f>
        <v>415.76997756958008</v>
      </c>
      <c r="L213" s="4">
        <f>AVERAGE(E91:E92)</f>
        <v>758541506.5</v>
      </c>
      <c r="M213" s="24"/>
      <c r="N213" s="90" t="s">
        <v>9</v>
      </c>
    </row>
    <row r="214" spans="10:14" x14ac:dyDescent="0.55000000000000004">
      <c r="J214" t="s">
        <v>20</v>
      </c>
      <c r="K214" s="3">
        <f>_xlfn.STDEV.P(D91:D92)</f>
        <v>14.892627716064425</v>
      </c>
      <c r="L214" s="4">
        <f>_xlfn.STDEV.P(E91:E92)</f>
        <v>526688850.50000006</v>
      </c>
    </row>
    <row r="215" spans="10:14" x14ac:dyDescent="0.55000000000000004">
      <c r="J215" t="s">
        <v>21</v>
      </c>
      <c r="K215" s="3">
        <f>MIN(D91:D92)</f>
        <v>400.87734985351563</v>
      </c>
      <c r="L215" s="4">
        <f>MIN(E91:E92)</f>
        <v>231852656</v>
      </c>
      <c r="M215" s="90" t="s">
        <v>15</v>
      </c>
    </row>
    <row r="216" spans="10:14" x14ac:dyDescent="0.55000000000000004">
      <c r="J216" t="s">
        <v>22</v>
      </c>
      <c r="K216" s="4">
        <f>MAX(D91:D92)</f>
        <v>430.66260528564447</v>
      </c>
      <c r="L216" s="4">
        <f>MAX(E91:E92)</f>
        <v>1285230357</v>
      </c>
      <c r="M216" s="90" t="s">
        <v>9</v>
      </c>
    </row>
    <row r="218" spans="10:14" x14ac:dyDescent="0.55000000000000004">
      <c r="J218" t="s">
        <v>55</v>
      </c>
      <c r="K218" t="s">
        <v>16</v>
      </c>
      <c r="L218" t="s">
        <v>17</v>
      </c>
      <c r="M218" t="s">
        <v>26</v>
      </c>
    </row>
    <row r="219" spans="10:14" x14ac:dyDescent="0.55000000000000004">
      <c r="J219" t="s">
        <v>18</v>
      </c>
      <c r="K219" s="4">
        <f>SUM(D93:D96)</f>
        <v>226.03278684616089</v>
      </c>
      <c r="L219" s="4">
        <f>SUM(E93:E96)</f>
        <v>807406140.25</v>
      </c>
    </row>
    <row r="220" spans="10:14" x14ac:dyDescent="0.55000000000000004">
      <c r="J220" t="s">
        <v>19</v>
      </c>
      <c r="K220" s="3">
        <f>AVERAGE(D93:D96)</f>
        <v>56.508196711540222</v>
      </c>
      <c r="L220" s="4">
        <f>AVERAGE(E93:E96)</f>
        <v>201851535.0625</v>
      </c>
      <c r="M220" s="93" t="s">
        <v>11</v>
      </c>
      <c r="N220" s="93" t="s">
        <v>9</v>
      </c>
    </row>
    <row r="221" spans="10:14" x14ac:dyDescent="0.55000000000000004">
      <c r="J221" t="s">
        <v>20</v>
      </c>
      <c r="K221" s="3">
        <f>_xlfn.STDEV.P(D93:D96)</f>
        <v>32.156932630100869</v>
      </c>
      <c r="L221" s="4">
        <f>_xlfn.STDEV.P(E93:E96)</f>
        <v>301336408.53604972</v>
      </c>
    </row>
    <row r="222" spans="10:14" x14ac:dyDescent="0.55000000000000004">
      <c r="J222" t="s">
        <v>21</v>
      </c>
      <c r="K222" s="3">
        <f>MIN(D93:D96)</f>
        <v>6.7479572296142578</v>
      </c>
      <c r="L222" s="4">
        <f>MIN(E93:E96)</f>
        <v>1294258.25</v>
      </c>
      <c r="M222" s="93" t="s">
        <v>15</v>
      </c>
    </row>
    <row r="223" spans="10:14" x14ac:dyDescent="0.55000000000000004">
      <c r="J223" t="s">
        <v>22</v>
      </c>
      <c r="K223" s="4">
        <f>MAX(D93:D96)</f>
        <v>94.75714635848999</v>
      </c>
      <c r="L223" s="4">
        <f>MAX(E93:E96)</f>
        <v>722107776</v>
      </c>
      <c r="M223" s="93" t="s">
        <v>10</v>
      </c>
    </row>
  </sheetData>
  <autoFilter ref="A1:E96" xr:uid="{1D5F44F3-5C67-49E3-B6BC-7AA131233E35}">
    <sortState xmlns:xlrd2="http://schemas.microsoft.com/office/spreadsheetml/2017/richdata2" ref="A2:E96">
      <sortCondition ref="A1:A96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workbookViewId="0">
      <selection activeCell="B13" sqref="B13"/>
    </sheetView>
  </sheetViews>
  <sheetFormatPr defaultRowHeight="14.4" x14ac:dyDescent="0.55000000000000004"/>
  <cols>
    <col min="1" max="1" width="10.15625" bestFit="1" customWidth="1"/>
    <col min="2" max="2" width="27.3671875" bestFit="1" customWidth="1"/>
    <col min="3" max="3" width="14.1015625" bestFit="1" customWidth="1"/>
    <col min="4" max="4" width="6.62890625" bestFit="1" customWidth="1"/>
    <col min="5" max="5" width="11.3671875" bestFit="1" customWidth="1"/>
  </cols>
  <sheetData>
    <row r="1" spans="1:5" x14ac:dyDescent="0.55000000000000004">
      <c r="A1" t="s">
        <v>0</v>
      </c>
      <c r="B1" t="s">
        <v>1</v>
      </c>
      <c r="C1" t="s">
        <v>8</v>
      </c>
      <c r="D1" t="s">
        <v>16</v>
      </c>
      <c r="E1" t="s">
        <v>17</v>
      </c>
    </row>
    <row r="2" spans="1:5" x14ac:dyDescent="0.55000000000000004">
      <c r="A2" s="1">
        <v>44531</v>
      </c>
      <c r="B2" t="s">
        <v>2</v>
      </c>
      <c r="C2" t="s">
        <v>9</v>
      </c>
      <c r="D2" s="2">
        <v>130.36985778808591</v>
      </c>
      <c r="E2" s="2">
        <v>357317696</v>
      </c>
    </row>
    <row r="3" spans="1:5" x14ac:dyDescent="0.55000000000000004">
      <c r="A3" s="1">
        <v>44531</v>
      </c>
      <c r="B3" t="s">
        <v>3</v>
      </c>
      <c r="C3" t="s">
        <v>10</v>
      </c>
      <c r="D3" s="2">
        <v>10.73635768890381</v>
      </c>
      <c r="E3" s="2">
        <v>42340972</v>
      </c>
    </row>
    <row r="4" spans="1:5" x14ac:dyDescent="0.55000000000000004">
      <c r="A4" s="1">
        <v>44531</v>
      </c>
      <c r="B4" t="s">
        <v>4</v>
      </c>
      <c r="C4" t="s">
        <v>11</v>
      </c>
      <c r="D4" s="2">
        <v>392.68536376953131</v>
      </c>
      <c r="E4" s="2">
        <v>76102424</v>
      </c>
    </row>
    <row r="5" spans="1:5" x14ac:dyDescent="0.55000000000000004">
      <c r="A5" s="1">
        <v>44531</v>
      </c>
      <c r="B5" t="s">
        <v>5</v>
      </c>
      <c r="C5" t="s">
        <v>12</v>
      </c>
      <c r="D5" s="2">
        <v>4.7874760627746582</v>
      </c>
      <c r="E5" s="2">
        <v>1564547.125</v>
      </c>
    </row>
    <row r="6" spans="1:5" x14ac:dyDescent="0.55000000000000004">
      <c r="A6" s="1">
        <v>44532</v>
      </c>
      <c r="B6" t="s">
        <v>6</v>
      </c>
      <c r="C6" t="s">
        <v>13</v>
      </c>
      <c r="D6" s="2">
        <v>267.78076648712158</v>
      </c>
      <c r="E6" s="2">
        <v>1131169969.25</v>
      </c>
    </row>
    <row r="7" spans="1:5" x14ac:dyDescent="0.55000000000000004">
      <c r="A7" s="1">
        <v>44532</v>
      </c>
      <c r="B7" t="s">
        <v>3</v>
      </c>
      <c r="C7" t="s">
        <v>10</v>
      </c>
      <c r="D7" s="2">
        <v>102.2158508300781</v>
      </c>
      <c r="E7" s="2">
        <v>541590656</v>
      </c>
    </row>
    <row r="8" spans="1:5" x14ac:dyDescent="0.55000000000000004">
      <c r="A8" s="1">
        <v>44532</v>
      </c>
      <c r="B8" t="s">
        <v>4</v>
      </c>
      <c r="C8" t="s">
        <v>11</v>
      </c>
      <c r="D8" s="2">
        <v>7.2124490737915039</v>
      </c>
      <c r="E8" s="2">
        <v>1331418.125</v>
      </c>
    </row>
    <row r="9" spans="1:5" x14ac:dyDescent="0.55000000000000004">
      <c r="A9" s="1">
        <v>44533</v>
      </c>
      <c r="B9" t="s">
        <v>2</v>
      </c>
      <c r="C9" t="s">
        <v>9</v>
      </c>
      <c r="D9" s="2">
        <v>65.5526123046875</v>
      </c>
      <c r="E9" s="2">
        <v>148714294.5</v>
      </c>
    </row>
    <row r="10" spans="1:5" x14ac:dyDescent="0.55000000000000004">
      <c r="A10" s="1">
        <v>44533</v>
      </c>
      <c r="B10" t="s">
        <v>4</v>
      </c>
      <c r="C10" t="s">
        <v>11</v>
      </c>
      <c r="D10" s="2">
        <v>1227.09521484375</v>
      </c>
      <c r="E10" s="2">
        <v>3434025984</v>
      </c>
    </row>
    <row r="11" spans="1:5" x14ac:dyDescent="0.55000000000000004">
      <c r="A11" s="1">
        <v>44534</v>
      </c>
      <c r="B11" t="s">
        <v>2</v>
      </c>
      <c r="C11" t="s">
        <v>9</v>
      </c>
      <c r="D11" s="2">
        <v>196.76289367675781</v>
      </c>
      <c r="E11" s="2">
        <v>37857180</v>
      </c>
    </row>
    <row r="12" spans="1:5" x14ac:dyDescent="0.55000000000000004">
      <c r="A12" s="1">
        <v>44534</v>
      </c>
      <c r="B12" t="s">
        <v>2</v>
      </c>
      <c r="C12" t="s">
        <v>14</v>
      </c>
      <c r="D12" s="2">
        <v>1012.913940429688</v>
      </c>
      <c r="E12" s="2">
        <v>185027734</v>
      </c>
    </row>
    <row r="13" spans="1:5" x14ac:dyDescent="0.55000000000000004">
      <c r="A13" s="1">
        <v>44534</v>
      </c>
      <c r="B13" t="s">
        <v>3</v>
      </c>
      <c r="C13" t="s">
        <v>10</v>
      </c>
      <c r="D13" s="2">
        <v>7.3003635406494141</v>
      </c>
      <c r="E13" s="2">
        <v>116775888</v>
      </c>
    </row>
    <row r="14" spans="1:5" x14ac:dyDescent="0.55000000000000004">
      <c r="A14" s="1">
        <v>44534</v>
      </c>
      <c r="B14" t="s">
        <v>4</v>
      </c>
      <c r="C14" t="s">
        <v>11</v>
      </c>
      <c r="D14" s="2">
        <v>8.1429281234741211</v>
      </c>
      <c r="E14" s="2">
        <v>30974070</v>
      </c>
    </row>
    <row r="15" spans="1:5" x14ac:dyDescent="0.55000000000000004">
      <c r="A15" s="1">
        <v>44535</v>
      </c>
      <c r="B15" t="s">
        <v>2</v>
      </c>
      <c r="C15" t="s">
        <v>9</v>
      </c>
      <c r="D15" s="2">
        <v>3.8977007865905762</v>
      </c>
      <c r="E15" s="2">
        <v>10907716</v>
      </c>
    </row>
    <row r="16" spans="1:5" x14ac:dyDescent="0.55000000000000004">
      <c r="A16" s="1">
        <v>44535</v>
      </c>
      <c r="B16" t="s">
        <v>2</v>
      </c>
      <c r="C16" t="s">
        <v>14</v>
      </c>
      <c r="D16" s="2">
        <v>22.996822357177731</v>
      </c>
      <c r="E16" s="2">
        <v>5652619</v>
      </c>
    </row>
    <row r="17" spans="1:5" x14ac:dyDescent="0.55000000000000004">
      <c r="A17" s="1">
        <v>44535</v>
      </c>
      <c r="B17" t="s">
        <v>4</v>
      </c>
      <c r="C17" t="s">
        <v>11</v>
      </c>
      <c r="D17" s="2">
        <v>73.798110961914063</v>
      </c>
      <c r="E17" s="2">
        <v>499421344</v>
      </c>
    </row>
    <row r="18" spans="1:5" x14ac:dyDescent="0.55000000000000004">
      <c r="A18" s="1">
        <v>44536</v>
      </c>
      <c r="B18" t="s">
        <v>6</v>
      </c>
      <c r="C18" t="s">
        <v>13</v>
      </c>
      <c r="D18" s="2">
        <v>1.953472971916199</v>
      </c>
      <c r="E18" s="2">
        <v>6501939.5</v>
      </c>
    </row>
    <row r="19" spans="1:5" x14ac:dyDescent="0.55000000000000004">
      <c r="A19" s="1">
        <v>44536</v>
      </c>
      <c r="B19" t="s">
        <v>2</v>
      </c>
      <c r="C19" t="s">
        <v>9</v>
      </c>
      <c r="D19" s="2">
        <v>94.862197875976563</v>
      </c>
      <c r="E19" s="2">
        <v>18251486</v>
      </c>
    </row>
    <row r="20" spans="1:5" x14ac:dyDescent="0.55000000000000004">
      <c r="A20" s="1">
        <v>44536</v>
      </c>
      <c r="B20" t="s">
        <v>4</v>
      </c>
      <c r="C20" t="s">
        <v>11</v>
      </c>
      <c r="D20" s="2">
        <v>72.004283905029297</v>
      </c>
      <c r="E20" s="2">
        <v>112078835</v>
      </c>
    </row>
    <row r="21" spans="1:5" x14ac:dyDescent="0.55000000000000004">
      <c r="A21" s="1">
        <v>44537</v>
      </c>
      <c r="B21" t="s">
        <v>2</v>
      </c>
      <c r="C21" t="s">
        <v>9</v>
      </c>
      <c r="D21" s="2">
        <v>641.0289306640625</v>
      </c>
      <c r="E21" s="2">
        <v>209808768</v>
      </c>
    </row>
    <row r="22" spans="1:5" x14ac:dyDescent="0.55000000000000004">
      <c r="A22" s="1">
        <v>44537</v>
      </c>
      <c r="B22" t="s">
        <v>5</v>
      </c>
      <c r="C22" t="s">
        <v>12</v>
      </c>
      <c r="D22" s="2">
        <v>25.58782434463501</v>
      </c>
      <c r="E22" s="2">
        <v>16499045</v>
      </c>
    </row>
    <row r="23" spans="1:5" x14ac:dyDescent="0.55000000000000004">
      <c r="A23" s="1">
        <v>44538</v>
      </c>
      <c r="B23" t="s">
        <v>6</v>
      </c>
      <c r="C23" t="s">
        <v>13</v>
      </c>
      <c r="D23" s="2">
        <v>30.870737075805661</v>
      </c>
      <c r="E23" s="2">
        <v>122269728</v>
      </c>
    </row>
    <row r="24" spans="1:5" x14ac:dyDescent="0.55000000000000004">
      <c r="A24" s="1">
        <v>44538</v>
      </c>
      <c r="B24" t="s">
        <v>4</v>
      </c>
      <c r="C24" t="s">
        <v>11</v>
      </c>
      <c r="D24" s="2">
        <v>9.5597562789916992</v>
      </c>
      <c r="E24" s="2">
        <v>38230420</v>
      </c>
    </row>
    <row r="25" spans="1:5" x14ac:dyDescent="0.55000000000000004">
      <c r="A25" s="1">
        <v>44539</v>
      </c>
      <c r="B25" t="s">
        <v>5</v>
      </c>
      <c r="C25" t="s">
        <v>12</v>
      </c>
      <c r="D25" s="2">
        <v>8.929443359375</v>
      </c>
      <c r="E25" s="2">
        <v>33564884</v>
      </c>
    </row>
    <row r="26" spans="1:5" x14ac:dyDescent="0.55000000000000004">
      <c r="A26" s="1">
        <v>44540</v>
      </c>
      <c r="B26" t="s">
        <v>6</v>
      </c>
      <c r="C26" t="s">
        <v>13</v>
      </c>
      <c r="D26" s="2">
        <v>45.27752685546875</v>
      </c>
      <c r="E26" s="2">
        <v>14995917</v>
      </c>
    </row>
    <row r="27" spans="1:5" x14ac:dyDescent="0.55000000000000004">
      <c r="A27" s="1">
        <v>44540</v>
      </c>
      <c r="B27" t="s">
        <v>2</v>
      </c>
      <c r="C27" t="s">
        <v>9</v>
      </c>
      <c r="D27" s="2">
        <v>7.6688151359558114</v>
      </c>
      <c r="E27" s="2">
        <v>27708962</v>
      </c>
    </row>
    <row r="28" spans="1:5" x14ac:dyDescent="0.55000000000000004">
      <c r="A28" s="1">
        <v>44540</v>
      </c>
      <c r="B28" t="s">
        <v>5</v>
      </c>
      <c r="C28" t="s">
        <v>12</v>
      </c>
      <c r="D28" s="2">
        <v>6.2574543952941886</v>
      </c>
      <c r="E28" s="2">
        <v>1210817.375</v>
      </c>
    </row>
    <row r="29" spans="1:5" x14ac:dyDescent="0.55000000000000004">
      <c r="A29" s="1">
        <v>44541</v>
      </c>
      <c r="B29" t="s">
        <v>2</v>
      </c>
      <c r="C29" t="s">
        <v>9</v>
      </c>
      <c r="D29" s="2">
        <v>221.34512090682981</v>
      </c>
      <c r="E29" s="2">
        <v>855738255.875</v>
      </c>
    </row>
    <row r="30" spans="1:5" x14ac:dyDescent="0.55000000000000004">
      <c r="A30" s="1">
        <v>44541</v>
      </c>
      <c r="B30" t="s">
        <v>4</v>
      </c>
      <c r="C30" t="s">
        <v>11</v>
      </c>
      <c r="D30" s="2">
        <v>168.4422588348389</v>
      </c>
      <c r="E30" s="2">
        <v>32269366.5</v>
      </c>
    </row>
    <row r="31" spans="1:5" x14ac:dyDescent="0.55000000000000004">
      <c r="A31" s="1">
        <v>44543</v>
      </c>
      <c r="B31" t="s">
        <v>6</v>
      </c>
      <c r="C31" t="s">
        <v>13</v>
      </c>
      <c r="D31" s="2">
        <v>2.81670069694519</v>
      </c>
      <c r="E31" s="2">
        <v>735722.25</v>
      </c>
    </row>
    <row r="32" spans="1:5" x14ac:dyDescent="0.55000000000000004">
      <c r="A32" s="1">
        <v>44543</v>
      </c>
      <c r="B32" t="s">
        <v>4</v>
      </c>
      <c r="C32" t="s">
        <v>11</v>
      </c>
      <c r="D32" s="2">
        <v>187.9385070800781</v>
      </c>
      <c r="E32" s="2">
        <v>36422484</v>
      </c>
    </row>
    <row r="33" spans="1:5" x14ac:dyDescent="0.55000000000000004">
      <c r="A33" s="1">
        <v>44543</v>
      </c>
      <c r="B33" t="s">
        <v>5</v>
      </c>
      <c r="C33" t="s">
        <v>12</v>
      </c>
      <c r="D33" s="2">
        <v>10.71533107757568</v>
      </c>
      <c r="E33" s="2">
        <v>55335040</v>
      </c>
    </row>
    <row r="34" spans="1:5" x14ac:dyDescent="0.55000000000000004">
      <c r="A34" s="1">
        <v>44544</v>
      </c>
      <c r="B34" t="s">
        <v>2</v>
      </c>
      <c r="C34" t="s">
        <v>9</v>
      </c>
      <c r="D34" s="2">
        <v>101.5482940673828</v>
      </c>
      <c r="E34" s="2">
        <v>18786434</v>
      </c>
    </row>
    <row r="35" spans="1:5" x14ac:dyDescent="0.55000000000000004">
      <c r="A35" s="1">
        <v>44545</v>
      </c>
      <c r="B35" t="s">
        <v>2</v>
      </c>
      <c r="C35" t="s">
        <v>9</v>
      </c>
      <c r="D35" s="2">
        <v>101.5482940673828</v>
      </c>
      <c r="E35" s="2">
        <v>38293860</v>
      </c>
    </row>
    <row r="36" spans="1:5" x14ac:dyDescent="0.55000000000000004">
      <c r="A36" s="1">
        <v>44545</v>
      </c>
      <c r="B36" t="s">
        <v>5</v>
      </c>
      <c r="C36" t="s">
        <v>12</v>
      </c>
      <c r="D36" s="2">
        <v>19.555637359619141</v>
      </c>
      <c r="E36" s="2">
        <v>3784015.75</v>
      </c>
    </row>
    <row r="37" spans="1:5" x14ac:dyDescent="0.55000000000000004">
      <c r="A37" s="1">
        <v>44546</v>
      </c>
      <c r="B37" t="s">
        <v>6</v>
      </c>
      <c r="C37" t="s">
        <v>13</v>
      </c>
      <c r="D37" s="2">
        <v>12.41835880279541</v>
      </c>
      <c r="E37" s="2">
        <v>61854604</v>
      </c>
    </row>
    <row r="38" spans="1:5" x14ac:dyDescent="0.55000000000000004">
      <c r="A38" s="1">
        <v>44546</v>
      </c>
      <c r="B38" t="s">
        <v>2</v>
      </c>
      <c r="C38" t="s">
        <v>9</v>
      </c>
      <c r="D38" s="2">
        <v>179.83604860305789</v>
      </c>
      <c r="E38" s="2">
        <v>893590718.5</v>
      </c>
    </row>
    <row r="39" spans="1:5" x14ac:dyDescent="0.55000000000000004">
      <c r="A39" s="1">
        <v>44546</v>
      </c>
      <c r="B39" t="s">
        <v>3</v>
      </c>
      <c r="C39" t="s">
        <v>10</v>
      </c>
      <c r="D39" s="2">
        <v>15.903268814086911</v>
      </c>
      <c r="E39" s="2">
        <v>58724412</v>
      </c>
    </row>
    <row r="40" spans="1:5" x14ac:dyDescent="0.55000000000000004">
      <c r="A40" s="1">
        <v>44546</v>
      </c>
      <c r="B40" t="s">
        <v>4</v>
      </c>
      <c r="C40" t="s">
        <v>11</v>
      </c>
      <c r="D40" s="2">
        <v>116.5380730628967</v>
      </c>
      <c r="E40" s="2">
        <v>329690808.25</v>
      </c>
    </row>
    <row r="41" spans="1:5" x14ac:dyDescent="0.55000000000000004">
      <c r="A41" s="1">
        <v>44546</v>
      </c>
      <c r="B41" t="s">
        <v>5</v>
      </c>
      <c r="C41" t="s">
        <v>12</v>
      </c>
      <c r="D41" s="2">
        <v>7.2827929258346558</v>
      </c>
      <c r="E41" s="2">
        <v>2058987.125</v>
      </c>
    </row>
    <row r="42" spans="1:5" x14ac:dyDescent="0.55000000000000004">
      <c r="A42" s="1">
        <v>44547</v>
      </c>
      <c r="B42" t="s">
        <v>4</v>
      </c>
      <c r="C42" t="s">
        <v>11</v>
      </c>
      <c r="D42" s="2">
        <v>251.3777303695679</v>
      </c>
      <c r="E42" s="2">
        <v>1373410066.5</v>
      </c>
    </row>
    <row r="43" spans="1:5" x14ac:dyDescent="0.55000000000000004">
      <c r="A43" s="1">
        <v>44547</v>
      </c>
      <c r="B43" t="s">
        <v>5</v>
      </c>
      <c r="C43" t="s">
        <v>12</v>
      </c>
      <c r="D43" s="2">
        <v>5.4969038963317871</v>
      </c>
      <c r="E43" s="2">
        <v>1728776.25</v>
      </c>
    </row>
    <row r="44" spans="1:5" x14ac:dyDescent="0.55000000000000004">
      <c r="A44" s="1">
        <v>44548</v>
      </c>
      <c r="B44" t="s">
        <v>6</v>
      </c>
      <c r="C44" t="s">
        <v>13</v>
      </c>
      <c r="D44" s="2">
        <v>10.593343734741209</v>
      </c>
      <c r="E44" s="2">
        <v>2056168</v>
      </c>
    </row>
    <row r="45" spans="1:5" x14ac:dyDescent="0.55000000000000004">
      <c r="A45" s="1">
        <v>44548</v>
      </c>
      <c r="B45" t="s">
        <v>2</v>
      </c>
      <c r="C45" t="s">
        <v>9</v>
      </c>
      <c r="D45" s="2">
        <v>104.52700042724609</v>
      </c>
      <c r="E45" s="2">
        <v>19159800</v>
      </c>
    </row>
    <row r="46" spans="1:5" x14ac:dyDescent="0.55000000000000004">
      <c r="A46" s="1">
        <v>44548</v>
      </c>
      <c r="B46" t="s">
        <v>4</v>
      </c>
      <c r="C46" t="s">
        <v>11</v>
      </c>
      <c r="D46" s="2">
        <v>13.85530376434326</v>
      </c>
      <c r="E46" s="2">
        <v>2657447.25</v>
      </c>
    </row>
    <row r="47" spans="1:5" x14ac:dyDescent="0.55000000000000004">
      <c r="A47" s="1">
        <v>44548</v>
      </c>
      <c r="B47" t="s">
        <v>5</v>
      </c>
      <c r="C47" t="s">
        <v>12</v>
      </c>
      <c r="D47" s="2">
        <v>18.279094696044918</v>
      </c>
      <c r="E47" s="2">
        <v>3537004.75</v>
      </c>
    </row>
    <row r="48" spans="1:5" x14ac:dyDescent="0.55000000000000004">
      <c r="A48" s="1">
        <v>44549</v>
      </c>
      <c r="B48" t="s">
        <v>6</v>
      </c>
      <c r="C48" t="s">
        <v>13</v>
      </c>
      <c r="D48" s="2">
        <v>11.9759578704834</v>
      </c>
      <c r="E48" s="2">
        <v>257812432</v>
      </c>
    </row>
    <row r="49" spans="1:5" x14ac:dyDescent="0.55000000000000004">
      <c r="A49" s="1">
        <v>44549</v>
      </c>
      <c r="B49" t="s">
        <v>2</v>
      </c>
      <c r="C49" t="s">
        <v>9</v>
      </c>
      <c r="D49" s="2">
        <v>36.768291473388672</v>
      </c>
      <c r="E49" s="2">
        <v>135630880</v>
      </c>
    </row>
    <row r="50" spans="1:5" x14ac:dyDescent="0.55000000000000004">
      <c r="A50" s="1">
        <v>44549</v>
      </c>
      <c r="B50" t="s">
        <v>4</v>
      </c>
      <c r="C50" t="s">
        <v>11</v>
      </c>
      <c r="D50" s="2">
        <v>157.3682861328125</v>
      </c>
      <c r="E50" s="2">
        <v>756249024</v>
      </c>
    </row>
    <row r="51" spans="1:5" x14ac:dyDescent="0.55000000000000004">
      <c r="A51" s="1">
        <v>44550</v>
      </c>
      <c r="B51" t="s">
        <v>6</v>
      </c>
      <c r="C51" t="s">
        <v>13</v>
      </c>
      <c r="D51" s="2">
        <v>234.1614990234375</v>
      </c>
      <c r="E51" s="2">
        <v>45942488</v>
      </c>
    </row>
    <row r="52" spans="1:5" x14ac:dyDescent="0.55000000000000004">
      <c r="A52" s="1">
        <v>44550</v>
      </c>
      <c r="B52" t="s">
        <v>4</v>
      </c>
      <c r="C52" t="s">
        <v>11</v>
      </c>
      <c r="D52" s="2">
        <v>134.9070129394531</v>
      </c>
      <c r="E52" s="2">
        <v>42752349</v>
      </c>
    </row>
    <row r="53" spans="1:5" x14ac:dyDescent="0.55000000000000004">
      <c r="A53" s="1">
        <v>44551</v>
      </c>
      <c r="B53" t="s">
        <v>6</v>
      </c>
      <c r="C53" t="s">
        <v>13</v>
      </c>
      <c r="D53" s="2">
        <v>70.595123291015625</v>
      </c>
      <c r="E53" s="2">
        <v>1347999744</v>
      </c>
    </row>
    <row r="54" spans="1:5" x14ac:dyDescent="0.55000000000000004">
      <c r="A54" s="1">
        <v>44551</v>
      </c>
      <c r="B54" t="s">
        <v>2</v>
      </c>
      <c r="C54" t="s">
        <v>9</v>
      </c>
      <c r="D54" s="2">
        <v>29.704229354858398</v>
      </c>
      <c r="E54" s="2">
        <v>128794568</v>
      </c>
    </row>
    <row r="55" spans="1:5" x14ac:dyDescent="0.55000000000000004">
      <c r="A55" s="1">
        <v>44551</v>
      </c>
      <c r="B55" t="s">
        <v>5</v>
      </c>
      <c r="C55" t="s">
        <v>12</v>
      </c>
      <c r="D55" s="2">
        <v>1.9819109439849849</v>
      </c>
      <c r="E55" s="2">
        <v>665723.875</v>
      </c>
    </row>
    <row r="56" spans="1:5" x14ac:dyDescent="0.55000000000000004">
      <c r="A56" s="1">
        <v>44552</v>
      </c>
      <c r="B56" t="s">
        <v>6</v>
      </c>
      <c r="C56" t="s">
        <v>13</v>
      </c>
      <c r="D56" s="2">
        <v>1.8994970321655269</v>
      </c>
      <c r="E56" s="2">
        <v>354826.03125</v>
      </c>
    </row>
    <row r="57" spans="1:5" x14ac:dyDescent="0.55000000000000004">
      <c r="A57" s="1">
        <v>44552</v>
      </c>
      <c r="B57" t="s">
        <v>2</v>
      </c>
      <c r="C57" t="s">
        <v>9</v>
      </c>
      <c r="D57" s="2">
        <v>104.52700042724609</v>
      </c>
      <c r="E57" s="2">
        <v>385976416</v>
      </c>
    </row>
    <row r="58" spans="1:5" x14ac:dyDescent="0.55000000000000004">
      <c r="A58" s="1">
        <v>44552</v>
      </c>
      <c r="B58" t="s">
        <v>2</v>
      </c>
      <c r="C58" t="s">
        <v>14</v>
      </c>
      <c r="D58" s="2">
        <v>32.935691595077508</v>
      </c>
      <c r="E58" s="2">
        <v>7093597.0625</v>
      </c>
    </row>
    <row r="59" spans="1:5" x14ac:dyDescent="0.55000000000000004">
      <c r="A59" s="1">
        <v>44552</v>
      </c>
      <c r="B59" t="s">
        <v>3</v>
      </c>
      <c r="C59" t="s">
        <v>10</v>
      </c>
      <c r="D59" s="2">
        <v>10.80376529693604</v>
      </c>
      <c r="E59" s="2">
        <v>2057036.875</v>
      </c>
    </row>
    <row r="60" spans="1:5" x14ac:dyDescent="0.55000000000000004">
      <c r="A60" s="1">
        <v>44552</v>
      </c>
      <c r="B60" t="s">
        <v>5</v>
      </c>
      <c r="C60" t="s">
        <v>12</v>
      </c>
      <c r="D60" s="2">
        <v>1.017405033111572</v>
      </c>
      <c r="E60" s="2">
        <v>189542.5625</v>
      </c>
    </row>
    <row r="61" spans="1:5" x14ac:dyDescent="0.55000000000000004">
      <c r="A61" s="1">
        <v>44553</v>
      </c>
      <c r="B61" t="s">
        <v>6</v>
      </c>
      <c r="C61" t="s">
        <v>13</v>
      </c>
      <c r="D61" s="2">
        <v>195.0820617675781</v>
      </c>
      <c r="E61" s="2">
        <v>2957502464</v>
      </c>
    </row>
    <row r="62" spans="1:5" x14ac:dyDescent="0.55000000000000004">
      <c r="A62" s="1">
        <v>44553</v>
      </c>
      <c r="B62" t="s">
        <v>2</v>
      </c>
      <c r="C62" t="s">
        <v>9</v>
      </c>
      <c r="D62" s="2">
        <v>139.0892028808594</v>
      </c>
      <c r="E62" s="2">
        <v>3934444032</v>
      </c>
    </row>
    <row r="63" spans="1:5" x14ac:dyDescent="0.55000000000000004">
      <c r="A63" s="1">
        <v>44553</v>
      </c>
      <c r="B63" t="s">
        <v>3</v>
      </c>
      <c r="C63" t="s">
        <v>10</v>
      </c>
      <c r="D63" s="2">
        <v>197.60331726074219</v>
      </c>
      <c r="E63" s="2">
        <v>1705533952</v>
      </c>
    </row>
    <row r="64" spans="1:5" x14ac:dyDescent="0.55000000000000004">
      <c r="A64" s="1">
        <v>44553</v>
      </c>
      <c r="B64" t="s">
        <v>4</v>
      </c>
      <c r="C64" t="s">
        <v>11</v>
      </c>
      <c r="D64" s="2">
        <v>23.61784744262695</v>
      </c>
      <c r="E64" s="2">
        <v>8906290</v>
      </c>
    </row>
    <row r="65" spans="1:5" x14ac:dyDescent="0.55000000000000004">
      <c r="A65" s="1">
        <v>44554</v>
      </c>
      <c r="B65" t="s">
        <v>6</v>
      </c>
      <c r="C65" t="s">
        <v>13</v>
      </c>
      <c r="D65" s="2">
        <v>40.865329742431641</v>
      </c>
      <c r="E65" s="2">
        <v>8017777.5</v>
      </c>
    </row>
    <row r="66" spans="1:5" x14ac:dyDescent="0.55000000000000004">
      <c r="A66" s="1">
        <v>44554</v>
      </c>
      <c r="B66" t="s">
        <v>2</v>
      </c>
      <c r="C66" t="s">
        <v>9</v>
      </c>
      <c r="D66" s="2">
        <v>91.500526428222656</v>
      </c>
      <c r="E66" s="2">
        <v>405036224</v>
      </c>
    </row>
    <row r="67" spans="1:5" x14ac:dyDescent="0.55000000000000004">
      <c r="A67" s="1">
        <v>44554</v>
      </c>
      <c r="B67" t="s">
        <v>2</v>
      </c>
      <c r="C67" t="s">
        <v>14</v>
      </c>
      <c r="D67" s="2">
        <v>63.031358957290649</v>
      </c>
      <c r="E67" s="2">
        <v>203083084.59375</v>
      </c>
    </row>
    <row r="68" spans="1:5" x14ac:dyDescent="0.55000000000000004">
      <c r="A68" s="1">
        <v>44554</v>
      </c>
      <c r="B68" t="s">
        <v>4</v>
      </c>
      <c r="C68" t="s">
        <v>11</v>
      </c>
      <c r="D68" s="2">
        <v>123.1212501525879</v>
      </c>
      <c r="E68" s="2">
        <v>22676076.25</v>
      </c>
    </row>
    <row r="69" spans="1:5" x14ac:dyDescent="0.55000000000000004">
      <c r="A69" s="1">
        <v>44554</v>
      </c>
      <c r="B69" t="s">
        <v>5</v>
      </c>
      <c r="C69" t="s">
        <v>12</v>
      </c>
      <c r="D69" s="2">
        <v>41.054224848747253</v>
      </c>
      <c r="E69" s="2">
        <v>120780580.5</v>
      </c>
    </row>
    <row r="70" spans="1:5" x14ac:dyDescent="0.55000000000000004">
      <c r="A70" s="1">
        <v>44555</v>
      </c>
      <c r="B70" t="s">
        <v>4</v>
      </c>
      <c r="C70" t="s">
        <v>11</v>
      </c>
      <c r="D70" s="2">
        <v>69.439544677734375</v>
      </c>
      <c r="E70" s="2">
        <v>32865736</v>
      </c>
    </row>
    <row r="71" spans="1:5" x14ac:dyDescent="0.55000000000000004">
      <c r="A71" s="1">
        <v>44555</v>
      </c>
      <c r="B71" t="s">
        <v>5</v>
      </c>
      <c r="C71" t="s">
        <v>12</v>
      </c>
      <c r="D71" s="2">
        <v>20.800348281860352</v>
      </c>
      <c r="E71" s="2">
        <v>6797554</v>
      </c>
    </row>
    <row r="72" spans="1:5" x14ac:dyDescent="0.55000000000000004">
      <c r="A72" s="1">
        <v>44556</v>
      </c>
      <c r="B72" t="s">
        <v>2</v>
      </c>
      <c r="C72" t="s">
        <v>9</v>
      </c>
      <c r="D72" s="2">
        <v>201.49024963378909</v>
      </c>
      <c r="E72" s="2">
        <v>563870464</v>
      </c>
    </row>
    <row r="73" spans="1:5" x14ac:dyDescent="0.55000000000000004">
      <c r="A73" s="1">
        <v>44556</v>
      </c>
      <c r="B73" t="s">
        <v>3</v>
      </c>
      <c r="C73" t="s">
        <v>10</v>
      </c>
      <c r="D73" s="2">
        <v>10.73635768890381</v>
      </c>
      <c r="E73" s="2">
        <v>264043536</v>
      </c>
    </row>
    <row r="74" spans="1:5" x14ac:dyDescent="0.55000000000000004">
      <c r="A74" s="1">
        <v>44556</v>
      </c>
      <c r="B74" t="s">
        <v>4</v>
      </c>
      <c r="C74" t="s">
        <v>11</v>
      </c>
      <c r="D74" s="2">
        <v>5.1521081924438477</v>
      </c>
      <c r="E74" s="2">
        <v>26061940</v>
      </c>
    </row>
    <row r="75" spans="1:5" x14ac:dyDescent="0.55000000000000004">
      <c r="A75" s="1">
        <v>44557</v>
      </c>
      <c r="B75" t="s">
        <v>6</v>
      </c>
      <c r="C75" t="s">
        <v>13</v>
      </c>
      <c r="D75" s="2">
        <v>40.668262481689453</v>
      </c>
      <c r="E75" s="2">
        <v>958099520</v>
      </c>
    </row>
    <row r="76" spans="1:5" x14ac:dyDescent="0.55000000000000004">
      <c r="A76" s="1">
        <v>44557</v>
      </c>
      <c r="B76" t="s">
        <v>2</v>
      </c>
      <c r="C76" t="s">
        <v>9</v>
      </c>
      <c r="D76" s="2">
        <v>114.95172214508059</v>
      </c>
      <c r="E76" s="2">
        <v>220874635</v>
      </c>
    </row>
    <row r="77" spans="1:5" x14ac:dyDescent="0.55000000000000004">
      <c r="A77" s="1">
        <v>44557</v>
      </c>
      <c r="B77" t="s">
        <v>2</v>
      </c>
      <c r="C77" t="s">
        <v>14</v>
      </c>
      <c r="D77" s="2">
        <v>13.141960144042971</v>
      </c>
      <c r="E77" s="2">
        <v>2502229.25</v>
      </c>
    </row>
    <row r="78" spans="1:5" x14ac:dyDescent="0.55000000000000004">
      <c r="A78" s="1">
        <v>44557</v>
      </c>
      <c r="B78" t="s">
        <v>4</v>
      </c>
      <c r="C78" t="s">
        <v>11</v>
      </c>
      <c r="D78" s="2">
        <v>26.052961349487301</v>
      </c>
      <c r="E78" s="2">
        <v>4996958</v>
      </c>
    </row>
    <row r="79" spans="1:5" x14ac:dyDescent="0.55000000000000004">
      <c r="A79" s="1">
        <v>44558</v>
      </c>
      <c r="B79" t="s">
        <v>6</v>
      </c>
      <c r="C79" t="s">
        <v>13</v>
      </c>
      <c r="D79" s="2">
        <v>44.437107086181641</v>
      </c>
      <c r="E79" s="2">
        <v>8563031</v>
      </c>
    </row>
    <row r="80" spans="1:5" x14ac:dyDescent="0.55000000000000004">
      <c r="A80" s="1">
        <v>44558</v>
      </c>
      <c r="B80" t="s">
        <v>2</v>
      </c>
      <c r="C80" t="s">
        <v>9</v>
      </c>
      <c r="D80" s="2">
        <v>1.953472971916199</v>
      </c>
      <c r="E80" s="2">
        <v>486024.0625</v>
      </c>
    </row>
    <row r="81" spans="1:5" x14ac:dyDescent="0.55000000000000004">
      <c r="A81" s="1">
        <v>44558</v>
      </c>
      <c r="B81" t="s">
        <v>3</v>
      </c>
      <c r="C81" t="s">
        <v>10</v>
      </c>
      <c r="D81" s="2">
        <v>5.0987730026245117</v>
      </c>
      <c r="E81" s="2">
        <v>21002356</v>
      </c>
    </row>
    <row r="82" spans="1:5" x14ac:dyDescent="0.55000000000000004">
      <c r="A82" s="1">
        <v>44559</v>
      </c>
      <c r="B82" t="s">
        <v>6</v>
      </c>
      <c r="C82" t="s">
        <v>13</v>
      </c>
      <c r="D82" s="2">
        <v>281.82143807411188</v>
      </c>
      <c r="E82" s="2">
        <v>54109688.4375</v>
      </c>
    </row>
    <row r="83" spans="1:5" x14ac:dyDescent="0.55000000000000004">
      <c r="A83" s="1">
        <v>44559</v>
      </c>
      <c r="B83" t="s">
        <v>2</v>
      </c>
      <c r="C83" t="s">
        <v>9</v>
      </c>
      <c r="D83" s="2">
        <v>201.55277526378629</v>
      </c>
      <c r="E83" s="2">
        <v>897518281.9375</v>
      </c>
    </row>
    <row r="84" spans="1:5" x14ac:dyDescent="0.55000000000000004">
      <c r="A84" s="1">
        <v>44560</v>
      </c>
      <c r="B84" t="s">
        <v>2</v>
      </c>
      <c r="C84" t="s">
        <v>9</v>
      </c>
      <c r="D84" s="2">
        <v>430.66260528564447</v>
      </c>
      <c r="E84" s="2">
        <v>1285230357</v>
      </c>
    </row>
    <row r="85" spans="1:5" x14ac:dyDescent="0.55000000000000004">
      <c r="A85" s="1">
        <v>44561</v>
      </c>
      <c r="B85" t="s">
        <v>2</v>
      </c>
      <c r="C85" t="s">
        <v>9</v>
      </c>
      <c r="D85" s="2">
        <v>94.75714635848999</v>
      </c>
      <c r="E85" s="2">
        <v>66710686</v>
      </c>
    </row>
    <row r="86" spans="1:5" x14ac:dyDescent="0.55000000000000004">
      <c r="A86" s="1">
        <v>44561</v>
      </c>
      <c r="B86" t="s">
        <v>3</v>
      </c>
      <c r="C86" t="s">
        <v>10</v>
      </c>
      <c r="D86" s="2">
        <v>54.172031402587891</v>
      </c>
      <c r="E86" s="2">
        <v>722107776</v>
      </c>
    </row>
    <row r="87" spans="1:5" x14ac:dyDescent="0.55000000000000004">
      <c r="A87" s="1">
        <v>44561</v>
      </c>
      <c r="B87" t="s">
        <v>4</v>
      </c>
      <c r="C87" t="s">
        <v>11</v>
      </c>
      <c r="D87" s="2">
        <v>70.35565185546875</v>
      </c>
      <c r="E87" s="2">
        <v>17293420</v>
      </c>
    </row>
    <row r="88" spans="1:5" x14ac:dyDescent="0.55000000000000004">
      <c r="A88" s="1">
        <v>44561</v>
      </c>
      <c r="B88" t="s">
        <v>5</v>
      </c>
      <c r="C88" t="s">
        <v>12</v>
      </c>
      <c r="D88" s="2">
        <v>25.107490539550781</v>
      </c>
      <c r="E88" s="2">
        <v>4735272.5</v>
      </c>
    </row>
    <row r="89" spans="1:5" x14ac:dyDescent="0.55000000000000004">
      <c r="A89" s="1">
        <v>44531</v>
      </c>
      <c r="B89" t="s">
        <v>7</v>
      </c>
      <c r="C89" t="s">
        <v>15</v>
      </c>
      <c r="D89" s="2">
        <v>21.952644348144531</v>
      </c>
      <c r="E89" s="2">
        <v>4032918.375</v>
      </c>
    </row>
    <row r="90" spans="1:5" x14ac:dyDescent="0.55000000000000004">
      <c r="A90" s="1">
        <v>44532</v>
      </c>
      <c r="B90" t="s">
        <v>7</v>
      </c>
      <c r="C90" t="s">
        <v>15</v>
      </c>
      <c r="D90" s="2">
        <v>244.50102281570429</v>
      </c>
      <c r="E90" s="2">
        <v>310255279.25</v>
      </c>
    </row>
    <row r="91" spans="1:5" x14ac:dyDescent="0.55000000000000004">
      <c r="A91" s="1">
        <v>44533</v>
      </c>
      <c r="B91" t="s">
        <v>7</v>
      </c>
      <c r="C91" t="s">
        <v>15</v>
      </c>
      <c r="D91" s="2">
        <v>29.09744668006897</v>
      </c>
      <c r="E91" s="2">
        <v>5580890.0625</v>
      </c>
    </row>
    <row r="92" spans="1:5" x14ac:dyDescent="0.55000000000000004">
      <c r="A92" s="1">
        <v>44534</v>
      </c>
      <c r="B92" t="s">
        <v>7</v>
      </c>
      <c r="C92" t="s">
        <v>15</v>
      </c>
      <c r="D92" s="2">
        <v>19.793291091918949</v>
      </c>
      <c r="E92" s="2">
        <v>55391524</v>
      </c>
    </row>
    <row r="93" spans="1:5" x14ac:dyDescent="0.55000000000000004">
      <c r="A93" s="1">
        <v>44535</v>
      </c>
      <c r="B93" t="s">
        <v>7</v>
      </c>
      <c r="C93" t="s">
        <v>15</v>
      </c>
      <c r="D93" s="2">
        <v>127.3746271133423</v>
      </c>
      <c r="E93" s="2">
        <v>912653974</v>
      </c>
    </row>
    <row r="94" spans="1:5" x14ac:dyDescent="0.55000000000000004">
      <c r="A94" s="1">
        <v>44536</v>
      </c>
      <c r="B94" t="s">
        <v>7</v>
      </c>
      <c r="C94" t="s">
        <v>15</v>
      </c>
      <c r="D94" s="2">
        <v>33.501455307006843</v>
      </c>
      <c r="E94" s="2">
        <v>91296762.375</v>
      </c>
    </row>
    <row r="95" spans="1:5" x14ac:dyDescent="0.55000000000000004">
      <c r="A95" s="1">
        <v>44537</v>
      </c>
      <c r="B95" t="s">
        <v>7</v>
      </c>
      <c r="C95" t="s">
        <v>15</v>
      </c>
      <c r="D95" s="2">
        <v>38.279990673065193</v>
      </c>
      <c r="E95" s="2">
        <v>11607739</v>
      </c>
    </row>
    <row r="96" spans="1:5" x14ac:dyDescent="0.55000000000000004">
      <c r="A96" s="1">
        <v>44538</v>
      </c>
      <c r="B96" t="s">
        <v>7</v>
      </c>
      <c r="C96" t="s">
        <v>15</v>
      </c>
      <c r="D96" s="2">
        <v>6.3179888725280762</v>
      </c>
      <c r="E96" s="2">
        <v>38137276</v>
      </c>
    </row>
    <row r="97" spans="1:5" x14ac:dyDescent="0.55000000000000004">
      <c r="A97" s="1">
        <v>44539</v>
      </c>
      <c r="B97" t="s">
        <v>7</v>
      </c>
      <c r="C97" t="s">
        <v>15</v>
      </c>
      <c r="D97" s="2">
        <v>503.93571472167969</v>
      </c>
      <c r="E97" s="2">
        <v>2224608416</v>
      </c>
    </row>
    <row r="98" spans="1:5" x14ac:dyDescent="0.55000000000000004">
      <c r="A98" s="1">
        <v>44540</v>
      </c>
      <c r="B98" t="s">
        <v>7</v>
      </c>
      <c r="C98" t="s">
        <v>15</v>
      </c>
      <c r="D98" s="2">
        <v>232.01766777038571</v>
      </c>
      <c r="E98" s="2">
        <v>537824574.5</v>
      </c>
    </row>
    <row r="99" spans="1:5" x14ac:dyDescent="0.55000000000000004">
      <c r="A99" s="1">
        <v>44541</v>
      </c>
      <c r="B99" t="s">
        <v>7</v>
      </c>
      <c r="C99" t="s">
        <v>15</v>
      </c>
      <c r="D99" s="2">
        <v>71.654512524604797</v>
      </c>
      <c r="E99" s="2">
        <v>169287597.375</v>
      </c>
    </row>
    <row r="100" spans="1:5" x14ac:dyDescent="0.55000000000000004">
      <c r="A100" s="1">
        <v>44544</v>
      </c>
      <c r="B100" t="s">
        <v>7</v>
      </c>
      <c r="C100" t="s">
        <v>15</v>
      </c>
      <c r="D100" s="2">
        <v>0.99947261810302734</v>
      </c>
      <c r="E100" s="2">
        <v>257963.875</v>
      </c>
    </row>
    <row r="101" spans="1:5" x14ac:dyDescent="0.55000000000000004">
      <c r="A101" s="1">
        <v>44545</v>
      </c>
      <c r="B101" t="s">
        <v>7</v>
      </c>
      <c r="C101" t="s">
        <v>15</v>
      </c>
      <c r="D101" s="2">
        <v>12.635977745056151</v>
      </c>
      <c r="E101" s="2">
        <v>5002583.5</v>
      </c>
    </row>
    <row r="102" spans="1:5" x14ac:dyDescent="0.55000000000000004">
      <c r="A102" s="1">
        <v>44546</v>
      </c>
      <c r="B102" t="s">
        <v>7</v>
      </c>
      <c r="C102" t="s">
        <v>15</v>
      </c>
      <c r="D102" s="2">
        <v>19.119512557983398</v>
      </c>
      <c r="E102" s="2">
        <v>159259808</v>
      </c>
    </row>
    <row r="103" spans="1:5" x14ac:dyDescent="0.55000000000000004">
      <c r="A103" s="1">
        <v>44547</v>
      </c>
      <c r="B103" t="s">
        <v>7</v>
      </c>
      <c r="C103" t="s">
        <v>15</v>
      </c>
      <c r="D103" s="2">
        <v>180.47978973388669</v>
      </c>
      <c r="E103" s="2">
        <v>455283456</v>
      </c>
    </row>
    <row r="104" spans="1:5" x14ac:dyDescent="0.55000000000000004">
      <c r="A104" s="1">
        <v>44548</v>
      </c>
      <c r="B104" t="s">
        <v>7</v>
      </c>
      <c r="C104" t="s">
        <v>15</v>
      </c>
      <c r="D104" s="2">
        <v>95.279503345489502</v>
      </c>
      <c r="E104" s="2">
        <v>492226611</v>
      </c>
    </row>
    <row r="105" spans="1:5" x14ac:dyDescent="0.55000000000000004">
      <c r="A105" s="1">
        <v>44549</v>
      </c>
      <c r="B105" t="s">
        <v>7</v>
      </c>
      <c r="C105" t="s">
        <v>15</v>
      </c>
      <c r="D105" s="2">
        <v>480.65370178222662</v>
      </c>
      <c r="E105" s="2">
        <v>149819756</v>
      </c>
    </row>
    <row r="106" spans="1:5" x14ac:dyDescent="0.55000000000000004">
      <c r="A106" s="1">
        <v>44550</v>
      </c>
      <c r="B106" t="s">
        <v>7</v>
      </c>
      <c r="C106" t="s">
        <v>15</v>
      </c>
      <c r="D106" s="2">
        <v>9.2445993423461914</v>
      </c>
      <c r="E106" s="2">
        <v>40970216</v>
      </c>
    </row>
    <row r="107" spans="1:5" x14ac:dyDescent="0.55000000000000004">
      <c r="A107" s="1">
        <v>44551</v>
      </c>
      <c r="B107" t="s">
        <v>7</v>
      </c>
      <c r="C107" t="s">
        <v>15</v>
      </c>
      <c r="D107" s="2">
        <v>168.89175224304199</v>
      </c>
      <c r="E107" s="2">
        <v>112287220</v>
      </c>
    </row>
    <row r="108" spans="1:5" x14ac:dyDescent="0.55000000000000004">
      <c r="A108" s="1">
        <v>44552</v>
      </c>
      <c r="B108" t="s">
        <v>7</v>
      </c>
      <c r="C108" t="s">
        <v>15</v>
      </c>
      <c r="D108" s="2">
        <v>285.7878098487854</v>
      </c>
      <c r="E108" s="2">
        <v>165079630.84375</v>
      </c>
    </row>
    <row r="109" spans="1:5" x14ac:dyDescent="0.55000000000000004">
      <c r="A109" s="1">
        <v>44553</v>
      </c>
      <c r="B109" t="s">
        <v>7</v>
      </c>
      <c r="C109" t="s">
        <v>15</v>
      </c>
      <c r="D109" s="2">
        <v>214.6972846984863</v>
      </c>
      <c r="E109" s="2">
        <v>177946164</v>
      </c>
    </row>
    <row r="110" spans="1:5" x14ac:dyDescent="0.55000000000000004">
      <c r="A110" s="1">
        <v>44554</v>
      </c>
      <c r="B110" t="s">
        <v>7</v>
      </c>
      <c r="C110" t="s">
        <v>15</v>
      </c>
      <c r="D110" s="2">
        <v>744.92559051513672</v>
      </c>
      <c r="E110" s="2">
        <v>253494828</v>
      </c>
    </row>
    <row r="111" spans="1:5" x14ac:dyDescent="0.55000000000000004">
      <c r="A111" s="1">
        <v>44555</v>
      </c>
      <c r="B111" t="s">
        <v>7</v>
      </c>
      <c r="C111" t="s">
        <v>15</v>
      </c>
      <c r="D111" s="2">
        <v>337.72329521179199</v>
      </c>
      <c r="E111" s="2">
        <v>2299063504</v>
      </c>
    </row>
    <row r="112" spans="1:5" x14ac:dyDescent="0.55000000000000004">
      <c r="A112" s="1">
        <v>44557</v>
      </c>
      <c r="B112" t="s">
        <v>7</v>
      </c>
      <c r="C112" t="s">
        <v>15</v>
      </c>
      <c r="D112" s="2">
        <v>677.79721164703369</v>
      </c>
      <c r="E112" s="2">
        <v>1432727330.5</v>
      </c>
    </row>
    <row r="113" spans="1:5" x14ac:dyDescent="0.55000000000000004">
      <c r="A113" s="1">
        <v>44559</v>
      </c>
      <c r="B113" t="s">
        <v>7</v>
      </c>
      <c r="C113" t="s">
        <v>15</v>
      </c>
      <c r="D113" s="2">
        <v>26.40361046791077</v>
      </c>
      <c r="E113" s="2">
        <v>5219626.5</v>
      </c>
    </row>
    <row r="114" spans="1:5" x14ac:dyDescent="0.55000000000000004">
      <c r="A114" s="1">
        <v>44560</v>
      </c>
      <c r="B114" t="s">
        <v>7</v>
      </c>
      <c r="C114" t="s">
        <v>15</v>
      </c>
      <c r="D114" s="2">
        <v>400.87734985351563</v>
      </c>
      <c r="E114" s="2">
        <v>231852656</v>
      </c>
    </row>
    <row r="115" spans="1:5" x14ac:dyDescent="0.55000000000000004">
      <c r="A115" s="1">
        <v>44561</v>
      </c>
      <c r="B115" t="s">
        <v>7</v>
      </c>
      <c r="C115" t="s">
        <v>15</v>
      </c>
      <c r="D115" s="2">
        <v>6.7479572296142578</v>
      </c>
      <c r="E115" s="2">
        <v>1294258.25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8B92-5E22-4E91-959A-C09606E5EA32}">
  <dimension ref="B2:J12"/>
  <sheetViews>
    <sheetView workbookViewId="0"/>
  </sheetViews>
  <sheetFormatPr defaultRowHeight="14.4" x14ac:dyDescent="0.55000000000000004"/>
  <sheetData>
    <row r="2" spans="2:10" ht="43.2" x14ac:dyDescent="0.55000000000000004">
      <c r="B2" s="127" t="s">
        <v>62</v>
      </c>
      <c r="C2" s="127" t="s">
        <v>63</v>
      </c>
      <c r="D2" s="136" t="s">
        <v>66</v>
      </c>
      <c r="I2" t="s">
        <v>70</v>
      </c>
    </row>
    <row r="3" spans="2:10" x14ac:dyDescent="0.55000000000000004">
      <c r="B3" s="128">
        <v>2022</v>
      </c>
      <c r="C3" s="128">
        <v>88.06</v>
      </c>
      <c r="D3" s="129">
        <f>(C3-C4)/(C4)</f>
        <v>8.0128205128205451E-3</v>
      </c>
      <c r="F3">
        <f>GEOMEAN(C10,C9,C8,C7,C6,C5,C4,C3)</f>
        <v>85.940769255782129</v>
      </c>
      <c r="I3" s="129">
        <v>8.0128205128205451E-3</v>
      </c>
    </row>
    <row r="4" spans="2:10" x14ac:dyDescent="0.55000000000000004">
      <c r="B4" s="128">
        <v>2021</v>
      </c>
      <c r="C4" s="128">
        <v>87.36</v>
      </c>
      <c r="D4" s="129">
        <f t="shared" ref="D4:D9" si="0">(C4-C5)/(C5)</f>
        <v>1.7199862401101444E-3</v>
      </c>
      <c r="I4" s="129">
        <v>1.7199862401101444E-3</v>
      </c>
    </row>
    <row r="5" spans="2:10" x14ac:dyDescent="0.55000000000000004">
      <c r="B5" s="128">
        <v>2020</v>
      </c>
      <c r="C5" s="128">
        <v>87.21</v>
      </c>
      <c r="D5" s="129">
        <f t="shared" si="0"/>
        <v>7.5092421441773508E-3</v>
      </c>
      <c r="I5" s="129">
        <v>7.5092421441773508E-3</v>
      </c>
    </row>
    <row r="6" spans="2:10" x14ac:dyDescent="0.55000000000000004">
      <c r="B6" s="128">
        <v>2019</v>
      </c>
      <c r="C6" s="128">
        <v>86.56</v>
      </c>
      <c r="D6" s="129">
        <f t="shared" si="0"/>
        <v>2.1477460467311867E-2</v>
      </c>
      <c r="I6" s="129">
        <v>2.1477460467311867E-2</v>
      </c>
    </row>
    <row r="7" spans="2:10" x14ac:dyDescent="0.55000000000000004">
      <c r="B7" s="128">
        <v>2018</v>
      </c>
      <c r="C7" s="128">
        <v>84.74</v>
      </c>
      <c r="D7" s="129">
        <f t="shared" si="0"/>
        <v>-2.631276571297261E-2</v>
      </c>
      <c r="I7" s="129">
        <v>2.6312765712972599E-2</v>
      </c>
    </row>
    <row r="8" spans="2:10" x14ac:dyDescent="0.55000000000000004">
      <c r="B8" s="128">
        <v>2017</v>
      </c>
      <c r="C8" s="128">
        <v>87.03</v>
      </c>
      <c r="D8" s="129">
        <f t="shared" si="0"/>
        <v>6.4196625091709467E-2</v>
      </c>
      <c r="I8" s="129">
        <v>6.4196625091709467E-2</v>
      </c>
    </row>
    <row r="9" spans="2:10" x14ac:dyDescent="0.55000000000000004">
      <c r="B9" s="128">
        <v>2016</v>
      </c>
      <c r="C9" s="128">
        <v>81.78</v>
      </c>
      <c r="D9" s="129">
        <f t="shared" si="0"/>
        <v>-3.7429378531073365E-2</v>
      </c>
      <c r="I9" s="129">
        <v>3.74293785310734E-2</v>
      </c>
    </row>
    <row r="10" spans="2:10" x14ac:dyDescent="0.55000000000000004">
      <c r="B10" s="128">
        <v>2015</v>
      </c>
      <c r="C10" s="128">
        <v>84.96</v>
      </c>
      <c r="D10" t="s">
        <v>64</v>
      </c>
      <c r="E10" s="130">
        <f>AVERAGE(D3:D9)</f>
        <v>5.5962843160119137E-3</v>
      </c>
      <c r="G10" t="e">
        <f>GEOMEAN(D9,D8,D7,D6,D5,D4,D3)</f>
        <v>#NUM!</v>
      </c>
      <c r="J10" s="129">
        <f>GEOMEAN(I9,I8,I7,I6,I5,I4,I3)</f>
        <v>1.4587090476181935E-2</v>
      </c>
    </row>
    <row r="11" spans="2:10" x14ac:dyDescent="0.55000000000000004">
      <c r="C11">
        <f>AVERAGE(C3:C10)</f>
        <v>85.962500000000006</v>
      </c>
    </row>
    <row r="12" spans="2:10" x14ac:dyDescent="0.55000000000000004">
      <c r="B1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B240-FCB1-4982-80D1-7AF472ECE3E6}">
  <dimension ref="A1:I132"/>
  <sheetViews>
    <sheetView tabSelected="1" zoomScale="90" zoomScaleNormal="90" workbookViewId="0">
      <selection activeCell="G3" sqref="G3"/>
    </sheetView>
  </sheetViews>
  <sheetFormatPr defaultRowHeight="14.4" x14ac:dyDescent="0.55000000000000004"/>
  <cols>
    <col min="1" max="1" width="27.3671875" bestFit="1" customWidth="1"/>
    <col min="2" max="2" width="14.1015625" bestFit="1" customWidth="1"/>
    <col min="3" max="3" width="5.734375" bestFit="1" customWidth="1"/>
    <col min="4" max="4" width="7.47265625" bestFit="1" customWidth="1"/>
    <col min="5" max="5" width="7" style="136" bestFit="1" customWidth="1"/>
    <col min="6" max="6" width="13.3125" bestFit="1" customWidth="1"/>
    <col min="7" max="7" width="16.68359375" bestFit="1" customWidth="1"/>
    <col min="8" max="8" width="10.20703125" bestFit="1" customWidth="1"/>
    <col min="9" max="9" width="76.41796875" bestFit="1" customWidth="1"/>
    <col min="10" max="10" width="10.7890625" bestFit="1" customWidth="1"/>
    <col min="11" max="11" width="8.89453125" bestFit="1" customWidth="1"/>
    <col min="12" max="12" width="9.68359375" bestFit="1" customWidth="1"/>
  </cols>
  <sheetData>
    <row r="1" spans="1:9" x14ac:dyDescent="0.55000000000000004">
      <c r="E1" s="144" t="s">
        <v>73</v>
      </c>
      <c r="F1" s="144" t="s">
        <v>74</v>
      </c>
      <c r="G1" s="144" t="s">
        <v>75</v>
      </c>
      <c r="H1" s="144" t="s">
        <v>76</v>
      </c>
    </row>
    <row r="2" spans="1:9" x14ac:dyDescent="0.55000000000000004">
      <c r="A2" t="s">
        <v>1</v>
      </c>
      <c r="B2" t="s">
        <v>8</v>
      </c>
      <c r="C2" s="144" t="s">
        <v>78</v>
      </c>
      <c r="D2" s="144" t="s">
        <v>77</v>
      </c>
      <c r="E2" s="156" t="s">
        <v>65</v>
      </c>
      <c r="F2" s="156" t="s">
        <v>69</v>
      </c>
      <c r="G2" s="93" t="s">
        <v>61</v>
      </c>
      <c r="H2" t="s">
        <v>0</v>
      </c>
      <c r="I2" s="93" t="s">
        <v>103</v>
      </c>
    </row>
    <row r="3" spans="1:9" x14ac:dyDescent="0.55000000000000004">
      <c r="A3" s="69" t="s">
        <v>2</v>
      </c>
      <c r="B3" s="69" t="s">
        <v>9</v>
      </c>
      <c r="C3" s="144">
        <v>43</v>
      </c>
      <c r="D3" s="144">
        <v>2</v>
      </c>
      <c r="E3" s="178">
        <v>156.75804530522146</v>
      </c>
      <c r="F3" s="169">
        <v>148.82544708251956</v>
      </c>
      <c r="G3" s="190">
        <v>4289780498.71</v>
      </c>
      <c r="H3" s="68">
        <v>44553</v>
      </c>
      <c r="I3" s="230" t="s">
        <v>136</v>
      </c>
    </row>
    <row r="4" spans="1:9" x14ac:dyDescent="0.55000000000000004">
      <c r="A4" s="69" t="s">
        <v>7</v>
      </c>
      <c r="B4" s="69" t="s">
        <v>15</v>
      </c>
      <c r="C4" s="144">
        <v>67</v>
      </c>
      <c r="D4">
        <v>1</v>
      </c>
      <c r="E4" s="173">
        <v>76.061317822895944</v>
      </c>
      <c r="F4" s="171">
        <v>229.72609462738035</v>
      </c>
      <c r="G4" s="161">
        <v>263584316.81</v>
      </c>
      <c r="H4" s="68">
        <v>44553</v>
      </c>
      <c r="I4" s="230" t="s">
        <v>136</v>
      </c>
    </row>
    <row r="5" spans="1:9" x14ac:dyDescent="0.55000000000000004">
      <c r="A5" s="69" t="s">
        <v>6</v>
      </c>
      <c r="B5" s="69" t="s">
        <v>13</v>
      </c>
      <c r="C5" s="144">
        <v>96</v>
      </c>
      <c r="D5" s="144">
        <v>3</v>
      </c>
      <c r="E5" s="173">
        <v>79.326139131670061</v>
      </c>
      <c r="F5" s="171">
        <v>208.73780609130858</v>
      </c>
      <c r="G5" s="161">
        <v>2348918482.2600002</v>
      </c>
      <c r="H5" s="68">
        <v>44553</v>
      </c>
      <c r="I5" s="230" t="s">
        <v>136</v>
      </c>
    </row>
    <row r="6" spans="1:9" s="132" customFormat="1" x14ac:dyDescent="0.55000000000000004">
      <c r="A6" s="69" t="s">
        <v>4</v>
      </c>
      <c r="B6" s="69" t="s">
        <v>11</v>
      </c>
      <c r="C6" s="144">
        <v>125</v>
      </c>
      <c r="D6">
        <v>4</v>
      </c>
      <c r="E6" s="173">
        <v>110.29982462109183</v>
      </c>
      <c r="F6" s="170">
        <v>25.271096763610839</v>
      </c>
      <c r="G6" s="146">
        <v>8785402.9900000002</v>
      </c>
      <c r="H6" s="68">
        <v>44553</v>
      </c>
      <c r="I6" s="230" t="s">
        <v>136</v>
      </c>
    </row>
    <row r="7" spans="1:9" s="132" customFormat="1" x14ac:dyDescent="0.55000000000000004">
      <c r="A7" s="69" t="s">
        <v>3</v>
      </c>
      <c r="B7" s="69" t="s">
        <v>10</v>
      </c>
      <c r="C7" s="144">
        <v>155</v>
      </c>
      <c r="D7">
        <v>5</v>
      </c>
      <c r="E7" s="178">
        <v>68.67080260792136</v>
      </c>
      <c r="F7" s="170">
        <v>211.43554946899414</v>
      </c>
      <c r="G7" s="146">
        <v>2477140600.1100001</v>
      </c>
      <c r="H7" s="68">
        <v>44553</v>
      </c>
      <c r="I7" s="230" t="s">
        <v>136</v>
      </c>
    </row>
    <row r="8" spans="1:9" x14ac:dyDescent="0.55000000000000004">
      <c r="E8" s="137"/>
      <c r="F8" s="4"/>
      <c r="G8" s="4"/>
    </row>
    <row r="9" spans="1:9" x14ac:dyDescent="0.55000000000000004">
      <c r="E9" s="137"/>
      <c r="F9" s="4"/>
      <c r="G9" s="4"/>
    </row>
    <row r="10" spans="1:9" x14ac:dyDescent="0.55000000000000004">
      <c r="E10" s="137"/>
      <c r="F10" s="4"/>
      <c r="G10" s="4"/>
    </row>
    <row r="11" spans="1:9" x14ac:dyDescent="0.55000000000000004">
      <c r="E11" s="137"/>
      <c r="F11" s="4"/>
      <c r="G11" s="4"/>
    </row>
    <row r="12" spans="1:9" x14ac:dyDescent="0.55000000000000004">
      <c r="E12" s="137"/>
      <c r="F12" s="4"/>
      <c r="G12" s="4"/>
    </row>
    <row r="13" spans="1:9" x14ac:dyDescent="0.55000000000000004">
      <c r="E13" s="137"/>
      <c r="F13" s="4"/>
      <c r="G13" s="4"/>
    </row>
    <row r="14" spans="1:9" x14ac:dyDescent="0.55000000000000004">
      <c r="E14" s="137"/>
      <c r="F14" s="4"/>
      <c r="G14" s="4"/>
    </row>
    <row r="15" spans="1:9" x14ac:dyDescent="0.55000000000000004">
      <c r="E15" s="137"/>
      <c r="F15" s="4"/>
      <c r="G15" s="4"/>
    </row>
    <row r="16" spans="1:9" x14ac:dyDescent="0.55000000000000004">
      <c r="E16" s="137"/>
      <c r="F16" s="4"/>
      <c r="G16" s="4"/>
    </row>
    <row r="17" spans="5:7" x14ac:dyDescent="0.55000000000000004">
      <c r="E17" s="137"/>
      <c r="F17" s="4"/>
      <c r="G17" s="4"/>
    </row>
    <row r="18" spans="5:7" x14ac:dyDescent="0.55000000000000004">
      <c r="E18" s="137"/>
      <c r="F18" s="4"/>
      <c r="G18" s="4"/>
    </row>
    <row r="19" spans="5:7" x14ac:dyDescent="0.55000000000000004">
      <c r="E19" s="137"/>
      <c r="F19" s="4"/>
      <c r="G19" s="4"/>
    </row>
    <row r="20" spans="5:7" x14ac:dyDescent="0.55000000000000004">
      <c r="E20" s="137"/>
      <c r="F20" s="4"/>
      <c r="G20" s="4"/>
    </row>
    <row r="21" spans="5:7" x14ac:dyDescent="0.55000000000000004">
      <c r="E21" s="137"/>
      <c r="F21" s="4"/>
      <c r="G21" s="4"/>
    </row>
    <row r="22" spans="5:7" x14ac:dyDescent="0.55000000000000004">
      <c r="E22" s="137"/>
      <c r="F22" s="4"/>
      <c r="G22" s="4"/>
    </row>
    <row r="23" spans="5:7" x14ac:dyDescent="0.55000000000000004">
      <c r="E23" s="137"/>
      <c r="F23" s="4"/>
      <c r="G23" s="4"/>
    </row>
    <row r="24" spans="5:7" x14ac:dyDescent="0.55000000000000004">
      <c r="E24" s="137"/>
      <c r="F24" s="4"/>
      <c r="G24" s="4"/>
    </row>
    <row r="25" spans="5:7" x14ac:dyDescent="0.55000000000000004">
      <c r="E25" s="137"/>
      <c r="F25" s="4"/>
      <c r="G25" s="4"/>
    </row>
    <row r="26" spans="5:7" x14ac:dyDescent="0.55000000000000004">
      <c r="E26" s="137"/>
      <c r="F26" s="4"/>
      <c r="G26" s="4"/>
    </row>
    <row r="27" spans="5:7" x14ac:dyDescent="0.55000000000000004">
      <c r="E27" s="137"/>
      <c r="F27" s="4"/>
      <c r="G27" s="4"/>
    </row>
    <row r="28" spans="5:7" x14ac:dyDescent="0.55000000000000004">
      <c r="E28" s="137"/>
      <c r="F28" s="4"/>
      <c r="G28" s="4"/>
    </row>
    <row r="29" spans="5:7" x14ac:dyDescent="0.55000000000000004">
      <c r="E29" s="137"/>
      <c r="F29" s="4"/>
      <c r="G29" s="4"/>
    </row>
    <row r="30" spans="5:7" x14ac:dyDescent="0.55000000000000004">
      <c r="E30" s="137"/>
      <c r="F30" s="4"/>
      <c r="G30" s="4"/>
    </row>
    <row r="31" spans="5:7" x14ac:dyDescent="0.55000000000000004">
      <c r="E31" s="137"/>
      <c r="F31" s="4"/>
      <c r="G31" s="4"/>
    </row>
    <row r="32" spans="5:7" x14ac:dyDescent="0.55000000000000004">
      <c r="E32" s="137"/>
      <c r="F32" s="4"/>
      <c r="G32" s="4"/>
    </row>
    <row r="33" spans="5:7" x14ac:dyDescent="0.55000000000000004">
      <c r="E33" s="137"/>
      <c r="F33" s="4"/>
      <c r="G33" s="4"/>
    </row>
    <row r="34" spans="5:7" x14ac:dyDescent="0.55000000000000004">
      <c r="E34" s="137"/>
      <c r="F34" s="4"/>
      <c r="G34" s="4"/>
    </row>
    <row r="35" spans="5:7" x14ac:dyDescent="0.55000000000000004">
      <c r="E35" s="137"/>
      <c r="F35" s="4"/>
      <c r="G35" s="4"/>
    </row>
    <row r="36" spans="5:7" x14ac:dyDescent="0.55000000000000004">
      <c r="E36" s="137"/>
      <c r="F36" s="4"/>
      <c r="G36" s="4"/>
    </row>
    <row r="37" spans="5:7" x14ac:dyDescent="0.55000000000000004">
      <c r="E37" s="137"/>
      <c r="F37" s="4"/>
      <c r="G37" s="4"/>
    </row>
    <row r="38" spans="5:7" x14ac:dyDescent="0.55000000000000004">
      <c r="E38" s="137"/>
      <c r="F38" s="4"/>
      <c r="G38" s="4"/>
    </row>
    <row r="39" spans="5:7" x14ac:dyDescent="0.55000000000000004">
      <c r="E39" s="137"/>
      <c r="F39" s="4"/>
      <c r="G39" s="4"/>
    </row>
    <row r="40" spans="5:7" x14ac:dyDescent="0.55000000000000004">
      <c r="E40" s="137"/>
      <c r="F40" s="4"/>
      <c r="G40" s="4"/>
    </row>
    <row r="41" spans="5:7" x14ac:dyDescent="0.55000000000000004">
      <c r="E41" s="137"/>
      <c r="F41" s="4"/>
      <c r="G41" s="4"/>
    </row>
    <row r="42" spans="5:7" x14ac:dyDescent="0.55000000000000004">
      <c r="E42" s="137"/>
      <c r="F42" s="4"/>
      <c r="G42" s="4"/>
    </row>
    <row r="43" spans="5:7" x14ac:dyDescent="0.55000000000000004">
      <c r="E43" s="137"/>
      <c r="F43" s="4"/>
      <c r="G43" s="4"/>
    </row>
    <row r="44" spans="5:7" x14ac:dyDescent="0.55000000000000004">
      <c r="E44" s="137"/>
      <c r="F44" s="4"/>
      <c r="G44" s="4"/>
    </row>
    <row r="45" spans="5:7" x14ac:dyDescent="0.55000000000000004">
      <c r="E45" s="137"/>
      <c r="F45" s="4"/>
      <c r="G45" s="4"/>
    </row>
    <row r="46" spans="5:7" x14ac:dyDescent="0.55000000000000004">
      <c r="E46" s="137"/>
      <c r="F46" s="4"/>
      <c r="G46" s="4"/>
    </row>
    <row r="47" spans="5:7" x14ac:dyDescent="0.55000000000000004">
      <c r="E47" s="137"/>
      <c r="F47" s="4"/>
      <c r="G47" s="4"/>
    </row>
    <row r="48" spans="5:7" x14ac:dyDescent="0.55000000000000004">
      <c r="E48" s="137"/>
      <c r="F48" s="4"/>
      <c r="G48" s="4"/>
    </row>
    <row r="49" spans="5:7" x14ac:dyDescent="0.55000000000000004">
      <c r="E49" s="137"/>
      <c r="F49" s="4"/>
      <c r="G49" s="4"/>
    </row>
    <row r="50" spans="5:7" x14ac:dyDescent="0.55000000000000004">
      <c r="E50" s="137"/>
      <c r="F50" s="4"/>
      <c r="G50" s="4"/>
    </row>
    <row r="51" spans="5:7" x14ac:dyDescent="0.55000000000000004">
      <c r="E51" s="137"/>
      <c r="F51" s="4"/>
      <c r="G51" s="4"/>
    </row>
    <row r="52" spans="5:7" x14ac:dyDescent="0.55000000000000004">
      <c r="E52" s="137"/>
      <c r="F52" s="4"/>
      <c r="G52" s="4"/>
    </row>
    <row r="53" spans="5:7" x14ac:dyDescent="0.55000000000000004">
      <c r="E53" s="137"/>
      <c r="F53" s="4"/>
      <c r="G53" s="4"/>
    </row>
    <row r="54" spans="5:7" x14ac:dyDescent="0.55000000000000004">
      <c r="E54" s="137"/>
      <c r="F54" s="4"/>
      <c r="G54" s="4"/>
    </row>
    <row r="55" spans="5:7" x14ac:dyDescent="0.55000000000000004">
      <c r="E55" s="137"/>
      <c r="F55" s="4"/>
      <c r="G55" s="4"/>
    </row>
    <row r="56" spans="5:7" x14ac:dyDescent="0.55000000000000004">
      <c r="E56" s="137"/>
      <c r="F56" s="4"/>
      <c r="G56" s="4"/>
    </row>
    <row r="57" spans="5:7" x14ac:dyDescent="0.55000000000000004">
      <c r="E57" s="137"/>
      <c r="F57" s="4"/>
      <c r="G57" s="4"/>
    </row>
    <row r="58" spans="5:7" x14ac:dyDescent="0.55000000000000004">
      <c r="E58" s="137"/>
      <c r="F58" s="4"/>
      <c r="G58" s="4"/>
    </row>
    <row r="59" spans="5:7" x14ac:dyDescent="0.55000000000000004">
      <c r="E59" s="137"/>
      <c r="F59" s="4"/>
      <c r="G59" s="4"/>
    </row>
    <row r="60" spans="5:7" x14ac:dyDescent="0.55000000000000004">
      <c r="E60" s="137"/>
      <c r="F60" s="4"/>
      <c r="G60" s="4"/>
    </row>
    <row r="61" spans="5:7" x14ac:dyDescent="0.55000000000000004">
      <c r="E61" s="137"/>
      <c r="F61" s="4"/>
      <c r="G61" s="4"/>
    </row>
    <row r="62" spans="5:7" x14ac:dyDescent="0.55000000000000004">
      <c r="E62" s="137"/>
      <c r="F62" s="4"/>
      <c r="G62" s="4"/>
    </row>
    <row r="63" spans="5:7" x14ac:dyDescent="0.55000000000000004">
      <c r="E63" s="137"/>
      <c r="F63" s="4"/>
      <c r="G63" s="4"/>
    </row>
    <row r="64" spans="5:7" x14ac:dyDescent="0.55000000000000004">
      <c r="E64" s="137"/>
      <c r="F64" s="4"/>
      <c r="G64" s="4"/>
    </row>
    <row r="65" spans="5:7" x14ac:dyDescent="0.55000000000000004">
      <c r="E65" s="137"/>
      <c r="F65" s="4"/>
      <c r="G65" s="4"/>
    </row>
    <row r="66" spans="5:7" x14ac:dyDescent="0.55000000000000004">
      <c r="E66" s="137"/>
      <c r="F66" s="4"/>
      <c r="G66" s="4"/>
    </row>
    <row r="67" spans="5:7" x14ac:dyDescent="0.55000000000000004">
      <c r="E67" s="137"/>
      <c r="F67" s="4"/>
      <c r="G67" s="4"/>
    </row>
    <row r="68" spans="5:7" x14ac:dyDescent="0.55000000000000004">
      <c r="E68" s="137"/>
      <c r="F68" s="4"/>
      <c r="G68" s="4"/>
    </row>
    <row r="69" spans="5:7" x14ac:dyDescent="0.55000000000000004">
      <c r="E69" s="137"/>
      <c r="F69" s="4"/>
      <c r="G69" s="4"/>
    </row>
    <row r="70" spans="5:7" x14ac:dyDescent="0.55000000000000004">
      <c r="E70" s="137"/>
      <c r="F70" s="4"/>
      <c r="G70" s="4"/>
    </row>
    <row r="71" spans="5:7" x14ac:dyDescent="0.55000000000000004">
      <c r="E71" s="137"/>
      <c r="F71" s="4"/>
      <c r="G71" s="4"/>
    </row>
    <row r="72" spans="5:7" x14ac:dyDescent="0.55000000000000004">
      <c r="E72" s="137"/>
      <c r="F72" s="4"/>
      <c r="G72" s="4"/>
    </row>
    <row r="73" spans="5:7" x14ac:dyDescent="0.55000000000000004">
      <c r="E73" s="137"/>
      <c r="F73" s="4"/>
      <c r="G73" s="4"/>
    </row>
    <row r="74" spans="5:7" x14ac:dyDescent="0.55000000000000004">
      <c r="E74" s="137"/>
      <c r="F74" s="4"/>
      <c r="G74" s="4"/>
    </row>
    <row r="75" spans="5:7" x14ac:dyDescent="0.55000000000000004">
      <c r="E75" s="137"/>
      <c r="F75" s="4"/>
      <c r="G75" s="4"/>
    </row>
    <row r="76" spans="5:7" x14ac:dyDescent="0.55000000000000004">
      <c r="E76" s="137"/>
      <c r="F76" s="4"/>
      <c r="G76" s="4"/>
    </row>
    <row r="77" spans="5:7" x14ac:dyDescent="0.55000000000000004">
      <c r="E77" s="137"/>
      <c r="F77" s="4"/>
      <c r="G77" s="4"/>
    </row>
    <row r="78" spans="5:7" x14ac:dyDescent="0.55000000000000004">
      <c r="E78" s="137"/>
      <c r="F78" s="4"/>
      <c r="G78" s="4"/>
    </row>
    <row r="79" spans="5:7" x14ac:dyDescent="0.55000000000000004">
      <c r="E79" s="137"/>
      <c r="F79" s="4"/>
      <c r="G79" s="4"/>
    </row>
    <row r="80" spans="5:7" x14ac:dyDescent="0.55000000000000004">
      <c r="E80" s="137"/>
      <c r="F80" s="4"/>
      <c r="G80" s="4"/>
    </row>
    <row r="81" spans="5:7" x14ac:dyDescent="0.55000000000000004">
      <c r="E81" s="137"/>
      <c r="F81" s="4"/>
      <c r="G81" s="4"/>
    </row>
    <row r="82" spans="5:7" x14ac:dyDescent="0.55000000000000004">
      <c r="E82" s="137"/>
      <c r="F82" s="4"/>
      <c r="G82" s="4"/>
    </row>
    <row r="83" spans="5:7" x14ac:dyDescent="0.55000000000000004">
      <c r="E83" s="137"/>
      <c r="F83" s="4"/>
      <c r="G83" s="4"/>
    </row>
    <row r="84" spans="5:7" x14ac:dyDescent="0.55000000000000004">
      <c r="E84" s="137"/>
      <c r="F84" s="4"/>
      <c r="G84" s="4"/>
    </row>
    <row r="85" spans="5:7" x14ac:dyDescent="0.55000000000000004">
      <c r="E85" s="137"/>
      <c r="F85" s="4"/>
      <c r="G85" s="4"/>
    </row>
    <row r="86" spans="5:7" x14ac:dyDescent="0.55000000000000004">
      <c r="E86" s="137"/>
      <c r="F86" s="4"/>
      <c r="G86" s="4"/>
    </row>
    <row r="87" spans="5:7" x14ac:dyDescent="0.55000000000000004">
      <c r="E87" s="137"/>
      <c r="F87" s="4"/>
      <c r="G87" s="4"/>
    </row>
    <row r="88" spans="5:7" x14ac:dyDescent="0.55000000000000004">
      <c r="E88" s="137"/>
      <c r="F88" s="4"/>
      <c r="G88" s="4"/>
    </row>
    <row r="89" spans="5:7" x14ac:dyDescent="0.55000000000000004">
      <c r="E89" s="137"/>
      <c r="F89" s="4"/>
      <c r="G89" s="4"/>
    </row>
    <row r="90" spans="5:7" x14ac:dyDescent="0.55000000000000004">
      <c r="E90" s="137"/>
      <c r="F90" s="4"/>
      <c r="G90" s="4"/>
    </row>
    <row r="91" spans="5:7" x14ac:dyDescent="0.55000000000000004">
      <c r="E91" s="137"/>
      <c r="F91" s="4"/>
      <c r="G91" s="4"/>
    </row>
    <row r="92" spans="5:7" x14ac:dyDescent="0.55000000000000004">
      <c r="E92" s="137"/>
      <c r="F92" s="4"/>
      <c r="G92" s="4"/>
    </row>
    <row r="93" spans="5:7" x14ac:dyDescent="0.55000000000000004">
      <c r="E93" s="137"/>
      <c r="F93" s="4"/>
      <c r="G93" s="4"/>
    </row>
    <row r="94" spans="5:7" x14ac:dyDescent="0.55000000000000004">
      <c r="E94" s="137"/>
      <c r="F94" s="4"/>
      <c r="G94" s="4"/>
    </row>
    <row r="95" spans="5:7" x14ac:dyDescent="0.55000000000000004">
      <c r="E95" s="137"/>
      <c r="F95" s="4"/>
      <c r="G95" s="4"/>
    </row>
    <row r="96" spans="5:7" x14ac:dyDescent="0.55000000000000004">
      <c r="E96" s="137"/>
      <c r="F96" s="4"/>
      <c r="G96" s="4"/>
    </row>
    <row r="97" spans="5:7" x14ac:dyDescent="0.55000000000000004">
      <c r="E97" s="137"/>
      <c r="F97" s="4"/>
      <c r="G97" s="4"/>
    </row>
    <row r="98" spans="5:7" x14ac:dyDescent="0.55000000000000004">
      <c r="E98" s="137"/>
      <c r="F98" s="4"/>
      <c r="G98" s="4"/>
    </row>
    <row r="99" spans="5:7" x14ac:dyDescent="0.55000000000000004">
      <c r="E99" s="137"/>
      <c r="F99" s="4"/>
      <c r="G99" s="4"/>
    </row>
    <row r="100" spans="5:7" x14ac:dyDescent="0.55000000000000004">
      <c r="E100" s="137"/>
      <c r="F100" s="4"/>
      <c r="G100" s="4"/>
    </row>
    <row r="101" spans="5:7" x14ac:dyDescent="0.55000000000000004">
      <c r="E101" s="137"/>
      <c r="F101" s="4"/>
      <c r="G101" s="4"/>
    </row>
    <row r="102" spans="5:7" x14ac:dyDescent="0.55000000000000004">
      <c r="E102" s="137"/>
      <c r="F102" s="4"/>
      <c r="G102" s="4"/>
    </row>
    <row r="103" spans="5:7" x14ac:dyDescent="0.55000000000000004">
      <c r="E103" s="137"/>
      <c r="F103" s="4"/>
      <c r="G103" s="4"/>
    </row>
    <row r="104" spans="5:7" x14ac:dyDescent="0.55000000000000004">
      <c r="E104" s="137"/>
      <c r="F104" s="4"/>
      <c r="G104" s="4"/>
    </row>
    <row r="105" spans="5:7" x14ac:dyDescent="0.55000000000000004">
      <c r="E105" s="137"/>
      <c r="F105" s="4"/>
      <c r="G105" s="4"/>
    </row>
    <row r="106" spans="5:7" x14ac:dyDescent="0.55000000000000004">
      <c r="E106" s="137"/>
      <c r="F106" s="4"/>
      <c r="G106" s="4"/>
    </row>
    <row r="107" spans="5:7" x14ac:dyDescent="0.55000000000000004">
      <c r="E107" s="137"/>
      <c r="F107" s="4"/>
      <c r="G107" s="4"/>
    </row>
    <row r="108" spans="5:7" x14ac:dyDescent="0.55000000000000004">
      <c r="E108" s="137"/>
      <c r="F108" s="4"/>
      <c r="G108" s="4"/>
    </row>
    <row r="109" spans="5:7" x14ac:dyDescent="0.55000000000000004">
      <c r="E109" s="137"/>
      <c r="F109" s="4"/>
      <c r="G109" s="4"/>
    </row>
    <row r="110" spans="5:7" x14ac:dyDescent="0.55000000000000004">
      <c r="E110" s="137"/>
      <c r="F110" s="4"/>
      <c r="G110" s="4"/>
    </row>
    <row r="111" spans="5:7" x14ac:dyDescent="0.55000000000000004">
      <c r="E111" s="137"/>
      <c r="F111" s="4"/>
      <c r="G111" s="4"/>
    </row>
    <row r="112" spans="5:7" x14ac:dyDescent="0.55000000000000004">
      <c r="E112" s="137"/>
      <c r="F112" s="4"/>
      <c r="G112" s="4"/>
    </row>
    <row r="113" spans="5:7" x14ac:dyDescent="0.55000000000000004">
      <c r="E113" s="137"/>
      <c r="F113" s="4"/>
      <c r="G113" s="4"/>
    </row>
    <row r="114" spans="5:7" x14ac:dyDescent="0.55000000000000004">
      <c r="E114" s="137"/>
      <c r="F114" s="4"/>
      <c r="G114" s="4"/>
    </row>
    <row r="115" spans="5:7" x14ac:dyDescent="0.55000000000000004">
      <c r="E115" s="137"/>
      <c r="F115" s="4"/>
      <c r="G115" s="4"/>
    </row>
    <row r="116" spans="5:7" x14ac:dyDescent="0.55000000000000004">
      <c r="E116" s="137"/>
      <c r="F116" s="4"/>
      <c r="G116" s="4"/>
    </row>
    <row r="117" spans="5:7" x14ac:dyDescent="0.55000000000000004">
      <c r="E117" s="137"/>
      <c r="F117" s="4"/>
      <c r="G117" s="4"/>
    </row>
    <row r="118" spans="5:7" x14ac:dyDescent="0.55000000000000004">
      <c r="E118" s="137"/>
      <c r="F118" s="4"/>
      <c r="G118" s="4"/>
    </row>
    <row r="119" spans="5:7" x14ac:dyDescent="0.55000000000000004">
      <c r="E119" s="137"/>
      <c r="F119" s="4"/>
      <c r="G119" s="4"/>
    </row>
    <row r="120" spans="5:7" x14ac:dyDescent="0.55000000000000004">
      <c r="E120" s="137"/>
      <c r="F120" s="4"/>
      <c r="G120" s="4"/>
    </row>
    <row r="121" spans="5:7" x14ac:dyDescent="0.55000000000000004">
      <c r="E121" s="137"/>
      <c r="F121" s="4"/>
      <c r="G121" s="4"/>
    </row>
    <row r="122" spans="5:7" x14ac:dyDescent="0.55000000000000004">
      <c r="E122" s="137"/>
      <c r="F122" s="4"/>
      <c r="G122" s="4"/>
    </row>
    <row r="123" spans="5:7" x14ac:dyDescent="0.55000000000000004">
      <c r="E123" s="137"/>
      <c r="F123" s="4"/>
      <c r="G123" s="4"/>
    </row>
    <row r="124" spans="5:7" x14ac:dyDescent="0.55000000000000004">
      <c r="E124" s="137"/>
      <c r="F124" s="4"/>
      <c r="G124" s="4"/>
    </row>
    <row r="125" spans="5:7" x14ac:dyDescent="0.55000000000000004">
      <c r="E125" s="137"/>
      <c r="F125" s="4"/>
      <c r="G125" s="4"/>
    </row>
    <row r="126" spans="5:7" x14ac:dyDescent="0.55000000000000004">
      <c r="E126" s="137"/>
      <c r="F126" s="4"/>
      <c r="G126" s="4"/>
    </row>
    <row r="127" spans="5:7" x14ac:dyDescent="0.55000000000000004">
      <c r="E127" s="137"/>
      <c r="F127" s="4"/>
      <c r="G127" s="4"/>
    </row>
    <row r="128" spans="5:7" x14ac:dyDescent="0.55000000000000004">
      <c r="E128" s="137"/>
      <c r="F128" s="4"/>
      <c r="G128" s="4"/>
    </row>
    <row r="129" spans="5:7" x14ac:dyDescent="0.55000000000000004">
      <c r="E129" s="137"/>
      <c r="F129" s="4"/>
      <c r="G129" s="4"/>
    </row>
    <row r="130" spans="5:7" x14ac:dyDescent="0.55000000000000004">
      <c r="E130" s="137"/>
      <c r="F130" s="4"/>
      <c r="G130" s="4"/>
    </row>
    <row r="131" spans="5:7" x14ac:dyDescent="0.55000000000000004">
      <c r="E131" s="137"/>
      <c r="F131" s="4"/>
      <c r="G131" s="4"/>
    </row>
    <row r="132" spans="5:7" x14ac:dyDescent="0.55000000000000004">
      <c r="E132" s="137"/>
      <c r="F132" s="4"/>
      <c r="G132" s="4"/>
    </row>
  </sheetData>
  <autoFilter ref="A2:H7" xr:uid="{214634BF-672F-4D0D-9740-9A896BC05835}">
    <sortState xmlns:xlrd2="http://schemas.microsoft.com/office/spreadsheetml/2017/richdata2" ref="A3:H7">
      <sortCondition ref="H2:H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FAF-5870-41E4-9F10-0B2D3D6EAF68}">
  <dimension ref="A1:K222"/>
  <sheetViews>
    <sheetView zoomScale="90" zoomScaleNormal="90" workbookViewId="0"/>
  </sheetViews>
  <sheetFormatPr defaultRowHeight="14.4" x14ac:dyDescent="0.55000000000000004"/>
  <cols>
    <col min="1" max="1" width="5.734375" bestFit="1" customWidth="1"/>
    <col min="2" max="2" width="7.47265625" bestFit="1" customWidth="1"/>
    <col min="3" max="3" width="7" style="136" bestFit="1" customWidth="1"/>
    <col min="4" max="4" width="13.3125" bestFit="1" customWidth="1"/>
    <col min="5" max="5" width="16.68359375" bestFit="1" customWidth="1"/>
    <col min="6" max="6" width="28.20703125" customWidth="1"/>
    <col min="7" max="7" width="10.20703125" bestFit="1" customWidth="1"/>
    <col min="8" max="8" width="10.20703125" customWidth="1"/>
    <col min="9" max="9" width="14.15625" bestFit="1" customWidth="1"/>
    <col min="10" max="10" width="16.3671875" bestFit="1" customWidth="1"/>
    <col min="11" max="11" width="8.89453125" bestFit="1" customWidth="1"/>
    <col min="12" max="12" width="9.68359375" bestFit="1" customWidth="1"/>
  </cols>
  <sheetData>
    <row r="1" spans="1:10" x14ac:dyDescent="0.55000000000000004">
      <c r="A1" s="144" t="s">
        <v>80</v>
      </c>
      <c r="B1" s="144" t="s">
        <v>77</v>
      </c>
      <c r="C1" s="144" t="s">
        <v>73</v>
      </c>
      <c r="D1" s="144" t="s">
        <v>74</v>
      </c>
      <c r="E1" s="144" t="s">
        <v>75</v>
      </c>
      <c r="F1" s="144" t="s">
        <v>76</v>
      </c>
      <c r="G1" s="144" t="s">
        <v>88</v>
      </c>
      <c r="H1" s="144" t="s">
        <v>91</v>
      </c>
      <c r="I1" s="144" t="s">
        <v>89</v>
      </c>
      <c r="J1" s="144" t="s">
        <v>90</v>
      </c>
    </row>
    <row r="2" spans="1:10" x14ac:dyDescent="0.55000000000000004">
      <c r="A2" s="144">
        <v>23</v>
      </c>
      <c r="B2" s="144">
        <v>2</v>
      </c>
      <c r="C2" s="175">
        <v>81</v>
      </c>
      <c r="D2" s="169">
        <v>139.49574783325193</v>
      </c>
      <c r="E2" s="4">
        <v>474917846.85000002</v>
      </c>
      <c r="F2" s="4" t="s">
        <v>115</v>
      </c>
      <c r="G2" s="215" t="s">
        <v>83</v>
      </c>
      <c r="H2" s="212" t="s">
        <v>81</v>
      </c>
      <c r="I2" s="213" t="s">
        <v>82</v>
      </c>
      <c r="J2" t="str">
        <f>_xlfn.CONCAT(G2,H2,I2)</f>
        <v>2023-12-01 7:00:00</v>
      </c>
    </row>
    <row r="3" spans="1:10" x14ac:dyDescent="0.55000000000000004">
      <c r="A3" s="144">
        <v>52</v>
      </c>
      <c r="B3">
        <v>1</v>
      </c>
      <c r="C3" s="175">
        <v>150</v>
      </c>
      <c r="D3" s="171">
        <v>23.489329452514649</v>
      </c>
      <c r="E3" s="161">
        <v>4934980.17</v>
      </c>
      <c r="F3" s="146" t="s">
        <v>115</v>
      </c>
      <c r="G3" s="215" t="s">
        <v>83</v>
      </c>
      <c r="H3" s="212" t="s">
        <v>81</v>
      </c>
      <c r="I3" s="213" t="s">
        <v>82</v>
      </c>
      <c r="J3" t="str">
        <f t="shared" ref="J3:J18" si="0">_xlfn.CONCAT(G3,H3,I3)</f>
        <v>2023-12-01 7:00:00</v>
      </c>
    </row>
    <row r="4" spans="1:10" s="132" customFormat="1" x14ac:dyDescent="0.55000000000000004">
      <c r="A4" s="144">
        <v>76</v>
      </c>
      <c r="B4" s="144">
        <v>3</v>
      </c>
      <c r="C4" s="176">
        <v>76</v>
      </c>
      <c r="D4" s="133">
        <v>18.76605949975783</v>
      </c>
      <c r="E4" s="142">
        <v>31559505.250610352</v>
      </c>
      <c r="F4" s="142" t="s">
        <v>115</v>
      </c>
      <c r="G4" s="214" t="s">
        <v>83</v>
      </c>
      <c r="H4" s="212" t="s">
        <v>81</v>
      </c>
      <c r="I4" s="213" t="s">
        <v>82</v>
      </c>
      <c r="J4" t="str">
        <f t="shared" si="0"/>
        <v>2023-12-01 7:00:00</v>
      </c>
    </row>
    <row r="5" spans="1:10" x14ac:dyDescent="0.55000000000000004">
      <c r="A5" s="144">
        <v>105</v>
      </c>
      <c r="B5">
        <v>4</v>
      </c>
      <c r="C5" s="175">
        <v>92</v>
      </c>
      <c r="D5" s="171">
        <v>420.17333923339851</v>
      </c>
      <c r="E5" s="161">
        <v>85137418.670000002</v>
      </c>
      <c r="F5" s="146" t="s">
        <v>115</v>
      </c>
      <c r="G5" s="215" t="s">
        <v>83</v>
      </c>
      <c r="H5" s="212" t="s">
        <v>81</v>
      </c>
      <c r="I5" s="213" t="s">
        <v>82</v>
      </c>
      <c r="J5" t="str">
        <f t="shared" si="0"/>
        <v>2023-12-01 7:00:00</v>
      </c>
    </row>
    <row r="6" spans="1:10" x14ac:dyDescent="0.55000000000000004">
      <c r="A6" s="144">
        <v>134</v>
      </c>
      <c r="B6">
        <v>5</v>
      </c>
      <c r="C6" s="175">
        <v>53</v>
      </c>
      <c r="D6" s="169">
        <v>11.487902727127079</v>
      </c>
      <c r="E6" s="4">
        <v>47407369.710000001</v>
      </c>
      <c r="F6" s="4" t="s">
        <v>115</v>
      </c>
      <c r="G6" s="215" t="s">
        <v>83</v>
      </c>
      <c r="H6" s="212" t="s">
        <v>81</v>
      </c>
      <c r="I6" s="213" t="s">
        <v>82</v>
      </c>
      <c r="J6" t="str">
        <f t="shared" si="0"/>
        <v>2023-12-01 7:00:00</v>
      </c>
    </row>
    <row r="7" spans="1:10" s="132" customFormat="1" x14ac:dyDescent="0.55000000000000004">
      <c r="A7" s="144">
        <v>24</v>
      </c>
      <c r="B7" s="144">
        <v>2</v>
      </c>
      <c r="C7" s="175">
        <v>110</v>
      </c>
      <c r="D7" s="172">
        <v>104.81852149963377</v>
      </c>
      <c r="E7" s="134">
        <v>277400817.53500003</v>
      </c>
      <c r="F7" s="134" t="s">
        <v>116</v>
      </c>
      <c r="G7" s="216" t="s">
        <v>84</v>
      </c>
      <c r="H7" s="212" t="s">
        <v>81</v>
      </c>
      <c r="I7" s="213" t="s">
        <v>82</v>
      </c>
      <c r="J7" t="str">
        <f t="shared" si="0"/>
        <v>2023-12-02 7:00:00</v>
      </c>
    </row>
    <row r="8" spans="1:10" x14ac:dyDescent="0.55000000000000004">
      <c r="A8" s="144">
        <v>53</v>
      </c>
      <c r="B8">
        <v>1</v>
      </c>
      <c r="C8" s="175">
        <v>113</v>
      </c>
      <c r="D8" s="171">
        <v>261.61609441280359</v>
      </c>
      <c r="E8" s="161">
        <v>376094825.37</v>
      </c>
      <c r="F8" s="146" t="s">
        <v>116</v>
      </c>
      <c r="G8" s="218" t="s">
        <v>84</v>
      </c>
      <c r="H8" s="212" t="s">
        <v>81</v>
      </c>
      <c r="I8" s="213" t="s">
        <v>82</v>
      </c>
      <c r="J8" t="str">
        <f t="shared" si="0"/>
        <v>2023-12-02 7:00:00</v>
      </c>
    </row>
    <row r="9" spans="1:10" x14ac:dyDescent="0.55000000000000004">
      <c r="A9" s="144">
        <v>77</v>
      </c>
      <c r="B9" s="144">
        <v>3</v>
      </c>
      <c r="C9" s="175">
        <v>64</v>
      </c>
      <c r="D9" s="171">
        <v>286.52542014122008</v>
      </c>
      <c r="E9" s="161">
        <v>1278932432.9200001</v>
      </c>
      <c r="F9" s="146" t="s">
        <v>116</v>
      </c>
      <c r="G9" s="218" t="s">
        <v>84</v>
      </c>
      <c r="H9" s="212" t="s">
        <v>81</v>
      </c>
      <c r="I9" s="213" t="s">
        <v>82</v>
      </c>
      <c r="J9" t="str">
        <f t="shared" si="0"/>
        <v>2023-12-02 7:00:00</v>
      </c>
    </row>
    <row r="10" spans="1:10" x14ac:dyDescent="0.55000000000000004">
      <c r="A10" s="144">
        <v>106</v>
      </c>
      <c r="B10">
        <v>4</v>
      </c>
      <c r="C10" s="175">
        <v>93</v>
      </c>
      <c r="D10" s="171">
        <v>7.7173205089569095</v>
      </c>
      <c r="E10" s="161">
        <v>1242221.8500000001</v>
      </c>
      <c r="F10" s="146" t="s">
        <v>116</v>
      </c>
      <c r="G10" s="218" t="s">
        <v>84</v>
      </c>
      <c r="H10" s="212" t="s">
        <v>81</v>
      </c>
      <c r="I10" s="213" t="s">
        <v>82</v>
      </c>
      <c r="J10" t="str">
        <f t="shared" si="0"/>
        <v>2023-12-02 7:00:00</v>
      </c>
    </row>
    <row r="11" spans="1:10" x14ac:dyDescent="0.55000000000000004">
      <c r="A11" s="144">
        <v>135</v>
      </c>
      <c r="B11">
        <v>5</v>
      </c>
      <c r="C11" s="175">
        <v>57</v>
      </c>
      <c r="D11" s="169">
        <v>109.37096038818358</v>
      </c>
      <c r="E11" s="161">
        <v>513398941.65000004</v>
      </c>
      <c r="F11" s="146" t="s">
        <v>116</v>
      </c>
      <c r="G11" s="218" t="s">
        <v>84</v>
      </c>
      <c r="H11" s="212" t="s">
        <v>81</v>
      </c>
      <c r="I11" s="213" t="s">
        <v>82</v>
      </c>
      <c r="J11" t="str">
        <f t="shared" si="0"/>
        <v>2023-12-02 7:00:00</v>
      </c>
    </row>
    <row r="12" spans="1:10" s="132" customFormat="1" x14ac:dyDescent="0.55000000000000004">
      <c r="A12" s="144">
        <v>25</v>
      </c>
      <c r="B12" s="144">
        <v>2</v>
      </c>
      <c r="C12" s="175">
        <v>89</v>
      </c>
      <c r="D12" s="171">
        <v>70.141295166015624</v>
      </c>
      <c r="E12" s="146">
        <v>79883788.219999999</v>
      </c>
      <c r="F12" s="146" t="s">
        <v>117</v>
      </c>
      <c r="G12" s="217" t="s">
        <v>85</v>
      </c>
      <c r="H12" s="212" t="s">
        <v>81</v>
      </c>
      <c r="I12" s="213" t="s">
        <v>82</v>
      </c>
      <c r="J12" t="str">
        <f t="shared" si="0"/>
        <v>2023-12-03 7:00:00</v>
      </c>
    </row>
    <row r="13" spans="1:10" x14ac:dyDescent="0.55000000000000004">
      <c r="A13" s="144">
        <v>54</v>
      </c>
      <c r="B13">
        <v>1</v>
      </c>
      <c r="C13" s="175">
        <v>79</v>
      </c>
      <c r="D13" s="171">
        <v>31.134267947673798</v>
      </c>
      <c r="E13" s="161">
        <v>6783136.6000000006</v>
      </c>
      <c r="F13" s="146" t="s">
        <v>117</v>
      </c>
      <c r="G13" s="217" t="s">
        <v>85</v>
      </c>
      <c r="H13" s="212" t="s">
        <v>81</v>
      </c>
      <c r="I13" s="213" t="s">
        <v>82</v>
      </c>
      <c r="J13" t="str">
        <f t="shared" si="0"/>
        <v>2023-12-03 7:00:00</v>
      </c>
    </row>
    <row r="14" spans="1:10" x14ac:dyDescent="0.55000000000000004">
      <c r="A14" s="144">
        <v>78</v>
      </c>
      <c r="B14" s="144">
        <v>3</v>
      </c>
      <c r="C14" s="176">
        <v>56</v>
      </c>
      <c r="D14" s="149">
        <v>13</v>
      </c>
      <c r="E14" s="160">
        <v>244727455</v>
      </c>
      <c r="F14" s="142" t="s">
        <v>117</v>
      </c>
      <c r="G14" s="216" t="s">
        <v>85</v>
      </c>
      <c r="H14" s="212" t="s">
        <v>81</v>
      </c>
      <c r="I14" s="213" t="s">
        <v>82</v>
      </c>
      <c r="J14" t="str">
        <f t="shared" si="0"/>
        <v>2023-12-03 7:00:00</v>
      </c>
    </row>
    <row r="15" spans="1:10" x14ac:dyDescent="0.55000000000000004">
      <c r="A15" s="144">
        <v>107</v>
      </c>
      <c r="B15">
        <v>4</v>
      </c>
      <c r="C15" s="175">
        <v>77</v>
      </c>
      <c r="D15" s="171">
        <v>1312.9918798828126</v>
      </c>
      <c r="E15" s="161">
        <v>3491333891.9700003</v>
      </c>
      <c r="F15" s="146" t="s">
        <v>117</v>
      </c>
      <c r="G15" s="217" t="s">
        <v>85</v>
      </c>
      <c r="H15" s="212" t="s">
        <v>81</v>
      </c>
      <c r="I15" s="213" t="s">
        <v>82</v>
      </c>
      <c r="J15" t="str">
        <f t="shared" si="0"/>
        <v>2023-12-03 7:00:00</v>
      </c>
    </row>
    <row r="16" spans="1:10" x14ac:dyDescent="0.55000000000000004">
      <c r="A16" s="144">
        <v>136</v>
      </c>
      <c r="B16">
        <v>5</v>
      </c>
      <c r="C16" s="176">
        <v>57</v>
      </c>
      <c r="D16" s="159">
        <v>58.591174688339223</v>
      </c>
      <c r="E16" s="158">
        <v>310706319.125</v>
      </c>
      <c r="F16" s="134" t="s">
        <v>117</v>
      </c>
      <c r="G16" s="216" t="s">
        <v>85</v>
      </c>
      <c r="H16" s="212" t="s">
        <v>81</v>
      </c>
      <c r="I16" s="213" t="s">
        <v>82</v>
      </c>
      <c r="J16" t="str">
        <f t="shared" si="0"/>
        <v>2023-12-03 7:00:00</v>
      </c>
    </row>
    <row r="17" spans="1:10" x14ac:dyDescent="0.55000000000000004">
      <c r="A17" s="144">
        <v>26</v>
      </c>
      <c r="B17" s="144">
        <v>2</v>
      </c>
      <c r="C17" s="175">
        <v>93</v>
      </c>
      <c r="D17" s="171">
        <v>210.53629623413087</v>
      </c>
      <c r="E17" s="161">
        <v>49678462.900000006</v>
      </c>
      <c r="F17" s="146" t="s">
        <v>118</v>
      </c>
      <c r="G17" s="219" t="s">
        <v>86</v>
      </c>
      <c r="H17" s="212" t="s">
        <v>81</v>
      </c>
      <c r="I17" s="213" t="s">
        <v>87</v>
      </c>
      <c r="J17" t="str">
        <f t="shared" si="0"/>
        <v>2023-12-04 8:00:00</v>
      </c>
    </row>
    <row r="18" spans="1:10" x14ac:dyDescent="0.55000000000000004">
      <c r="A18" s="144">
        <v>55</v>
      </c>
      <c r="B18">
        <v>1</v>
      </c>
      <c r="C18" s="175">
        <v>153</v>
      </c>
      <c r="D18" s="171">
        <v>21.178821468353277</v>
      </c>
      <c r="E18" s="161">
        <v>58787883.290000007</v>
      </c>
      <c r="F18" s="146" t="s">
        <v>118</v>
      </c>
      <c r="G18" s="219" t="s">
        <v>86</v>
      </c>
      <c r="H18" s="212" t="s">
        <v>81</v>
      </c>
      <c r="I18" s="213" t="s">
        <v>87</v>
      </c>
      <c r="J18" t="str">
        <f t="shared" si="0"/>
        <v>2023-12-04 8:00:00</v>
      </c>
    </row>
    <row r="19" spans="1:10" x14ac:dyDescent="0.55000000000000004">
      <c r="A19" s="144">
        <v>79</v>
      </c>
      <c r="B19" s="144">
        <v>3</v>
      </c>
      <c r="C19" s="176">
        <v>55</v>
      </c>
      <c r="D19" s="149">
        <v>10</v>
      </c>
      <c r="E19" s="160">
        <v>210913943</v>
      </c>
      <c r="F19" s="142" t="s">
        <v>118</v>
      </c>
      <c r="G19" s="216" t="s">
        <v>86</v>
      </c>
      <c r="H19" s="212" t="s">
        <v>81</v>
      </c>
      <c r="I19" s="213" t="s">
        <v>87</v>
      </c>
      <c r="J19" t="str">
        <f t="shared" ref="J19:J23" si="1">_xlfn.CONCAT(G19,H19,I19)</f>
        <v>2023-12-04 8:00:00</v>
      </c>
    </row>
    <row r="20" spans="1:10" x14ac:dyDescent="0.55000000000000004">
      <c r="A20" s="144">
        <v>108</v>
      </c>
      <c r="B20">
        <v>4</v>
      </c>
      <c r="C20" s="175">
        <v>116</v>
      </c>
      <c r="D20" s="171">
        <v>8.7129330921173107</v>
      </c>
      <c r="E20" s="161">
        <v>38951720.390000001</v>
      </c>
      <c r="F20" s="146" t="s">
        <v>118</v>
      </c>
      <c r="G20" s="219" t="s">
        <v>86</v>
      </c>
      <c r="H20" s="212" t="s">
        <v>81</v>
      </c>
      <c r="I20" s="213" t="s">
        <v>87</v>
      </c>
      <c r="J20" t="str">
        <f t="shared" si="1"/>
        <v>2023-12-04 8:00:00</v>
      </c>
    </row>
    <row r="21" spans="1:10" x14ac:dyDescent="0.55000000000000004">
      <c r="A21" s="144">
        <v>137</v>
      </c>
      <c r="B21">
        <v>5</v>
      </c>
      <c r="C21" s="175">
        <v>60</v>
      </c>
      <c r="D21" s="171">
        <v>7.8113889884948735</v>
      </c>
      <c r="E21" s="161">
        <v>108013696.60000001</v>
      </c>
      <c r="F21" s="146" t="s">
        <v>118</v>
      </c>
      <c r="G21" s="219" t="s">
        <v>86</v>
      </c>
      <c r="H21" s="212" t="s">
        <v>81</v>
      </c>
      <c r="I21" s="213" t="s">
        <v>87</v>
      </c>
      <c r="J21" t="str">
        <f t="shared" si="1"/>
        <v>2023-12-04 8:00:00</v>
      </c>
    </row>
    <row r="22" spans="1:10" x14ac:dyDescent="0.55000000000000004">
      <c r="A22" s="144">
        <v>27</v>
      </c>
      <c r="B22" s="144">
        <v>2</v>
      </c>
      <c r="C22" s="175">
        <v>83</v>
      </c>
      <c r="D22" s="171">
        <v>4.1705398416519168</v>
      </c>
      <c r="E22" s="161">
        <v>14091800.49</v>
      </c>
      <c r="F22" s="146" t="s">
        <v>119</v>
      </c>
      <c r="G22" s="220" t="s">
        <v>92</v>
      </c>
      <c r="H22" s="212" t="s">
        <v>81</v>
      </c>
      <c r="I22" s="213" t="s">
        <v>87</v>
      </c>
      <c r="J22" t="str">
        <f t="shared" si="1"/>
        <v>2023-12-05 8:00:00</v>
      </c>
    </row>
    <row r="23" spans="1:10" x14ac:dyDescent="0.55000000000000004">
      <c r="A23" s="144">
        <v>56</v>
      </c>
      <c r="B23">
        <v>1</v>
      </c>
      <c r="C23" s="175">
        <v>126</v>
      </c>
      <c r="D23" s="171">
        <v>136.29085101127626</v>
      </c>
      <c r="E23" s="161">
        <v>1046243735.8800001</v>
      </c>
      <c r="F23" s="146" t="s">
        <v>119</v>
      </c>
      <c r="G23" s="220" t="s">
        <v>92</v>
      </c>
      <c r="H23" s="212" t="s">
        <v>81</v>
      </c>
      <c r="I23" s="213" t="s">
        <v>87</v>
      </c>
      <c r="J23" t="str">
        <f t="shared" si="1"/>
        <v>2023-12-05 8:00:00</v>
      </c>
    </row>
    <row r="24" spans="1:10" x14ac:dyDescent="0.55000000000000004">
      <c r="A24" s="144">
        <v>80</v>
      </c>
      <c r="B24" s="144">
        <v>3</v>
      </c>
      <c r="C24" s="176">
        <v>93</v>
      </c>
      <c r="D24" s="149">
        <v>6</v>
      </c>
      <c r="E24" s="160">
        <v>174666143</v>
      </c>
      <c r="F24" s="142" t="s">
        <v>119</v>
      </c>
      <c r="G24" s="216" t="s">
        <v>92</v>
      </c>
      <c r="H24" s="212" t="s">
        <v>81</v>
      </c>
      <c r="I24" s="213" t="s">
        <v>87</v>
      </c>
      <c r="J24" t="str">
        <f t="shared" ref="J24:J87" si="2">_xlfn.CONCAT(G24,H24,I24)</f>
        <v>2023-12-05 8:00:00</v>
      </c>
    </row>
    <row r="25" spans="1:10" x14ac:dyDescent="0.55000000000000004">
      <c r="A25" s="144">
        <v>109</v>
      </c>
      <c r="B25">
        <v>4</v>
      </c>
      <c r="C25" s="175">
        <v>110</v>
      </c>
      <c r="D25" s="171">
        <v>78.963978729248055</v>
      </c>
      <c r="E25" s="161">
        <v>627671259.78000009</v>
      </c>
      <c r="F25" s="146" t="s">
        <v>119</v>
      </c>
      <c r="G25" s="220" t="s">
        <v>92</v>
      </c>
      <c r="H25" s="212" t="s">
        <v>81</v>
      </c>
      <c r="I25" s="213" t="s">
        <v>87</v>
      </c>
      <c r="J25" t="str">
        <f t="shared" si="2"/>
        <v>2023-12-05 8:00:00</v>
      </c>
    </row>
    <row r="26" spans="1:10" x14ac:dyDescent="0.55000000000000004">
      <c r="A26" s="144">
        <v>138</v>
      </c>
      <c r="B26">
        <v>5</v>
      </c>
      <c r="C26" s="176">
        <v>60</v>
      </c>
      <c r="D26" s="149">
        <v>31.363024969119579</v>
      </c>
      <c r="E26" s="160">
        <v>239663171.30749512</v>
      </c>
      <c r="F26" s="142" t="s">
        <v>119</v>
      </c>
      <c r="G26" s="216" t="s">
        <v>92</v>
      </c>
      <c r="H26" s="212" t="s">
        <v>81</v>
      </c>
      <c r="I26" s="213" t="s">
        <v>87</v>
      </c>
      <c r="J26" t="str">
        <f t="shared" si="2"/>
        <v>2023-12-05 8:00:00</v>
      </c>
    </row>
    <row r="27" spans="1:10" x14ac:dyDescent="0.55000000000000004">
      <c r="A27" s="144">
        <v>28</v>
      </c>
      <c r="B27" s="144">
        <v>2</v>
      </c>
      <c r="C27" s="175">
        <v>139</v>
      </c>
      <c r="D27" s="171">
        <v>101.50255172729493</v>
      </c>
      <c r="E27" s="161">
        <v>18504317.850000001</v>
      </c>
      <c r="F27" s="146" t="s">
        <v>120</v>
      </c>
      <c r="G27" s="225" t="s">
        <v>98</v>
      </c>
      <c r="H27" s="212" t="s">
        <v>81</v>
      </c>
      <c r="I27" s="213" t="s">
        <v>87</v>
      </c>
      <c r="J27" t="str">
        <f t="shared" si="2"/>
        <v>2023-12-06 8:00:00</v>
      </c>
    </row>
    <row r="28" spans="1:10" x14ac:dyDescent="0.55000000000000004">
      <c r="A28" s="144">
        <v>57</v>
      </c>
      <c r="B28">
        <v>1</v>
      </c>
      <c r="C28" s="175">
        <v>117</v>
      </c>
      <c r="D28" s="171">
        <v>35.846557178497321</v>
      </c>
      <c r="E28" s="161">
        <v>90790255.420000002</v>
      </c>
      <c r="F28" s="146" t="s">
        <v>120</v>
      </c>
      <c r="G28" s="225" t="s">
        <v>98</v>
      </c>
      <c r="H28" s="212" t="s">
        <v>81</v>
      </c>
      <c r="I28" s="213" t="s">
        <v>87</v>
      </c>
      <c r="J28" t="str">
        <f t="shared" si="2"/>
        <v>2023-12-06 8:00:00</v>
      </c>
    </row>
    <row r="29" spans="1:10" x14ac:dyDescent="0.55000000000000004">
      <c r="A29" s="144">
        <v>81</v>
      </c>
      <c r="B29" s="144">
        <v>3</v>
      </c>
      <c r="C29" s="175">
        <v>114</v>
      </c>
      <c r="D29" s="171">
        <v>2.0902160799503329</v>
      </c>
      <c r="E29" s="161">
        <v>6469973.2800000003</v>
      </c>
      <c r="F29" s="146" t="s">
        <v>120</v>
      </c>
      <c r="G29" s="225" t="s">
        <v>98</v>
      </c>
      <c r="H29" s="212" t="s">
        <v>81</v>
      </c>
      <c r="I29" s="213" t="s">
        <v>87</v>
      </c>
      <c r="J29" t="str">
        <f t="shared" si="2"/>
        <v>2023-12-06 8:00:00</v>
      </c>
    </row>
    <row r="30" spans="1:10" x14ac:dyDescent="0.55000000000000004">
      <c r="A30" s="144">
        <v>110</v>
      </c>
      <c r="B30">
        <v>4</v>
      </c>
      <c r="C30" s="175">
        <v>119</v>
      </c>
      <c r="D30" s="170">
        <v>77.044583778381352</v>
      </c>
      <c r="E30" s="146">
        <v>125918153.19000001</v>
      </c>
      <c r="F30" s="146" t="s">
        <v>120</v>
      </c>
      <c r="G30" s="225" t="s">
        <v>98</v>
      </c>
      <c r="H30" s="212" t="s">
        <v>81</v>
      </c>
      <c r="I30" s="213" t="s">
        <v>87</v>
      </c>
      <c r="J30" t="str">
        <f t="shared" si="2"/>
        <v>2023-12-06 8:00:00</v>
      </c>
    </row>
    <row r="31" spans="1:10" x14ac:dyDescent="0.55000000000000004">
      <c r="A31" s="144">
        <v>139</v>
      </c>
      <c r="B31">
        <v>5</v>
      </c>
      <c r="C31" s="176">
        <v>55</v>
      </c>
      <c r="D31" s="133">
        <v>19</v>
      </c>
      <c r="E31" s="142">
        <v>36970548.782226563</v>
      </c>
      <c r="F31" s="142" t="s">
        <v>120</v>
      </c>
      <c r="G31" s="216" t="s">
        <v>98</v>
      </c>
      <c r="H31" s="212" t="s">
        <v>81</v>
      </c>
      <c r="I31" s="213" t="s">
        <v>87</v>
      </c>
      <c r="J31" t="str">
        <f t="shared" si="2"/>
        <v>2023-12-06 8:00:00</v>
      </c>
    </row>
    <row r="32" spans="1:10" x14ac:dyDescent="0.55000000000000004">
      <c r="A32" s="144">
        <v>29</v>
      </c>
      <c r="B32" s="144">
        <v>2</v>
      </c>
      <c r="C32" s="175">
        <v>142</v>
      </c>
      <c r="D32" s="171">
        <v>685.90095581054686</v>
      </c>
      <c r="E32" s="161">
        <v>301740619.53000003</v>
      </c>
      <c r="F32" s="146" t="s">
        <v>121</v>
      </c>
      <c r="G32" s="226" t="s">
        <v>99</v>
      </c>
      <c r="H32" s="212" t="s">
        <v>81</v>
      </c>
      <c r="I32" s="213" t="s">
        <v>93</v>
      </c>
      <c r="J32" t="str">
        <f t="shared" si="2"/>
        <v>2023-12-07 16:00:00</v>
      </c>
    </row>
    <row r="33" spans="1:10" x14ac:dyDescent="0.55000000000000004">
      <c r="A33" s="144">
        <v>82</v>
      </c>
      <c r="B33" s="144">
        <v>3</v>
      </c>
      <c r="C33" s="176">
        <v>123</v>
      </c>
      <c r="D33" s="159">
        <v>17.560952375531198</v>
      </c>
      <c r="E33" s="158">
        <v>48374346.900000006</v>
      </c>
      <c r="F33" s="134" t="s">
        <v>121</v>
      </c>
      <c r="G33" s="216" t="s">
        <v>99</v>
      </c>
      <c r="H33" s="212" t="s">
        <v>81</v>
      </c>
      <c r="I33" s="213" t="s">
        <v>93</v>
      </c>
      <c r="J33" t="str">
        <f t="shared" si="2"/>
        <v>2023-12-07 16:00:00</v>
      </c>
    </row>
    <row r="34" spans="1:10" x14ac:dyDescent="0.55000000000000004">
      <c r="A34" s="144">
        <v>111</v>
      </c>
      <c r="B34">
        <v>4</v>
      </c>
      <c r="C34" s="176">
        <v>113</v>
      </c>
      <c r="D34" s="171">
        <v>43.636761498451236</v>
      </c>
      <c r="E34" s="163">
        <v>87435147.370000005</v>
      </c>
      <c r="F34" s="125" t="s">
        <v>121</v>
      </c>
      <c r="G34" s="218" t="s">
        <v>99</v>
      </c>
      <c r="H34" s="212" t="s">
        <v>81</v>
      </c>
      <c r="I34" s="213" t="s">
        <v>93</v>
      </c>
      <c r="J34" t="str">
        <f t="shared" si="2"/>
        <v>2023-12-07 16:00:00</v>
      </c>
    </row>
    <row r="35" spans="1:10" x14ac:dyDescent="0.55000000000000004">
      <c r="A35" s="144">
        <v>140</v>
      </c>
      <c r="B35">
        <v>5</v>
      </c>
      <c r="C35" s="176">
        <v>62</v>
      </c>
      <c r="D35" s="149">
        <v>5.3859251404064707</v>
      </c>
      <c r="E35" s="160">
        <v>1448974.8735351563</v>
      </c>
      <c r="F35" s="142" t="s">
        <v>121</v>
      </c>
      <c r="G35" s="216" t="s">
        <v>99</v>
      </c>
      <c r="H35" s="212" t="s">
        <v>81</v>
      </c>
      <c r="I35" s="213" t="s">
        <v>93</v>
      </c>
      <c r="J35" t="str">
        <f t="shared" si="2"/>
        <v>2023-12-07 16:00:00</v>
      </c>
    </row>
    <row r="36" spans="1:10" x14ac:dyDescent="0.55000000000000004">
      <c r="A36" s="144">
        <v>30</v>
      </c>
      <c r="B36" s="144">
        <v>2</v>
      </c>
      <c r="C36" s="176">
        <v>152</v>
      </c>
      <c r="D36" s="149">
        <v>411.88269102526829</v>
      </c>
      <c r="E36" s="160">
        <v>16157283.473632813</v>
      </c>
      <c r="F36" s="142" t="s">
        <v>121</v>
      </c>
      <c r="G36" s="216" t="s">
        <v>99</v>
      </c>
      <c r="H36" s="212" t="s">
        <v>81</v>
      </c>
      <c r="I36" s="213" t="s">
        <v>93</v>
      </c>
      <c r="J36" t="str">
        <f t="shared" si="2"/>
        <v>2023-12-07 16:00:00</v>
      </c>
    </row>
    <row r="37" spans="1:10" x14ac:dyDescent="0.55000000000000004">
      <c r="A37" s="144">
        <v>83</v>
      </c>
      <c r="B37" s="144">
        <v>3</v>
      </c>
      <c r="C37" s="175">
        <v>103</v>
      </c>
      <c r="D37" s="169">
        <v>33.031688671112057</v>
      </c>
      <c r="E37" s="161">
        <v>90278720.520000011</v>
      </c>
      <c r="F37" s="146" t="s">
        <v>122</v>
      </c>
      <c r="G37" s="227" t="s">
        <v>100</v>
      </c>
      <c r="H37" s="212" t="s">
        <v>81</v>
      </c>
      <c r="I37" s="213" t="s">
        <v>93</v>
      </c>
      <c r="J37" t="str">
        <f t="shared" si="2"/>
        <v>2023-12-08 16:00:00</v>
      </c>
    </row>
    <row r="38" spans="1:10" x14ac:dyDescent="0.55000000000000004">
      <c r="A38" s="144">
        <v>112</v>
      </c>
      <c r="B38">
        <v>4</v>
      </c>
      <c r="C38" s="175">
        <v>129</v>
      </c>
      <c r="D38" s="171">
        <v>10.228939218521118</v>
      </c>
      <c r="E38" s="161">
        <v>48952141.550000004</v>
      </c>
      <c r="F38" s="146" t="s">
        <v>122</v>
      </c>
      <c r="G38" s="227" t="s">
        <v>100</v>
      </c>
      <c r="H38" s="212" t="s">
        <v>81</v>
      </c>
      <c r="I38" s="213" t="s">
        <v>93</v>
      </c>
      <c r="J38" t="str">
        <f t="shared" si="2"/>
        <v>2023-12-08 16:00:00</v>
      </c>
    </row>
    <row r="39" spans="1:10" x14ac:dyDescent="0.55000000000000004">
      <c r="A39" s="144">
        <v>141</v>
      </c>
      <c r="B39">
        <v>5</v>
      </c>
      <c r="C39" s="176">
        <v>59</v>
      </c>
      <c r="D39" s="149">
        <v>10.980230646164273</v>
      </c>
      <c r="E39" s="160">
        <v>34072599</v>
      </c>
      <c r="F39" s="142" t="s">
        <v>122</v>
      </c>
      <c r="G39" s="216" t="s">
        <v>100</v>
      </c>
      <c r="H39" s="212" t="s">
        <v>81</v>
      </c>
      <c r="I39" s="213" t="s">
        <v>93</v>
      </c>
      <c r="J39" t="str">
        <f t="shared" si="2"/>
        <v>2023-12-08 16:00:00</v>
      </c>
    </row>
    <row r="40" spans="1:10" x14ac:dyDescent="0.55000000000000004">
      <c r="A40" s="144">
        <v>31</v>
      </c>
      <c r="B40" s="144">
        <v>2</v>
      </c>
      <c r="C40" s="176">
        <v>154</v>
      </c>
      <c r="D40" s="159">
        <v>518.94727666629478</v>
      </c>
      <c r="E40" s="160">
        <v>55180857.912109375</v>
      </c>
      <c r="F40" s="142" t="s">
        <v>123</v>
      </c>
      <c r="G40" s="216" t="s">
        <v>101</v>
      </c>
      <c r="H40" s="212" t="s">
        <v>81</v>
      </c>
      <c r="I40" s="213" t="s">
        <v>93</v>
      </c>
      <c r="J40" t="str">
        <f t="shared" si="2"/>
        <v>2023-12-09 16:00:00</v>
      </c>
    </row>
    <row r="41" spans="1:10" x14ac:dyDescent="0.55000000000000004">
      <c r="A41" s="144">
        <v>58</v>
      </c>
      <c r="B41">
        <v>1</v>
      </c>
      <c r="C41" s="175">
        <v>126</v>
      </c>
      <c r="D41" s="169">
        <v>539.21121475219729</v>
      </c>
      <c r="E41" s="4">
        <v>2272019985.48</v>
      </c>
      <c r="F41" s="4" t="s">
        <v>123</v>
      </c>
      <c r="G41" s="228" t="s">
        <v>101</v>
      </c>
      <c r="H41" s="212" t="s">
        <v>81</v>
      </c>
      <c r="I41" s="213" t="s">
        <v>93</v>
      </c>
      <c r="J41" t="str">
        <f t="shared" si="2"/>
        <v>2023-12-09 16:00:00</v>
      </c>
    </row>
    <row r="42" spans="1:10" x14ac:dyDescent="0.55000000000000004">
      <c r="A42" s="144">
        <v>84</v>
      </c>
      <c r="B42" s="144">
        <v>3</v>
      </c>
      <c r="C42" s="176">
        <v>95</v>
      </c>
      <c r="D42" s="159">
        <v>40.73932120323181</v>
      </c>
      <c r="E42" s="158">
        <v>49258994.545000002</v>
      </c>
      <c r="F42" s="134" t="s">
        <v>123</v>
      </c>
      <c r="G42" s="216" t="s">
        <v>101</v>
      </c>
      <c r="H42" s="212" t="s">
        <v>81</v>
      </c>
      <c r="I42" s="213" t="s">
        <v>93</v>
      </c>
      <c r="J42" t="str">
        <f t="shared" si="2"/>
        <v>2023-12-09 16:00:00</v>
      </c>
    </row>
    <row r="43" spans="1:10" x14ac:dyDescent="0.55000000000000004">
      <c r="A43" s="144">
        <v>113</v>
      </c>
      <c r="B43">
        <v>4</v>
      </c>
      <c r="C43" s="176">
        <v>140</v>
      </c>
      <c r="D43" s="149">
        <v>94</v>
      </c>
      <c r="E43" s="160">
        <v>63516316.354492188</v>
      </c>
      <c r="F43" s="142" t="s">
        <v>123</v>
      </c>
      <c r="G43" s="216" t="s">
        <v>101</v>
      </c>
      <c r="H43" s="212" t="s">
        <v>81</v>
      </c>
      <c r="I43" s="213" t="s">
        <v>93</v>
      </c>
      <c r="J43" t="str">
        <f t="shared" si="2"/>
        <v>2023-12-09 16:00:00</v>
      </c>
    </row>
    <row r="44" spans="1:10" s="132" customFormat="1" x14ac:dyDescent="0.55000000000000004">
      <c r="A44" s="144">
        <v>142</v>
      </c>
      <c r="B44">
        <v>5</v>
      </c>
      <c r="C44" s="176">
        <v>61</v>
      </c>
      <c r="D44" s="149">
        <v>2</v>
      </c>
      <c r="E44" s="142">
        <v>85034499</v>
      </c>
      <c r="F44" s="142" t="s">
        <v>123</v>
      </c>
      <c r="G44" s="216" t="s">
        <v>101</v>
      </c>
      <c r="H44" s="212" t="s">
        <v>81</v>
      </c>
      <c r="I44" s="213" t="s">
        <v>93</v>
      </c>
      <c r="J44" t="str">
        <f t="shared" si="2"/>
        <v>2023-12-09 16:00:00</v>
      </c>
    </row>
    <row r="45" spans="1:10" x14ac:dyDescent="0.55000000000000004">
      <c r="A45" s="144">
        <v>32</v>
      </c>
      <c r="B45" s="144">
        <v>2</v>
      </c>
      <c r="C45" s="175">
        <v>129</v>
      </c>
      <c r="D45" s="171">
        <v>8.2056321954727185</v>
      </c>
      <c r="E45" s="161">
        <v>28148791.740000002</v>
      </c>
      <c r="F45" s="146" t="s">
        <v>124</v>
      </c>
      <c r="G45" s="229" t="s">
        <v>102</v>
      </c>
      <c r="H45" s="212" t="s">
        <v>81</v>
      </c>
      <c r="I45" s="213" t="s">
        <v>94</v>
      </c>
      <c r="J45" t="str">
        <f t="shared" si="2"/>
        <v>2023-12-10 19:00:00</v>
      </c>
    </row>
    <row r="46" spans="1:10" s="132" customFormat="1" x14ac:dyDescent="0.55000000000000004">
      <c r="A46" s="144">
        <v>59</v>
      </c>
      <c r="B46">
        <v>1</v>
      </c>
      <c r="C46" s="175">
        <v>145</v>
      </c>
      <c r="D46" s="171">
        <v>248.25890451431272</v>
      </c>
      <c r="E46" s="146">
        <v>496856688.15000004</v>
      </c>
      <c r="F46" s="146" t="s">
        <v>124</v>
      </c>
      <c r="G46" s="229" t="s">
        <v>102</v>
      </c>
      <c r="H46" s="212" t="s">
        <v>81</v>
      </c>
      <c r="I46" s="213" t="s">
        <v>94</v>
      </c>
      <c r="J46" t="str">
        <f t="shared" si="2"/>
        <v>2023-12-10 19:00:00</v>
      </c>
    </row>
    <row r="47" spans="1:10" x14ac:dyDescent="0.55000000000000004">
      <c r="A47" s="144">
        <v>85</v>
      </c>
      <c r="B47" s="144">
        <v>3</v>
      </c>
      <c r="C47" s="175">
        <v>101</v>
      </c>
      <c r="D47" s="171">
        <v>48.446953735351563</v>
      </c>
      <c r="E47" s="161">
        <v>8239268.5700000003</v>
      </c>
      <c r="F47" s="146" t="s">
        <v>124</v>
      </c>
      <c r="G47" s="229" t="s">
        <v>102</v>
      </c>
      <c r="H47" s="212" t="s">
        <v>81</v>
      </c>
      <c r="I47" s="213" t="s">
        <v>94</v>
      </c>
      <c r="J47" t="str">
        <f t="shared" si="2"/>
        <v>2023-12-10 19:00:00</v>
      </c>
    </row>
    <row r="48" spans="1:10" x14ac:dyDescent="0.55000000000000004">
      <c r="A48" s="144">
        <v>114</v>
      </c>
      <c r="B48">
        <v>4</v>
      </c>
      <c r="C48" s="176">
        <v>115</v>
      </c>
      <c r="D48" s="149">
        <v>107</v>
      </c>
      <c r="E48" s="160">
        <v>357173800</v>
      </c>
      <c r="F48" s="142" t="s">
        <v>124</v>
      </c>
      <c r="G48" s="216" t="s">
        <v>102</v>
      </c>
      <c r="H48" s="212" t="s">
        <v>81</v>
      </c>
      <c r="I48" s="213" t="s">
        <v>94</v>
      </c>
      <c r="J48" t="str">
        <f t="shared" si="2"/>
        <v>2023-12-10 19:00:00</v>
      </c>
    </row>
    <row r="49" spans="1:11" x14ac:dyDescent="0.55000000000000004">
      <c r="A49" s="144">
        <v>143</v>
      </c>
      <c r="B49">
        <v>5</v>
      </c>
      <c r="C49" s="176">
        <v>59</v>
      </c>
      <c r="D49" s="149">
        <v>2</v>
      </c>
      <c r="E49" s="160">
        <v>83585524.108886719</v>
      </c>
      <c r="F49" s="142" t="s">
        <v>124</v>
      </c>
      <c r="G49" s="216" t="s">
        <v>102</v>
      </c>
      <c r="H49" s="212" t="s">
        <v>81</v>
      </c>
      <c r="I49" s="213" t="s">
        <v>94</v>
      </c>
      <c r="J49" t="str">
        <f t="shared" si="2"/>
        <v>2023-12-10 19:00:00</v>
      </c>
    </row>
    <row r="50" spans="1:11" x14ac:dyDescent="0.55000000000000004">
      <c r="A50" s="144">
        <v>33</v>
      </c>
      <c r="B50" s="144">
        <v>2</v>
      </c>
      <c r="C50" s="175">
        <v>110</v>
      </c>
      <c r="D50" s="170">
        <v>236.83927937030791</v>
      </c>
      <c r="E50" s="146">
        <v>814496020.38</v>
      </c>
      <c r="F50" s="146" t="s">
        <v>125</v>
      </c>
      <c r="G50" s="231" t="s">
        <v>104</v>
      </c>
      <c r="H50" s="212" t="s">
        <v>81</v>
      </c>
      <c r="I50" s="213" t="s">
        <v>94</v>
      </c>
      <c r="J50" t="str">
        <f t="shared" si="2"/>
        <v>2023-12-11 19:00:00</v>
      </c>
    </row>
    <row r="51" spans="1:11" x14ac:dyDescent="0.55000000000000004">
      <c r="A51" s="144">
        <v>60</v>
      </c>
      <c r="B51">
        <v>1</v>
      </c>
      <c r="C51" s="175">
        <v>126</v>
      </c>
      <c r="D51" s="171">
        <v>76.67032840132714</v>
      </c>
      <c r="E51" s="161">
        <v>154873489.53</v>
      </c>
      <c r="F51" s="146" t="s">
        <v>125</v>
      </c>
      <c r="G51" s="231" t="s">
        <v>104</v>
      </c>
      <c r="H51" s="212" t="s">
        <v>81</v>
      </c>
      <c r="I51" s="213" t="s">
        <v>94</v>
      </c>
      <c r="J51" t="str">
        <f t="shared" si="2"/>
        <v>2023-12-11 19:00:00</v>
      </c>
    </row>
    <row r="52" spans="1:11" x14ac:dyDescent="0.55000000000000004">
      <c r="A52" s="144">
        <v>86</v>
      </c>
      <c r="B52" s="144">
        <v>3</v>
      </c>
      <c r="C52" s="176">
        <v>117</v>
      </c>
      <c r="D52" s="133">
        <v>63.141379654582124</v>
      </c>
      <c r="E52" s="160">
        <v>41851232.230499268</v>
      </c>
      <c r="F52" s="142" t="s">
        <v>125</v>
      </c>
      <c r="G52" s="216" t="s">
        <v>104</v>
      </c>
      <c r="H52" s="212" t="s">
        <v>81</v>
      </c>
      <c r="I52" s="213" t="s">
        <v>94</v>
      </c>
      <c r="J52" t="str">
        <f t="shared" si="2"/>
        <v>2023-12-11 19:00:00</v>
      </c>
      <c r="K52" s="3"/>
    </row>
    <row r="53" spans="1:11" x14ac:dyDescent="0.55000000000000004">
      <c r="A53" s="144">
        <v>115</v>
      </c>
      <c r="B53">
        <v>4</v>
      </c>
      <c r="C53" s="175">
        <v>97</v>
      </c>
      <c r="D53" s="170">
        <v>180.23321695327763</v>
      </c>
      <c r="E53" s="161">
        <v>28413310.720000003</v>
      </c>
      <c r="F53" s="146" t="s">
        <v>125</v>
      </c>
      <c r="G53" s="231" t="s">
        <v>104</v>
      </c>
      <c r="H53" s="212" t="s">
        <v>81</v>
      </c>
      <c r="I53" s="213" t="s">
        <v>94</v>
      </c>
      <c r="J53" t="str">
        <f t="shared" si="2"/>
        <v>2023-12-11 19:00:00</v>
      </c>
      <c r="K53" s="3"/>
    </row>
    <row r="54" spans="1:11" x14ac:dyDescent="0.55000000000000004">
      <c r="A54" s="144">
        <v>144</v>
      </c>
      <c r="B54">
        <v>5</v>
      </c>
      <c r="C54" s="176">
        <v>55</v>
      </c>
      <c r="D54" s="133">
        <v>4</v>
      </c>
      <c r="E54" s="160">
        <v>125378286.17211914</v>
      </c>
      <c r="F54" s="142" t="s">
        <v>125</v>
      </c>
      <c r="G54" s="216" t="s">
        <v>104</v>
      </c>
      <c r="H54" s="212" t="s">
        <v>81</v>
      </c>
      <c r="I54" s="213" t="s">
        <v>94</v>
      </c>
      <c r="J54" t="str">
        <f t="shared" si="2"/>
        <v>2023-12-11 19:00:00</v>
      </c>
      <c r="K54" s="3"/>
    </row>
    <row r="55" spans="1:11" x14ac:dyDescent="0.55000000000000004">
      <c r="A55" s="144">
        <v>34</v>
      </c>
      <c r="B55" s="144">
        <v>2</v>
      </c>
      <c r="C55" s="176">
        <v>139</v>
      </c>
      <c r="D55" s="149">
        <v>364.6459216075018</v>
      </c>
      <c r="E55" s="160">
        <v>239875351.55645752</v>
      </c>
      <c r="F55" s="142" t="s">
        <v>126</v>
      </c>
      <c r="G55" s="216" t="s">
        <v>105</v>
      </c>
      <c r="H55" s="212" t="s">
        <v>81</v>
      </c>
      <c r="I55" s="213" t="s">
        <v>94</v>
      </c>
      <c r="J55" t="str">
        <f t="shared" si="2"/>
        <v>2023-12-12 19:00:00</v>
      </c>
    </row>
    <row r="56" spans="1:11" s="132" customFormat="1" x14ac:dyDescent="0.55000000000000004">
      <c r="A56" s="144">
        <v>87</v>
      </c>
      <c r="B56" s="144">
        <v>3</v>
      </c>
      <c r="C56" s="176">
        <v>77</v>
      </c>
      <c r="D56" s="149">
        <v>72.556895014655311</v>
      </c>
      <c r="E56" s="142">
        <v>19074808.166442871</v>
      </c>
      <c r="F56" s="142" t="s">
        <v>126</v>
      </c>
      <c r="G56" s="216" t="s">
        <v>105</v>
      </c>
      <c r="H56" s="212" t="s">
        <v>81</v>
      </c>
      <c r="I56" s="213" t="s">
        <v>94</v>
      </c>
      <c r="J56" t="str">
        <f t="shared" si="2"/>
        <v>2023-12-12 19:00:00</v>
      </c>
    </row>
    <row r="57" spans="1:11" x14ac:dyDescent="0.55000000000000004">
      <c r="A57" s="144">
        <v>116</v>
      </c>
      <c r="B57">
        <v>4</v>
      </c>
      <c r="C57" s="177">
        <v>111</v>
      </c>
      <c r="D57" s="159">
        <v>190.66370976448061</v>
      </c>
      <c r="E57" s="158">
        <v>35026690.215000004</v>
      </c>
      <c r="F57" s="134" t="s">
        <v>126</v>
      </c>
      <c r="G57" s="216" t="s">
        <v>105</v>
      </c>
      <c r="H57" s="212" t="s">
        <v>81</v>
      </c>
      <c r="I57" s="213" t="s">
        <v>94</v>
      </c>
      <c r="J57" t="str">
        <f t="shared" si="2"/>
        <v>2023-12-12 19:00:00</v>
      </c>
    </row>
    <row r="58" spans="1:11" s="132" customFormat="1" x14ac:dyDescent="0.55000000000000004">
      <c r="A58" s="144">
        <v>145</v>
      </c>
      <c r="B58">
        <v>5</v>
      </c>
      <c r="C58" s="176">
        <v>65</v>
      </c>
      <c r="D58" s="149">
        <v>10</v>
      </c>
      <c r="E58" s="142">
        <v>150134748.7265625</v>
      </c>
      <c r="F58" s="142" t="s">
        <v>126</v>
      </c>
      <c r="G58" s="216" t="s">
        <v>105</v>
      </c>
      <c r="H58" s="212" t="s">
        <v>81</v>
      </c>
      <c r="I58" s="213" t="s">
        <v>94</v>
      </c>
      <c r="J58" t="str">
        <f t="shared" si="2"/>
        <v>2023-12-12 19:00:00</v>
      </c>
    </row>
    <row r="59" spans="1:11" x14ac:dyDescent="0.55000000000000004">
      <c r="A59" s="144">
        <v>35</v>
      </c>
      <c r="B59" s="144">
        <v>2</v>
      </c>
      <c r="C59" s="176">
        <v>135</v>
      </c>
      <c r="D59" s="149">
        <v>394.26484509604052</v>
      </c>
      <c r="E59" s="160">
        <v>323163301.00244141</v>
      </c>
      <c r="F59" s="142" t="s">
        <v>127</v>
      </c>
      <c r="G59" s="216" t="s">
        <v>106</v>
      </c>
      <c r="H59" s="212" t="s">
        <v>81</v>
      </c>
      <c r="I59" s="213" t="s">
        <v>95</v>
      </c>
      <c r="J59" t="str">
        <f t="shared" si="2"/>
        <v>2023-12-13 20:00:00</v>
      </c>
    </row>
    <row r="60" spans="1:11" x14ac:dyDescent="0.55000000000000004">
      <c r="A60" s="144">
        <v>61</v>
      </c>
      <c r="B60">
        <v>1</v>
      </c>
      <c r="C60" s="176">
        <v>123</v>
      </c>
      <c r="D60" s="133">
        <v>224.16974358411971</v>
      </c>
      <c r="E60" s="142">
        <v>837161015.58642578</v>
      </c>
      <c r="F60" s="142" t="s">
        <v>127</v>
      </c>
      <c r="G60" s="216" t="s">
        <v>106</v>
      </c>
      <c r="H60" s="212" t="s">
        <v>81</v>
      </c>
      <c r="I60" s="213" t="s">
        <v>95</v>
      </c>
      <c r="J60" t="str">
        <f t="shared" si="2"/>
        <v>2023-12-13 20:00:00</v>
      </c>
    </row>
    <row r="61" spans="1:11" x14ac:dyDescent="0.55000000000000004">
      <c r="A61" s="144">
        <v>88</v>
      </c>
      <c r="B61" s="144">
        <v>3</v>
      </c>
      <c r="C61" s="175">
        <v>81</v>
      </c>
      <c r="D61" s="170">
        <v>3.0138697457313532</v>
      </c>
      <c r="E61" s="146">
        <v>753667.34000000008</v>
      </c>
      <c r="F61" s="146" t="s">
        <v>127</v>
      </c>
      <c r="G61" s="232" t="s">
        <v>106</v>
      </c>
      <c r="H61" s="212" t="s">
        <v>81</v>
      </c>
      <c r="I61" s="213" t="s">
        <v>95</v>
      </c>
      <c r="J61" t="str">
        <f t="shared" si="2"/>
        <v>2023-12-13 20:00:00</v>
      </c>
    </row>
    <row r="62" spans="1:11" x14ac:dyDescent="0.55000000000000004">
      <c r="A62" s="144">
        <v>117</v>
      </c>
      <c r="B62">
        <v>4</v>
      </c>
      <c r="C62" s="175">
        <v>132</v>
      </c>
      <c r="D62" s="171">
        <v>201.09420257568357</v>
      </c>
      <c r="E62" s="161">
        <v>41640069.710000001</v>
      </c>
      <c r="F62" s="146" t="s">
        <v>127</v>
      </c>
      <c r="G62" s="232" t="s">
        <v>106</v>
      </c>
      <c r="H62" s="212" t="s">
        <v>81</v>
      </c>
      <c r="I62" s="213" t="s">
        <v>95</v>
      </c>
      <c r="J62" t="str">
        <f t="shared" si="2"/>
        <v>2023-12-13 20:00:00</v>
      </c>
    </row>
    <row r="63" spans="1:11" x14ac:dyDescent="0.55000000000000004">
      <c r="A63" s="144">
        <v>146</v>
      </c>
      <c r="B63">
        <v>5</v>
      </c>
      <c r="C63" s="176">
        <v>71</v>
      </c>
      <c r="D63" s="133">
        <v>13</v>
      </c>
      <c r="E63" s="142">
        <v>170306642.31262207</v>
      </c>
      <c r="F63" s="142" t="s">
        <v>127</v>
      </c>
      <c r="G63" s="216" t="s">
        <v>106</v>
      </c>
      <c r="H63" s="212" t="s">
        <v>81</v>
      </c>
      <c r="I63" s="213" t="s">
        <v>95</v>
      </c>
      <c r="J63" t="str">
        <f t="shared" si="2"/>
        <v>2023-12-13 20:00:00</v>
      </c>
    </row>
    <row r="64" spans="1:11" x14ac:dyDescent="0.55000000000000004">
      <c r="A64" s="144">
        <v>36</v>
      </c>
      <c r="B64" s="144">
        <v>2</v>
      </c>
      <c r="C64" s="175">
        <v>109</v>
      </c>
      <c r="D64" s="170">
        <v>108.6566746520996</v>
      </c>
      <c r="E64" s="4">
        <v>24775167.34</v>
      </c>
      <c r="F64" s="4" t="s">
        <v>128</v>
      </c>
      <c r="G64" s="233" t="s">
        <v>107</v>
      </c>
      <c r="H64" s="212" t="s">
        <v>81</v>
      </c>
      <c r="I64" s="213" t="s">
        <v>95</v>
      </c>
      <c r="J64" t="str">
        <f t="shared" si="2"/>
        <v>2023-12-14 20:00:00</v>
      </c>
    </row>
    <row r="65" spans="1:10" x14ac:dyDescent="0.55000000000000004">
      <c r="A65" s="144">
        <v>89</v>
      </c>
      <c r="B65" s="144">
        <v>3</v>
      </c>
      <c r="C65" s="176">
        <v>81</v>
      </c>
      <c r="D65" s="3">
        <v>55.402052113873651</v>
      </c>
      <c r="E65" s="161">
        <v>13065446.474822998</v>
      </c>
      <c r="F65" s="146" t="s">
        <v>128</v>
      </c>
      <c r="G65" s="218" t="s">
        <v>107</v>
      </c>
      <c r="H65" s="212" t="s">
        <v>81</v>
      </c>
      <c r="I65" s="213" t="s">
        <v>95</v>
      </c>
      <c r="J65" t="str">
        <f t="shared" si="2"/>
        <v>2023-12-14 20:00:00</v>
      </c>
    </row>
    <row r="66" spans="1:10" x14ac:dyDescent="0.55000000000000004">
      <c r="A66" s="144">
        <v>118</v>
      </c>
      <c r="B66">
        <v>4</v>
      </c>
      <c r="C66" s="176">
        <v>128</v>
      </c>
      <c r="D66" s="149">
        <v>30.471607838291675</v>
      </c>
      <c r="E66" s="142">
        <v>158828056</v>
      </c>
      <c r="F66" s="142" t="s">
        <v>128</v>
      </c>
      <c r="G66" s="216" t="s">
        <v>107</v>
      </c>
      <c r="H66" s="212" t="s">
        <v>81</v>
      </c>
      <c r="I66" s="213" t="s">
        <v>95</v>
      </c>
      <c r="J66" t="str">
        <f t="shared" si="2"/>
        <v>2023-12-14 20:00:00</v>
      </c>
    </row>
    <row r="67" spans="1:10" x14ac:dyDescent="0.55000000000000004">
      <c r="A67" s="144">
        <v>147</v>
      </c>
      <c r="B67">
        <v>5</v>
      </c>
      <c r="C67" s="176">
        <v>68</v>
      </c>
      <c r="D67" s="149">
        <v>17</v>
      </c>
      <c r="E67" s="160">
        <v>203581254.62133789</v>
      </c>
      <c r="F67" s="142" t="s">
        <v>128</v>
      </c>
      <c r="G67" s="216" t="s">
        <v>107</v>
      </c>
      <c r="H67" s="212" t="s">
        <v>81</v>
      </c>
      <c r="I67" s="213" t="s">
        <v>95</v>
      </c>
      <c r="J67" t="str">
        <f t="shared" si="2"/>
        <v>2023-12-14 20:00:00</v>
      </c>
    </row>
    <row r="68" spans="1:10" x14ac:dyDescent="0.55000000000000004">
      <c r="A68" s="144">
        <v>37</v>
      </c>
      <c r="B68" s="144">
        <v>2</v>
      </c>
      <c r="C68" s="175">
        <v>152</v>
      </c>
      <c r="D68" s="171">
        <v>108.6566746520996</v>
      </c>
      <c r="E68" s="161">
        <v>46024985.350000001</v>
      </c>
      <c r="F68" s="146" t="s">
        <v>129</v>
      </c>
      <c r="G68" s="234" t="s">
        <v>108</v>
      </c>
      <c r="H68" s="212" t="s">
        <v>81</v>
      </c>
      <c r="I68" s="213" t="s">
        <v>95</v>
      </c>
      <c r="J68" t="str">
        <f t="shared" si="2"/>
        <v>2023-12-15 20:00:00</v>
      </c>
    </row>
    <row r="69" spans="1:10" x14ac:dyDescent="0.55000000000000004">
      <c r="A69" s="144">
        <v>62</v>
      </c>
      <c r="B69">
        <v>1</v>
      </c>
      <c r="C69" s="175">
        <v>90</v>
      </c>
      <c r="D69" s="171">
        <v>13.520496187210082</v>
      </c>
      <c r="E69" s="161">
        <v>5306437.09</v>
      </c>
      <c r="F69" s="146" t="s">
        <v>129</v>
      </c>
      <c r="G69" s="234" t="s">
        <v>108</v>
      </c>
      <c r="H69" s="212" t="s">
        <v>81</v>
      </c>
      <c r="I69" s="213" t="s">
        <v>95</v>
      </c>
      <c r="J69" t="str">
        <f t="shared" si="2"/>
        <v>2023-12-15 20:00:00</v>
      </c>
    </row>
    <row r="70" spans="1:10" x14ac:dyDescent="0.55000000000000004">
      <c r="A70" s="144">
        <v>90</v>
      </c>
      <c r="B70" s="144">
        <v>3</v>
      </c>
      <c r="C70" s="176">
        <v>72</v>
      </c>
      <c r="D70" s="3">
        <v>53.787304290774046</v>
      </c>
      <c r="E70" s="161">
        <v>6409091</v>
      </c>
      <c r="F70" s="146" t="s">
        <v>129</v>
      </c>
      <c r="G70" s="218" t="s">
        <v>108</v>
      </c>
      <c r="H70" s="212" t="s">
        <v>81</v>
      </c>
      <c r="I70" s="213" t="s">
        <v>95</v>
      </c>
      <c r="J70" t="str">
        <f t="shared" si="2"/>
        <v>2023-12-15 20:00:00</v>
      </c>
    </row>
    <row r="71" spans="1:10" x14ac:dyDescent="0.55000000000000004">
      <c r="A71" s="144">
        <v>119</v>
      </c>
      <c r="B71">
        <v>4</v>
      </c>
      <c r="C71" s="176">
        <v>108</v>
      </c>
      <c r="D71" s="149">
        <v>15.555403747246601</v>
      </c>
      <c r="E71" s="160">
        <v>287139617</v>
      </c>
      <c r="F71" s="142" t="s">
        <v>129</v>
      </c>
      <c r="G71" s="216" t="s">
        <v>108</v>
      </c>
      <c r="H71" s="212" t="s">
        <v>81</v>
      </c>
      <c r="I71" s="213" t="s">
        <v>95</v>
      </c>
      <c r="J71" t="str">
        <f t="shared" si="2"/>
        <v>2023-12-15 20:00:00</v>
      </c>
    </row>
    <row r="72" spans="1:10" x14ac:dyDescent="0.55000000000000004">
      <c r="A72" s="144">
        <v>148</v>
      </c>
      <c r="B72">
        <v>5</v>
      </c>
      <c r="C72" s="176">
        <v>68</v>
      </c>
      <c r="D72" s="149">
        <v>22</v>
      </c>
      <c r="E72" s="160">
        <v>226045432.69165039</v>
      </c>
      <c r="F72" s="142" t="s">
        <v>129</v>
      </c>
      <c r="G72" s="216" t="s">
        <v>108</v>
      </c>
      <c r="H72" s="212" t="s">
        <v>81</v>
      </c>
      <c r="I72" s="213" t="s">
        <v>95</v>
      </c>
      <c r="J72" t="str">
        <f t="shared" si="2"/>
        <v>2023-12-15 20:00:00</v>
      </c>
    </row>
    <row r="73" spans="1:10" x14ac:dyDescent="0.55000000000000004">
      <c r="A73" s="144">
        <v>38</v>
      </c>
      <c r="B73" s="144">
        <v>2</v>
      </c>
      <c r="C73" s="175">
        <v>152</v>
      </c>
      <c r="D73" s="171">
        <v>192.42457200527195</v>
      </c>
      <c r="E73" s="161">
        <v>1027267347.9400001</v>
      </c>
      <c r="F73" s="146" t="s">
        <v>130</v>
      </c>
      <c r="G73" s="235" t="s">
        <v>109</v>
      </c>
      <c r="H73" s="212" t="s">
        <v>81</v>
      </c>
      <c r="I73" s="213" t="s">
        <v>96</v>
      </c>
      <c r="J73" t="str">
        <f t="shared" si="2"/>
        <v>2023-12-16 04:00:00</v>
      </c>
    </row>
    <row r="74" spans="1:10" s="132" customFormat="1" x14ac:dyDescent="0.55000000000000004">
      <c r="A74" s="144">
        <v>63</v>
      </c>
      <c r="B74">
        <v>1</v>
      </c>
      <c r="C74" s="175">
        <v>89</v>
      </c>
      <c r="D74" s="170">
        <v>20.457878437042236</v>
      </c>
      <c r="E74" s="146">
        <v>65303064.07</v>
      </c>
      <c r="F74" s="146" t="s">
        <v>130</v>
      </c>
      <c r="G74" s="235" t="s">
        <v>109</v>
      </c>
      <c r="H74" s="212" t="s">
        <v>81</v>
      </c>
      <c r="I74" s="213" t="s">
        <v>96</v>
      </c>
      <c r="J74" t="str">
        <f t="shared" si="2"/>
        <v>2023-12-16 04:00:00</v>
      </c>
    </row>
    <row r="75" spans="1:10" s="132" customFormat="1" x14ac:dyDescent="0.55000000000000004">
      <c r="A75" s="144">
        <v>91</v>
      </c>
      <c r="B75" s="144">
        <v>3</v>
      </c>
      <c r="C75" s="175">
        <v>64</v>
      </c>
      <c r="D75" s="170">
        <v>13.28764391899109</v>
      </c>
      <c r="E75" s="146">
        <v>63706964.330000006</v>
      </c>
      <c r="F75" s="146" t="s">
        <v>130</v>
      </c>
      <c r="G75" s="235" t="s">
        <v>109</v>
      </c>
      <c r="H75" s="212" t="s">
        <v>81</v>
      </c>
      <c r="I75" s="213" t="s">
        <v>96</v>
      </c>
      <c r="J75" t="str">
        <f t="shared" si="2"/>
        <v>2023-12-16 04:00:00</v>
      </c>
    </row>
    <row r="76" spans="1:10" x14ac:dyDescent="0.55000000000000004">
      <c r="A76" s="144">
        <v>120</v>
      </c>
      <c r="B76">
        <v>4</v>
      </c>
      <c r="C76" s="175">
        <v>109</v>
      </c>
      <c r="D76" s="171">
        <v>124.69573817729948</v>
      </c>
      <c r="E76" s="161">
        <v>421374772.93000001</v>
      </c>
      <c r="F76" s="146" t="s">
        <v>130</v>
      </c>
      <c r="G76" s="235" t="s">
        <v>109</v>
      </c>
      <c r="H76" s="212" t="s">
        <v>81</v>
      </c>
      <c r="I76" s="213" t="s">
        <v>96</v>
      </c>
      <c r="J76" t="str">
        <f t="shared" si="2"/>
        <v>2023-12-16 04:00:00</v>
      </c>
    </row>
    <row r="77" spans="1:10" x14ac:dyDescent="0.55000000000000004">
      <c r="A77" s="144">
        <v>149</v>
      </c>
      <c r="B77">
        <v>5</v>
      </c>
      <c r="C77" s="175">
        <v>65</v>
      </c>
      <c r="D77" s="159">
        <v>17.016497631072994</v>
      </c>
      <c r="E77" s="160">
        <v>61536783.910000004</v>
      </c>
      <c r="F77" s="142" t="s">
        <v>130</v>
      </c>
      <c r="G77" s="236" t="s">
        <v>109</v>
      </c>
      <c r="H77" s="212" t="s">
        <v>81</v>
      </c>
      <c r="I77" s="213" t="s">
        <v>96</v>
      </c>
      <c r="J77" t="str">
        <f t="shared" si="2"/>
        <v>2023-12-16 04:00:00</v>
      </c>
    </row>
    <row r="78" spans="1:10" x14ac:dyDescent="0.55000000000000004">
      <c r="A78" s="144">
        <v>39</v>
      </c>
      <c r="B78" s="144">
        <v>2</v>
      </c>
      <c r="C78" s="176">
        <v>147</v>
      </c>
      <c r="D78" s="174">
        <v>152.13423123121265</v>
      </c>
      <c r="E78" s="158">
        <v>522264928.48000002</v>
      </c>
      <c r="F78" s="134" t="s">
        <v>131</v>
      </c>
      <c r="G78" s="216" t="s">
        <v>110</v>
      </c>
      <c r="H78" s="212" t="s">
        <v>81</v>
      </c>
      <c r="I78" s="213" t="s">
        <v>96</v>
      </c>
      <c r="J78" t="str">
        <f t="shared" si="2"/>
        <v>2023-12-17 04:00:00</v>
      </c>
    </row>
    <row r="79" spans="1:10" s="132" customFormat="1" x14ac:dyDescent="0.55000000000000004">
      <c r="A79" s="144">
        <v>92</v>
      </c>
      <c r="B79" s="144">
        <v>3</v>
      </c>
      <c r="C79" s="176">
        <v>80</v>
      </c>
      <c r="D79" s="143">
        <v>12.311260857582093</v>
      </c>
      <c r="E79" s="134">
        <v>33089495.875000004</v>
      </c>
      <c r="F79" s="134" t="s">
        <v>131</v>
      </c>
      <c r="G79" s="216" t="s">
        <v>110</v>
      </c>
      <c r="H79" s="212" t="s">
        <v>81</v>
      </c>
      <c r="I79" s="213" t="s">
        <v>96</v>
      </c>
      <c r="J79" t="str">
        <f t="shared" si="2"/>
        <v>2023-12-17 04:00:00</v>
      </c>
    </row>
    <row r="80" spans="1:10" s="132" customFormat="1" x14ac:dyDescent="0.55000000000000004">
      <c r="A80" s="144">
        <v>121</v>
      </c>
      <c r="B80">
        <v>4</v>
      </c>
      <c r="C80" s="175">
        <v>101</v>
      </c>
      <c r="D80" s="170">
        <v>268.97417149543764</v>
      </c>
      <c r="E80" s="146">
        <v>2526212444.7000003</v>
      </c>
      <c r="F80" s="146" t="s">
        <v>131</v>
      </c>
      <c r="G80" s="237" t="s">
        <v>110</v>
      </c>
      <c r="H80" s="212" t="s">
        <v>81</v>
      </c>
      <c r="I80" s="213" t="s">
        <v>96</v>
      </c>
      <c r="J80" t="str">
        <f t="shared" si="2"/>
        <v>2023-12-17 04:00:00</v>
      </c>
    </row>
    <row r="81" spans="1:10" x14ac:dyDescent="0.55000000000000004">
      <c r="A81" s="144">
        <v>150</v>
      </c>
      <c r="B81">
        <v>5</v>
      </c>
      <c r="C81" s="176">
        <v>61</v>
      </c>
      <c r="D81" s="149">
        <v>12</v>
      </c>
      <c r="E81" s="160">
        <v>99471770.474487305</v>
      </c>
      <c r="F81" s="142" t="s">
        <v>131</v>
      </c>
      <c r="G81" s="216" t="s">
        <v>110</v>
      </c>
      <c r="H81" s="212" t="s">
        <v>81</v>
      </c>
      <c r="I81" s="213" t="s">
        <v>96</v>
      </c>
      <c r="J81" t="str">
        <f t="shared" si="2"/>
        <v>2023-12-17 04:00:00</v>
      </c>
    </row>
    <row r="82" spans="1:10" x14ac:dyDescent="0.55000000000000004">
      <c r="A82" s="144">
        <v>151</v>
      </c>
      <c r="B82">
        <v>5</v>
      </c>
      <c r="C82" s="176">
        <v>65</v>
      </c>
      <c r="D82" s="149">
        <v>7</v>
      </c>
      <c r="E82" s="160">
        <v>71518698.734863281</v>
      </c>
      <c r="F82" s="142" t="s">
        <v>132</v>
      </c>
      <c r="G82" s="216" t="s">
        <v>111</v>
      </c>
      <c r="H82" s="212" t="s">
        <v>81</v>
      </c>
      <c r="I82" s="213" t="s">
        <v>96</v>
      </c>
      <c r="J82" t="str">
        <f t="shared" si="2"/>
        <v>2023-12-18 04:00:00</v>
      </c>
    </row>
    <row r="83" spans="1:10" x14ac:dyDescent="0.55000000000000004">
      <c r="A83" s="144">
        <v>40</v>
      </c>
      <c r="B83" s="144">
        <v>2</v>
      </c>
      <c r="C83" s="178">
        <v>153.64912280702265</v>
      </c>
      <c r="D83" s="174">
        <v>35.562798643112181</v>
      </c>
      <c r="E83" s="158">
        <v>129018991.25500001</v>
      </c>
      <c r="F83" s="134" t="s">
        <v>133</v>
      </c>
      <c r="G83" s="216" t="s">
        <v>112</v>
      </c>
      <c r="H83" s="212" t="s">
        <v>81</v>
      </c>
      <c r="I83" s="213" t="s">
        <v>97</v>
      </c>
      <c r="J83" t="str">
        <f t="shared" si="2"/>
        <v>2023-12-20 23:00:00</v>
      </c>
    </row>
    <row r="84" spans="1:10" x14ac:dyDescent="0.55000000000000004">
      <c r="A84" s="144">
        <v>64</v>
      </c>
      <c r="B84">
        <v>1</v>
      </c>
      <c r="C84" s="173">
        <v>90.36842105264077</v>
      </c>
      <c r="D84" s="169">
        <v>9.8917212963104255</v>
      </c>
      <c r="E84" s="161">
        <v>42227077.060000002</v>
      </c>
      <c r="F84" s="146" t="s">
        <v>133</v>
      </c>
      <c r="G84" s="238" t="s">
        <v>112</v>
      </c>
      <c r="H84" s="212" t="s">
        <v>81</v>
      </c>
      <c r="I84" s="213" t="s">
        <v>97</v>
      </c>
      <c r="J84" t="str">
        <f t="shared" si="2"/>
        <v>2023-12-20 23:00:00</v>
      </c>
    </row>
    <row r="85" spans="1:10" x14ac:dyDescent="0.55000000000000004">
      <c r="A85" s="144">
        <v>93</v>
      </c>
      <c r="B85" s="144">
        <v>3</v>
      </c>
      <c r="C85" s="173">
        <v>87.315789473684163</v>
      </c>
      <c r="D85" s="169">
        <v>250.55280395507813</v>
      </c>
      <c r="E85" s="161">
        <v>51808775.120000005</v>
      </c>
      <c r="F85" s="146" t="s">
        <v>133</v>
      </c>
      <c r="G85" s="238" t="s">
        <v>112</v>
      </c>
      <c r="H85" s="212" t="s">
        <v>81</v>
      </c>
      <c r="I85" s="213" t="s">
        <v>97</v>
      </c>
      <c r="J85" t="str">
        <f t="shared" si="2"/>
        <v>2023-12-20 23:00:00</v>
      </c>
    </row>
    <row r="86" spans="1:10" x14ac:dyDescent="0.55000000000000004">
      <c r="A86" s="144">
        <v>122</v>
      </c>
      <c r="B86">
        <v>4</v>
      </c>
      <c r="C86" s="173">
        <v>116.9122807017593</v>
      </c>
      <c r="D86" s="171">
        <v>144.35050384521483</v>
      </c>
      <c r="E86" s="161">
        <v>43254999.310000002</v>
      </c>
      <c r="F86" s="146" t="s">
        <v>133</v>
      </c>
      <c r="G86" s="238" t="s">
        <v>112</v>
      </c>
      <c r="H86" s="212" t="s">
        <v>81</v>
      </c>
      <c r="I86" s="213" t="s">
        <v>97</v>
      </c>
      <c r="J86" t="str">
        <f t="shared" si="2"/>
        <v>2023-12-20 23:00:00</v>
      </c>
    </row>
    <row r="87" spans="1:10" x14ac:dyDescent="0.55000000000000004">
      <c r="A87" s="144">
        <v>152</v>
      </c>
      <c r="B87">
        <v>5</v>
      </c>
      <c r="C87" s="178">
        <v>67.385964912282361</v>
      </c>
      <c r="D87" s="149">
        <v>10.042956139322996</v>
      </c>
      <c r="E87" s="142">
        <v>127887330.14793396</v>
      </c>
      <c r="F87" s="142" t="s">
        <v>133</v>
      </c>
      <c r="G87" s="216" t="s">
        <v>112</v>
      </c>
      <c r="H87" s="212" t="s">
        <v>81</v>
      </c>
      <c r="I87" s="213" t="s">
        <v>97</v>
      </c>
      <c r="J87" t="str">
        <f t="shared" si="2"/>
        <v>2023-12-20 23:00:00</v>
      </c>
    </row>
    <row r="88" spans="1:10" x14ac:dyDescent="0.55000000000000004">
      <c r="A88" s="144">
        <v>41</v>
      </c>
      <c r="B88" s="144">
        <v>2</v>
      </c>
      <c r="C88" s="178">
        <v>154.03139427515271</v>
      </c>
      <c r="D88" s="171">
        <v>31.783525409698488</v>
      </c>
      <c r="E88" s="161">
        <v>174400705.98000002</v>
      </c>
      <c r="F88" s="146" t="s">
        <v>134</v>
      </c>
      <c r="G88" s="239" t="s">
        <v>113</v>
      </c>
      <c r="H88" s="212" t="s">
        <v>81</v>
      </c>
      <c r="I88" s="213" t="s">
        <v>97</v>
      </c>
      <c r="J88" t="str">
        <f t="shared" ref="J88:J97" si="3">_xlfn.CONCAT(G88,H88,I88)</f>
        <v>2023-12-21 23:00:00</v>
      </c>
    </row>
    <row r="89" spans="1:10" x14ac:dyDescent="0.55000000000000004">
      <c r="A89" s="144">
        <v>65</v>
      </c>
      <c r="B89">
        <v>1</v>
      </c>
      <c r="C89" s="173">
        <v>89.603878116351552</v>
      </c>
      <c r="D89" s="170">
        <v>180.71417490005493</v>
      </c>
      <c r="E89" s="146">
        <v>121762315.99000001</v>
      </c>
      <c r="F89" s="146" t="s">
        <v>134</v>
      </c>
      <c r="G89" s="239" t="s">
        <v>113</v>
      </c>
      <c r="H89" s="212" t="s">
        <v>81</v>
      </c>
      <c r="I89" s="213" t="s">
        <v>97</v>
      </c>
      <c r="J89" t="str">
        <f t="shared" si="3"/>
        <v>2023-12-21 23:00:00</v>
      </c>
    </row>
    <row r="90" spans="1:10" x14ac:dyDescent="0.55000000000000004">
      <c r="A90" s="144">
        <v>94</v>
      </c>
      <c r="B90" s="144">
        <v>3</v>
      </c>
      <c r="C90" s="173">
        <v>86.522622345336913</v>
      </c>
      <c r="D90" s="170">
        <v>75.536781921386719</v>
      </c>
      <c r="E90" s="146">
        <v>1054488820.97</v>
      </c>
      <c r="F90" s="146" t="s">
        <v>134</v>
      </c>
      <c r="G90" s="239" t="s">
        <v>113</v>
      </c>
      <c r="H90" s="212" t="s">
        <v>81</v>
      </c>
      <c r="I90" s="213" t="s">
        <v>97</v>
      </c>
      <c r="J90" t="str">
        <f t="shared" si="3"/>
        <v>2023-12-21 23:00:00</v>
      </c>
    </row>
    <row r="91" spans="1:10" x14ac:dyDescent="0.55000000000000004">
      <c r="A91" s="144">
        <v>123</v>
      </c>
      <c r="B91">
        <v>4</v>
      </c>
      <c r="C91" s="173">
        <v>115.94644506002078</v>
      </c>
      <c r="D91" s="157">
        <v>37.433015928021632</v>
      </c>
      <c r="E91" s="162">
        <v>409553585.95596313</v>
      </c>
      <c r="F91" s="148" t="s">
        <v>134</v>
      </c>
      <c r="G91" s="216" t="s">
        <v>113</v>
      </c>
      <c r="H91" s="212" t="s">
        <v>81</v>
      </c>
      <c r="I91" s="213" t="s">
        <v>97</v>
      </c>
      <c r="J91" t="str">
        <f t="shared" si="3"/>
        <v>2023-12-21 23:00:00</v>
      </c>
    </row>
    <row r="92" spans="1:10" s="132" customFormat="1" x14ac:dyDescent="0.55000000000000004">
      <c r="A92" s="144">
        <v>153</v>
      </c>
      <c r="B92">
        <v>5</v>
      </c>
      <c r="C92" s="178">
        <v>67.642659279779764</v>
      </c>
      <c r="D92" s="149">
        <v>9.0668171182951482</v>
      </c>
      <c r="E92" s="142">
        <v>131012789.27122498</v>
      </c>
      <c r="F92" s="142" t="s">
        <v>134</v>
      </c>
      <c r="G92" s="216" t="s">
        <v>113</v>
      </c>
      <c r="H92" s="212" t="s">
        <v>81</v>
      </c>
      <c r="I92" s="213" t="s">
        <v>97</v>
      </c>
      <c r="J92" t="str">
        <f t="shared" si="3"/>
        <v>2023-12-21 23:00:00</v>
      </c>
    </row>
    <row r="93" spans="1:10" x14ac:dyDescent="0.55000000000000004">
      <c r="A93" s="144">
        <v>42</v>
      </c>
      <c r="B93" s="144">
        <v>2</v>
      </c>
      <c r="C93" s="178">
        <v>156.78100144171913</v>
      </c>
      <c r="D93" s="171">
        <v>111.84389045715332</v>
      </c>
      <c r="E93" s="161">
        <v>313870446.62</v>
      </c>
      <c r="F93" s="146" t="s">
        <v>135</v>
      </c>
      <c r="G93" s="240" t="s">
        <v>114</v>
      </c>
      <c r="H93" s="212" t="s">
        <v>81</v>
      </c>
      <c r="I93" s="213" t="s">
        <v>97</v>
      </c>
      <c r="J93" t="str">
        <f t="shared" si="3"/>
        <v>2023-12-22 23:00:00</v>
      </c>
    </row>
    <row r="94" spans="1:10" x14ac:dyDescent="0.55000000000000004">
      <c r="A94" s="144">
        <v>66</v>
      </c>
      <c r="B94">
        <v>1</v>
      </c>
      <c r="C94" s="173">
        <v>85.180687175001367</v>
      </c>
      <c r="D94" s="170">
        <v>305.79295653820037</v>
      </c>
      <c r="E94" s="146">
        <v>197112929.37</v>
      </c>
      <c r="F94" s="146" t="s">
        <v>135</v>
      </c>
      <c r="G94" s="240" t="s">
        <v>114</v>
      </c>
      <c r="H94" s="212" t="s">
        <v>81</v>
      </c>
      <c r="I94" s="213" t="s">
        <v>97</v>
      </c>
      <c r="J94" t="str">
        <f t="shared" si="3"/>
        <v>2023-12-22 23:00:00</v>
      </c>
    </row>
    <row r="95" spans="1:10" x14ac:dyDescent="0.55000000000000004">
      <c r="A95" s="144">
        <v>95</v>
      </c>
      <c r="B95" s="144">
        <v>3</v>
      </c>
      <c r="C95" s="173">
        <v>83.890265830781573</v>
      </c>
      <c r="D95" s="170">
        <v>2.0324618244171138</v>
      </c>
      <c r="E95" s="146">
        <v>443714.02</v>
      </c>
      <c r="F95" s="146" t="s">
        <v>135</v>
      </c>
      <c r="G95" s="240" t="s">
        <v>114</v>
      </c>
      <c r="H95" s="212" t="s">
        <v>81</v>
      </c>
      <c r="I95" s="213" t="s">
        <v>97</v>
      </c>
      <c r="J95" t="str">
        <f t="shared" si="3"/>
        <v>2023-12-22 23:00:00</v>
      </c>
    </row>
    <row r="96" spans="1:10" x14ac:dyDescent="0.55000000000000004">
      <c r="A96" s="144">
        <v>124</v>
      </c>
      <c r="B96">
        <v>4</v>
      </c>
      <c r="C96" s="173">
        <v>114.46302506034408</v>
      </c>
      <c r="D96" s="149">
        <v>38.312571053393185</v>
      </c>
      <c r="E96" s="160">
        <v>354155576.64886475</v>
      </c>
      <c r="F96" s="142" t="s">
        <v>135</v>
      </c>
      <c r="G96" s="216" t="s">
        <v>114</v>
      </c>
      <c r="H96" s="212" t="s">
        <v>81</v>
      </c>
      <c r="I96" s="213" t="s">
        <v>97</v>
      </c>
      <c r="J96" t="str">
        <f t="shared" si="3"/>
        <v>2023-12-22 23:00:00</v>
      </c>
    </row>
    <row r="97" spans="1:10" x14ac:dyDescent="0.55000000000000004">
      <c r="A97" s="144">
        <v>154</v>
      </c>
      <c r="B97">
        <v>5</v>
      </c>
      <c r="C97" s="178">
        <v>68.192237287588796</v>
      </c>
      <c r="D97" s="171">
        <v>11.560028867721565</v>
      </c>
      <c r="E97" s="161">
        <v>2723129.67</v>
      </c>
      <c r="F97" s="146" t="s">
        <v>135</v>
      </c>
      <c r="G97" s="240" t="s">
        <v>114</v>
      </c>
      <c r="H97" s="212" t="s">
        <v>81</v>
      </c>
      <c r="I97" s="213" t="s">
        <v>97</v>
      </c>
      <c r="J97" t="str">
        <f t="shared" si="3"/>
        <v>2023-12-22 23:00:00</v>
      </c>
    </row>
    <row r="98" spans="1:10" x14ac:dyDescent="0.55000000000000004">
      <c r="C98" s="137"/>
      <c r="D98" s="4"/>
      <c r="E98" s="4"/>
      <c r="F98" s="4"/>
    </row>
    <row r="99" spans="1:10" x14ac:dyDescent="0.55000000000000004">
      <c r="C99" s="137"/>
      <c r="D99" s="4"/>
      <c r="E99" s="4"/>
      <c r="F99" s="4"/>
    </row>
    <row r="100" spans="1:10" x14ac:dyDescent="0.55000000000000004">
      <c r="C100" s="137"/>
      <c r="D100" s="4"/>
      <c r="E100" s="4"/>
      <c r="F100" s="4"/>
    </row>
    <row r="101" spans="1:10" x14ac:dyDescent="0.55000000000000004">
      <c r="C101" s="137"/>
      <c r="D101" s="4"/>
      <c r="E101" s="4"/>
      <c r="F101" s="4"/>
    </row>
    <row r="102" spans="1:10" x14ac:dyDescent="0.55000000000000004">
      <c r="C102" s="137"/>
      <c r="D102" s="4"/>
      <c r="E102" s="4"/>
      <c r="F102" s="4"/>
    </row>
    <row r="103" spans="1:10" x14ac:dyDescent="0.55000000000000004">
      <c r="C103" s="137"/>
      <c r="D103" s="4"/>
      <c r="E103" s="4"/>
      <c r="F103" s="4"/>
    </row>
    <row r="104" spans="1:10" x14ac:dyDescent="0.55000000000000004">
      <c r="C104" s="137"/>
      <c r="D104" s="4"/>
      <c r="E104" s="4"/>
      <c r="F104" s="4"/>
    </row>
    <row r="105" spans="1:10" x14ac:dyDescent="0.55000000000000004">
      <c r="C105" s="137"/>
      <c r="D105" s="4"/>
      <c r="E105" s="4"/>
      <c r="F105" s="4"/>
    </row>
    <row r="106" spans="1:10" x14ac:dyDescent="0.55000000000000004">
      <c r="C106" s="137"/>
      <c r="D106" s="4"/>
      <c r="E106" s="4"/>
      <c r="F106" s="4"/>
    </row>
    <row r="107" spans="1:10" x14ac:dyDescent="0.55000000000000004">
      <c r="C107" s="137"/>
      <c r="D107" s="4"/>
      <c r="E107" s="4"/>
      <c r="F107" s="4"/>
    </row>
    <row r="108" spans="1:10" x14ac:dyDescent="0.55000000000000004">
      <c r="C108" s="137"/>
      <c r="D108" s="4"/>
      <c r="E108" s="4"/>
      <c r="F108" s="4"/>
    </row>
    <row r="109" spans="1:10" x14ac:dyDescent="0.55000000000000004">
      <c r="C109" s="137"/>
      <c r="D109" s="4"/>
      <c r="E109" s="4"/>
      <c r="F109" s="4"/>
    </row>
    <row r="110" spans="1:10" x14ac:dyDescent="0.55000000000000004">
      <c r="C110" s="137"/>
      <c r="D110" s="4"/>
      <c r="E110" s="4"/>
      <c r="F110" s="4"/>
    </row>
    <row r="111" spans="1:10" x14ac:dyDescent="0.55000000000000004">
      <c r="C111" s="137"/>
      <c r="D111" s="4"/>
      <c r="E111" s="4"/>
      <c r="F111" s="4"/>
    </row>
    <row r="112" spans="1:10" x14ac:dyDescent="0.55000000000000004">
      <c r="C112" s="137"/>
      <c r="D112" s="4"/>
      <c r="E112" s="4"/>
      <c r="F112" s="4"/>
    </row>
    <row r="113" spans="3:6" x14ac:dyDescent="0.55000000000000004">
      <c r="C113" s="137"/>
      <c r="D113" s="4"/>
      <c r="E113" s="4"/>
      <c r="F113" s="4"/>
    </row>
    <row r="114" spans="3:6" x14ac:dyDescent="0.55000000000000004">
      <c r="C114" s="137"/>
      <c r="D114" s="4"/>
      <c r="E114" s="4"/>
      <c r="F114" s="4"/>
    </row>
    <row r="115" spans="3:6" x14ac:dyDescent="0.55000000000000004">
      <c r="C115" s="137"/>
      <c r="D115" s="4"/>
      <c r="E115" s="4"/>
      <c r="F115" s="4"/>
    </row>
    <row r="116" spans="3:6" x14ac:dyDescent="0.55000000000000004">
      <c r="C116" s="137"/>
      <c r="D116" s="4"/>
      <c r="E116" s="4"/>
      <c r="F116" s="4"/>
    </row>
    <row r="117" spans="3:6" x14ac:dyDescent="0.55000000000000004">
      <c r="C117" s="137"/>
      <c r="D117" s="4"/>
      <c r="E117" s="4"/>
      <c r="F117" s="4"/>
    </row>
    <row r="118" spans="3:6" x14ac:dyDescent="0.55000000000000004">
      <c r="C118" s="137"/>
      <c r="D118" s="4"/>
      <c r="E118" s="4"/>
      <c r="F118" s="4"/>
    </row>
    <row r="119" spans="3:6" x14ac:dyDescent="0.55000000000000004">
      <c r="C119" s="137"/>
      <c r="D119" s="4"/>
      <c r="E119" s="4"/>
      <c r="F119" s="4"/>
    </row>
    <row r="120" spans="3:6" x14ac:dyDescent="0.55000000000000004">
      <c r="C120" s="137"/>
      <c r="D120" s="4"/>
      <c r="E120" s="4"/>
      <c r="F120" s="4"/>
    </row>
    <row r="121" spans="3:6" x14ac:dyDescent="0.55000000000000004">
      <c r="C121" s="137"/>
      <c r="D121" s="4"/>
      <c r="E121" s="4"/>
      <c r="F121" s="4"/>
    </row>
    <row r="122" spans="3:6" x14ac:dyDescent="0.55000000000000004">
      <c r="C122" s="137"/>
      <c r="D122" s="4"/>
      <c r="E122" s="4"/>
      <c r="F122" s="4"/>
    </row>
    <row r="123" spans="3:6" x14ac:dyDescent="0.55000000000000004">
      <c r="C123" s="137"/>
      <c r="D123" s="4"/>
      <c r="E123" s="4"/>
      <c r="F123" s="4"/>
    </row>
    <row r="124" spans="3:6" x14ac:dyDescent="0.55000000000000004">
      <c r="C124" s="137"/>
      <c r="D124" s="4"/>
      <c r="E124" s="4"/>
      <c r="F124" s="4"/>
    </row>
    <row r="125" spans="3:6" x14ac:dyDescent="0.55000000000000004">
      <c r="C125" s="137"/>
      <c r="D125" s="4"/>
      <c r="E125" s="4"/>
      <c r="F125" s="4"/>
    </row>
    <row r="126" spans="3:6" x14ac:dyDescent="0.55000000000000004">
      <c r="C126" s="137"/>
      <c r="D126" s="4"/>
      <c r="E126" s="4"/>
      <c r="F126" s="4"/>
    </row>
    <row r="127" spans="3:6" x14ac:dyDescent="0.55000000000000004">
      <c r="C127" s="137"/>
      <c r="D127" s="4"/>
      <c r="E127" s="4"/>
      <c r="F127" s="4"/>
    </row>
    <row r="128" spans="3:6" x14ac:dyDescent="0.55000000000000004">
      <c r="C128" s="137"/>
      <c r="D128" s="4"/>
      <c r="E128" s="4"/>
      <c r="F128" s="4"/>
    </row>
    <row r="129" spans="3:6" x14ac:dyDescent="0.55000000000000004">
      <c r="C129" s="137"/>
      <c r="D129" s="4"/>
      <c r="E129" s="4"/>
      <c r="F129" s="4"/>
    </row>
    <row r="130" spans="3:6" x14ac:dyDescent="0.55000000000000004">
      <c r="C130" s="137"/>
      <c r="D130" s="4"/>
      <c r="E130" s="4"/>
      <c r="F130" s="4"/>
    </row>
    <row r="131" spans="3:6" x14ac:dyDescent="0.55000000000000004">
      <c r="C131" s="137"/>
      <c r="D131" s="4"/>
      <c r="E131" s="4"/>
      <c r="F131" s="4"/>
    </row>
    <row r="132" spans="3:6" x14ac:dyDescent="0.55000000000000004">
      <c r="C132" s="137"/>
      <c r="D132" s="4"/>
      <c r="E132" s="4"/>
      <c r="F132" s="4"/>
    </row>
    <row r="133" spans="3:6" x14ac:dyDescent="0.55000000000000004">
      <c r="C133" s="137"/>
      <c r="D133" s="4"/>
      <c r="E133" s="4"/>
      <c r="F133" s="4"/>
    </row>
    <row r="134" spans="3:6" x14ac:dyDescent="0.55000000000000004">
      <c r="C134" s="137"/>
      <c r="D134" s="4"/>
      <c r="E134" s="4"/>
      <c r="F134" s="4"/>
    </row>
    <row r="135" spans="3:6" x14ac:dyDescent="0.55000000000000004">
      <c r="C135" s="137"/>
      <c r="D135" s="4"/>
      <c r="E135" s="4"/>
      <c r="F135" s="4"/>
    </row>
    <row r="136" spans="3:6" x14ac:dyDescent="0.55000000000000004">
      <c r="C136" s="137"/>
      <c r="D136" s="4"/>
      <c r="E136" s="4"/>
      <c r="F136" s="4"/>
    </row>
    <row r="137" spans="3:6" x14ac:dyDescent="0.55000000000000004">
      <c r="C137" s="137"/>
      <c r="D137" s="4"/>
      <c r="E137" s="4"/>
      <c r="F137" s="4"/>
    </row>
    <row r="138" spans="3:6" x14ac:dyDescent="0.55000000000000004">
      <c r="C138" s="137"/>
      <c r="D138" s="4"/>
      <c r="E138" s="4"/>
      <c r="F138" s="4"/>
    </row>
    <row r="139" spans="3:6" x14ac:dyDescent="0.55000000000000004">
      <c r="C139" s="137"/>
      <c r="D139" s="4"/>
      <c r="E139" s="4"/>
      <c r="F139" s="4"/>
    </row>
    <row r="140" spans="3:6" x14ac:dyDescent="0.55000000000000004">
      <c r="C140" s="137"/>
      <c r="D140" s="4"/>
      <c r="E140" s="4"/>
      <c r="F140" s="4"/>
    </row>
    <row r="141" spans="3:6" x14ac:dyDescent="0.55000000000000004">
      <c r="C141" s="137"/>
      <c r="D141" s="4"/>
      <c r="E141" s="4"/>
      <c r="F141" s="4"/>
    </row>
    <row r="142" spans="3:6" x14ac:dyDescent="0.55000000000000004">
      <c r="C142" s="137"/>
      <c r="D142" s="4"/>
      <c r="E142" s="4"/>
      <c r="F142" s="4"/>
    </row>
    <row r="143" spans="3:6" x14ac:dyDescent="0.55000000000000004">
      <c r="C143" s="137"/>
      <c r="D143" s="4"/>
      <c r="E143" s="4"/>
      <c r="F143" s="4"/>
    </row>
    <row r="144" spans="3:6" x14ac:dyDescent="0.55000000000000004">
      <c r="C144" s="137"/>
      <c r="D144" s="4"/>
      <c r="E144" s="4"/>
      <c r="F144" s="4"/>
    </row>
    <row r="145" spans="3:6" x14ac:dyDescent="0.55000000000000004">
      <c r="C145" s="137"/>
      <c r="D145" s="4"/>
      <c r="E145" s="4"/>
      <c r="F145" s="4"/>
    </row>
    <row r="146" spans="3:6" x14ac:dyDescent="0.55000000000000004">
      <c r="C146" s="137"/>
      <c r="D146" s="4"/>
      <c r="E146" s="4"/>
      <c r="F146" s="4"/>
    </row>
    <row r="147" spans="3:6" x14ac:dyDescent="0.55000000000000004">
      <c r="C147" s="137"/>
      <c r="D147" s="4"/>
      <c r="E147" s="4"/>
      <c r="F147" s="4"/>
    </row>
    <row r="148" spans="3:6" x14ac:dyDescent="0.55000000000000004">
      <c r="C148" s="137"/>
      <c r="D148" s="4"/>
      <c r="E148" s="4"/>
      <c r="F148" s="4"/>
    </row>
    <row r="149" spans="3:6" x14ac:dyDescent="0.55000000000000004">
      <c r="C149" s="137"/>
      <c r="D149" s="4"/>
      <c r="E149" s="4"/>
      <c r="F149" s="4"/>
    </row>
    <row r="150" spans="3:6" x14ac:dyDescent="0.55000000000000004">
      <c r="C150" s="137"/>
      <c r="D150" s="4"/>
      <c r="E150" s="4"/>
      <c r="F150" s="4"/>
    </row>
    <row r="151" spans="3:6" x14ac:dyDescent="0.55000000000000004">
      <c r="C151" s="137"/>
      <c r="D151" s="4"/>
      <c r="E151" s="4"/>
      <c r="F151" s="4"/>
    </row>
    <row r="152" spans="3:6" x14ac:dyDescent="0.55000000000000004">
      <c r="C152" s="137"/>
      <c r="D152" s="4"/>
      <c r="E152" s="4"/>
      <c r="F152" s="4"/>
    </row>
    <row r="153" spans="3:6" x14ac:dyDescent="0.55000000000000004">
      <c r="C153" s="137"/>
      <c r="D153" s="4"/>
      <c r="E153" s="4"/>
      <c r="F153" s="4"/>
    </row>
    <row r="154" spans="3:6" x14ac:dyDescent="0.55000000000000004">
      <c r="C154" s="137"/>
      <c r="D154" s="4"/>
      <c r="E154" s="4"/>
      <c r="F154" s="4"/>
    </row>
    <row r="155" spans="3:6" x14ac:dyDescent="0.55000000000000004">
      <c r="C155" s="137"/>
      <c r="D155" s="4"/>
      <c r="E155" s="4"/>
      <c r="F155" s="4"/>
    </row>
    <row r="156" spans="3:6" x14ac:dyDescent="0.55000000000000004">
      <c r="C156" s="137"/>
      <c r="D156" s="4"/>
      <c r="E156" s="4"/>
      <c r="F156" s="4"/>
    </row>
    <row r="157" spans="3:6" x14ac:dyDescent="0.55000000000000004">
      <c r="C157" s="137"/>
      <c r="D157" s="4"/>
      <c r="E157" s="4"/>
      <c r="F157" s="4"/>
    </row>
    <row r="158" spans="3:6" x14ac:dyDescent="0.55000000000000004">
      <c r="C158" s="137"/>
      <c r="D158" s="4"/>
      <c r="E158" s="4"/>
      <c r="F158" s="4"/>
    </row>
    <row r="159" spans="3:6" x14ac:dyDescent="0.55000000000000004">
      <c r="C159" s="137"/>
      <c r="D159" s="4"/>
      <c r="E159" s="4"/>
      <c r="F159" s="4"/>
    </row>
    <row r="160" spans="3:6" x14ac:dyDescent="0.55000000000000004">
      <c r="C160" s="137"/>
      <c r="D160" s="4"/>
      <c r="E160" s="4"/>
      <c r="F160" s="4"/>
    </row>
    <row r="161" spans="3:6" x14ac:dyDescent="0.55000000000000004">
      <c r="C161" s="137"/>
      <c r="D161" s="4"/>
      <c r="E161" s="4"/>
      <c r="F161" s="4"/>
    </row>
    <row r="162" spans="3:6" x14ac:dyDescent="0.55000000000000004">
      <c r="C162" s="137"/>
      <c r="D162" s="4"/>
      <c r="E162" s="4"/>
      <c r="F162" s="4"/>
    </row>
    <row r="163" spans="3:6" x14ac:dyDescent="0.55000000000000004">
      <c r="C163" s="137"/>
      <c r="D163" s="4"/>
      <c r="E163" s="4"/>
      <c r="F163" s="4"/>
    </row>
    <row r="164" spans="3:6" x14ac:dyDescent="0.55000000000000004">
      <c r="C164" s="137"/>
      <c r="D164" s="4"/>
      <c r="E164" s="4"/>
      <c r="F164" s="4"/>
    </row>
    <row r="165" spans="3:6" x14ac:dyDescent="0.55000000000000004">
      <c r="C165" s="137"/>
      <c r="D165" s="4"/>
      <c r="E165" s="4"/>
      <c r="F165" s="4"/>
    </row>
    <row r="166" spans="3:6" x14ac:dyDescent="0.55000000000000004">
      <c r="C166" s="137"/>
      <c r="D166" s="4"/>
      <c r="E166" s="4"/>
      <c r="F166" s="4"/>
    </row>
    <row r="167" spans="3:6" x14ac:dyDescent="0.55000000000000004">
      <c r="C167" s="137"/>
      <c r="D167" s="4"/>
      <c r="E167" s="4"/>
      <c r="F167" s="4"/>
    </row>
    <row r="168" spans="3:6" x14ac:dyDescent="0.55000000000000004">
      <c r="C168" s="137"/>
      <c r="D168" s="4"/>
      <c r="E168" s="4"/>
      <c r="F168" s="4"/>
    </row>
    <row r="169" spans="3:6" x14ac:dyDescent="0.55000000000000004">
      <c r="C169" s="137"/>
      <c r="D169" s="4"/>
      <c r="E169" s="4"/>
      <c r="F169" s="4"/>
    </row>
    <row r="170" spans="3:6" x14ac:dyDescent="0.55000000000000004">
      <c r="C170" s="137"/>
      <c r="D170" s="4"/>
      <c r="E170" s="4"/>
      <c r="F170" s="4"/>
    </row>
    <row r="171" spans="3:6" x14ac:dyDescent="0.55000000000000004">
      <c r="C171" s="137"/>
      <c r="D171" s="4"/>
      <c r="E171" s="4"/>
      <c r="F171" s="4"/>
    </row>
    <row r="172" spans="3:6" x14ac:dyDescent="0.55000000000000004">
      <c r="C172" s="137"/>
      <c r="D172" s="4"/>
      <c r="E172" s="4"/>
      <c r="F172" s="4"/>
    </row>
    <row r="173" spans="3:6" x14ac:dyDescent="0.55000000000000004">
      <c r="C173" s="137"/>
      <c r="D173" s="4"/>
      <c r="E173" s="4"/>
      <c r="F173" s="4"/>
    </row>
    <row r="174" spans="3:6" x14ac:dyDescent="0.55000000000000004">
      <c r="C174" s="137"/>
      <c r="D174" s="4"/>
      <c r="E174" s="4"/>
      <c r="F174" s="4"/>
    </row>
    <row r="175" spans="3:6" x14ac:dyDescent="0.55000000000000004">
      <c r="C175" s="137"/>
      <c r="D175" s="4"/>
      <c r="E175" s="4"/>
      <c r="F175" s="4"/>
    </row>
    <row r="176" spans="3:6" x14ac:dyDescent="0.55000000000000004">
      <c r="C176" s="137"/>
      <c r="D176" s="4"/>
      <c r="E176" s="4"/>
      <c r="F176" s="4"/>
    </row>
    <row r="177" spans="3:6" x14ac:dyDescent="0.55000000000000004">
      <c r="C177" s="137"/>
      <c r="D177" s="4"/>
      <c r="E177" s="4"/>
      <c r="F177" s="4"/>
    </row>
    <row r="178" spans="3:6" x14ac:dyDescent="0.55000000000000004">
      <c r="C178" s="137"/>
      <c r="D178" s="4"/>
      <c r="E178" s="4"/>
      <c r="F178" s="4"/>
    </row>
    <row r="179" spans="3:6" x14ac:dyDescent="0.55000000000000004">
      <c r="C179" s="137"/>
      <c r="D179" s="4"/>
      <c r="E179" s="4"/>
      <c r="F179" s="4"/>
    </row>
    <row r="180" spans="3:6" x14ac:dyDescent="0.55000000000000004">
      <c r="C180" s="137"/>
      <c r="D180" s="4"/>
      <c r="E180" s="4"/>
      <c r="F180" s="4"/>
    </row>
    <row r="181" spans="3:6" x14ac:dyDescent="0.55000000000000004">
      <c r="C181" s="137"/>
      <c r="D181" s="4"/>
      <c r="E181" s="4"/>
      <c r="F181" s="4"/>
    </row>
    <row r="182" spans="3:6" x14ac:dyDescent="0.55000000000000004">
      <c r="C182" s="137"/>
      <c r="D182" s="4"/>
      <c r="E182" s="4"/>
      <c r="F182" s="4"/>
    </row>
    <row r="183" spans="3:6" x14ac:dyDescent="0.55000000000000004">
      <c r="C183" s="137"/>
      <c r="D183" s="4"/>
      <c r="E183" s="4"/>
      <c r="F183" s="4"/>
    </row>
    <row r="184" spans="3:6" x14ac:dyDescent="0.55000000000000004">
      <c r="C184" s="137"/>
      <c r="D184" s="4"/>
      <c r="E184" s="4"/>
      <c r="F184" s="4"/>
    </row>
    <row r="185" spans="3:6" x14ac:dyDescent="0.55000000000000004">
      <c r="C185" s="137"/>
      <c r="D185" s="4"/>
      <c r="E185" s="4"/>
      <c r="F185" s="4"/>
    </row>
    <row r="186" spans="3:6" x14ac:dyDescent="0.55000000000000004">
      <c r="C186" s="137"/>
      <c r="D186" s="4"/>
      <c r="E186" s="4"/>
      <c r="F186" s="4"/>
    </row>
    <row r="187" spans="3:6" x14ac:dyDescent="0.55000000000000004">
      <c r="C187" s="137"/>
      <c r="D187" s="4"/>
      <c r="E187" s="4"/>
      <c r="F187" s="4"/>
    </row>
    <row r="188" spans="3:6" x14ac:dyDescent="0.55000000000000004">
      <c r="C188" s="137"/>
      <c r="D188" s="4"/>
      <c r="E188" s="4"/>
      <c r="F188" s="4"/>
    </row>
    <row r="189" spans="3:6" x14ac:dyDescent="0.55000000000000004">
      <c r="C189" s="137"/>
      <c r="D189" s="4"/>
      <c r="E189" s="4"/>
      <c r="F189" s="4"/>
    </row>
    <row r="190" spans="3:6" x14ac:dyDescent="0.55000000000000004">
      <c r="C190" s="137"/>
      <c r="D190" s="4"/>
      <c r="E190" s="4"/>
      <c r="F190" s="4"/>
    </row>
    <row r="191" spans="3:6" x14ac:dyDescent="0.55000000000000004">
      <c r="C191" s="137"/>
      <c r="D191" s="4"/>
      <c r="E191" s="4"/>
      <c r="F191" s="4"/>
    </row>
    <row r="192" spans="3:6" x14ac:dyDescent="0.55000000000000004">
      <c r="C192" s="137"/>
      <c r="D192" s="4"/>
      <c r="E192" s="4"/>
      <c r="F192" s="4"/>
    </row>
    <row r="193" spans="3:6" x14ac:dyDescent="0.55000000000000004">
      <c r="C193" s="137"/>
      <c r="D193" s="4"/>
      <c r="E193" s="4"/>
      <c r="F193" s="4"/>
    </row>
    <row r="194" spans="3:6" x14ac:dyDescent="0.55000000000000004">
      <c r="C194" s="137"/>
      <c r="D194" s="4"/>
      <c r="E194" s="4"/>
      <c r="F194" s="4"/>
    </row>
    <row r="195" spans="3:6" x14ac:dyDescent="0.55000000000000004">
      <c r="C195" s="137"/>
      <c r="D195" s="4"/>
      <c r="E195" s="4"/>
      <c r="F195" s="4"/>
    </row>
    <row r="196" spans="3:6" x14ac:dyDescent="0.55000000000000004">
      <c r="C196" s="137"/>
      <c r="D196" s="4"/>
      <c r="E196" s="4"/>
      <c r="F196" s="4"/>
    </row>
    <row r="197" spans="3:6" x14ac:dyDescent="0.55000000000000004">
      <c r="C197" s="137"/>
      <c r="D197" s="4"/>
      <c r="E197" s="4"/>
      <c r="F197" s="4"/>
    </row>
    <row r="198" spans="3:6" x14ac:dyDescent="0.55000000000000004">
      <c r="C198" s="137"/>
      <c r="D198" s="4"/>
      <c r="E198" s="4"/>
      <c r="F198" s="4"/>
    </row>
    <row r="199" spans="3:6" x14ac:dyDescent="0.55000000000000004">
      <c r="C199" s="137"/>
      <c r="D199" s="4"/>
      <c r="E199" s="4"/>
      <c r="F199" s="4"/>
    </row>
    <row r="200" spans="3:6" x14ac:dyDescent="0.55000000000000004">
      <c r="C200" s="137"/>
      <c r="D200" s="4"/>
      <c r="E200" s="4"/>
      <c r="F200" s="4"/>
    </row>
    <row r="201" spans="3:6" x14ac:dyDescent="0.55000000000000004">
      <c r="C201" s="137"/>
      <c r="D201" s="4"/>
      <c r="E201" s="4"/>
      <c r="F201" s="4"/>
    </row>
    <row r="202" spans="3:6" x14ac:dyDescent="0.55000000000000004">
      <c r="C202" s="137"/>
      <c r="D202" s="4"/>
      <c r="E202" s="4"/>
      <c r="F202" s="4"/>
    </row>
    <row r="203" spans="3:6" x14ac:dyDescent="0.55000000000000004">
      <c r="C203" s="137"/>
      <c r="D203" s="4"/>
      <c r="E203" s="4"/>
      <c r="F203" s="4"/>
    </row>
    <row r="204" spans="3:6" x14ac:dyDescent="0.55000000000000004">
      <c r="C204" s="137"/>
      <c r="D204" s="4"/>
      <c r="E204" s="4"/>
      <c r="F204" s="4"/>
    </row>
    <row r="205" spans="3:6" x14ac:dyDescent="0.55000000000000004">
      <c r="C205" s="137"/>
      <c r="D205" s="4"/>
      <c r="E205" s="4"/>
      <c r="F205" s="4"/>
    </row>
    <row r="206" spans="3:6" x14ac:dyDescent="0.55000000000000004">
      <c r="C206" s="137"/>
      <c r="D206" s="4"/>
      <c r="E206" s="4"/>
      <c r="F206" s="4"/>
    </row>
    <row r="207" spans="3:6" x14ac:dyDescent="0.55000000000000004">
      <c r="C207" s="137"/>
      <c r="D207" s="4"/>
      <c r="E207" s="4"/>
      <c r="F207" s="4"/>
    </row>
    <row r="208" spans="3:6" x14ac:dyDescent="0.55000000000000004">
      <c r="C208" s="137"/>
      <c r="D208" s="4"/>
      <c r="E208" s="4"/>
      <c r="F208" s="4"/>
    </row>
    <row r="209" spans="3:6" x14ac:dyDescent="0.55000000000000004">
      <c r="C209" s="137"/>
      <c r="D209" s="4"/>
      <c r="E209" s="4"/>
      <c r="F209" s="4"/>
    </row>
    <row r="210" spans="3:6" x14ac:dyDescent="0.55000000000000004">
      <c r="C210" s="137"/>
      <c r="D210" s="4"/>
      <c r="E210" s="4"/>
      <c r="F210" s="4"/>
    </row>
    <row r="211" spans="3:6" x14ac:dyDescent="0.55000000000000004">
      <c r="C211" s="137"/>
      <c r="D211" s="4"/>
      <c r="E211" s="4"/>
      <c r="F211" s="4"/>
    </row>
    <row r="212" spans="3:6" x14ac:dyDescent="0.55000000000000004">
      <c r="C212" s="137"/>
      <c r="D212" s="4"/>
      <c r="E212" s="4"/>
      <c r="F212" s="4"/>
    </row>
    <row r="213" spans="3:6" x14ac:dyDescent="0.55000000000000004">
      <c r="C213" s="137"/>
      <c r="D213" s="4"/>
      <c r="E213" s="4"/>
      <c r="F213" s="4"/>
    </row>
    <row r="214" spans="3:6" x14ac:dyDescent="0.55000000000000004">
      <c r="C214" s="137"/>
      <c r="D214" s="4"/>
      <c r="E214" s="4"/>
      <c r="F214" s="4"/>
    </row>
    <row r="215" spans="3:6" x14ac:dyDescent="0.55000000000000004">
      <c r="C215" s="137"/>
      <c r="D215" s="4"/>
      <c r="E215" s="4"/>
      <c r="F215" s="4"/>
    </row>
    <row r="216" spans="3:6" x14ac:dyDescent="0.55000000000000004">
      <c r="C216" s="137"/>
      <c r="D216" s="4"/>
      <c r="E216" s="4"/>
      <c r="F216" s="4"/>
    </row>
    <row r="217" spans="3:6" x14ac:dyDescent="0.55000000000000004">
      <c r="C217" s="137"/>
      <c r="D217" s="4"/>
      <c r="E217" s="4"/>
      <c r="F217" s="4"/>
    </row>
    <row r="218" spans="3:6" x14ac:dyDescent="0.55000000000000004">
      <c r="C218" s="137"/>
      <c r="D218" s="4"/>
      <c r="E218" s="4"/>
      <c r="F218" s="4"/>
    </row>
    <row r="219" spans="3:6" x14ac:dyDescent="0.55000000000000004">
      <c r="C219" s="137"/>
      <c r="D219" s="4"/>
      <c r="E219" s="4"/>
      <c r="F219" s="4"/>
    </row>
    <row r="220" spans="3:6" x14ac:dyDescent="0.55000000000000004">
      <c r="C220" s="137"/>
      <c r="D220" s="4"/>
      <c r="E220" s="4"/>
      <c r="F220" s="4"/>
    </row>
    <row r="221" spans="3:6" x14ac:dyDescent="0.55000000000000004">
      <c r="C221" s="137"/>
      <c r="D221" s="4"/>
      <c r="E221" s="4"/>
      <c r="F221" s="4"/>
    </row>
    <row r="222" spans="3:6" x14ac:dyDescent="0.55000000000000004">
      <c r="C222" s="137"/>
      <c r="D222" s="4"/>
      <c r="E222" s="4"/>
      <c r="F222" s="4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69BF-9ED4-4C82-810B-E2B1255A48FC}">
  <dimension ref="A1:K222"/>
  <sheetViews>
    <sheetView zoomScale="90" zoomScaleNormal="90" workbookViewId="0">
      <selection activeCell="G27" sqref="G27:G31"/>
    </sheetView>
  </sheetViews>
  <sheetFormatPr defaultRowHeight="14.4" x14ac:dyDescent="0.55000000000000004"/>
  <cols>
    <col min="1" max="1" width="5.734375" bestFit="1" customWidth="1"/>
    <col min="2" max="2" width="7.47265625" bestFit="1" customWidth="1"/>
    <col min="3" max="3" width="7" style="136" bestFit="1" customWidth="1"/>
    <col min="4" max="4" width="13.3125" bestFit="1" customWidth="1"/>
    <col min="5" max="5" width="16.68359375" bestFit="1" customWidth="1"/>
    <col min="6" max="6" width="28.20703125" customWidth="1"/>
    <col min="7" max="7" width="10.20703125" bestFit="1" customWidth="1"/>
    <col min="8" max="8" width="10.20703125" customWidth="1"/>
    <col min="9" max="9" width="14.15625" bestFit="1" customWidth="1"/>
    <col min="10" max="10" width="10.7890625" bestFit="1" customWidth="1"/>
    <col min="11" max="11" width="8.89453125" bestFit="1" customWidth="1"/>
    <col min="12" max="12" width="9.68359375" bestFit="1" customWidth="1"/>
  </cols>
  <sheetData>
    <row r="1" spans="1:10" x14ac:dyDescent="0.55000000000000004">
      <c r="A1" s="144" t="s">
        <v>80</v>
      </c>
      <c r="B1" s="144" t="s">
        <v>77</v>
      </c>
      <c r="C1" s="144" t="s">
        <v>73</v>
      </c>
      <c r="D1" s="144" t="s">
        <v>74</v>
      </c>
      <c r="E1" s="144" t="s">
        <v>75</v>
      </c>
      <c r="F1" s="144" t="s">
        <v>76</v>
      </c>
      <c r="G1" s="144" t="s">
        <v>88</v>
      </c>
      <c r="H1" s="144" t="s">
        <v>91</v>
      </c>
      <c r="I1" s="144" t="s">
        <v>89</v>
      </c>
      <c r="J1" s="144" t="s">
        <v>90</v>
      </c>
    </row>
    <row r="2" spans="1:10" x14ac:dyDescent="0.55000000000000004">
      <c r="A2" s="144">
        <v>23</v>
      </c>
      <c r="B2" s="144">
        <v>2</v>
      </c>
      <c r="C2" s="175">
        <v>81</v>
      </c>
      <c r="D2" s="169">
        <v>139.49574783325193</v>
      </c>
      <c r="E2" s="4">
        <v>474917846.85000002</v>
      </c>
      <c r="F2" s="4"/>
      <c r="G2" s="224">
        <v>44531</v>
      </c>
      <c r="H2" s="212" t="s">
        <v>81</v>
      </c>
      <c r="I2" s="222">
        <v>0.29166666666666702</v>
      </c>
      <c r="J2" s="223" t="str">
        <f t="shared" ref="J2:J4" si="0">_xlfn.CONCAT(G2,H2,I2)</f>
        <v>44531 0.291666666666667</v>
      </c>
    </row>
    <row r="3" spans="1:10" x14ac:dyDescent="0.55000000000000004">
      <c r="A3" s="144">
        <v>52</v>
      </c>
      <c r="B3">
        <v>1</v>
      </c>
      <c r="C3" s="175">
        <v>150</v>
      </c>
      <c r="D3" s="171">
        <v>23.489329452514649</v>
      </c>
      <c r="E3" s="161">
        <v>4934980.17</v>
      </c>
      <c r="F3" s="146"/>
      <c r="G3" s="5">
        <v>44531</v>
      </c>
      <c r="H3" s="212" t="s">
        <v>81</v>
      </c>
      <c r="I3" s="210">
        <v>0.29166666666666702</v>
      </c>
      <c r="J3" s="221" t="str">
        <f t="shared" si="0"/>
        <v>44531 0.291666666666667</v>
      </c>
    </row>
    <row r="4" spans="1:10" s="132" customFormat="1" x14ac:dyDescent="0.55000000000000004">
      <c r="A4" s="144">
        <v>76</v>
      </c>
      <c r="B4" s="144">
        <v>3</v>
      </c>
      <c r="C4" s="176">
        <v>76</v>
      </c>
      <c r="D4" s="133">
        <v>18.76605949975783</v>
      </c>
      <c r="E4" s="142">
        <v>31559505.250610352</v>
      </c>
      <c r="F4" s="142"/>
      <c r="G4" s="5">
        <v>44531</v>
      </c>
      <c r="H4" s="212" t="s">
        <v>81</v>
      </c>
      <c r="I4" s="210">
        <v>0.29166666666666702</v>
      </c>
      <c r="J4" s="221" t="str">
        <f t="shared" si="0"/>
        <v>44531 0.291666666666667</v>
      </c>
    </row>
    <row r="5" spans="1:10" x14ac:dyDescent="0.55000000000000004">
      <c r="A5" s="144">
        <v>105</v>
      </c>
      <c r="B5">
        <v>4</v>
      </c>
      <c r="C5" s="175">
        <v>92</v>
      </c>
      <c r="D5" s="171">
        <v>420.17333923339851</v>
      </c>
      <c r="E5" s="161">
        <v>85137418.670000002</v>
      </c>
      <c r="F5" s="146"/>
      <c r="G5" s="5">
        <v>44531</v>
      </c>
      <c r="H5" s="212" t="s">
        <v>81</v>
      </c>
      <c r="I5" s="210">
        <v>0.29166666666666702</v>
      </c>
    </row>
    <row r="6" spans="1:10" x14ac:dyDescent="0.55000000000000004">
      <c r="A6" s="144">
        <v>134</v>
      </c>
      <c r="B6">
        <v>5</v>
      </c>
      <c r="C6" s="175">
        <v>53</v>
      </c>
      <c r="D6" s="169">
        <v>11.487902727127079</v>
      </c>
      <c r="E6" s="4">
        <v>47407369.710000001</v>
      </c>
      <c r="F6" s="4"/>
      <c r="G6" s="5">
        <v>44531</v>
      </c>
      <c r="H6" s="212" t="s">
        <v>81</v>
      </c>
      <c r="I6" s="210">
        <v>0.29166666666666702</v>
      </c>
    </row>
    <row r="7" spans="1:10" s="132" customFormat="1" x14ac:dyDescent="0.55000000000000004">
      <c r="A7" s="144">
        <v>24</v>
      </c>
      <c r="B7" s="144">
        <v>2</v>
      </c>
      <c r="C7" s="175">
        <v>110</v>
      </c>
      <c r="D7" s="172">
        <v>104.81852149963377</v>
      </c>
      <c r="E7" s="134">
        <v>277400817.53500003</v>
      </c>
      <c r="F7" s="134"/>
      <c r="G7" s="131">
        <v>44532</v>
      </c>
      <c r="H7" s="212" t="s">
        <v>81</v>
      </c>
      <c r="I7" s="210">
        <v>0.29166666666666702</v>
      </c>
    </row>
    <row r="8" spans="1:10" x14ac:dyDescent="0.55000000000000004">
      <c r="A8" s="144">
        <v>53</v>
      </c>
      <c r="B8">
        <v>1</v>
      </c>
      <c r="C8" s="175">
        <v>113</v>
      </c>
      <c r="D8" s="171">
        <v>261.61609441280359</v>
      </c>
      <c r="E8" s="161">
        <v>376094825.37</v>
      </c>
      <c r="F8" s="146"/>
      <c r="G8" s="8">
        <v>44532</v>
      </c>
      <c r="H8" s="212" t="s">
        <v>81</v>
      </c>
      <c r="I8" s="210">
        <v>0.29166666666666702</v>
      </c>
    </row>
    <row r="9" spans="1:10" x14ac:dyDescent="0.55000000000000004">
      <c r="A9" s="144">
        <v>77</v>
      </c>
      <c r="B9" s="144">
        <v>3</v>
      </c>
      <c r="C9" s="175">
        <v>64</v>
      </c>
      <c r="D9" s="171">
        <v>286.52542014122008</v>
      </c>
      <c r="E9" s="161">
        <v>1278932432.9200001</v>
      </c>
      <c r="F9" s="146"/>
      <c r="G9" s="8">
        <v>44532</v>
      </c>
      <c r="H9" s="212" t="s">
        <v>81</v>
      </c>
      <c r="I9" s="210">
        <v>0.29166666666666702</v>
      </c>
    </row>
    <row r="10" spans="1:10" x14ac:dyDescent="0.55000000000000004">
      <c r="A10" s="144">
        <v>106</v>
      </c>
      <c r="B10">
        <v>4</v>
      </c>
      <c r="C10" s="175">
        <v>93</v>
      </c>
      <c r="D10" s="171">
        <v>7.7173205089569095</v>
      </c>
      <c r="E10" s="161">
        <v>1242221.8500000001</v>
      </c>
      <c r="F10" s="146"/>
      <c r="G10" s="8">
        <v>44532</v>
      </c>
      <c r="H10" s="212" t="s">
        <v>81</v>
      </c>
      <c r="I10" s="210">
        <v>0.29166666666666702</v>
      </c>
    </row>
    <row r="11" spans="1:10" x14ac:dyDescent="0.55000000000000004">
      <c r="A11" s="144">
        <v>135</v>
      </c>
      <c r="B11">
        <v>5</v>
      </c>
      <c r="C11" s="175">
        <v>57</v>
      </c>
      <c r="D11" s="169">
        <v>109.37096038818358</v>
      </c>
      <c r="E11" s="161">
        <v>513398941.65000004</v>
      </c>
      <c r="F11" s="146"/>
      <c r="G11" s="8">
        <v>44532</v>
      </c>
      <c r="H11" s="212" t="s">
        <v>81</v>
      </c>
      <c r="I11" s="210">
        <v>0.29166666666666702</v>
      </c>
    </row>
    <row r="12" spans="1:10" s="132" customFormat="1" x14ac:dyDescent="0.55000000000000004">
      <c r="A12" s="144">
        <v>25</v>
      </c>
      <c r="B12" s="144">
        <v>2</v>
      </c>
      <c r="C12" s="175">
        <v>89</v>
      </c>
      <c r="D12" s="171">
        <v>70.141295166015624</v>
      </c>
      <c r="E12" s="146">
        <v>79883788.219999999</v>
      </c>
      <c r="F12" s="146"/>
      <c r="G12" s="11">
        <v>44533</v>
      </c>
      <c r="H12" s="212" t="s">
        <v>81</v>
      </c>
      <c r="I12" s="210">
        <v>0.29166666666666702</v>
      </c>
    </row>
    <row r="13" spans="1:10" x14ac:dyDescent="0.55000000000000004">
      <c r="A13" s="144">
        <v>54</v>
      </c>
      <c r="B13">
        <v>1</v>
      </c>
      <c r="C13" s="175">
        <v>79</v>
      </c>
      <c r="D13" s="171">
        <v>31.134267947673798</v>
      </c>
      <c r="E13" s="161">
        <v>6783136.6000000006</v>
      </c>
      <c r="F13" s="146"/>
      <c r="G13" s="11">
        <v>44533</v>
      </c>
      <c r="H13" s="212" t="s">
        <v>81</v>
      </c>
      <c r="I13" s="210">
        <v>0.29166666666666702</v>
      </c>
    </row>
    <row r="14" spans="1:10" x14ac:dyDescent="0.55000000000000004">
      <c r="A14" s="144">
        <v>78</v>
      </c>
      <c r="B14" s="144">
        <v>3</v>
      </c>
      <c r="C14" s="176">
        <v>56</v>
      </c>
      <c r="D14" s="149">
        <v>13</v>
      </c>
      <c r="E14" s="160">
        <v>244727455</v>
      </c>
      <c r="F14" s="142"/>
      <c r="G14" s="131">
        <v>44533</v>
      </c>
      <c r="H14" s="212" t="s">
        <v>81</v>
      </c>
      <c r="I14" s="210">
        <v>0.29166666666666702</v>
      </c>
    </row>
    <row r="15" spans="1:10" x14ac:dyDescent="0.55000000000000004">
      <c r="A15" s="144">
        <v>107</v>
      </c>
      <c r="B15">
        <v>4</v>
      </c>
      <c r="C15" s="175">
        <v>77</v>
      </c>
      <c r="D15" s="171">
        <v>1312.9918798828126</v>
      </c>
      <c r="E15" s="161">
        <v>3491333891.9700003</v>
      </c>
      <c r="F15" s="146"/>
      <c r="G15" s="11">
        <v>44533</v>
      </c>
      <c r="H15" s="212" t="s">
        <v>81</v>
      </c>
      <c r="I15" s="210">
        <v>0.29166666666666702</v>
      </c>
    </row>
    <row r="16" spans="1:10" x14ac:dyDescent="0.55000000000000004">
      <c r="A16" s="144">
        <v>136</v>
      </c>
      <c r="B16">
        <v>5</v>
      </c>
      <c r="C16" s="176">
        <v>57</v>
      </c>
      <c r="D16" s="159">
        <v>58.591174688339223</v>
      </c>
      <c r="E16" s="158">
        <v>310706319.125</v>
      </c>
      <c r="F16" s="134"/>
      <c r="G16" s="131">
        <v>44533</v>
      </c>
      <c r="H16" s="212" t="s">
        <v>81</v>
      </c>
      <c r="I16" s="210">
        <v>0.29166666666666702</v>
      </c>
    </row>
    <row r="17" spans="1:9" x14ac:dyDescent="0.55000000000000004">
      <c r="A17" s="144">
        <v>26</v>
      </c>
      <c r="B17" s="144">
        <v>2</v>
      </c>
      <c r="C17" s="175">
        <v>93</v>
      </c>
      <c r="D17" s="171">
        <v>210.53629623413087</v>
      </c>
      <c r="E17" s="161">
        <v>49678462.900000006</v>
      </c>
      <c r="F17" s="146"/>
      <c r="G17" s="14">
        <v>44534</v>
      </c>
      <c r="H17" s="212" t="s">
        <v>81</v>
      </c>
      <c r="I17" s="210">
        <v>0.33333333333333331</v>
      </c>
    </row>
    <row r="18" spans="1:9" x14ac:dyDescent="0.55000000000000004">
      <c r="A18" s="144">
        <v>55</v>
      </c>
      <c r="B18">
        <v>1</v>
      </c>
      <c r="C18" s="175">
        <v>153</v>
      </c>
      <c r="D18" s="171">
        <v>21.178821468353277</v>
      </c>
      <c r="E18" s="161">
        <v>58787883.290000007</v>
      </c>
      <c r="F18" s="146"/>
      <c r="G18" s="14">
        <v>44534</v>
      </c>
      <c r="H18" s="212" t="s">
        <v>81</v>
      </c>
      <c r="I18" s="210">
        <v>0.33333333333333331</v>
      </c>
    </row>
    <row r="19" spans="1:9" x14ac:dyDescent="0.55000000000000004">
      <c r="A19" s="144">
        <v>79</v>
      </c>
      <c r="B19" s="144">
        <v>3</v>
      </c>
      <c r="C19" s="176">
        <v>55</v>
      </c>
      <c r="D19" s="149">
        <v>10</v>
      </c>
      <c r="E19" s="160">
        <v>210913943</v>
      </c>
      <c r="F19" s="142"/>
      <c r="G19" s="131">
        <v>44534</v>
      </c>
      <c r="H19" s="212" t="s">
        <v>81</v>
      </c>
      <c r="I19" s="210">
        <v>0.33333333333333298</v>
      </c>
    </row>
    <row r="20" spans="1:9" x14ac:dyDescent="0.55000000000000004">
      <c r="A20" s="144">
        <v>108</v>
      </c>
      <c r="B20">
        <v>4</v>
      </c>
      <c r="C20" s="175">
        <v>116</v>
      </c>
      <c r="D20" s="171">
        <v>8.7129330921173107</v>
      </c>
      <c r="E20" s="161">
        <v>38951720.390000001</v>
      </c>
      <c r="F20" s="146"/>
      <c r="G20" s="14">
        <v>44534</v>
      </c>
      <c r="H20" s="212" t="s">
        <v>81</v>
      </c>
      <c r="I20" s="210">
        <v>0.33333333333333298</v>
      </c>
    </row>
    <row r="21" spans="1:9" x14ac:dyDescent="0.55000000000000004">
      <c r="A21" s="144">
        <v>137</v>
      </c>
      <c r="B21">
        <v>5</v>
      </c>
      <c r="C21" s="175">
        <v>60</v>
      </c>
      <c r="D21" s="171">
        <v>7.8113889884948735</v>
      </c>
      <c r="E21" s="161">
        <v>108013696.60000001</v>
      </c>
      <c r="F21" s="146"/>
      <c r="G21" s="14">
        <v>44534</v>
      </c>
      <c r="H21" s="212" t="s">
        <v>81</v>
      </c>
      <c r="I21" s="210">
        <v>0.33333333333333298</v>
      </c>
    </row>
    <row r="22" spans="1:9" x14ac:dyDescent="0.55000000000000004">
      <c r="A22" s="144">
        <v>27</v>
      </c>
      <c r="B22" s="144">
        <v>2</v>
      </c>
      <c r="C22" s="175">
        <v>83</v>
      </c>
      <c r="D22" s="171">
        <v>4.1705398416519168</v>
      </c>
      <c r="E22" s="161">
        <v>14091800.49</v>
      </c>
      <c r="F22" s="146"/>
      <c r="G22" s="17">
        <v>44535</v>
      </c>
      <c r="H22" s="212" t="s">
        <v>81</v>
      </c>
      <c r="I22" s="210">
        <v>0.33333333333333298</v>
      </c>
    </row>
    <row r="23" spans="1:9" x14ac:dyDescent="0.55000000000000004">
      <c r="A23" s="144">
        <v>56</v>
      </c>
      <c r="B23">
        <v>1</v>
      </c>
      <c r="C23" s="175">
        <v>126</v>
      </c>
      <c r="D23" s="171">
        <v>136.29085101127626</v>
      </c>
      <c r="E23" s="161">
        <v>1046243735.8800001</v>
      </c>
      <c r="F23" s="146"/>
      <c r="G23" s="17">
        <v>44535</v>
      </c>
      <c r="H23" s="212" t="s">
        <v>81</v>
      </c>
      <c r="I23" s="210">
        <v>0.33333333333333298</v>
      </c>
    </row>
    <row r="24" spans="1:9" x14ac:dyDescent="0.55000000000000004">
      <c r="A24" s="144">
        <v>80</v>
      </c>
      <c r="B24" s="144">
        <v>3</v>
      </c>
      <c r="C24" s="176">
        <v>93</v>
      </c>
      <c r="D24" s="149">
        <v>6</v>
      </c>
      <c r="E24" s="160">
        <v>174666143</v>
      </c>
      <c r="F24" s="142"/>
      <c r="G24" s="131">
        <v>44535</v>
      </c>
      <c r="H24" s="212" t="s">
        <v>81</v>
      </c>
      <c r="I24" s="210">
        <v>0.33333333333333298</v>
      </c>
    </row>
    <row r="25" spans="1:9" x14ac:dyDescent="0.55000000000000004">
      <c r="A25" s="144">
        <v>109</v>
      </c>
      <c r="B25">
        <v>4</v>
      </c>
      <c r="C25" s="175">
        <v>110</v>
      </c>
      <c r="D25" s="171">
        <v>78.963978729248055</v>
      </c>
      <c r="E25" s="161">
        <v>627671259.78000009</v>
      </c>
      <c r="F25" s="146"/>
      <c r="G25" s="17">
        <v>44535</v>
      </c>
      <c r="H25" s="212" t="s">
        <v>81</v>
      </c>
      <c r="I25" s="210">
        <v>0.33333333333333298</v>
      </c>
    </row>
    <row r="26" spans="1:9" x14ac:dyDescent="0.55000000000000004">
      <c r="A26" s="144">
        <v>138</v>
      </c>
      <c r="B26">
        <v>5</v>
      </c>
      <c r="C26" s="176">
        <v>60</v>
      </c>
      <c r="D26" s="149">
        <v>31.363024969119579</v>
      </c>
      <c r="E26" s="160">
        <v>239663171.30749512</v>
      </c>
      <c r="F26" s="142"/>
      <c r="G26" s="131">
        <v>44535</v>
      </c>
      <c r="H26" s="212" t="s">
        <v>81</v>
      </c>
      <c r="I26" s="210">
        <v>0.33333333333333298</v>
      </c>
    </row>
    <row r="27" spans="1:9" x14ac:dyDescent="0.55000000000000004">
      <c r="A27" s="144">
        <v>28</v>
      </c>
      <c r="B27" s="144">
        <v>2</v>
      </c>
      <c r="C27" s="175">
        <v>139</v>
      </c>
      <c r="D27" s="171">
        <v>101.50255172729493</v>
      </c>
      <c r="E27" s="161">
        <v>18504317.850000001</v>
      </c>
      <c r="F27" s="146"/>
      <c r="G27" s="20">
        <v>44536</v>
      </c>
      <c r="H27" s="212" t="s">
        <v>81</v>
      </c>
      <c r="I27" s="210">
        <v>0.33333333333333298</v>
      </c>
    </row>
    <row r="28" spans="1:9" x14ac:dyDescent="0.55000000000000004">
      <c r="A28" s="144">
        <v>57</v>
      </c>
      <c r="B28">
        <v>1</v>
      </c>
      <c r="C28" s="175">
        <v>117</v>
      </c>
      <c r="D28" s="171">
        <v>35.846557178497321</v>
      </c>
      <c r="E28" s="161">
        <v>90790255.420000002</v>
      </c>
      <c r="F28" s="146"/>
      <c r="G28" s="20">
        <v>44536</v>
      </c>
      <c r="H28" s="212" t="s">
        <v>81</v>
      </c>
      <c r="I28" s="210">
        <v>0.33333333333333298</v>
      </c>
    </row>
    <row r="29" spans="1:9" x14ac:dyDescent="0.55000000000000004">
      <c r="A29" s="144">
        <v>81</v>
      </c>
      <c r="B29" s="144">
        <v>3</v>
      </c>
      <c r="C29" s="175">
        <v>114</v>
      </c>
      <c r="D29" s="171">
        <v>2.0902160799503329</v>
      </c>
      <c r="E29" s="161">
        <v>6469973.2800000003</v>
      </c>
      <c r="F29" s="146"/>
      <c r="G29" s="20">
        <v>44536</v>
      </c>
      <c r="H29" s="212" t="s">
        <v>81</v>
      </c>
      <c r="I29" s="210">
        <v>0.33333333333333298</v>
      </c>
    </row>
    <row r="30" spans="1:9" x14ac:dyDescent="0.55000000000000004">
      <c r="A30" s="144">
        <v>110</v>
      </c>
      <c r="B30">
        <v>4</v>
      </c>
      <c r="C30" s="175">
        <v>119</v>
      </c>
      <c r="D30" s="170">
        <v>77.044583778381352</v>
      </c>
      <c r="E30" s="146">
        <v>125918153.19000001</v>
      </c>
      <c r="F30" s="146"/>
      <c r="G30" s="20">
        <v>44536</v>
      </c>
      <c r="H30" s="212" t="s">
        <v>81</v>
      </c>
      <c r="I30" s="210">
        <v>0.33333333333333298</v>
      </c>
    </row>
    <row r="31" spans="1:9" x14ac:dyDescent="0.55000000000000004">
      <c r="A31" s="144">
        <v>139</v>
      </c>
      <c r="B31">
        <v>5</v>
      </c>
      <c r="C31" s="176">
        <v>55</v>
      </c>
      <c r="D31" s="133">
        <v>19</v>
      </c>
      <c r="E31" s="142">
        <v>36970548.782226563</v>
      </c>
      <c r="F31" s="142"/>
      <c r="G31" s="131">
        <v>44536</v>
      </c>
      <c r="H31" s="212" t="s">
        <v>81</v>
      </c>
      <c r="I31" s="210">
        <v>0.33333333333333298</v>
      </c>
    </row>
    <row r="32" spans="1:9" x14ac:dyDescent="0.55000000000000004">
      <c r="A32" s="144">
        <v>29</v>
      </c>
      <c r="B32" s="144">
        <v>2</v>
      </c>
      <c r="C32" s="175">
        <v>142</v>
      </c>
      <c r="D32" s="171">
        <v>685.90095581054686</v>
      </c>
      <c r="E32" s="161">
        <v>301740619.53000003</v>
      </c>
      <c r="F32" s="146"/>
      <c r="G32" s="23">
        <v>44537</v>
      </c>
      <c r="H32" s="212" t="s">
        <v>81</v>
      </c>
      <c r="I32" s="211">
        <v>0.66666666666666663</v>
      </c>
    </row>
    <row r="33" spans="1:9" x14ac:dyDescent="0.55000000000000004">
      <c r="A33" s="144">
        <v>82</v>
      </c>
      <c r="B33" s="144">
        <v>3</v>
      </c>
      <c r="C33" s="176">
        <v>123</v>
      </c>
      <c r="D33" s="159">
        <v>17.560952375531198</v>
      </c>
      <c r="E33" s="158">
        <v>48374346.900000006</v>
      </c>
      <c r="F33" s="134"/>
      <c r="G33" s="131">
        <v>44537</v>
      </c>
      <c r="H33" s="212" t="s">
        <v>81</v>
      </c>
      <c r="I33" s="211">
        <v>0.66666666666666663</v>
      </c>
    </row>
    <row r="34" spans="1:9" x14ac:dyDescent="0.55000000000000004">
      <c r="A34" s="144">
        <v>111</v>
      </c>
      <c r="B34">
        <v>4</v>
      </c>
      <c r="C34" s="176">
        <v>113</v>
      </c>
      <c r="D34" s="171">
        <v>43.636761498451236</v>
      </c>
      <c r="E34" s="163">
        <v>87435147.370000005</v>
      </c>
      <c r="F34" s="125"/>
      <c r="G34" s="1">
        <v>44537</v>
      </c>
      <c r="H34" s="212" t="s">
        <v>81</v>
      </c>
      <c r="I34" s="211">
        <v>0.66666666666666696</v>
      </c>
    </row>
    <row r="35" spans="1:9" x14ac:dyDescent="0.55000000000000004">
      <c r="A35" s="144">
        <v>140</v>
      </c>
      <c r="B35">
        <v>5</v>
      </c>
      <c r="C35" s="176">
        <v>62</v>
      </c>
      <c r="D35" s="149">
        <v>5.3859251404064707</v>
      </c>
      <c r="E35" s="160">
        <v>1448974.8735351563</v>
      </c>
      <c r="F35" s="142"/>
      <c r="G35" s="131">
        <v>44537</v>
      </c>
      <c r="H35" s="212" t="s">
        <v>81</v>
      </c>
      <c r="I35" s="211">
        <v>0.66666666666666696</v>
      </c>
    </row>
    <row r="36" spans="1:9" x14ac:dyDescent="0.55000000000000004">
      <c r="A36" s="144">
        <v>30</v>
      </c>
      <c r="B36" s="144">
        <v>2</v>
      </c>
      <c r="C36" s="176">
        <v>152</v>
      </c>
      <c r="D36" s="149">
        <v>411.88269102526829</v>
      </c>
      <c r="E36" s="160">
        <v>16157283.473632813</v>
      </c>
      <c r="F36" s="142"/>
      <c r="G36" s="131">
        <v>44538</v>
      </c>
      <c r="H36" s="212" t="s">
        <v>81</v>
      </c>
      <c r="I36" s="211">
        <v>0.66666666666666696</v>
      </c>
    </row>
    <row r="37" spans="1:9" x14ac:dyDescent="0.55000000000000004">
      <c r="A37" s="144">
        <v>83</v>
      </c>
      <c r="B37" s="144">
        <v>3</v>
      </c>
      <c r="C37" s="175">
        <v>103</v>
      </c>
      <c r="D37" s="169">
        <v>33.031688671112057</v>
      </c>
      <c r="E37" s="161">
        <v>90278720.520000011</v>
      </c>
      <c r="F37" s="146"/>
      <c r="G37" s="26">
        <v>44538</v>
      </c>
      <c r="H37" s="212" t="s">
        <v>81</v>
      </c>
      <c r="I37" s="211">
        <v>0.66666666666666696</v>
      </c>
    </row>
    <row r="38" spans="1:9" x14ac:dyDescent="0.55000000000000004">
      <c r="A38" s="144">
        <v>112</v>
      </c>
      <c r="B38">
        <v>4</v>
      </c>
      <c r="C38" s="175">
        <v>129</v>
      </c>
      <c r="D38" s="171">
        <v>10.228939218521118</v>
      </c>
      <c r="E38" s="161">
        <v>48952141.550000004</v>
      </c>
      <c r="F38" s="146"/>
      <c r="G38" s="26">
        <v>44538</v>
      </c>
      <c r="H38" s="212" t="s">
        <v>81</v>
      </c>
      <c r="I38" s="211">
        <v>0.66666666666666696</v>
      </c>
    </row>
    <row r="39" spans="1:9" x14ac:dyDescent="0.55000000000000004">
      <c r="A39" s="144">
        <v>141</v>
      </c>
      <c r="B39">
        <v>5</v>
      </c>
      <c r="C39" s="176">
        <v>59</v>
      </c>
      <c r="D39" s="149">
        <v>10.980230646164273</v>
      </c>
      <c r="E39" s="160">
        <v>34072599</v>
      </c>
      <c r="F39" s="142"/>
      <c r="G39" s="131">
        <v>44538</v>
      </c>
      <c r="H39" s="212" t="s">
        <v>81</v>
      </c>
      <c r="I39" s="211">
        <v>0.66666666666666696</v>
      </c>
    </row>
    <row r="40" spans="1:9" x14ac:dyDescent="0.55000000000000004">
      <c r="A40" s="144">
        <v>31</v>
      </c>
      <c r="B40" s="144">
        <v>2</v>
      </c>
      <c r="C40" s="176">
        <v>154</v>
      </c>
      <c r="D40" s="159">
        <v>518.94727666629478</v>
      </c>
      <c r="E40" s="160">
        <v>55180857.912109375</v>
      </c>
      <c r="F40" s="142"/>
      <c r="G40" s="131">
        <v>44539</v>
      </c>
      <c r="H40" s="212" t="s">
        <v>81</v>
      </c>
      <c r="I40" s="211">
        <v>0.66666666666666696</v>
      </c>
    </row>
    <row r="41" spans="1:9" x14ac:dyDescent="0.55000000000000004">
      <c r="A41" s="144">
        <v>58</v>
      </c>
      <c r="B41">
        <v>1</v>
      </c>
      <c r="C41" s="175">
        <v>126</v>
      </c>
      <c r="D41" s="169">
        <v>539.21121475219729</v>
      </c>
      <c r="E41" s="4">
        <v>2272019985.48</v>
      </c>
      <c r="F41" s="4"/>
      <c r="G41" s="29">
        <v>44539</v>
      </c>
      <c r="H41" s="212" t="s">
        <v>81</v>
      </c>
      <c r="I41" s="211">
        <v>0.66666666666666696</v>
      </c>
    </row>
    <row r="42" spans="1:9" x14ac:dyDescent="0.55000000000000004">
      <c r="A42" s="144">
        <v>84</v>
      </c>
      <c r="B42" s="144">
        <v>3</v>
      </c>
      <c r="C42" s="176">
        <v>95</v>
      </c>
      <c r="D42" s="159">
        <v>40.73932120323181</v>
      </c>
      <c r="E42" s="158">
        <v>49258994.545000002</v>
      </c>
      <c r="F42" s="134"/>
      <c r="G42" s="131">
        <v>44539</v>
      </c>
      <c r="H42" s="212" t="s">
        <v>81</v>
      </c>
      <c r="I42" s="211">
        <v>0.66666666666666696</v>
      </c>
    </row>
    <row r="43" spans="1:9" x14ac:dyDescent="0.55000000000000004">
      <c r="A43" s="144">
        <v>113</v>
      </c>
      <c r="B43">
        <v>4</v>
      </c>
      <c r="C43" s="176">
        <v>140</v>
      </c>
      <c r="D43" s="149">
        <v>94</v>
      </c>
      <c r="E43" s="160">
        <v>63516316.354492188</v>
      </c>
      <c r="F43" s="142"/>
      <c r="G43" s="131">
        <v>44539</v>
      </c>
      <c r="H43" s="212" t="s">
        <v>81</v>
      </c>
      <c r="I43" s="211">
        <v>0.66666666666666696</v>
      </c>
    </row>
    <row r="44" spans="1:9" s="132" customFormat="1" x14ac:dyDescent="0.55000000000000004">
      <c r="A44" s="144">
        <v>142</v>
      </c>
      <c r="B44">
        <v>5</v>
      </c>
      <c r="C44" s="176">
        <v>61</v>
      </c>
      <c r="D44" s="149">
        <v>2</v>
      </c>
      <c r="E44" s="142">
        <v>85034499</v>
      </c>
      <c r="F44" s="142"/>
      <c r="G44" s="131">
        <v>44539</v>
      </c>
      <c r="H44" s="212" t="s">
        <v>81</v>
      </c>
      <c r="I44" s="211">
        <v>0.66666666666666696</v>
      </c>
    </row>
    <row r="45" spans="1:9" x14ac:dyDescent="0.55000000000000004">
      <c r="A45" s="144">
        <v>32</v>
      </c>
      <c r="B45" s="144">
        <v>2</v>
      </c>
      <c r="C45" s="175">
        <v>129</v>
      </c>
      <c r="D45" s="171">
        <v>8.2056321954727185</v>
      </c>
      <c r="E45" s="161">
        <v>28148791.740000002</v>
      </c>
      <c r="F45" s="146"/>
      <c r="G45" s="32">
        <v>44540</v>
      </c>
      <c r="H45" s="212" t="s">
        <v>81</v>
      </c>
      <c r="I45" s="211">
        <v>0.79166666666666663</v>
      </c>
    </row>
    <row r="46" spans="1:9" s="132" customFormat="1" x14ac:dyDescent="0.55000000000000004">
      <c r="A46" s="144">
        <v>59</v>
      </c>
      <c r="B46">
        <v>1</v>
      </c>
      <c r="C46" s="175">
        <v>145</v>
      </c>
      <c r="D46" s="171">
        <v>248.25890451431272</v>
      </c>
      <c r="E46" s="146">
        <v>496856688.15000004</v>
      </c>
      <c r="F46" s="146"/>
      <c r="G46" s="32">
        <v>44540</v>
      </c>
      <c r="H46" s="212" t="s">
        <v>81</v>
      </c>
      <c r="I46" s="211">
        <v>0.79166666666666663</v>
      </c>
    </row>
    <row r="47" spans="1:9" x14ac:dyDescent="0.55000000000000004">
      <c r="A47" s="144">
        <v>85</v>
      </c>
      <c r="B47" s="144">
        <v>3</v>
      </c>
      <c r="C47" s="175">
        <v>101</v>
      </c>
      <c r="D47" s="171">
        <v>48.446953735351563</v>
      </c>
      <c r="E47" s="161">
        <v>8239268.5700000003</v>
      </c>
      <c r="F47" s="146"/>
      <c r="G47" s="32">
        <v>44540</v>
      </c>
      <c r="H47" s="212" t="s">
        <v>81</v>
      </c>
      <c r="I47" s="211">
        <v>0.79166666666666696</v>
      </c>
    </row>
    <row r="48" spans="1:9" x14ac:dyDescent="0.55000000000000004">
      <c r="A48" s="144">
        <v>114</v>
      </c>
      <c r="B48">
        <v>4</v>
      </c>
      <c r="C48" s="176">
        <v>115</v>
      </c>
      <c r="D48" s="149">
        <v>107</v>
      </c>
      <c r="E48" s="160">
        <v>357173800</v>
      </c>
      <c r="F48" s="142"/>
      <c r="G48" s="131">
        <v>44540</v>
      </c>
      <c r="H48" s="212" t="s">
        <v>81</v>
      </c>
      <c r="I48" s="211">
        <v>0.79166666666666696</v>
      </c>
    </row>
    <row r="49" spans="1:11" x14ac:dyDescent="0.55000000000000004">
      <c r="A49" s="144">
        <v>143</v>
      </c>
      <c r="B49">
        <v>5</v>
      </c>
      <c r="C49" s="176">
        <v>59</v>
      </c>
      <c r="D49" s="149">
        <v>2</v>
      </c>
      <c r="E49" s="160">
        <v>83585524.108886719</v>
      </c>
      <c r="F49" s="142"/>
      <c r="G49" s="131">
        <v>44540</v>
      </c>
      <c r="H49" s="212" t="s">
        <v>81</v>
      </c>
      <c r="I49" s="211">
        <v>0.79166666666666696</v>
      </c>
    </row>
    <row r="50" spans="1:11" x14ac:dyDescent="0.55000000000000004">
      <c r="A50" s="144">
        <v>33</v>
      </c>
      <c r="B50" s="144">
        <v>2</v>
      </c>
      <c r="C50" s="175">
        <v>110</v>
      </c>
      <c r="D50" s="170">
        <v>236.83927937030791</v>
      </c>
      <c r="E50" s="146">
        <v>814496020.38</v>
      </c>
      <c r="F50" s="146"/>
      <c r="G50" s="35">
        <v>44541</v>
      </c>
      <c r="H50" s="212" t="s">
        <v>81</v>
      </c>
      <c r="I50" s="211">
        <v>0.79166666666666696</v>
      </c>
    </row>
    <row r="51" spans="1:11" x14ac:dyDescent="0.55000000000000004">
      <c r="A51" s="144">
        <v>60</v>
      </c>
      <c r="B51">
        <v>1</v>
      </c>
      <c r="C51" s="175">
        <v>126</v>
      </c>
      <c r="D51" s="171">
        <v>76.67032840132714</v>
      </c>
      <c r="E51" s="161">
        <v>154873489.53</v>
      </c>
      <c r="F51" s="146"/>
      <c r="G51" s="35">
        <v>44541</v>
      </c>
      <c r="H51" s="212" t="s">
        <v>81</v>
      </c>
      <c r="I51" s="211">
        <v>0.79166666666666696</v>
      </c>
    </row>
    <row r="52" spans="1:11" x14ac:dyDescent="0.55000000000000004">
      <c r="A52" s="144">
        <v>86</v>
      </c>
      <c r="B52" s="144">
        <v>3</v>
      </c>
      <c r="C52" s="176">
        <v>117</v>
      </c>
      <c r="D52" s="133">
        <v>63.141379654582124</v>
      </c>
      <c r="E52" s="160">
        <v>41851232.230499268</v>
      </c>
      <c r="F52" s="142"/>
      <c r="G52" s="131">
        <v>44541</v>
      </c>
      <c r="H52" s="212" t="s">
        <v>81</v>
      </c>
      <c r="I52" s="211">
        <v>0.79166666666666696</v>
      </c>
      <c r="K52" s="3"/>
    </row>
    <row r="53" spans="1:11" x14ac:dyDescent="0.55000000000000004">
      <c r="A53" s="144">
        <v>115</v>
      </c>
      <c r="B53">
        <v>4</v>
      </c>
      <c r="C53" s="175">
        <v>97</v>
      </c>
      <c r="D53" s="170">
        <v>180.23321695327763</v>
      </c>
      <c r="E53" s="161">
        <v>28413310.720000003</v>
      </c>
      <c r="F53" s="146"/>
      <c r="G53" s="35">
        <v>44541</v>
      </c>
      <c r="H53" s="212" t="s">
        <v>81</v>
      </c>
      <c r="I53" s="211">
        <v>0.79166666666666696</v>
      </c>
      <c r="K53" s="3"/>
    </row>
    <row r="54" spans="1:11" x14ac:dyDescent="0.55000000000000004">
      <c r="A54" s="144">
        <v>144</v>
      </c>
      <c r="B54">
        <v>5</v>
      </c>
      <c r="C54" s="176">
        <v>55</v>
      </c>
      <c r="D54" s="133">
        <v>4</v>
      </c>
      <c r="E54" s="160">
        <v>125378286.17211914</v>
      </c>
      <c r="F54" s="142"/>
      <c r="G54" s="131">
        <v>44541</v>
      </c>
      <c r="H54" s="212" t="s">
        <v>81</v>
      </c>
      <c r="I54" s="211">
        <v>0.79166666666666696</v>
      </c>
      <c r="K54" s="3"/>
    </row>
    <row r="55" spans="1:11" x14ac:dyDescent="0.55000000000000004">
      <c r="A55" s="144">
        <v>34</v>
      </c>
      <c r="B55" s="144">
        <v>2</v>
      </c>
      <c r="C55" s="176">
        <v>139</v>
      </c>
      <c r="D55" s="149">
        <v>364.6459216075018</v>
      </c>
      <c r="E55" s="160">
        <v>239875351.55645752</v>
      </c>
      <c r="F55" s="142"/>
      <c r="G55" s="131">
        <v>44542</v>
      </c>
      <c r="H55" s="212" t="s">
        <v>81</v>
      </c>
      <c r="I55" s="211">
        <v>0.79166666666666696</v>
      </c>
    </row>
    <row r="56" spans="1:11" s="132" customFormat="1" x14ac:dyDescent="0.55000000000000004">
      <c r="A56" s="144">
        <v>87</v>
      </c>
      <c r="B56" s="144">
        <v>3</v>
      </c>
      <c r="C56" s="176">
        <v>77</v>
      </c>
      <c r="D56" s="149">
        <v>72.556895014655311</v>
      </c>
      <c r="E56" s="142">
        <v>19074808.166442871</v>
      </c>
      <c r="F56" s="142"/>
      <c r="G56" s="131">
        <v>44542</v>
      </c>
      <c r="H56" s="212" t="s">
        <v>81</v>
      </c>
      <c r="I56" s="211">
        <v>0.79166666666666696</v>
      </c>
    </row>
    <row r="57" spans="1:11" x14ac:dyDescent="0.55000000000000004">
      <c r="A57" s="144">
        <v>116</v>
      </c>
      <c r="B57">
        <v>4</v>
      </c>
      <c r="C57" s="177">
        <v>111</v>
      </c>
      <c r="D57" s="159">
        <v>190.66370976448061</v>
      </c>
      <c r="E57" s="158">
        <v>35026690.215000004</v>
      </c>
      <c r="F57" s="134"/>
      <c r="G57" s="131">
        <v>44542</v>
      </c>
      <c r="H57" s="212" t="s">
        <v>81</v>
      </c>
      <c r="I57" s="211">
        <v>0.79166666666666696</v>
      </c>
    </row>
    <row r="58" spans="1:11" s="132" customFormat="1" x14ac:dyDescent="0.55000000000000004">
      <c r="A58" s="144">
        <v>145</v>
      </c>
      <c r="B58">
        <v>5</v>
      </c>
      <c r="C58" s="176">
        <v>65</v>
      </c>
      <c r="D58" s="149">
        <v>10</v>
      </c>
      <c r="E58" s="142">
        <v>150134748.7265625</v>
      </c>
      <c r="F58" s="142"/>
      <c r="G58" s="131">
        <v>44542</v>
      </c>
      <c r="H58" s="212" t="s">
        <v>81</v>
      </c>
      <c r="I58" s="211">
        <v>0.79166666666666696</v>
      </c>
    </row>
    <row r="59" spans="1:11" x14ac:dyDescent="0.55000000000000004">
      <c r="A59" s="144">
        <v>35</v>
      </c>
      <c r="B59" s="144">
        <v>2</v>
      </c>
      <c r="C59" s="176">
        <v>135</v>
      </c>
      <c r="D59" s="149">
        <v>394.26484509604052</v>
      </c>
      <c r="E59" s="160">
        <v>323163301.00244141</v>
      </c>
      <c r="F59" s="142"/>
      <c r="G59" s="131">
        <v>44543</v>
      </c>
      <c r="H59" s="212" t="s">
        <v>81</v>
      </c>
      <c r="I59" s="211">
        <v>0.83333333333333337</v>
      </c>
    </row>
    <row r="60" spans="1:11" x14ac:dyDescent="0.55000000000000004">
      <c r="A60" s="144">
        <v>61</v>
      </c>
      <c r="B60">
        <v>1</v>
      </c>
      <c r="C60" s="176">
        <v>123</v>
      </c>
      <c r="D60" s="133">
        <v>224.16974358411971</v>
      </c>
      <c r="E60" s="142">
        <v>837161015.58642578</v>
      </c>
      <c r="F60" s="142"/>
      <c r="G60" s="131">
        <v>44543</v>
      </c>
      <c r="H60" s="212" t="s">
        <v>81</v>
      </c>
      <c r="I60" s="211">
        <v>0.83333333333333337</v>
      </c>
    </row>
    <row r="61" spans="1:11" x14ac:dyDescent="0.55000000000000004">
      <c r="A61" s="144">
        <v>88</v>
      </c>
      <c r="B61" s="144">
        <v>3</v>
      </c>
      <c r="C61" s="175">
        <v>81</v>
      </c>
      <c r="D61" s="170">
        <v>3.0138697457313532</v>
      </c>
      <c r="E61" s="146">
        <v>753667.34000000008</v>
      </c>
      <c r="F61" s="146"/>
      <c r="G61" s="38">
        <v>44543</v>
      </c>
      <c r="H61" s="212" t="s">
        <v>81</v>
      </c>
      <c r="I61" s="211">
        <v>0.83333333333333304</v>
      </c>
    </row>
    <row r="62" spans="1:11" x14ac:dyDescent="0.55000000000000004">
      <c r="A62" s="144">
        <v>117</v>
      </c>
      <c r="B62">
        <v>4</v>
      </c>
      <c r="C62" s="175">
        <v>132</v>
      </c>
      <c r="D62" s="171">
        <v>201.09420257568357</v>
      </c>
      <c r="E62" s="161">
        <v>41640069.710000001</v>
      </c>
      <c r="F62" s="146"/>
      <c r="G62" s="38">
        <v>44543</v>
      </c>
      <c r="H62" s="212" t="s">
        <v>81</v>
      </c>
      <c r="I62" s="211">
        <v>0.83333333333333304</v>
      </c>
    </row>
    <row r="63" spans="1:11" x14ac:dyDescent="0.55000000000000004">
      <c r="A63" s="144">
        <v>146</v>
      </c>
      <c r="B63">
        <v>5</v>
      </c>
      <c r="C63" s="176">
        <v>71</v>
      </c>
      <c r="D63" s="133">
        <v>13</v>
      </c>
      <c r="E63" s="142">
        <v>170306642.31262207</v>
      </c>
      <c r="F63" s="142"/>
      <c r="G63" s="131">
        <v>44543</v>
      </c>
      <c r="H63" s="212" t="s">
        <v>81</v>
      </c>
      <c r="I63" s="211">
        <v>0.83333333333333304</v>
      </c>
    </row>
    <row r="64" spans="1:11" x14ac:dyDescent="0.55000000000000004">
      <c r="A64" s="144">
        <v>36</v>
      </c>
      <c r="B64" s="144">
        <v>2</v>
      </c>
      <c r="C64" s="175">
        <v>109</v>
      </c>
      <c r="D64" s="170">
        <v>108.6566746520996</v>
      </c>
      <c r="E64" s="4">
        <v>24775167.34</v>
      </c>
      <c r="F64" s="4"/>
      <c r="G64" s="41">
        <v>44544</v>
      </c>
      <c r="H64" s="212" t="s">
        <v>81</v>
      </c>
      <c r="I64" s="211">
        <v>0.83333333333333304</v>
      </c>
    </row>
    <row r="65" spans="1:9" x14ac:dyDescent="0.55000000000000004">
      <c r="A65" s="144">
        <v>89</v>
      </c>
      <c r="B65" s="144">
        <v>3</v>
      </c>
      <c r="C65" s="176">
        <v>81</v>
      </c>
      <c r="D65" s="3">
        <v>55.402052113873651</v>
      </c>
      <c r="E65" s="161">
        <v>13065446.474822998</v>
      </c>
      <c r="F65" s="146"/>
      <c r="G65" s="1">
        <v>44544</v>
      </c>
      <c r="H65" s="212" t="s">
        <v>81</v>
      </c>
      <c r="I65" s="211">
        <v>0.83333333333333304</v>
      </c>
    </row>
    <row r="66" spans="1:9" x14ac:dyDescent="0.55000000000000004">
      <c r="A66" s="144">
        <v>118</v>
      </c>
      <c r="B66">
        <v>4</v>
      </c>
      <c r="C66" s="176">
        <v>128</v>
      </c>
      <c r="D66" s="149">
        <v>30.471607838291675</v>
      </c>
      <c r="E66" s="142">
        <v>158828056</v>
      </c>
      <c r="F66" s="142"/>
      <c r="G66" s="131">
        <v>44544</v>
      </c>
      <c r="H66" s="212" t="s">
        <v>81</v>
      </c>
      <c r="I66" s="211">
        <v>0.83333333333333304</v>
      </c>
    </row>
    <row r="67" spans="1:9" x14ac:dyDescent="0.55000000000000004">
      <c r="A67" s="144">
        <v>147</v>
      </c>
      <c r="B67">
        <v>5</v>
      </c>
      <c r="C67" s="176">
        <v>68</v>
      </c>
      <c r="D67" s="149">
        <v>17</v>
      </c>
      <c r="E67" s="160">
        <v>203581254.62133789</v>
      </c>
      <c r="F67" s="142"/>
      <c r="G67" s="131">
        <v>44544</v>
      </c>
      <c r="H67" s="212" t="s">
        <v>81</v>
      </c>
      <c r="I67" s="211">
        <v>0.83333333333333304</v>
      </c>
    </row>
    <row r="68" spans="1:9" x14ac:dyDescent="0.55000000000000004">
      <c r="A68" s="144">
        <v>37</v>
      </c>
      <c r="B68" s="144">
        <v>2</v>
      </c>
      <c r="C68" s="175">
        <v>152</v>
      </c>
      <c r="D68" s="171">
        <v>108.6566746520996</v>
      </c>
      <c r="E68" s="161">
        <v>46024985.350000001</v>
      </c>
      <c r="F68" s="146"/>
      <c r="G68" s="44">
        <v>44545</v>
      </c>
      <c r="H68" s="212" t="s">
        <v>81</v>
      </c>
      <c r="I68" s="211">
        <v>0.83333333333333304</v>
      </c>
    </row>
    <row r="69" spans="1:9" x14ac:dyDescent="0.55000000000000004">
      <c r="A69" s="144">
        <v>62</v>
      </c>
      <c r="B69">
        <v>1</v>
      </c>
      <c r="C69" s="175">
        <v>90</v>
      </c>
      <c r="D69" s="171">
        <v>13.520496187210082</v>
      </c>
      <c r="E69" s="161">
        <v>5306437.09</v>
      </c>
      <c r="F69" s="146"/>
      <c r="G69" s="44">
        <v>44545</v>
      </c>
      <c r="H69" s="212" t="s">
        <v>81</v>
      </c>
      <c r="I69" s="211">
        <v>0.83333333333333304</v>
      </c>
    </row>
    <row r="70" spans="1:9" x14ac:dyDescent="0.55000000000000004">
      <c r="A70" s="144">
        <v>90</v>
      </c>
      <c r="B70" s="144">
        <v>3</v>
      </c>
      <c r="C70" s="176">
        <v>72</v>
      </c>
      <c r="D70" s="3">
        <v>53.787304290774046</v>
      </c>
      <c r="E70" s="161">
        <v>6409091</v>
      </c>
      <c r="F70" s="146"/>
      <c r="G70" s="1">
        <v>44545</v>
      </c>
      <c r="H70" s="212" t="s">
        <v>81</v>
      </c>
      <c r="I70" s="211">
        <v>0.83333333333333304</v>
      </c>
    </row>
    <row r="71" spans="1:9" x14ac:dyDescent="0.55000000000000004">
      <c r="A71" s="144">
        <v>119</v>
      </c>
      <c r="B71">
        <v>4</v>
      </c>
      <c r="C71" s="176">
        <v>108</v>
      </c>
      <c r="D71" s="149">
        <v>15.555403747246601</v>
      </c>
      <c r="E71" s="160">
        <v>287139617</v>
      </c>
      <c r="F71" s="142"/>
      <c r="G71" s="131">
        <v>44545</v>
      </c>
      <c r="H71" s="212" t="s">
        <v>81</v>
      </c>
      <c r="I71" s="211">
        <v>0.83333333333333304</v>
      </c>
    </row>
    <row r="72" spans="1:9" x14ac:dyDescent="0.55000000000000004">
      <c r="A72" s="144">
        <v>148</v>
      </c>
      <c r="B72">
        <v>5</v>
      </c>
      <c r="C72" s="176">
        <v>68</v>
      </c>
      <c r="D72" s="149">
        <v>22</v>
      </c>
      <c r="E72" s="160">
        <v>226045432.69165039</v>
      </c>
      <c r="F72" s="142"/>
      <c r="G72" s="131">
        <v>44545</v>
      </c>
      <c r="H72" s="212" t="s">
        <v>81</v>
      </c>
      <c r="I72" s="211">
        <v>0.83333333333333304</v>
      </c>
    </row>
    <row r="73" spans="1:9" x14ac:dyDescent="0.55000000000000004">
      <c r="A73" s="144">
        <v>38</v>
      </c>
      <c r="B73" s="144">
        <v>2</v>
      </c>
      <c r="C73" s="175">
        <v>152</v>
      </c>
      <c r="D73" s="171">
        <v>192.42457200527195</v>
      </c>
      <c r="E73" s="161">
        <v>1027267347.9400001</v>
      </c>
      <c r="F73" s="146"/>
      <c r="G73" s="47">
        <v>44546</v>
      </c>
      <c r="H73" s="212" t="s">
        <v>81</v>
      </c>
      <c r="I73" s="210">
        <v>0.16666666666666666</v>
      </c>
    </row>
    <row r="74" spans="1:9" s="132" customFormat="1" x14ac:dyDescent="0.55000000000000004">
      <c r="A74" s="144">
        <v>63</v>
      </c>
      <c r="B74">
        <v>1</v>
      </c>
      <c r="C74" s="175">
        <v>89</v>
      </c>
      <c r="D74" s="170">
        <v>20.457878437042236</v>
      </c>
      <c r="E74" s="146">
        <v>65303064.07</v>
      </c>
      <c r="F74" s="146"/>
      <c r="G74" s="47">
        <v>44546</v>
      </c>
      <c r="H74" s="212" t="s">
        <v>81</v>
      </c>
      <c r="I74" s="210">
        <v>0.16666666666666666</v>
      </c>
    </row>
    <row r="75" spans="1:9" s="132" customFormat="1" x14ac:dyDescent="0.55000000000000004">
      <c r="A75" s="144">
        <v>91</v>
      </c>
      <c r="B75" s="144">
        <v>3</v>
      </c>
      <c r="C75" s="175">
        <v>64</v>
      </c>
      <c r="D75" s="170">
        <v>13.28764391899109</v>
      </c>
      <c r="E75" s="146">
        <v>63706964.330000006</v>
      </c>
      <c r="F75" s="146"/>
      <c r="G75" s="47">
        <v>44546</v>
      </c>
      <c r="H75" s="212" t="s">
        <v>81</v>
      </c>
      <c r="I75" s="210">
        <v>0.16666666666666699</v>
      </c>
    </row>
    <row r="76" spans="1:9" x14ac:dyDescent="0.55000000000000004">
      <c r="A76" s="144">
        <v>120</v>
      </c>
      <c r="B76">
        <v>4</v>
      </c>
      <c r="C76" s="175">
        <v>109</v>
      </c>
      <c r="D76" s="171">
        <v>124.69573817729948</v>
      </c>
      <c r="E76" s="161">
        <v>421374772.93000001</v>
      </c>
      <c r="F76" s="146"/>
      <c r="G76" s="47">
        <v>44546</v>
      </c>
      <c r="H76" s="212" t="s">
        <v>81</v>
      </c>
      <c r="I76" s="210">
        <v>0.16666666666666699</v>
      </c>
    </row>
    <row r="77" spans="1:9" x14ac:dyDescent="0.55000000000000004">
      <c r="A77" s="144">
        <v>149</v>
      </c>
      <c r="B77">
        <v>5</v>
      </c>
      <c r="C77" s="175">
        <v>65</v>
      </c>
      <c r="D77" s="159">
        <v>17.016497631072994</v>
      </c>
      <c r="E77" s="160">
        <v>61536783.910000004</v>
      </c>
      <c r="F77" s="142"/>
      <c r="G77" s="150">
        <v>44546</v>
      </c>
      <c r="H77" s="212" t="s">
        <v>81</v>
      </c>
      <c r="I77" s="210">
        <v>0.16666666666666699</v>
      </c>
    </row>
    <row r="78" spans="1:9" x14ac:dyDescent="0.55000000000000004">
      <c r="A78" s="144">
        <v>39</v>
      </c>
      <c r="B78" s="144">
        <v>2</v>
      </c>
      <c r="C78" s="176">
        <v>147</v>
      </c>
      <c r="D78" s="174">
        <v>152.13423123121265</v>
      </c>
      <c r="E78" s="158">
        <v>522264928.48000002</v>
      </c>
      <c r="F78" s="134"/>
      <c r="G78" s="131">
        <v>44547</v>
      </c>
      <c r="H78" s="212" t="s">
        <v>81</v>
      </c>
      <c r="I78" s="210">
        <v>0.16666666666666699</v>
      </c>
    </row>
    <row r="79" spans="1:9" s="132" customFormat="1" x14ac:dyDescent="0.55000000000000004">
      <c r="A79" s="144">
        <v>92</v>
      </c>
      <c r="B79" s="144">
        <v>3</v>
      </c>
      <c r="C79" s="176">
        <v>80</v>
      </c>
      <c r="D79" s="143">
        <v>12.311260857582093</v>
      </c>
      <c r="E79" s="134">
        <v>33089495.875000004</v>
      </c>
      <c r="F79" s="134"/>
      <c r="G79" s="131">
        <v>44547</v>
      </c>
      <c r="H79" s="212" t="s">
        <v>81</v>
      </c>
      <c r="I79" s="210">
        <v>0.16666666666666699</v>
      </c>
    </row>
    <row r="80" spans="1:9" s="132" customFormat="1" x14ac:dyDescent="0.55000000000000004">
      <c r="A80" s="144">
        <v>121</v>
      </c>
      <c r="B80">
        <v>4</v>
      </c>
      <c r="C80" s="175">
        <v>101</v>
      </c>
      <c r="D80" s="170">
        <v>268.97417149543764</v>
      </c>
      <c r="E80" s="146">
        <v>2526212444.7000003</v>
      </c>
      <c r="F80" s="146"/>
      <c r="G80" s="50">
        <v>44547</v>
      </c>
      <c r="H80" s="212" t="s">
        <v>81</v>
      </c>
      <c r="I80" s="210">
        <v>0.16666666666666699</v>
      </c>
    </row>
    <row r="81" spans="1:9" x14ac:dyDescent="0.55000000000000004">
      <c r="A81" s="144">
        <v>150</v>
      </c>
      <c r="B81">
        <v>5</v>
      </c>
      <c r="C81" s="176">
        <v>61</v>
      </c>
      <c r="D81" s="149">
        <v>12</v>
      </c>
      <c r="E81" s="160">
        <v>99471770.474487305</v>
      </c>
      <c r="F81" s="142"/>
      <c r="G81" s="131">
        <v>44547</v>
      </c>
      <c r="H81" s="212" t="s">
        <v>81</v>
      </c>
      <c r="I81" s="210">
        <v>0.16666666666666699</v>
      </c>
    </row>
    <row r="82" spans="1:9" x14ac:dyDescent="0.55000000000000004">
      <c r="A82" s="144">
        <v>151</v>
      </c>
      <c r="B82">
        <v>5</v>
      </c>
      <c r="C82" s="176">
        <v>65</v>
      </c>
      <c r="D82" s="149">
        <v>7</v>
      </c>
      <c r="E82" s="160">
        <v>71518698.734863281</v>
      </c>
      <c r="F82" s="142"/>
      <c r="G82" s="131">
        <v>44548</v>
      </c>
      <c r="H82" s="212" t="s">
        <v>81</v>
      </c>
      <c r="I82" s="210">
        <v>0.16666666666666699</v>
      </c>
    </row>
    <row r="83" spans="1:9" x14ac:dyDescent="0.55000000000000004">
      <c r="A83" s="144">
        <v>40</v>
      </c>
      <c r="B83" s="144">
        <v>2</v>
      </c>
      <c r="C83" s="178">
        <v>153.64912280702265</v>
      </c>
      <c r="D83" s="174">
        <v>35.562798643112181</v>
      </c>
      <c r="E83" s="158">
        <v>129018991.25500001</v>
      </c>
      <c r="F83" s="134"/>
      <c r="G83" s="131">
        <v>44550</v>
      </c>
      <c r="H83" s="212" t="s">
        <v>81</v>
      </c>
      <c r="I83" s="211">
        <v>0.95833333333333337</v>
      </c>
    </row>
    <row r="84" spans="1:9" x14ac:dyDescent="0.55000000000000004">
      <c r="A84" s="144">
        <v>64</v>
      </c>
      <c r="B84">
        <v>1</v>
      </c>
      <c r="C84" s="173">
        <v>90.36842105264077</v>
      </c>
      <c r="D84" s="169">
        <v>9.8917212963104255</v>
      </c>
      <c r="E84" s="161">
        <v>42227077.060000002</v>
      </c>
      <c r="F84" s="146"/>
      <c r="G84" s="59">
        <v>44550</v>
      </c>
      <c r="H84" s="212" t="s">
        <v>81</v>
      </c>
      <c r="I84" s="211">
        <v>0.95833333333333337</v>
      </c>
    </row>
    <row r="85" spans="1:9" x14ac:dyDescent="0.55000000000000004">
      <c r="A85" s="144">
        <v>93</v>
      </c>
      <c r="B85" s="144">
        <v>3</v>
      </c>
      <c r="C85" s="173">
        <v>87.315789473684163</v>
      </c>
      <c r="D85" s="169">
        <v>250.55280395507813</v>
      </c>
      <c r="E85" s="161">
        <v>51808775.120000005</v>
      </c>
      <c r="F85" s="146"/>
      <c r="G85" s="59">
        <v>44550</v>
      </c>
      <c r="H85" s="212" t="s">
        <v>81</v>
      </c>
      <c r="I85" s="211">
        <v>0.95833333333333304</v>
      </c>
    </row>
    <row r="86" spans="1:9" x14ac:dyDescent="0.55000000000000004">
      <c r="A86" s="144">
        <v>122</v>
      </c>
      <c r="B86">
        <v>4</v>
      </c>
      <c r="C86" s="173">
        <v>116.9122807017593</v>
      </c>
      <c r="D86" s="171">
        <v>144.35050384521483</v>
      </c>
      <c r="E86" s="161">
        <v>43254999.310000002</v>
      </c>
      <c r="F86" s="146"/>
      <c r="G86" s="59">
        <v>44550</v>
      </c>
      <c r="H86" s="212" t="s">
        <v>81</v>
      </c>
      <c r="I86" s="211">
        <v>0.95833333333333304</v>
      </c>
    </row>
    <row r="87" spans="1:9" x14ac:dyDescent="0.55000000000000004">
      <c r="A87" s="144">
        <v>152</v>
      </c>
      <c r="B87">
        <v>5</v>
      </c>
      <c r="C87" s="178">
        <v>67.385964912282361</v>
      </c>
      <c r="D87" s="149">
        <v>10.042956139322996</v>
      </c>
      <c r="E87" s="142">
        <v>127887330.14793396</v>
      </c>
      <c r="F87" s="142"/>
      <c r="G87" s="131">
        <v>44550</v>
      </c>
      <c r="H87" s="212" t="s">
        <v>81</v>
      </c>
      <c r="I87" s="211">
        <v>0.95833333333333304</v>
      </c>
    </row>
    <row r="88" spans="1:9" x14ac:dyDescent="0.55000000000000004">
      <c r="A88" s="144">
        <v>41</v>
      </c>
      <c r="B88" s="144">
        <v>2</v>
      </c>
      <c r="C88" s="178">
        <v>154.03139427515271</v>
      </c>
      <c r="D88" s="171">
        <v>31.783525409698488</v>
      </c>
      <c r="E88" s="161">
        <v>174400705.98000002</v>
      </c>
      <c r="F88" s="146"/>
      <c r="G88" s="62">
        <v>44551</v>
      </c>
      <c r="H88" s="212" t="s">
        <v>81</v>
      </c>
      <c r="I88" s="211">
        <v>0.95833333333333304</v>
      </c>
    </row>
    <row r="89" spans="1:9" x14ac:dyDescent="0.55000000000000004">
      <c r="A89" s="144">
        <v>65</v>
      </c>
      <c r="B89">
        <v>1</v>
      </c>
      <c r="C89" s="173">
        <v>89.603878116351552</v>
      </c>
      <c r="D89" s="170">
        <v>180.71417490005493</v>
      </c>
      <c r="E89" s="146">
        <v>121762315.99000001</v>
      </c>
      <c r="F89" s="146"/>
      <c r="G89" s="62">
        <v>44551</v>
      </c>
      <c r="H89" s="212" t="s">
        <v>81</v>
      </c>
      <c r="I89" s="211">
        <v>0.95833333333333304</v>
      </c>
    </row>
    <row r="90" spans="1:9" x14ac:dyDescent="0.55000000000000004">
      <c r="A90" s="144">
        <v>94</v>
      </c>
      <c r="B90" s="144">
        <v>3</v>
      </c>
      <c r="C90" s="173">
        <v>86.522622345336913</v>
      </c>
      <c r="D90" s="170">
        <v>75.536781921386719</v>
      </c>
      <c r="E90" s="146">
        <v>1054488820.97</v>
      </c>
      <c r="F90" s="146"/>
      <c r="G90" s="62">
        <v>44551</v>
      </c>
      <c r="H90" s="212" t="s">
        <v>81</v>
      </c>
      <c r="I90" s="211">
        <v>0.95833333333333304</v>
      </c>
    </row>
    <row r="91" spans="1:9" x14ac:dyDescent="0.55000000000000004">
      <c r="A91" s="144">
        <v>123</v>
      </c>
      <c r="B91">
        <v>4</v>
      </c>
      <c r="C91" s="173">
        <v>115.94644506002078</v>
      </c>
      <c r="D91" s="157">
        <v>37.433015928021632</v>
      </c>
      <c r="E91" s="162">
        <v>409553585.95596313</v>
      </c>
      <c r="F91" s="148"/>
      <c r="G91" s="131">
        <v>44551</v>
      </c>
      <c r="H91" s="212" t="s">
        <v>81</v>
      </c>
      <c r="I91" s="211">
        <v>0.95833333333333304</v>
      </c>
    </row>
    <row r="92" spans="1:9" s="132" customFormat="1" x14ac:dyDescent="0.55000000000000004">
      <c r="A92" s="144">
        <v>153</v>
      </c>
      <c r="B92">
        <v>5</v>
      </c>
      <c r="C92" s="178">
        <v>67.642659279779764</v>
      </c>
      <c r="D92" s="149">
        <v>9.0668171182951482</v>
      </c>
      <c r="E92" s="142">
        <v>131012789.27122498</v>
      </c>
      <c r="F92" s="142"/>
      <c r="G92" s="131">
        <v>44551</v>
      </c>
      <c r="H92" s="212" t="s">
        <v>81</v>
      </c>
      <c r="I92" s="211">
        <v>0.95833333333333304</v>
      </c>
    </row>
    <row r="93" spans="1:9" x14ac:dyDescent="0.55000000000000004">
      <c r="A93" s="144">
        <v>42</v>
      </c>
      <c r="B93" s="144">
        <v>2</v>
      </c>
      <c r="C93" s="178">
        <v>156.78100144171913</v>
      </c>
      <c r="D93" s="171">
        <v>111.84389045715332</v>
      </c>
      <c r="E93" s="161">
        <v>313870446.62</v>
      </c>
      <c r="F93" s="146"/>
      <c r="G93" s="65">
        <v>44552</v>
      </c>
      <c r="H93" s="212" t="s">
        <v>81</v>
      </c>
      <c r="I93" s="211">
        <v>0.95833333333333304</v>
      </c>
    </row>
    <row r="94" spans="1:9" x14ac:dyDescent="0.55000000000000004">
      <c r="A94" s="144">
        <v>66</v>
      </c>
      <c r="B94">
        <v>1</v>
      </c>
      <c r="C94" s="173">
        <v>85.180687175001367</v>
      </c>
      <c r="D94" s="170">
        <v>305.79295653820037</v>
      </c>
      <c r="E94" s="146">
        <v>197112929.37</v>
      </c>
      <c r="F94" s="146"/>
      <c r="G94" s="65">
        <v>44552</v>
      </c>
      <c r="H94" s="212" t="s">
        <v>81</v>
      </c>
      <c r="I94" s="211">
        <v>0.95833333333333304</v>
      </c>
    </row>
    <row r="95" spans="1:9" x14ac:dyDescent="0.55000000000000004">
      <c r="A95" s="144">
        <v>95</v>
      </c>
      <c r="B95" s="144">
        <v>3</v>
      </c>
      <c r="C95" s="173">
        <v>83.890265830781573</v>
      </c>
      <c r="D95" s="170">
        <v>2.0324618244171138</v>
      </c>
      <c r="E95" s="146">
        <v>443714.02</v>
      </c>
      <c r="F95" s="146"/>
      <c r="G95" s="65">
        <v>44552</v>
      </c>
      <c r="H95" s="212" t="s">
        <v>81</v>
      </c>
      <c r="I95" s="211">
        <v>0.95833333333333304</v>
      </c>
    </row>
    <row r="96" spans="1:9" x14ac:dyDescent="0.55000000000000004">
      <c r="A96" s="144">
        <v>124</v>
      </c>
      <c r="B96">
        <v>4</v>
      </c>
      <c r="C96" s="173">
        <v>114.46302506034408</v>
      </c>
      <c r="D96" s="149">
        <v>38.312571053393185</v>
      </c>
      <c r="E96" s="160">
        <v>354155576.64886475</v>
      </c>
      <c r="F96" s="142"/>
      <c r="G96" s="131">
        <v>44552</v>
      </c>
      <c r="H96" s="212" t="s">
        <v>81</v>
      </c>
      <c r="I96" s="211">
        <v>0.95833333333333304</v>
      </c>
    </row>
    <row r="97" spans="1:9" x14ac:dyDescent="0.55000000000000004">
      <c r="A97" s="144">
        <v>154</v>
      </c>
      <c r="B97">
        <v>5</v>
      </c>
      <c r="C97" s="178">
        <v>68.192237287588796</v>
      </c>
      <c r="D97" s="171">
        <v>11.560028867721565</v>
      </c>
      <c r="E97" s="161">
        <v>2723129.67</v>
      </c>
      <c r="F97" s="146"/>
      <c r="G97" s="65">
        <v>44552</v>
      </c>
      <c r="H97" s="212" t="s">
        <v>81</v>
      </c>
      <c r="I97" s="211">
        <v>0.95833333333333304</v>
      </c>
    </row>
    <row r="98" spans="1:9" x14ac:dyDescent="0.55000000000000004">
      <c r="C98" s="137"/>
      <c r="D98" s="4"/>
      <c r="E98" s="4"/>
      <c r="F98" s="4"/>
    </row>
    <row r="99" spans="1:9" x14ac:dyDescent="0.55000000000000004">
      <c r="C99" s="137"/>
      <c r="D99" s="4"/>
      <c r="E99" s="4"/>
      <c r="F99" s="4"/>
    </row>
    <row r="100" spans="1:9" x14ac:dyDescent="0.55000000000000004">
      <c r="C100" s="137"/>
      <c r="D100" s="4"/>
      <c r="E100" s="4"/>
      <c r="F100" s="4"/>
    </row>
    <row r="101" spans="1:9" x14ac:dyDescent="0.55000000000000004">
      <c r="C101" s="137"/>
      <c r="D101" s="4"/>
      <c r="E101" s="4"/>
      <c r="F101" s="4"/>
    </row>
    <row r="102" spans="1:9" x14ac:dyDescent="0.55000000000000004">
      <c r="C102" s="137"/>
      <c r="D102" s="4"/>
      <c r="E102" s="4"/>
      <c r="F102" s="4"/>
    </row>
    <row r="103" spans="1:9" x14ac:dyDescent="0.55000000000000004">
      <c r="C103" s="137"/>
      <c r="D103" s="4"/>
      <c r="E103" s="4"/>
      <c r="F103" s="4"/>
    </row>
    <row r="104" spans="1:9" x14ac:dyDescent="0.55000000000000004">
      <c r="C104" s="137"/>
      <c r="D104" s="4"/>
      <c r="E104" s="4"/>
      <c r="F104" s="4"/>
    </row>
    <row r="105" spans="1:9" x14ac:dyDescent="0.55000000000000004">
      <c r="C105" s="137"/>
      <c r="D105" s="4"/>
      <c r="E105" s="4"/>
      <c r="F105" s="4"/>
    </row>
    <row r="106" spans="1:9" x14ac:dyDescent="0.55000000000000004">
      <c r="C106" s="137"/>
      <c r="D106" s="4"/>
      <c r="E106" s="4"/>
      <c r="F106" s="4"/>
    </row>
    <row r="107" spans="1:9" x14ac:dyDescent="0.55000000000000004">
      <c r="C107" s="137"/>
      <c r="D107" s="4"/>
      <c r="E107" s="4"/>
      <c r="F107" s="4"/>
    </row>
    <row r="108" spans="1:9" x14ac:dyDescent="0.55000000000000004">
      <c r="C108" s="137"/>
      <c r="D108" s="4"/>
      <c r="E108" s="4"/>
      <c r="F108" s="4"/>
    </row>
    <row r="109" spans="1:9" x14ac:dyDescent="0.55000000000000004">
      <c r="C109" s="137"/>
      <c r="D109" s="4"/>
      <c r="E109" s="4"/>
      <c r="F109" s="4"/>
    </row>
    <row r="110" spans="1:9" x14ac:dyDescent="0.55000000000000004">
      <c r="C110" s="137"/>
      <c r="D110" s="4"/>
      <c r="E110" s="4"/>
      <c r="F110" s="4"/>
    </row>
    <row r="111" spans="1:9" x14ac:dyDescent="0.55000000000000004">
      <c r="C111" s="137"/>
      <c r="D111" s="4"/>
      <c r="E111" s="4"/>
      <c r="F111" s="4"/>
    </row>
    <row r="112" spans="1:9" x14ac:dyDescent="0.55000000000000004">
      <c r="C112" s="137"/>
      <c r="D112" s="4"/>
      <c r="E112" s="4"/>
      <c r="F112" s="4"/>
    </row>
    <row r="113" spans="3:6" x14ac:dyDescent="0.55000000000000004">
      <c r="C113" s="137"/>
      <c r="D113" s="4"/>
      <c r="E113" s="4"/>
      <c r="F113" s="4"/>
    </row>
    <row r="114" spans="3:6" x14ac:dyDescent="0.55000000000000004">
      <c r="C114" s="137"/>
      <c r="D114" s="4"/>
      <c r="E114" s="4"/>
      <c r="F114" s="4"/>
    </row>
    <row r="115" spans="3:6" x14ac:dyDescent="0.55000000000000004">
      <c r="C115" s="137"/>
      <c r="D115" s="4"/>
      <c r="E115" s="4"/>
      <c r="F115" s="4"/>
    </row>
    <row r="116" spans="3:6" x14ac:dyDescent="0.55000000000000004">
      <c r="C116" s="137"/>
      <c r="D116" s="4"/>
      <c r="E116" s="4"/>
      <c r="F116" s="4"/>
    </row>
    <row r="117" spans="3:6" x14ac:dyDescent="0.55000000000000004">
      <c r="C117" s="137"/>
      <c r="D117" s="4"/>
      <c r="E117" s="4"/>
      <c r="F117" s="4"/>
    </row>
    <row r="118" spans="3:6" x14ac:dyDescent="0.55000000000000004">
      <c r="C118" s="137"/>
      <c r="D118" s="4"/>
      <c r="E118" s="4"/>
      <c r="F118" s="4"/>
    </row>
    <row r="119" spans="3:6" x14ac:dyDescent="0.55000000000000004">
      <c r="C119" s="137"/>
      <c r="D119" s="4"/>
      <c r="E119" s="4"/>
      <c r="F119" s="4"/>
    </row>
    <row r="120" spans="3:6" x14ac:dyDescent="0.55000000000000004">
      <c r="C120" s="137"/>
      <c r="D120" s="4"/>
      <c r="E120" s="4"/>
      <c r="F120" s="4"/>
    </row>
    <row r="121" spans="3:6" x14ac:dyDescent="0.55000000000000004">
      <c r="C121" s="137"/>
      <c r="D121" s="4"/>
      <c r="E121" s="4"/>
      <c r="F121" s="4"/>
    </row>
    <row r="122" spans="3:6" x14ac:dyDescent="0.55000000000000004">
      <c r="C122" s="137"/>
      <c r="D122" s="4"/>
      <c r="E122" s="4"/>
      <c r="F122" s="4"/>
    </row>
    <row r="123" spans="3:6" x14ac:dyDescent="0.55000000000000004">
      <c r="C123" s="137"/>
      <c r="D123" s="4"/>
      <c r="E123" s="4"/>
      <c r="F123" s="4"/>
    </row>
    <row r="124" spans="3:6" x14ac:dyDescent="0.55000000000000004">
      <c r="C124" s="137"/>
      <c r="D124" s="4"/>
      <c r="E124" s="4"/>
      <c r="F124" s="4"/>
    </row>
    <row r="125" spans="3:6" x14ac:dyDescent="0.55000000000000004">
      <c r="C125" s="137"/>
      <c r="D125" s="4"/>
      <c r="E125" s="4"/>
      <c r="F125" s="4"/>
    </row>
    <row r="126" spans="3:6" x14ac:dyDescent="0.55000000000000004">
      <c r="C126" s="137"/>
      <c r="D126" s="4"/>
      <c r="E126" s="4"/>
      <c r="F126" s="4"/>
    </row>
    <row r="127" spans="3:6" x14ac:dyDescent="0.55000000000000004">
      <c r="C127" s="137"/>
      <c r="D127" s="4"/>
      <c r="E127" s="4"/>
      <c r="F127" s="4"/>
    </row>
    <row r="128" spans="3:6" x14ac:dyDescent="0.55000000000000004">
      <c r="C128" s="137"/>
      <c r="D128" s="4"/>
      <c r="E128" s="4"/>
      <c r="F128" s="4"/>
    </row>
    <row r="129" spans="3:6" x14ac:dyDescent="0.55000000000000004">
      <c r="C129" s="137"/>
      <c r="D129" s="4"/>
      <c r="E129" s="4"/>
      <c r="F129" s="4"/>
    </row>
    <row r="130" spans="3:6" x14ac:dyDescent="0.55000000000000004">
      <c r="C130" s="137"/>
      <c r="D130" s="4"/>
      <c r="E130" s="4"/>
      <c r="F130" s="4"/>
    </row>
    <row r="131" spans="3:6" x14ac:dyDescent="0.55000000000000004">
      <c r="C131" s="137"/>
      <c r="D131" s="4"/>
      <c r="E131" s="4"/>
      <c r="F131" s="4"/>
    </row>
    <row r="132" spans="3:6" x14ac:dyDescent="0.55000000000000004">
      <c r="C132" s="137"/>
      <c r="D132" s="4"/>
      <c r="E132" s="4"/>
      <c r="F132" s="4"/>
    </row>
    <row r="133" spans="3:6" x14ac:dyDescent="0.55000000000000004">
      <c r="C133" s="137"/>
      <c r="D133" s="4"/>
      <c r="E133" s="4"/>
      <c r="F133" s="4"/>
    </row>
    <row r="134" spans="3:6" x14ac:dyDescent="0.55000000000000004">
      <c r="C134" s="137"/>
      <c r="D134" s="4"/>
      <c r="E134" s="4"/>
      <c r="F134" s="4"/>
    </row>
    <row r="135" spans="3:6" x14ac:dyDescent="0.55000000000000004">
      <c r="C135" s="137"/>
      <c r="D135" s="4"/>
      <c r="E135" s="4"/>
      <c r="F135" s="4"/>
    </row>
    <row r="136" spans="3:6" x14ac:dyDescent="0.55000000000000004">
      <c r="C136" s="137"/>
      <c r="D136" s="4"/>
      <c r="E136" s="4"/>
      <c r="F136" s="4"/>
    </row>
    <row r="137" spans="3:6" x14ac:dyDescent="0.55000000000000004">
      <c r="C137" s="137"/>
      <c r="D137" s="4"/>
      <c r="E137" s="4"/>
      <c r="F137" s="4"/>
    </row>
    <row r="138" spans="3:6" x14ac:dyDescent="0.55000000000000004">
      <c r="C138" s="137"/>
      <c r="D138" s="4"/>
      <c r="E138" s="4"/>
      <c r="F138" s="4"/>
    </row>
    <row r="139" spans="3:6" x14ac:dyDescent="0.55000000000000004">
      <c r="C139" s="137"/>
      <c r="D139" s="4"/>
      <c r="E139" s="4"/>
      <c r="F139" s="4"/>
    </row>
    <row r="140" spans="3:6" x14ac:dyDescent="0.55000000000000004">
      <c r="C140" s="137"/>
      <c r="D140" s="4"/>
      <c r="E140" s="4"/>
      <c r="F140" s="4"/>
    </row>
    <row r="141" spans="3:6" x14ac:dyDescent="0.55000000000000004">
      <c r="C141" s="137"/>
      <c r="D141" s="4"/>
      <c r="E141" s="4"/>
      <c r="F141" s="4"/>
    </row>
    <row r="142" spans="3:6" x14ac:dyDescent="0.55000000000000004">
      <c r="C142" s="137"/>
      <c r="D142" s="4"/>
      <c r="E142" s="4"/>
      <c r="F142" s="4"/>
    </row>
    <row r="143" spans="3:6" x14ac:dyDescent="0.55000000000000004">
      <c r="C143" s="137"/>
      <c r="D143" s="4"/>
      <c r="E143" s="4"/>
      <c r="F143" s="4"/>
    </row>
    <row r="144" spans="3:6" x14ac:dyDescent="0.55000000000000004">
      <c r="C144" s="137"/>
      <c r="D144" s="4"/>
      <c r="E144" s="4"/>
      <c r="F144" s="4"/>
    </row>
    <row r="145" spans="3:6" x14ac:dyDescent="0.55000000000000004">
      <c r="C145" s="137"/>
      <c r="D145" s="4"/>
      <c r="E145" s="4"/>
      <c r="F145" s="4"/>
    </row>
    <row r="146" spans="3:6" x14ac:dyDescent="0.55000000000000004">
      <c r="C146" s="137"/>
      <c r="D146" s="4"/>
      <c r="E146" s="4"/>
      <c r="F146" s="4"/>
    </row>
    <row r="147" spans="3:6" x14ac:dyDescent="0.55000000000000004">
      <c r="C147" s="137"/>
      <c r="D147" s="4"/>
      <c r="E147" s="4"/>
      <c r="F147" s="4"/>
    </row>
    <row r="148" spans="3:6" x14ac:dyDescent="0.55000000000000004">
      <c r="C148" s="137"/>
      <c r="D148" s="4"/>
      <c r="E148" s="4"/>
      <c r="F148" s="4"/>
    </row>
    <row r="149" spans="3:6" x14ac:dyDescent="0.55000000000000004">
      <c r="C149" s="137"/>
      <c r="D149" s="4"/>
      <c r="E149" s="4"/>
      <c r="F149" s="4"/>
    </row>
    <row r="150" spans="3:6" x14ac:dyDescent="0.55000000000000004">
      <c r="C150" s="137"/>
      <c r="D150" s="4"/>
      <c r="E150" s="4"/>
      <c r="F150" s="4"/>
    </row>
    <row r="151" spans="3:6" x14ac:dyDescent="0.55000000000000004">
      <c r="C151" s="137"/>
      <c r="D151" s="4"/>
      <c r="E151" s="4"/>
      <c r="F151" s="4"/>
    </row>
    <row r="152" spans="3:6" x14ac:dyDescent="0.55000000000000004">
      <c r="C152" s="137"/>
      <c r="D152" s="4"/>
      <c r="E152" s="4"/>
      <c r="F152" s="4"/>
    </row>
    <row r="153" spans="3:6" x14ac:dyDescent="0.55000000000000004">
      <c r="C153" s="137"/>
      <c r="D153" s="4"/>
      <c r="E153" s="4"/>
      <c r="F153" s="4"/>
    </row>
    <row r="154" spans="3:6" x14ac:dyDescent="0.55000000000000004">
      <c r="C154" s="137"/>
      <c r="D154" s="4"/>
      <c r="E154" s="4"/>
      <c r="F154" s="4"/>
    </row>
    <row r="155" spans="3:6" x14ac:dyDescent="0.55000000000000004">
      <c r="C155" s="137"/>
      <c r="D155" s="4"/>
      <c r="E155" s="4"/>
      <c r="F155" s="4"/>
    </row>
    <row r="156" spans="3:6" x14ac:dyDescent="0.55000000000000004">
      <c r="C156" s="137"/>
      <c r="D156" s="4"/>
      <c r="E156" s="4"/>
      <c r="F156" s="4"/>
    </row>
    <row r="157" spans="3:6" x14ac:dyDescent="0.55000000000000004">
      <c r="C157" s="137"/>
      <c r="D157" s="4"/>
      <c r="E157" s="4"/>
      <c r="F157" s="4"/>
    </row>
    <row r="158" spans="3:6" x14ac:dyDescent="0.55000000000000004">
      <c r="C158" s="137"/>
      <c r="D158" s="4"/>
      <c r="E158" s="4"/>
      <c r="F158" s="4"/>
    </row>
    <row r="159" spans="3:6" x14ac:dyDescent="0.55000000000000004">
      <c r="C159" s="137"/>
      <c r="D159" s="4"/>
      <c r="E159" s="4"/>
      <c r="F159" s="4"/>
    </row>
    <row r="160" spans="3:6" x14ac:dyDescent="0.55000000000000004">
      <c r="C160" s="137"/>
      <c r="D160" s="4"/>
      <c r="E160" s="4"/>
      <c r="F160" s="4"/>
    </row>
    <row r="161" spans="3:6" x14ac:dyDescent="0.55000000000000004">
      <c r="C161" s="137"/>
      <c r="D161" s="4"/>
      <c r="E161" s="4"/>
      <c r="F161" s="4"/>
    </row>
    <row r="162" spans="3:6" x14ac:dyDescent="0.55000000000000004">
      <c r="C162" s="137"/>
      <c r="D162" s="4"/>
      <c r="E162" s="4"/>
      <c r="F162" s="4"/>
    </row>
    <row r="163" spans="3:6" x14ac:dyDescent="0.55000000000000004">
      <c r="C163" s="137"/>
      <c r="D163" s="4"/>
      <c r="E163" s="4"/>
      <c r="F163" s="4"/>
    </row>
    <row r="164" spans="3:6" x14ac:dyDescent="0.55000000000000004">
      <c r="C164" s="137"/>
      <c r="D164" s="4"/>
      <c r="E164" s="4"/>
      <c r="F164" s="4"/>
    </row>
    <row r="165" spans="3:6" x14ac:dyDescent="0.55000000000000004">
      <c r="C165" s="137"/>
      <c r="D165" s="4"/>
      <c r="E165" s="4"/>
      <c r="F165" s="4"/>
    </row>
    <row r="166" spans="3:6" x14ac:dyDescent="0.55000000000000004">
      <c r="C166" s="137"/>
      <c r="D166" s="4"/>
      <c r="E166" s="4"/>
      <c r="F166" s="4"/>
    </row>
    <row r="167" spans="3:6" x14ac:dyDescent="0.55000000000000004">
      <c r="C167" s="137"/>
      <c r="D167" s="4"/>
      <c r="E167" s="4"/>
      <c r="F167" s="4"/>
    </row>
    <row r="168" spans="3:6" x14ac:dyDescent="0.55000000000000004">
      <c r="C168" s="137"/>
      <c r="D168" s="4"/>
      <c r="E168" s="4"/>
      <c r="F168" s="4"/>
    </row>
    <row r="169" spans="3:6" x14ac:dyDescent="0.55000000000000004">
      <c r="C169" s="137"/>
      <c r="D169" s="4"/>
      <c r="E169" s="4"/>
      <c r="F169" s="4"/>
    </row>
    <row r="170" spans="3:6" x14ac:dyDescent="0.55000000000000004">
      <c r="C170" s="137"/>
      <c r="D170" s="4"/>
      <c r="E170" s="4"/>
      <c r="F170" s="4"/>
    </row>
    <row r="171" spans="3:6" x14ac:dyDescent="0.55000000000000004">
      <c r="C171" s="137"/>
      <c r="D171" s="4"/>
      <c r="E171" s="4"/>
      <c r="F171" s="4"/>
    </row>
    <row r="172" spans="3:6" x14ac:dyDescent="0.55000000000000004">
      <c r="C172" s="137"/>
      <c r="D172" s="4"/>
      <c r="E172" s="4"/>
      <c r="F172" s="4"/>
    </row>
    <row r="173" spans="3:6" x14ac:dyDescent="0.55000000000000004">
      <c r="C173" s="137"/>
      <c r="D173" s="4"/>
      <c r="E173" s="4"/>
      <c r="F173" s="4"/>
    </row>
    <row r="174" spans="3:6" x14ac:dyDescent="0.55000000000000004">
      <c r="C174" s="137"/>
      <c r="D174" s="4"/>
      <c r="E174" s="4"/>
      <c r="F174" s="4"/>
    </row>
    <row r="175" spans="3:6" x14ac:dyDescent="0.55000000000000004">
      <c r="C175" s="137"/>
      <c r="D175" s="4"/>
      <c r="E175" s="4"/>
      <c r="F175" s="4"/>
    </row>
    <row r="176" spans="3:6" x14ac:dyDescent="0.55000000000000004">
      <c r="C176" s="137"/>
      <c r="D176" s="4"/>
      <c r="E176" s="4"/>
      <c r="F176" s="4"/>
    </row>
    <row r="177" spans="3:6" x14ac:dyDescent="0.55000000000000004">
      <c r="C177" s="137"/>
      <c r="D177" s="4"/>
      <c r="E177" s="4"/>
      <c r="F177" s="4"/>
    </row>
    <row r="178" spans="3:6" x14ac:dyDescent="0.55000000000000004">
      <c r="C178" s="137"/>
      <c r="D178" s="4"/>
      <c r="E178" s="4"/>
      <c r="F178" s="4"/>
    </row>
    <row r="179" spans="3:6" x14ac:dyDescent="0.55000000000000004">
      <c r="C179" s="137"/>
      <c r="D179" s="4"/>
      <c r="E179" s="4"/>
      <c r="F179" s="4"/>
    </row>
    <row r="180" spans="3:6" x14ac:dyDescent="0.55000000000000004">
      <c r="C180" s="137"/>
      <c r="D180" s="4"/>
      <c r="E180" s="4"/>
      <c r="F180" s="4"/>
    </row>
    <row r="181" spans="3:6" x14ac:dyDescent="0.55000000000000004">
      <c r="C181" s="137"/>
      <c r="D181" s="4"/>
      <c r="E181" s="4"/>
      <c r="F181" s="4"/>
    </row>
    <row r="182" spans="3:6" x14ac:dyDescent="0.55000000000000004">
      <c r="C182" s="137"/>
      <c r="D182" s="4"/>
      <c r="E182" s="4"/>
      <c r="F182" s="4"/>
    </row>
    <row r="183" spans="3:6" x14ac:dyDescent="0.55000000000000004">
      <c r="C183" s="137"/>
      <c r="D183" s="4"/>
      <c r="E183" s="4"/>
      <c r="F183" s="4"/>
    </row>
    <row r="184" spans="3:6" x14ac:dyDescent="0.55000000000000004">
      <c r="C184" s="137"/>
      <c r="D184" s="4"/>
      <c r="E184" s="4"/>
      <c r="F184" s="4"/>
    </row>
    <row r="185" spans="3:6" x14ac:dyDescent="0.55000000000000004">
      <c r="C185" s="137"/>
      <c r="D185" s="4"/>
      <c r="E185" s="4"/>
      <c r="F185" s="4"/>
    </row>
    <row r="186" spans="3:6" x14ac:dyDescent="0.55000000000000004">
      <c r="C186" s="137"/>
      <c r="D186" s="4"/>
      <c r="E186" s="4"/>
      <c r="F186" s="4"/>
    </row>
    <row r="187" spans="3:6" x14ac:dyDescent="0.55000000000000004">
      <c r="C187" s="137"/>
      <c r="D187" s="4"/>
      <c r="E187" s="4"/>
      <c r="F187" s="4"/>
    </row>
    <row r="188" spans="3:6" x14ac:dyDescent="0.55000000000000004">
      <c r="C188" s="137"/>
      <c r="D188" s="4"/>
      <c r="E188" s="4"/>
      <c r="F188" s="4"/>
    </row>
    <row r="189" spans="3:6" x14ac:dyDescent="0.55000000000000004">
      <c r="C189" s="137"/>
      <c r="D189" s="4"/>
      <c r="E189" s="4"/>
      <c r="F189" s="4"/>
    </row>
    <row r="190" spans="3:6" x14ac:dyDescent="0.55000000000000004">
      <c r="C190" s="137"/>
      <c r="D190" s="4"/>
      <c r="E190" s="4"/>
      <c r="F190" s="4"/>
    </row>
    <row r="191" spans="3:6" x14ac:dyDescent="0.55000000000000004">
      <c r="C191" s="137"/>
      <c r="D191" s="4"/>
      <c r="E191" s="4"/>
      <c r="F191" s="4"/>
    </row>
    <row r="192" spans="3:6" x14ac:dyDescent="0.55000000000000004">
      <c r="C192" s="137"/>
      <c r="D192" s="4"/>
      <c r="E192" s="4"/>
      <c r="F192" s="4"/>
    </row>
    <row r="193" spans="3:6" x14ac:dyDescent="0.55000000000000004">
      <c r="C193" s="137"/>
      <c r="D193" s="4"/>
      <c r="E193" s="4"/>
      <c r="F193" s="4"/>
    </row>
    <row r="194" spans="3:6" x14ac:dyDescent="0.55000000000000004">
      <c r="C194" s="137"/>
      <c r="D194" s="4"/>
      <c r="E194" s="4"/>
      <c r="F194" s="4"/>
    </row>
    <row r="195" spans="3:6" x14ac:dyDescent="0.55000000000000004">
      <c r="C195" s="137"/>
      <c r="D195" s="4"/>
      <c r="E195" s="4"/>
      <c r="F195" s="4"/>
    </row>
    <row r="196" spans="3:6" x14ac:dyDescent="0.55000000000000004">
      <c r="C196" s="137"/>
      <c r="D196" s="4"/>
      <c r="E196" s="4"/>
      <c r="F196" s="4"/>
    </row>
    <row r="197" spans="3:6" x14ac:dyDescent="0.55000000000000004">
      <c r="C197" s="137"/>
      <c r="D197" s="4"/>
      <c r="E197" s="4"/>
      <c r="F197" s="4"/>
    </row>
    <row r="198" spans="3:6" x14ac:dyDescent="0.55000000000000004">
      <c r="C198" s="137"/>
      <c r="D198" s="4"/>
      <c r="E198" s="4"/>
      <c r="F198" s="4"/>
    </row>
    <row r="199" spans="3:6" x14ac:dyDescent="0.55000000000000004">
      <c r="C199" s="137"/>
      <c r="D199" s="4"/>
      <c r="E199" s="4"/>
      <c r="F199" s="4"/>
    </row>
    <row r="200" spans="3:6" x14ac:dyDescent="0.55000000000000004">
      <c r="C200" s="137"/>
      <c r="D200" s="4"/>
      <c r="E200" s="4"/>
      <c r="F200" s="4"/>
    </row>
    <row r="201" spans="3:6" x14ac:dyDescent="0.55000000000000004">
      <c r="C201" s="137"/>
      <c r="D201" s="4"/>
      <c r="E201" s="4"/>
      <c r="F201" s="4"/>
    </row>
    <row r="202" spans="3:6" x14ac:dyDescent="0.55000000000000004">
      <c r="C202" s="137"/>
      <c r="D202" s="4"/>
      <c r="E202" s="4"/>
      <c r="F202" s="4"/>
    </row>
    <row r="203" spans="3:6" x14ac:dyDescent="0.55000000000000004">
      <c r="C203" s="137"/>
      <c r="D203" s="4"/>
      <c r="E203" s="4"/>
      <c r="F203" s="4"/>
    </row>
    <row r="204" spans="3:6" x14ac:dyDescent="0.55000000000000004">
      <c r="C204" s="137"/>
      <c r="D204" s="4"/>
      <c r="E204" s="4"/>
      <c r="F204" s="4"/>
    </row>
    <row r="205" spans="3:6" x14ac:dyDescent="0.55000000000000004">
      <c r="C205" s="137"/>
      <c r="D205" s="4"/>
      <c r="E205" s="4"/>
      <c r="F205" s="4"/>
    </row>
    <row r="206" spans="3:6" x14ac:dyDescent="0.55000000000000004">
      <c r="C206" s="137"/>
      <c r="D206" s="4"/>
      <c r="E206" s="4"/>
      <c r="F206" s="4"/>
    </row>
    <row r="207" spans="3:6" x14ac:dyDescent="0.55000000000000004">
      <c r="C207" s="137"/>
      <c r="D207" s="4"/>
      <c r="E207" s="4"/>
      <c r="F207" s="4"/>
    </row>
    <row r="208" spans="3:6" x14ac:dyDescent="0.55000000000000004">
      <c r="C208" s="137"/>
      <c r="D208" s="4"/>
      <c r="E208" s="4"/>
      <c r="F208" s="4"/>
    </row>
    <row r="209" spans="3:6" x14ac:dyDescent="0.55000000000000004">
      <c r="C209" s="137"/>
      <c r="D209" s="4"/>
      <c r="E209" s="4"/>
      <c r="F209" s="4"/>
    </row>
    <row r="210" spans="3:6" x14ac:dyDescent="0.55000000000000004">
      <c r="C210" s="137"/>
      <c r="D210" s="4"/>
      <c r="E210" s="4"/>
      <c r="F210" s="4"/>
    </row>
    <row r="211" spans="3:6" x14ac:dyDescent="0.55000000000000004">
      <c r="C211" s="137"/>
      <c r="D211" s="4"/>
      <c r="E211" s="4"/>
      <c r="F211" s="4"/>
    </row>
    <row r="212" spans="3:6" x14ac:dyDescent="0.55000000000000004">
      <c r="C212" s="137"/>
      <c r="D212" s="4"/>
      <c r="E212" s="4"/>
      <c r="F212" s="4"/>
    </row>
    <row r="213" spans="3:6" x14ac:dyDescent="0.55000000000000004">
      <c r="C213" s="137"/>
      <c r="D213" s="4"/>
      <c r="E213" s="4"/>
      <c r="F213" s="4"/>
    </row>
    <row r="214" spans="3:6" x14ac:dyDescent="0.55000000000000004">
      <c r="C214" s="137"/>
      <c r="D214" s="4"/>
      <c r="E214" s="4"/>
      <c r="F214" s="4"/>
    </row>
    <row r="215" spans="3:6" x14ac:dyDescent="0.55000000000000004">
      <c r="C215" s="137"/>
      <c r="D215" s="4"/>
      <c r="E215" s="4"/>
      <c r="F215" s="4"/>
    </row>
    <row r="216" spans="3:6" x14ac:dyDescent="0.55000000000000004">
      <c r="C216" s="137"/>
      <c r="D216" s="4"/>
      <c r="E216" s="4"/>
      <c r="F216" s="4"/>
    </row>
    <row r="217" spans="3:6" x14ac:dyDescent="0.55000000000000004">
      <c r="C217" s="137"/>
      <c r="D217" s="4"/>
      <c r="E217" s="4"/>
      <c r="F217" s="4"/>
    </row>
    <row r="218" spans="3:6" x14ac:dyDescent="0.55000000000000004">
      <c r="C218" s="137"/>
      <c r="D218" s="4"/>
      <c r="E218" s="4"/>
      <c r="F218" s="4"/>
    </row>
    <row r="219" spans="3:6" x14ac:dyDescent="0.55000000000000004">
      <c r="C219" s="137"/>
      <c r="D219" s="4"/>
      <c r="E219" s="4"/>
      <c r="F219" s="4"/>
    </row>
    <row r="220" spans="3:6" x14ac:dyDescent="0.55000000000000004">
      <c r="C220" s="137"/>
      <c r="D220" s="4"/>
      <c r="E220" s="4"/>
      <c r="F220" s="4"/>
    </row>
    <row r="221" spans="3:6" x14ac:dyDescent="0.55000000000000004">
      <c r="C221" s="137"/>
      <c r="D221" s="4"/>
      <c r="E221" s="4"/>
      <c r="F221" s="4"/>
    </row>
    <row r="222" spans="3:6" x14ac:dyDescent="0.55000000000000004">
      <c r="C222" s="137"/>
      <c r="D222" s="4"/>
      <c r="E222" s="4"/>
      <c r="F222" s="4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7005-D942-47DB-AD84-A638E93C685F}">
  <dimension ref="A1:G16"/>
  <sheetViews>
    <sheetView workbookViewId="0">
      <selection activeCell="G10" sqref="G10"/>
    </sheetView>
  </sheetViews>
  <sheetFormatPr defaultRowHeight="14.4" x14ac:dyDescent="0.55000000000000004"/>
  <cols>
    <col min="1" max="1" width="13.89453125" style="199" bestFit="1" customWidth="1"/>
    <col min="2" max="4" width="8.83984375" style="199"/>
    <col min="5" max="5" width="13.26171875" style="199" bestFit="1" customWidth="1"/>
    <col min="6" max="6" width="16.578125" style="199" bestFit="1" customWidth="1"/>
    <col min="7" max="7" width="15.15625" style="199" bestFit="1" customWidth="1"/>
    <col min="8" max="16384" width="8.83984375" style="199"/>
  </cols>
  <sheetData>
    <row r="1" spans="1:7" x14ac:dyDescent="0.55000000000000004">
      <c r="A1" s="199" t="s">
        <v>79</v>
      </c>
      <c r="B1" s="199" t="s">
        <v>80</v>
      </c>
      <c r="C1" s="199" t="s">
        <v>77</v>
      </c>
      <c r="D1" s="199" t="s">
        <v>73</v>
      </c>
      <c r="E1" s="199" t="s">
        <v>74</v>
      </c>
      <c r="F1" s="199" t="s">
        <v>75</v>
      </c>
      <c r="G1" s="199" t="s">
        <v>76</v>
      </c>
    </row>
    <row r="2" spans="1:7" x14ac:dyDescent="0.55000000000000004">
      <c r="A2" s="200" t="s">
        <v>15</v>
      </c>
      <c r="B2" s="199">
        <v>2</v>
      </c>
      <c r="C2" s="199">
        <v>1</v>
      </c>
      <c r="D2" s="199">
        <v>156</v>
      </c>
      <c r="E2" s="199">
        <v>130</v>
      </c>
      <c r="F2" s="199">
        <v>1500000</v>
      </c>
      <c r="G2" s="201">
        <v>45267.308715277781</v>
      </c>
    </row>
    <row r="3" spans="1:7" x14ac:dyDescent="0.55000000000000004">
      <c r="A3" s="200" t="s">
        <v>15</v>
      </c>
      <c r="B3" s="199">
        <v>9</v>
      </c>
      <c r="C3" s="199">
        <v>1</v>
      </c>
      <c r="D3" s="199">
        <v>156</v>
      </c>
      <c r="E3" s="199">
        <v>131</v>
      </c>
      <c r="F3" s="199">
        <v>1500000</v>
      </c>
      <c r="G3" s="201">
        <v>45268.291666666664</v>
      </c>
    </row>
    <row r="4" spans="1:7" x14ac:dyDescent="0.55000000000000004">
      <c r="A4" s="200" t="s">
        <v>15</v>
      </c>
      <c r="B4" s="199">
        <v>1</v>
      </c>
      <c r="C4" s="199">
        <v>1</v>
      </c>
      <c r="D4" s="199">
        <v>156</v>
      </c>
      <c r="E4" s="199">
        <v>250</v>
      </c>
      <c r="F4" s="199">
        <v>30000000</v>
      </c>
      <c r="G4" s="201">
        <v>45272.304791666669</v>
      </c>
    </row>
    <row r="5" spans="1:7" x14ac:dyDescent="0.55000000000000004">
      <c r="A5" s="200" t="s">
        <v>15</v>
      </c>
      <c r="B5" s="199">
        <v>3</v>
      </c>
      <c r="C5" s="199">
        <v>1</v>
      </c>
      <c r="D5" s="199">
        <v>156</v>
      </c>
      <c r="E5" s="199">
        <v>160</v>
      </c>
      <c r="F5" s="199">
        <v>1600000</v>
      </c>
      <c r="G5" s="201">
        <v>45274.308715277781</v>
      </c>
    </row>
    <row r="6" spans="1:7" x14ac:dyDescent="0.55000000000000004">
      <c r="A6" s="200" t="s">
        <v>15</v>
      </c>
      <c r="B6" s="199">
        <v>11</v>
      </c>
      <c r="C6" s="199">
        <v>1</v>
      </c>
      <c r="D6" s="199">
        <v>81</v>
      </c>
      <c r="E6" s="199">
        <v>214</v>
      </c>
      <c r="F6" s="199">
        <v>12000000</v>
      </c>
      <c r="G6" s="201">
        <v>45277.333333333336</v>
      </c>
    </row>
    <row r="7" spans="1:7" x14ac:dyDescent="0.55000000000000004">
      <c r="A7" s="202" t="s">
        <v>13</v>
      </c>
      <c r="B7" s="199">
        <v>13</v>
      </c>
      <c r="C7" s="199">
        <v>3</v>
      </c>
      <c r="D7" s="199">
        <v>50</v>
      </c>
      <c r="E7" s="199">
        <v>130</v>
      </c>
      <c r="F7" s="199">
        <v>1500000</v>
      </c>
      <c r="G7" s="201">
        <v>45278.375</v>
      </c>
    </row>
    <row r="8" spans="1:7" x14ac:dyDescent="0.55000000000000004">
      <c r="A8" s="200" t="s">
        <v>15</v>
      </c>
      <c r="B8" s="199">
        <v>14</v>
      </c>
      <c r="C8" s="199">
        <v>1</v>
      </c>
      <c r="D8" s="199">
        <v>88</v>
      </c>
      <c r="E8" s="199">
        <v>500</v>
      </c>
      <c r="F8" s="199">
        <v>50500000</v>
      </c>
      <c r="G8" s="201">
        <v>45278.375</v>
      </c>
    </row>
    <row r="9" spans="1:7" x14ac:dyDescent="0.55000000000000004">
      <c r="A9" s="200" t="s">
        <v>9</v>
      </c>
      <c r="B9" s="199">
        <v>12</v>
      </c>
      <c r="C9" s="199">
        <v>2</v>
      </c>
      <c r="D9" s="199">
        <v>123</v>
      </c>
      <c r="E9" s="199">
        <v>4403</v>
      </c>
      <c r="F9" s="199">
        <v>200000000</v>
      </c>
      <c r="G9" s="201">
        <v>45278.705590277779</v>
      </c>
    </row>
    <row r="10" spans="1:7" x14ac:dyDescent="0.55000000000000004">
      <c r="A10" s="203" t="s">
        <v>10</v>
      </c>
      <c r="B10" s="199">
        <v>21</v>
      </c>
      <c r="C10" s="199">
        <v>5</v>
      </c>
      <c r="D10" s="199">
        <v>49</v>
      </c>
      <c r="E10" s="199">
        <v>120</v>
      </c>
      <c r="F10" s="199">
        <v>1300000</v>
      </c>
      <c r="G10" s="201">
        <v>45279.458333333336</v>
      </c>
    </row>
    <row r="11" spans="1:7" x14ac:dyDescent="0.55000000000000004">
      <c r="A11" s="200" t="s">
        <v>9</v>
      </c>
      <c r="B11" s="199">
        <v>17</v>
      </c>
      <c r="C11" s="199">
        <v>2</v>
      </c>
      <c r="D11" s="199">
        <v>84</v>
      </c>
      <c r="E11" s="199">
        <v>5020</v>
      </c>
      <c r="F11" s="199">
        <v>50500000</v>
      </c>
      <c r="G11" s="201">
        <v>45279.5</v>
      </c>
    </row>
    <row r="12" spans="1:7" x14ac:dyDescent="0.55000000000000004">
      <c r="A12" s="202" t="s">
        <v>13</v>
      </c>
      <c r="B12" s="199">
        <v>19</v>
      </c>
      <c r="C12" s="199">
        <v>3</v>
      </c>
      <c r="D12" s="199">
        <v>90</v>
      </c>
      <c r="E12" s="199">
        <v>520</v>
      </c>
      <c r="F12" s="199">
        <v>25000000</v>
      </c>
      <c r="G12" s="201">
        <v>45279.5</v>
      </c>
    </row>
    <row r="13" spans="1:7" x14ac:dyDescent="0.55000000000000004">
      <c r="A13" s="204" t="s">
        <v>11</v>
      </c>
      <c r="B13" s="205">
        <v>20</v>
      </c>
      <c r="C13" s="205">
        <v>4</v>
      </c>
      <c r="D13" s="205">
        <v>59</v>
      </c>
      <c r="E13" s="205">
        <v>920</v>
      </c>
      <c r="F13" s="205">
        <v>2000000</v>
      </c>
      <c r="G13" s="206">
        <v>45279.5</v>
      </c>
    </row>
    <row r="14" spans="1:7" x14ac:dyDescent="0.55000000000000004">
      <c r="A14" s="207" t="s">
        <v>10</v>
      </c>
      <c r="B14" s="205">
        <v>22</v>
      </c>
      <c r="C14" s="205">
        <v>5</v>
      </c>
      <c r="D14" s="205">
        <v>54</v>
      </c>
      <c r="E14" s="205">
        <v>800</v>
      </c>
      <c r="F14" s="205">
        <v>25000000</v>
      </c>
      <c r="G14" s="206">
        <v>45279.5</v>
      </c>
    </row>
    <row r="15" spans="1:7" x14ac:dyDescent="0.55000000000000004">
      <c r="A15" s="204" t="s">
        <v>15</v>
      </c>
      <c r="B15" s="205">
        <v>5</v>
      </c>
      <c r="C15" s="205">
        <v>1</v>
      </c>
      <c r="D15" s="205">
        <v>156</v>
      </c>
      <c r="E15" s="205">
        <v>132</v>
      </c>
      <c r="F15" s="205">
        <v>1500000</v>
      </c>
      <c r="G15" s="206">
        <v>45279.81858796296</v>
      </c>
    </row>
    <row r="16" spans="1:7" x14ac:dyDescent="0.55000000000000004">
      <c r="A16" s="204" t="s">
        <v>11</v>
      </c>
      <c r="B16" s="205">
        <v>16</v>
      </c>
      <c r="C16" s="205">
        <v>4</v>
      </c>
      <c r="D16" s="205">
        <v>59</v>
      </c>
      <c r="E16" s="205">
        <v>5020</v>
      </c>
      <c r="F16" s="205">
        <v>50500000</v>
      </c>
      <c r="G16" s="206">
        <v>45278.5</v>
      </c>
    </row>
  </sheetData>
  <autoFilter ref="A1:G15" xr:uid="{00000000-0009-0000-0000-000000000000}">
    <sortState xmlns:xlrd2="http://schemas.microsoft.com/office/spreadsheetml/2017/richdata2" ref="A2:G15">
      <sortCondition ref="G1:G1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4BF-672F-4D0D-9740-9A896BC05835}">
  <sheetPr filterMode="1"/>
  <dimension ref="A1:L282"/>
  <sheetViews>
    <sheetView zoomScale="90" zoomScaleNormal="90" workbookViewId="0">
      <selection activeCell="C16" sqref="C16"/>
    </sheetView>
  </sheetViews>
  <sheetFormatPr defaultRowHeight="14.4" x14ac:dyDescent="0.55000000000000004"/>
  <cols>
    <col min="1" max="1" width="27.3671875" bestFit="1" customWidth="1"/>
    <col min="2" max="2" width="14.1015625" bestFit="1" customWidth="1"/>
    <col min="3" max="3" width="5.734375" bestFit="1" customWidth="1"/>
    <col min="4" max="4" width="7.47265625" bestFit="1" customWidth="1"/>
    <col min="5" max="5" width="7" style="136" bestFit="1" customWidth="1"/>
    <col min="6" max="6" width="13.3125" bestFit="1" customWidth="1"/>
    <col min="7" max="7" width="16.68359375" bestFit="1" customWidth="1"/>
    <col min="8" max="8" width="10.20703125" bestFit="1" customWidth="1"/>
    <col min="9" max="9" width="14.15625" bestFit="1" customWidth="1"/>
    <col min="10" max="10" width="10.7890625" bestFit="1" customWidth="1"/>
    <col min="11" max="11" width="8.89453125" bestFit="1" customWidth="1"/>
    <col min="12" max="12" width="9.68359375" bestFit="1" customWidth="1"/>
  </cols>
  <sheetData>
    <row r="1" spans="1:8" x14ac:dyDescent="0.55000000000000004">
      <c r="E1" s="144" t="s">
        <v>73</v>
      </c>
      <c r="F1" s="144" t="s">
        <v>74</v>
      </c>
      <c r="G1" s="144" t="s">
        <v>75</v>
      </c>
      <c r="H1" s="144" t="s">
        <v>76</v>
      </c>
    </row>
    <row r="2" spans="1:8" x14ac:dyDescent="0.55000000000000004">
      <c r="A2" t="s">
        <v>1</v>
      </c>
      <c r="B2" t="s">
        <v>8</v>
      </c>
      <c r="C2" s="144" t="s">
        <v>78</v>
      </c>
      <c r="D2" s="144" t="s">
        <v>77</v>
      </c>
      <c r="E2" s="156" t="s">
        <v>65</v>
      </c>
      <c r="F2" s="156" t="s">
        <v>69</v>
      </c>
      <c r="G2" s="93" t="s">
        <v>61</v>
      </c>
      <c r="H2" t="s">
        <v>0</v>
      </c>
    </row>
    <row r="3" spans="1:8" x14ac:dyDescent="0.55000000000000004">
      <c r="A3" s="182" t="s">
        <v>7</v>
      </c>
      <c r="B3" s="182" t="s">
        <v>15</v>
      </c>
      <c r="C3" s="182">
        <v>1</v>
      </c>
      <c r="D3" s="182">
        <v>1</v>
      </c>
      <c r="E3" s="194">
        <v>109</v>
      </c>
      <c r="F3" s="149">
        <v>217.17630981339599</v>
      </c>
      <c r="G3" s="160">
        <v>795867049.08642602</v>
      </c>
      <c r="H3" s="131">
        <v>44542</v>
      </c>
    </row>
    <row r="4" spans="1:8" s="132" customFormat="1" x14ac:dyDescent="0.55000000000000004">
      <c r="A4" s="181" t="s">
        <v>7</v>
      </c>
      <c r="B4" s="181" t="s">
        <v>15</v>
      </c>
      <c r="C4" s="182">
        <v>2</v>
      </c>
      <c r="D4" s="182">
        <v>1</v>
      </c>
      <c r="E4" s="183">
        <v>126</v>
      </c>
      <c r="F4" s="208">
        <v>40.95959002017976</v>
      </c>
      <c r="G4" s="209">
        <v>16032208.039999999</v>
      </c>
      <c r="H4" s="186">
        <v>44537</v>
      </c>
    </row>
    <row r="5" spans="1:8" x14ac:dyDescent="0.55000000000000004">
      <c r="A5" s="189" t="s">
        <v>7</v>
      </c>
      <c r="B5" s="189" t="s">
        <v>15</v>
      </c>
      <c r="C5" s="182">
        <v>3</v>
      </c>
      <c r="D5" s="182">
        <v>1</v>
      </c>
      <c r="E5" s="183">
        <v>96</v>
      </c>
      <c r="F5" s="184">
        <v>1.0694357013702394</v>
      </c>
      <c r="G5" s="190">
        <v>314714.82</v>
      </c>
      <c r="H5" s="191">
        <v>44544</v>
      </c>
    </row>
    <row r="6" spans="1:8" x14ac:dyDescent="0.55000000000000004">
      <c r="A6" s="197" t="s">
        <v>7</v>
      </c>
      <c r="B6" s="197" t="s">
        <v>15</v>
      </c>
      <c r="C6" s="182">
        <v>5</v>
      </c>
      <c r="D6" s="182">
        <v>1</v>
      </c>
      <c r="E6" s="183">
        <v>84</v>
      </c>
      <c r="F6" s="184">
        <v>514.29946090698297</v>
      </c>
      <c r="G6" s="185">
        <v>82316698.579999998</v>
      </c>
      <c r="H6" s="198">
        <v>44549</v>
      </c>
    </row>
    <row r="7" spans="1:8" x14ac:dyDescent="0.55000000000000004">
      <c r="A7" s="187" t="s">
        <v>7</v>
      </c>
      <c r="B7" s="187" t="s">
        <v>15</v>
      </c>
      <c r="C7" s="182">
        <v>9</v>
      </c>
      <c r="D7" s="182">
        <v>1</v>
      </c>
      <c r="E7" s="183">
        <v>141</v>
      </c>
      <c r="F7" s="184">
        <v>6.7602480936050418</v>
      </c>
      <c r="G7" s="185">
        <v>46692000.880000003</v>
      </c>
      <c r="H7" s="188">
        <v>44538</v>
      </c>
    </row>
    <row r="8" spans="1:8" x14ac:dyDescent="0.55000000000000004">
      <c r="A8" s="192" t="s">
        <v>7</v>
      </c>
      <c r="B8" s="192" t="s">
        <v>15</v>
      </c>
      <c r="C8" s="182">
        <v>11</v>
      </c>
      <c r="D8" s="182">
        <v>1</v>
      </c>
      <c r="E8" s="183">
        <v>91</v>
      </c>
      <c r="F8" s="183">
        <v>193.11337501525878</v>
      </c>
      <c r="G8" s="190">
        <v>548302123.37</v>
      </c>
      <c r="H8" s="193">
        <v>44547</v>
      </c>
    </row>
    <row r="9" spans="1:8" x14ac:dyDescent="0.55000000000000004">
      <c r="A9" s="195" t="s">
        <v>2</v>
      </c>
      <c r="B9" s="195" t="s">
        <v>9</v>
      </c>
      <c r="C9" s="182">
        <v>12</v>
      </c>
      <c r="D9" s="182">
        <v>2</v>
      </c>
      <c r="E9" s="183">
        <v>151</v>
      </c>
      <c r="F9" s="184">
        <v>111.84389045715332</v>
      </c>
      <c r="G9" s="185">
        <v>17262509.02</v>
      </c>
      <c r="H9" s="196">
        <v>44548</v>
      </c>
    </row>
    <row r="10" spans="1:8" x14ac:dyDescent="0.55000000000000004">
      <c r="A10" s="195" t="s">
        <v>6</v>
      </c>
      <c r="B10" s="195" t="s">
        <v>13</v>
      </c>
      <c r="C10" s="182">
        <v>13</v>
      </c>
      <c r="D10" s="182">
        <v>3</v>
      </c>
      <c r="E10" s="183">
        <v>88</v>
      </c>
      <c r="F10" s="208">
        <v>11.334877796173094</v>
      </c>
      <c r="G10" s="209">
        <v>2472027.42</v>
      </c>
      <c r="H10" s="196">
        <v>44548</v>
      </c>
    </row>
    <row r="11" spans="1:8" x14ac:dyDescent="0.55000000000000004">
      <c r="A11" s="195" t="s">
        <v>7</v>
      </c>
      <c r="B11" s="195" t="s">
        <v>15</v>
      </c>
      <c r="C11" s="182">
        <v>14</v>
      </c>
      <c r="D11" s="182">
        <v>1</v>
      </c>
      <c r="E11" s="183">
        <v>94</v>
      </c>
      <c r="F11" s="208">
        <v>101.94906857967378</v>
      </c>
      <c r="G11" s="209">
        <v>626002490.99000001</v>
      </c>
      <c r="H11" s="196">
        <v>44548</v>
      </c>
    </row>
    <row r="12" spans="1:8" x14ac:dyDescent="0.55000000000000004">
      <c r="A12" s="195" t="s">
        <v>4</v>
      </c>
      <c r="B12" s="195" t="s">
        <v>11</v>
      </c>
      <c r="C12" s="182">
        <v>16</v>
      </c>
      <c r="D12" s="182">
        <v>4</v>
      </c>
      <c r="E12" s="183">
        <v>108</v>
      </c>
      <c r="F12" s="184">
        <v>14.825175027847289</v>
      </c>
      <c r="G12" s="185">
        <v>2185338.04</v>
      </c>
      <c r="H12" s="196">
        <v>44548</v>
      </c>
    </row>
    <row r="13" spans="1:8" x14ac:dyDescent="0.55000000000000004">
      <c r="A13" s="197" t="s">
        <v>2</v>
      </c>
      <c r="B13" s="197" t="s">
        <v>9</v>
      </c>
      <c r="C13" s="182">
        <v>17</v>
      </c>
      <c r="D13" s="182">
        <v>2</v>
      </c>
      <c r="E13" s="183">
        <v>122</v>
      </c>
      <c r="F13" s="184">
        <v>39.3420718765259</v>
      </c>
      <c r="G13" s="185">
        <v>83637276.530000001</v>
      </c>
      <c r="H13" s="198">
        <v>44549</v>
      </c>
    </row>
    <row r="14" spans="1:8" x14ac:dyDescent="0.55000000000000004">
      <c r="A14" s="197" t="s">
        <v>6</v>
      </c>
      <c r="B14" s="197" t="s">
        <v>13</v>
      </c>
      <c r="C14" s="182">
        <v>19</v>
      </c>
      <c r="D14" s="182">
        <v>3</v>
      </c>
      <c r="E14" s="183">
        <v>85</v>
      </c>
      <c r="F14" s="208">
        <v>12.814274921417239</v>
      </c>
      <c r="G14" s="209">
        <v>179400725.03</v>
      </c>
      <c r="H14" s="198">
        <v>44549</v>
      </c>
    </row>
    <row r="15" spans="1:8" x14ac:dyDescent="0.55000000000000004">
      <c r="A15" s="197" t="s">
        <v>4</v>
      </c>
      <c r="B15" s="197" t="s">
        <v>11</v>
      </c>
      <c r="C15" s="182">
        <v>20</v>
      </c>
      <c r="D15" s="182">
        <v>4</v>
      </c>
      <c r="E15" s="183">
        <v>104</v>
      </c>
      <c r="F15" s="208">
        <v>168.38406616210901</v>
      </c>
      <c r="G15" s="209">
        <v>849153045.38999999</v>
      </c>
      <c r="H15" s="198">
        <v>44549</v>
      </c>
    </row>
    <row r="16" spans="1:8" x14ac:dyDescent="0.55000000000000004">
      <c r="A16" s="182" t="s">
        <v>3</v>
      </c>
      <c r="B16" s="182" t="s">
        <v>10</v>
      </c>
      <c r="C16" s="182">
        <v>22.21</v>
      </c>
      <c r="D16" s="182">
        <v>5</v>
      </c>
      <c r="E16" s="194">
        <v>64</v>
      </c>
      <c r="F16" s="149">
        <v>5.78638879013306</v>
      </c>
      <c r="G16" s="160">
        <v>105174484.83215301</v>
      </c>
      <c r="H16" s="131">
        <v>44549</v>
      </c>
    </row>
    <row r="17" spans="1:8" hidden="1" x14ac:dyDescent="0.55000000000000004">
      <c r="A17" s="6" t="s">
        <v>2</v>
      </c>
      <c r="B17" s="6" t="s">
        <v>9</v>
      </c>
      <c r="C17" s="144">
        <v>23</v>
      </c>
      <c r="D17" s="144">
        <v>2</v>
      </c>
      <c r="E17" s="175">
        <v>81</v>
      </c>
      <c r="F17" s="169">
        <v>139.49574783325193</v>
      </c>
      <c r="G17" s="4">
        <v>474917846.85000002</v>
      </c>
      <c r="H17" s="5">
        <v>44531</v>
      </c>
    </row>
    <row r="18" spans="1:8" hidden="1" x14ac:dyDescent="0.55000000000000004">
      <c r="A18" s="132" t="s">
        <v>2</v>
      </c>
      <c r="B18" s="132" t="s">
        <v>9</v>
      </c>
      <c r="C18" s="144">
        <v>24</v>
      </c>
      <c r="D18" s="144">
        <v>2</v>
      </c>
      <c r="E18" s="175">
        <v>110</v>
      </c>
      <c r="F18" s="174">
        <v>104.81852149963377</v>
      </c>
      <c r="G18" s="158">
        <v>277400817.53500003</v>
      </c>
      <c r="H18" s="131">
        <v>44532</v>
      </c>
    </row>
    <row r="19" spans="1:8" s="132" customFormat="1" hidden="1" x14ac:dyDescent="0.55000000000000004">
      <c r="A19" s="12" t="s">
        <v>2</v>
      </c>
      <c r="B19" s="12" t="s">
        <v>9</v>
      </c>
      <c r="C19" s="144">
        <v>25</v>
      </c>
      <c r="D19" s="144">
        <v>2</v>
      </c>
      <c r="E19" s="175">
        <v>89</v>
      </c>
      <c r="F19" s="170">
        <v>70.141295166015624</v>
      </c>
      <c r="G19" s="146">
        <v>79883788.219999999</v>
      </c>
      <c r="H19" s="11">
        <v>44533</v>
      </c>
    </row>
    <row r="20" spans="1:8" hidden="1" x14ac:dyDescent="0.55000000000000004">
      <c r="A20" s="15" t="s">
        <v>2</v>
      </c>
      <c r="B20" s="15" t="s">
        <v>9</v>
      </c>
      <c r="C20" s="144">
        <v>26</v>
      </c>
      <c r="D20" s="144">
        <v>2</v>
      </c>
      <c r="E20" s="175">
        <v>93</v>
      </c>
      <c r="F20" s="171">
        <v>210.53629623413087</v>
      </c>
      <c r="G20" s="161">
        <v>49678462.900000006</v>
      </c>
      <c r="H20" s="14">
        <v>44534</v>
      </c>
    </row>
    <row r="21" spans="1:8" hidden="1" x14ac:dyDescent="0.55000000000000004">
      <c r="A21" s="18" t="s">
        <v>2</v>
      </c>
      <c r="B21" s="18" t="s">
        <v>9</v>
      </c>
      <c r="C21" s="144">
        <v>27</v>
      </c>
      <c r="D21" s="144">
        <v>2</v>
      </c>
      <c r="E21" s="175">
        <v>83</v>
      </c>
      <c r="F21" s="171">
        <v>4.1705398416519168</v>
      </c>
      <c r="G21" s="161">
        <v>14091800.49</v>
      </c>
      <c r="H21" s="17">
        <v>44535</v>
      </c>
    </row>
    <row r="22" spans="1:8" s="132" customFormat="1" hidden="1" x14ac:dyDescent="0.55000000000000004">
      <c r="A22" s="21" t="s">
        <v>2</v>
      </c>
      <c r="B22" s="21" t="s">
        <v>9</v>
      </c>
      <c r="C22" s="144">
        <v>28</v>
      </c>
      <c r="D22" s="144">
        <v>2</v>
      </c>
      <c r="E22" s="175">
        <v>139</v>
      </c>
      <c r="F22" s="170">
        <v>101.50255172729493</v>
      </c>
      <c r="G22" s="146">
        <v>18504317.850000001</v>
      </c>
      <c r="H22" s="20">
        <v>44536</v>
      </c>
    </row>
    <row r="23" spans="1:8" hidden="1" x14ac:dyDescent="0.55000000000000004">
      <c r="A23" s="24" t="s">
        <v>2</v>
      </c>
      <c r="B23" s="24" t="s">
        <v>9</v>
      </c>
      <c r="C23" s="144">
        <v>29</v>
      </c>
      <c r="D23" s="144">
        <v>2</v>
      </c>
      <c r="E23" s="175">
        <v>142</v>
      </c>
      <c r="F23" s="171">
        <v>685.90095581054686</v>
      </c>
      <c r="G23" s="161">
        <v>301740619.53000003</v>
      </c>
      <c r="H23" s="23">
        <v>44537</v>
      </c>
    </row>
    <row r="24" spans="1:8" hidden="1" x14ac:dyDescent="0.55000000000000004">
      <c r="A24" s="132" t="s">
        <v>2</v>
      </c>
      <c r="B24" s="132" t="s">
        <v>9</v>
      </c>
      <c r="C24" s="144">
        <v>30</v>
      </c>
      <c r="D24" s="144">
        <v>2</v>
      </c>
      <c r="E24" s="176">
        <v>152</v>
      </c>
      <c r="F24" s="149">
        <v>411.88269102526829</v>
      </c>
      <c r="G24" s="160">
        <v>16157283.473632813</v>
      </c>
      <c r="H24" s="131">
        <v>44538</v>
      </c>
    </row>
    <row r="25" spans="1:8" hidden="1" x14ac:dyDescent="0.55000000000000004">
      <c r="A25" s="132" t="s">
        <v>2</v>
      </c>
      <c r="B25" s="132" t="s">
        <v>9</v>
      </c>
      <c r="C25" s="144">
        <v>31</v>
      </c>
      <c r="D25" s="144">
        <v>2</v>
      </c>
      <c r="E25" s="176">
        <v>154</v>
      </c>
      <c r="F25" s="159">
        <v>518.94727666629478</v>
      </c>
      <c r="G25" s="160">
        <v>55180857.912109375</v>
      </c>
      <c r="H25" s="131">
        <v>44539</v>
      </c>
    </row>
    <row r="26" spans="1:8" hidden="1" x14ac:dyDescent="0.55000000000000004">
      <c r="A26" s="33" t="s">
        <v>2</v>
      </c>
      <c r="B26" s="33" t="s">
        <v>9</v>
      </c>
      <c r="C26" s="144">
        <v>32</v>
      </c>
      <c r="D26" s="144">
        <v>2</v>
      </c>
      <c r="E26" s="175">
        <v>129</v>
      </c>
      <c r="F26" s="171">
        <v>8.2056321954727185</v>
      </c>
      <c r="G26" s="161">
        <v>28148791.740000002</v>
      </c>
      <c r="H26" s="32">
        <v>44540</v>
      </c>
    </row>
    <row r="27" spans="1:8" s="132" customFormat="1" hidden="1" x14ac:dyDescent="0.55000000000000004">
      <c r="A27" s="36" t="s">
        <v>2</v>
      </c>
      <c r="B27" s="36" t="s">
        <v>9</v>
      </c>
      <c r="C27" s="144">
        <v>33</v>
      </c>
      <c r="D27" s="144">
        <v>2</v>
      </c>
      <c r="E27" s="175">
        <v>110</v>
      </c>
      <c r="F27" s="171">
        <v>236.83927937030791</v>
      </c>
      <c r="G27" s="146">
        <v>814496020.38</v>
      </c>
      <c r="H27" s="35">
        <v>44541</v>
      </c>
    </row>
    <row r="28" spans="1:8" hidden="1" x14ac:dyDescent="0.55000000000000004">
      <c r="A28" s="132" t="s">
        <v>2</v>
      </c>
      <c r="B28" s="132" t="s">
        <v>9</v>
      </c>
      <c r="C28" s="144">
        <v>34</v>
      </c>
      <c r="D28" s="144">
        <v>2</v>
      </c>
      <c r="E28" s="176">
        <v>139</v>
      </c>
      <c r="F28" s="149">
        <v>364.6459216075018</v>
      </c>
      <c r="G28" s="160">
        <v>239875351.55645752</v>
      </c>
      <c r="H28" s="131">
        <v>44542</v>
      </c>
    </row>
    <row r="29" spans="1:8" hidden="1" x14ac:dyDescent="0.55000000000000004">
      <c r="A29" s="132" t="s">
        <v>2</v>
      </c>
      <c r="B29" s="132" t="s">
        <v>9</v>
      </c>
      <c r="C29" s="144">
        <v>35</v>
      </c>
      <c r="D29" s="144">
        <v>2</v>
      </c>
      <c r="E29" s="176">
        <v>135</v>
      </c>
      <c r="F29" s="149">
        <v>394.26484509604052</v>
      </c>
      <c r="G29" s="160">
        <v>323163301.00244141</v>
      </c>
      <c r="H29" s="131">
        <v>44543</v>
      </c>
    </row>
    <row r="30" spans="1:8" hidden="1" x14ac:dyDescent="0.55000000000000004">
      <c r="A30" s="42" t="s">
        <v>2</v>
      </c>
      <c r="B30" s="42" t="s">
        <v>9</v>
      </c>
      <c r="C30" s="144">
        <v>36</v>
      </c>
      <c r="D30" s="144">
        <v>2</v>
      </c>
      <c r="E30" s="175">
        <v>109</v>
      </c>
      <c r="F30" s="171">
        <v>108.6566746520996</v>
      </c>
      <c r="G30" s="4">
        <v>24775167.34</v>
      </c>
      <c r="H30" s="41">
        <v>44544</v>
      </c>
    </row>
    <row r="31" spans="1:8" hidden="1" x14ac:dyDescent="0.55000000000000004">
      <c r="A31" s="45" t="s">
        <v>2</v>
      </c>
      <c r="B31" s="45" t="s">
        <v>9</v>
      </c>
      <c r="C31" s="144">
        <v>37</v>
      </c>
      <c r="D31" s="144">
        <v>2</v>
      </c>
      <c r="E31" s="175">
        <v>152</v>
      </c>
      <c r="F31" s="171">
        <v>108.6566746520996</v>
      </c>
      <c r="G31" s="161">
        <v>46024985.350000001</v>
      </c>
      <c r="H31" s="44">
        <v>44545</v>
      </c>
    </row>
    <row r="32" spans="1:8" hidden="1" x14ac:dyDescent="0.55000000000000004">
      <c r="A32" s="48" t="s">
        <v>2</v>
      </c>
      <c r="B32" s="48" t="s">
        <v>9</v>
      </c>
      <c r="C32" s="144">
        <v>38</v>
      </c>
      <c r="D32" s="144">
        <v>2</v>
      </c>
      <c r="E32" s="175">
        <v>152</v>
      </c>
      <c r="F32" s="171">
        <v>192.42457200527195</v>
      </c>
      <c r="G32" s="161">
        <v>1027267347.9400001</v>
      </c>
      <c r="H32" s="47">
        <v>44546</v>
      </c>
    </row>
    <row r="33" spans="1:8" hidden="1" x14ac:dyDescent="0.55000000000000004">
      <c r="A33" s="132" t="s">
        <v>2</v>
      </c>
      <c r="B33" s="132" t="s">
        <v>9</v>
      </c>
      <c r="C33" s="144">
        <v>39</v>
      </c>
      <c r="D33" s="144">
        <v>2</v>
      </c>
      <c r="E33" s="176">
        <v>147</v>
      </c>
      <c r="F33" s="174">
        <v>152.13423123121265</v>
      </c>
      <c r="G33" s="158">
        <v>522264928.48000002</v>
      </c>
      <c r="H33" s="131">
        <v>44547</v>
      </c>
    </row>
    <row r="34" spans="1:8" hidden="1" x14ac:dyDescent="0.55000000000000004">
      <c r="A34" s="132" t="s">
        <v>2</v>
      </c>
      <c r="B34" s="132" t="s">
        <v>9</v>
      </c>
      <c r="C34" s="144">
        <v>40</v>
      </c>
      <c r="D34" s="144">
        <v>2</v>
      </c>
      <c r="E34" s="178">
        <v>153.64912280702265</v>
      </c>
      <c r="F34" s="174">
        <v>35.562798643112181</v>
      </c>
      <c r="G34" s="158">
        <v>129018991.25500001</v>
      </c>
      <c r="H34" s="131">
        <v>44550</v>
      </c>
    </row>
    <row r="35" spans="1:8" hidden="1" x14ac:dyDescent="0.55000000000000004">
      <c r="A35" s="63" t="s">
        <v>2</v>
      </c>
      <c r="B35" s="63" t="s">
        <v>9</v>
      </c>
      <c r="C35" s="144">
        <v>41</v>
      </c>
      <c r="D35" s="144">
        <v>2</v>
      </c>
      <c r="E35" s="178">
        <v>154.03139427515271</v>
      </c>
      <c r="F35" s="171">
        <v>31.783525409698488</v>
      </c>
      <c r="G35" s="161">
        <v>174400705.98000002</v>
      </c>
      <c r="H35" s="62">
        <v>44551</v>
      </c>
    </row>
    <row r="36" spans="1:8" hidden="1" x14ac:dyDescent="0.55000000000000004">
      <c r="A36" s="66" t="s">
        <v>2</v>
      </c>
      <c r="B36" s="66" t="s">
        <v>9</v>
      </c>
      <c r="C36" s="144">
        <v>42</v>
      </c>
      <c r="D36" s="144">
        <v>2</v>
      </c>
      <c r="E36" s="178">
        <v>156.78100144171913</v>
      </c>
      <c r="F36" s="171">
        <v>111.84389045715332</v>
      </c>
      <c r="G36" s="161">
        <v>313870446.62</v>
      </c>
      <c r="H36" s="65">
        <v>44552</v>
      </c>
    </row>
    <row r="37" spans="1:8" hidden="1" x14ac:dyDescent="0.55000000000000004">
      <c r="A37" s="69" t="s">
        <v>2</v>
      </c>
      <c r="B37" s="69" t="s">
        <v>9</v>
      </c>
      <c r="C37" s="144">
        <v>43</v>
      </c>
      <c r="D37" s="144">
        <v>2</v>
      </c>
      <c r="E37" s="178">
        <v>156.75804530522146</v>
      </c>
      <c r="F37" s="169">
        <v>148.82544708251956</v>
      </c>
      <c r="G37" s="4">
        <v>4289780498.71</v>
      </c>
      <c r="H37" s="68">
        <v>44553</v>
      </c>
    </row>
    <row r="38" spans="1:8" hidden="1" x14ac:dyDescent="0.55000000000000004">
      <c r="A38" s="72" t="s">
        <v>2</v>
      </c>
      <c r="B38" s="72" t="s">
        <v>9</v>
      </c>
      <c r="C38" s="144">
        <v>44</v>
      </c>
      <c r="D38" s="144">
        <v>2</v>
      </c>
      <c r="E38" s="178">
        <v>156.03234399187204</v>
      </c>
      <c r="F38" s="169">
        <v>97.905563278198244</v>
      </c>
      <c r="G38" s="4">
        <v>350407419.90000004</v>
      </c>
      <c r="H38" s="71">
        <v>44554</v>
      </c>
    </row>
    <row r="39" spans="1:8" hidden="1" x14ac:dyDescent="0.55000000000000004">
      <c r="A39" s="132" t="s">
        <v>2</v>
      </c>
      <c r="B39" s="132" t="s">
        <v>9</v>
      </c>
      <c r="C39" s="144">
        <v>45</v>
      </c>
      <c r="D39" s="144">
        <v>2</v>
      </c>
      <c r="E39" s="178">
        <v>152.80723108087113</v>
      </c>
      <c r="F39" s="159">
        <v>156.75006519317628</v>
      </c>
      <c r="G39" s="158">
        <v>490965965.255</v>
      </c>
      <c r="H39" s="131">
        <v>44555</v>
      </c>
    </row>
    <row r="40" spans="1:8" hidden="1" x14ac:dyDescent="0.55000000000000004">
      <c r="A40" s="78" t="s">
        <v>2</v>
      </c>
      <c r="B40" s="78" t="s">
        <v>9</v>
      </c>
      <c r="C40" s="144">
        <v>46</v>
      </c>
      <c r="D40" s="144">
        <v>2</v>
      </c>
      <c r="E40" s="178">
        <v>154.49907082033315</v>
      </c>
      <c r="F40" s="169">
        <v>215.59456710815434</v>
      </c>
      <c r="G40" s="4">
        <v>631524510.61000001</v>
      </c>
      <c r="H40" s="77">
        <v>44556</v>
      </c>
    </row>
    <row r="41" spans="1:8" hidden="1" x14ac:dyDescent="0.55000000000000004">
      <c r="A41" s="81" t="s">
        <v>2</v>
      </c>
      <c r="B41" s="81" t="s">
        <v>9</v>
      </c>
      <c r="C41" s="144">
        <v>47</v>
      </c>
      <c r="D41" s="144">
        <v>2</v>
      </c>
      <c r="E41" s="178">
        <v>156.67327627546183</v>
      </c>
      <c r="F41" s="171">
        <v>122.99834269523625</v>
      </c>
      <c r="G41" s="161">
        <v>245638555.01000002</v>
      </c>
      <c r="H41" s="80">
        <v>44557</v>
      </c>
    </row>
    <row r="42" spans="1:8" hidden="1" x14ac:dyDescent="0.55000000000000004">
      <c r="A42" s="84" t="s">
        <v>2</v>
      </c>
      <c r="B42" s="84" t="s">
        <v>9</v>
      </c>
      <c r="C42" s="144">
        <v>48</v>
      </c>
      <c r="D42" s="144">
        <v>2</v>
      </c>
      <c r="E42" s="178">
        <v>160.31399742604117</v>
      </c>
      <c r="F42" s="171">
        <v>2.0902160799503329</v>
      </c>
      <c r="G42" s="161">
        <v>525244.81000000006</v>
      </c>
      <c r="H42" s="83">
        <v>44558</v>
      </c>
    </row>
    <row r="43" spans="1:8" hidden="1" x14ac:dyDescent="0.55000000000000004">
      <c r="A43" s="87" t="s">
        <v>2</v>
      </c>
      <c r="B43" s="87" t="s">
        <v>9</v>
      </c>
      <c r="C43" s="144">
        <v>49</v>
      </c>
      <c r="D43" s="144">
        <v>2</v>
      </c>
      <c r="E43" s="178">
        <v>164.88481291927746</v>
      </c>
      <c r="F43" s="171">
        <v>215.66146953225135</v>
      </c>
      <c r="G43" s="161">
        <v>1022347699.8000001</v>
      </c>
      <c r="H43" s="86">
        <v>44559</v>
      </c>
    </row>
    <row r="44" spans="1:8" hidden="1" x14ac:dyDescent="0.55000000000000004">
      <c r="A44" s="90" t="s">
        <v>2</v>
      </c>
      <c r="B44" s="90" t="s">
        <v>9</v>
      </c>
      <c r="C44" s="144">
        <v>50</v>
      </c>
      <c r="D44" s="144">
        <v>2</v>
      </c>
      <c r="E44" s="178">
        <v>167.23695803520968</v>
      </c>
      <c r="F44" s="169">
        <v>460.80898765563961</v>
      </c>
      <c r="G44" s="4">
        <v>953816028.43000007</v>
      </c>
      <c r="H44" s="89">
        <v>44560</v>
      </c>
    </row>
    <row r="45" spans="1:8" hidden="1" x14ac:dyDescent="0.55000000000000004">
      <c r="A45" s="93" t="s">
        <v>2</v>
      </c>
      <c r="B45" s="93" t="s">
        <v>9</v>
      </c>
      <c r="C45" s="144">
        <v>51</v>
      </c>
      <c r="D45" s="144">
        <v>2</v>
      </c>
      <c r="E45" s="178">
        <v>167.12140014187025</v>
      </c>
      <c r="F45" s="170">
        <v>101.3901466035843</v>
      </c>
      <c r="G45" s="146">
        <v>71562167.100000009</v>
      </c>
      <c r="H45" s="92">
        <v>44561</v>
      </c>
    </row>
    <row r="46" spans="1:8" hidden="1" x14ac:dyDescent="0.55000000000000004">
      <c r="A46" s="6" t="s">
        <v>7</v>
      </c>
      <c r="B46" s="6" t="s">
        <v>15</v>
      </c>
      <c r="C46" s="144">
        <v>52</v>
      </c>
      <c r="D46">
        <v>1</v>
      </c>
      <c r="E46" s="175">
        <v>150</v>
      </c>
      <c r="F46" s="170">
        <v>23.489329452514649</v>
      </c>
      <c r="G46" s="146">
        <v>4934980.17</v>
      </c>
      <c r="H46" s="5">
        <v>44531</v>
      </c>
    </row>
    <row r="47" spans="1:8" hidden="1" x14ac:dyDescent="0.55000000000000004">
      <c r="A47" s="9" t="s">
        <v>7</v>
      </c>
      <c r="B47" s="9" t="s">
        <v>15</v>
      </c>
      <c r="C47" s="144">
        <v>53</v>
      </c>
      <c r="D47">
        <v>1</v>
      </c>
      <c r="E47" s="175">
        <v>113</v>
      </c>
      <c r="F47" s="171">
        <v>261.61609441280359</v>
      </c>
      <c r="G47" s="161">
        <v>376094825.37</v>
      </c>
      <c r="H47" s="8">
        <v>44532</v>
      </c>
    </row>
    <row r="48" spans="1:8" hidden="1" x14ac:dyDescent="0.55000000000000004">
      <c r="A48" s="12" t="s">
        <v>7</v>
      </c>
      <c r="B48" s="12" t="s">
        <v>15</v>
      </c>
      <c r="C48" s="144">
        <v>54</v>
      </c>
      <c r="D48">
        <v>1</v>
      </c>
      <c r="E48" s="175">
        <v>79</v>
      </c>
      <c r="F48" s="171">
        <v>31.134267947673798</v>
      </c>
      <c r="G48" s="161">
        <v>6783136.6000000006</v>
      </c>
      <c r="H48" s="11">
        <v>44533</v>
      </c>
    </row>
    <row r="49" spans="1:8" hidden="1" x14ac:dyDescent="0.55000000000000004">
      <c r="A49" s="15" t="s">
        <v>7</v>
      </c>
      <c r="B49" s="15" t="s">
        <v>15</v>
      </c>
      <c r="C49" s="144">
        <v>55</v>
      </c>
      <c r="D49">
        <v>1</v>
      </c>
      <c r="E49" s="175">
        <v>153</v>
      </c>
      <c r="F49" s="171">
        <v>21.178821468353277</v>
      </c>
      <c r="G49" s="161">
        <v>58787883.290000007</v>
      </c>
      <c r="H49" s="14">
        <v>44534</v>
      </c>
    </row>
    <row r="50" spans="1:8" hidden="1" x14ac:dyDescent="0.55000000000000004">
      <c r="A50" s="18" t="s">
        <v>7</v>
      </c>
      <c r="B50" s="18" t="s">
        <v>15</v>
      </c>
      <c r="C50" s="144">
        <v>56</v>
      </c>
      <c r="D50">
        <v>1</v>
      </c>
      <c r="E50" s="175">
        <v>126</v>
      </c>
      <c r="F50" s="171">
        <v>136.29085101127626</v>
      </c>
      <c r="G50" s="161">
        <v>1046243735.8800001</v>
      </c>
      <c r="H50" s="17">
        <v>44535</v>
      </c>
    </row>
    <row r="51" spans="1:8" hidden="1" x14ac:dyDescent="0.55000000000000004">
      <c r="A51" s="21" t="s">
        <v>7</v>
      </c>
      <c r="B51" s="21" t="s">
        <v>15</v>
      </c>
      <c r="C51" s="144">
        <v>57</v>
      </c>
      <c r="D51">
        <v>1</v>
      </c>
      <c r="E51" s="175">
        <v>117</v>
      </c>
      <c r="F51" s="171">
        <v>35.846557178497321</v>
      </c>
      <c r="G51" s="161">
        <v>90790255.420000002</v>
      </c>
      <c r="H51" s="20">
        <v>44536</v>
      </c>
    </row>
    <row r="52" spans="1:8" hidden="1" x14ac:dyDescent="0.55000000000000004">
      <c r="A52" s="30" t="s">
        <v>7</v>
      </c>
      <c r="B52" s="30" t="s">
        <v>15</v>
      </c>
      <c r="C52" s="144">
        <v>58</v>
      </c>
      <c r="D52">
        <v>1</v>
      </c>
      <c r="E52" s="175">
        <v>126</v>
      </c>
      <c r="F52" s="169">
        <v>539.21121475219729</v>
      </c>
      <c r="G52" s="4">
        <v>2272019985.48</v>
      </c>
      <c r="H52" s="29">
        <v>44539</v>
      </c>
    </row>
    <row r="53" spans="1:8" hidden="1" x14ac:dyDescent="0.55000000000000004">
      <c r="A53" s="33" t="s">
        <v>7</v>
      </c>
      <c r="B53" s="33" t="s">
        <v>15</v>
      </c>
      <c r="C53" s="144">
        <v>59</v>
      </c>
      <c r="D53">
        <v>1</v>
      </c>
      <c r="E53" s="175">
        <v>145</v>
      </c>
      <c r="F53" s="169">
        <v>248.25890451431272</v>
      </c>
      <c r="G53" s="4">
        <v>496856688.15000004</v>
      </c>
      <c r="H53" s="32">
        <v>44540</v>
      </c>
    </row>
    <row r="54" spans="1:8" hidden="1" x14ac:dyDescent="0.55000000000000004">
      <c r="A54" s="36" t="s">
        <v>7</v>
      </c>
      <c r="B54" s="36" t="s">
        <v>15</v>
      </c>
      <c r="C54" s="144">
        <v>60</v>
      </c>
      <c r="D54">
        <v>1</v>
      </c>
      <c r="E54" s="175">
        <v>126</v>
      </c>
      <c r="F54" s="169">
        <v>76.67032840132714</v>
      </c>
      <c r="G54" s="4">
        <v>154873489.53</v>
      </c>
      <c r="H54" s="35">
        <v>44541</v>
      </c>
    </row>
    <row r="55" spans="1:8" hidden="1" x14ac:dyDescent="0.55000000000000004">
      <c r="A55" s="132" t="s">
        <v>7</v>
      </c>
      <c r="B55" s="132" t="s">
        <v>15</v>
      </c>
      <c r="C55" s="144">
        <v>61</v>
      </c>
      <c r="D55">
        <v>1</v>
      </c>
      <c r="E55" s="176">
        <v>123</v>
      </c>
      <c r="F55" s="149">
        <v>224.16974358411971</v>
      </c>
      <c r="G55" s="160">
        <v>837161015.58642578</v>
      </c>
      <c r="H55" s="131">
        <v>44543</v>
      </c>
    </row>
    <row r="56" spans="1:8" hidden="1" x14ac:dyDescent="0.55000000000000004">
      <c r="A56" s="45" t="s">
        <v>7</v>
      </c>
      <c r="B56" s="45" t="s">
        <v>15</v>
      </c>
      <c r="C56" s="144">
        <v>62</v>
      </c>
      <c r="D56">
        <v>1</v>
      </c>
      <c r="E56" s="175">
        <v>90</v>
      </c>
      <c r="F56" s="171">
        <v>13.520496187210082</v>
      </c>
      <c r="G56" s="161">
        <v>5306437.09</v>
      </c>
      <c r="H56" s="44">
        <v>44545</v>
      </c>
    </row>
    <row r="57" spans="1:8" hidden="1" x14ac:dyDescent="0.55000000000000004">
      <c r="A57" s="48" t="s">
        <v>7</v>
      </c>
      <c r="B57" s="48" t="s">
        <v>15</v>
      </c>
      <c r="C57" s="144">
        <v>63</v>
      </c>
      <c r="D57">
        <v>1</v>
      </c>
      <c r="E57" s="175">
        <v>89</v>
      </c>
      <c r="F57" s="171">
        <v>20.457878437042236</v>
      </c>
      <c r="G57" s="4">
        <v>65303064.07</v>
      </c>
      <c r="H57" s="47">
        <v>44546</v>
      </c>
    </row>
    <row r="58" spans="1:8" hidden="1" x14ac:dyDescent="0.55000000000000004">
      <c r="A58" s="60" t="s">
        <v>7</v>
      </c>
      <c r="B58" s="60" t="s">
        <v>15</v>
      </c>
      <c r="C58" s="144">
        <v>64</v>
      </c>
      <c r="D58">
        <v>1</v>
      </c>
      <c r="E58" s="173">
        <v>90.36842105264077</v>
      </c>
      <c r="F58" s="169">
        <v>9.8917212963104255</v>
      </c>
      <c r="G58" s="161">
        <v>42227077.060000002</v>
      </c>
      <c r="H58" s="59">
        <v>44550</v>
      </c>
    </row>
    <row r="59" spans="1:8" s="132" customFormat="1" hidden="1" x14ac:dyDescent="0.55000000000000004">
      <c r="A59" s="63" t="s">
        <v>7</v>
      </c>
      <c r="B59" s="63" t="s">
        <v>15</v>
      </c>
      <c r="C59" s="144">
        <v>65</v>
      </c>
      <c r="D59">
        <v>1</v>
      </c>
      <c r="E59" s="173">
        <v>89.603878116351552</v>
      </c>
      <c r="F59" s="171">
        <v>180.71417490005493</v>
      </c>
      <c r="G59" s="146">
        <v>121762315.99000001</v>
      </c>
      <c r="H59" s="62">
        <v>44551</v>
      </c>
    </row>
    <row r="60" spans="1:8" hidden="1" x14ac:dyDescent="0.55000000000000004">
      <c r="A60" s="66" t="s">
        <v>7</v>
      </c>
      <c r="B60" s="66" t="s">
        <v>15</v>
      </c>
      <c r="C60" s="144">
        <v>66</v>
      </c>
      <c r="D60">
        <v>1</v>
      </c>
      <c r="E60" s="173">
        <v>85.180687175001367</v>
      </c>
      <c r="F60" s="171">
        <v>305.79295653820037</v>
      </c>
      <c r="G60" s="161">
        <v>197112929.37</v>
      </c>
      <c r="H60" s="65">
        <v>44552</v>
      </c>
    </row>
    <row r="61" spans="1:8" s="132" customFormat="1" hidden="1" x14ac:dyDescent="0.55000000000000004">
      <c r="A61" s="69" t="s">
        <v>7</v>
      </c>
      <c r="B61" s="69" t="s">
        <v>15</v>
      </c>
      <c r="C61" s="144">
        <v>67</v>
      </c>
      <c r="D61">
        <v>1</v>
      </c>
      <c r="E61" s="173">
        <v>76.061317822895944</v>
      </c>
      <c r="F61" s="171">
        <v>229.72609462738035</v>
      </c>
      <c r="G61" s="146">
        <v>263584316.81</v>
      </c>
      <c r="H61" s="68">
        <v>44553</v>
      </c>
    </row>
    <row r="62" spans="1:8" hidden="1" x14ac:dyDescent="0.55000000000000004">
      <c r="A62" s="72" t="s">
        <v>7</v>
      </c>
      <c r="B62" s="72" t="s">
        <v>15</v>
      </c>
      <c r="C62" s="144">
        <v>68</v>
      </c>
      <c r="D62">
        <v>1</v>
      </c>
      <c r="E62" s="173">
        <v>74.001367428718368</v>
      </c>
      <c r="F62" s="169">
        <v>797.07038185119632</v>
      </c>
      <c r="G62" s="4">
        <v>225442334.97</v>
      </c>
      <c r="H62" s="71">
        <v>44554</v>
      </c>
    </row>
    <row r="63" spans="1:8" hidden="1" x14ac:dyDescent="0.55000000000000004">
      <c r="A63" s="75" t="s">
        <v>7</v>
      </c>
      <c r="B63" s="75" t="s">
        <v>15</v>
      </c>
      <c r="C63" s="144">
        <v>69</v>
      </c>
      <c r="D63">
        <v>1</v>
      </c>
      <c r="E63" s="173">
        <v>69.5417552353465</v>
      </c>
      <c r="F63" s="171">
        <v>361.36392587661743</v>
      </c>
      <c r="G63" s="161">
        <v>2717841098.7000003</v>
      </c>
      <c r="H63" s="74">
        <v>44555</v>
      </c>
    </row>
    <row r="64" spans="1:8" hidden="1" x14ac:dyDescent="0.55000000000000004">
      <c r="A64" s="132" t="s">
        <v>7</v>
      </c>
      <c r="B64" s="132" t="s">
        <v>15</v>
      </c>
      <c r="C64" s="144">
        <v>70</v>
      </c>
      <c r="D64">
        <v>1</v>
      </c>
      <c r="E64" s="173">
        <v>63.950270870933309</v>
      </c>
      <c r="F64" s="159">
        <v>543.30347116947178</v>
      </c>
      <c r="G64" s="158">
        <v>1882480959.4650002</v>
      </c>
      <c r="H64" s="131">
        <v>44556</v>
      </c>
    </row>
    <row r="65" spans="1:11" hidden="1" x14ac:dyDescent="0.55000000000000004">
      <c r="A65" s="81" t="s">
        <v>7</v>
      </c>
      <c r="B65" s="81" t="s">
        <v>15</v>
      </c>
      <c r="C65" s="144">
        <v>71</v>
      </c>
      <c r="D65">
        <v>1</v>
      </c>
      <c r="E65" s="173">
        <v>59.119495846738573</v>
      </c>
      <c r="F65" s="170">
        <v>725.24301646232607</v>
      </c>
      <c r="G65" s="146">
        <v>1047120820.23</v>
      </c>
      <c r="H65" s="80">
        <v>44557</v>
      </c>
    </row>
    <row r="66" spans="1:11" hidden="1" x14ac:dyDescent="0.55000000000000004">
      <c r="A66" s="132" t="s">
        <v>7</v>
      </c>
      <c r="B66" s="132" t="s">
        <v>15</v>
      </c>
      <c r="C66" s="144">
        <v>72</v>
      </c>
      <c r="D66">
        <v>1</v>
      </c>
      <c r="E66" s="173">
        <v>56.202412556536729</v>
      </c>
      <c r="F66" s="173">
        <v>376.74743983149529</v>
      </c>
      <c r="G66" s="158">
        <v>525961661.85000002</v>
      </c>
      <c r="H66" s="131">
        <v>44558</v>
      </c>
    </row>
    <row r="67" spans="1:11" hidden="1" x14ac:dyDescent="0.55000000000000004">
      <c r="A67" s="87" t="s">
        <v>7</v>
      </c>
      <c r="B67" s="87" t="s">
        <v>15</v>
      </c>
      <c r="C67" s="144">
        <v>73</v>
      </c>
      <c r="D67">
        <v>1</v>
      </c>
      <c r="E67" s="173">
        <v>52.265601278108079</v>
      </c>
      <c r="F67" s="170">
        <v>28.251863200664527</v>
      </c>
      <c r="G67" s="161">
        <v>4802503.4700000007</v>
      </c>
      <c r="H67" s="86">
        <v>44559</v>
      </c>
      <c r="K67" s="3"/>
    </row>
    <row r="68" spans="1:11" hidden="1" x14ac:dyDescent="0.55000000000000004">
      <c r="A68" s="90" t="s">
        <v>7</v>
      </c>
      <c r="B68" s="90" t="s">
        <v>15</v>
      </c>
      <c r="C68" s="144">
        <v>74</v>
      </c>
      <c r="D68">
        <v>1</v>
      </c>
      <c r="E68" s="173">
        <v>51.057840036548441</v>
      </c>
      <c r="F68" s="170">
        <v>428.93876434326177</v>
      </c>
      <c r="G68" s="161">
        <v>343846307.23000002</v>
      </c>
      <c r="H68" s="89">
        <v>44560</v>
      </c>
      <c r="K68" s="3"/>
    </row>
    <row r="69" spans="1:11" hidden="1" x14ac:dyDescent="0.55000000000000004">
      <c r="A69" s="93" t="s">
        <v>7</v>
      </c>
      <c r="B69" s="93" t="s">
        <v>15</v>
      </c>
      <c r="C69" s="144">
        <v>75</v>
      </c>
      <c r="D69">
        <v>1</v>
      </c>
      <c r="E69" s="173">
        <v>48.889399212959688</v>
      </c>
      <c r="F69" s="170">
        <v>7.2203142356872565</v>
      </c>
      <c r="G69" s="161">
        <v>817328.06</v>
      </c>
      <c r="H69" s="92">
        <v>44561</v>
      </c>
      <c r="K69" s="3"/>
    </row>
    <row r="70" spans="1:11" hidden="1" x14ac:dyDescent="0.55000000000000004">
      <c r="A70" s="132" t="s">
        <v>6</v>
      </c>
      <c r="B70" s="132" t="s">
        <v>13</v>
      </c>
      <c r="C70" s="144">
        <v>76</v>
      </c>
      <c r="D70" s="144">
        <v>3</v>
      </c>
      <c r="E70" s="176">
        <v>76</v>
      </c>
      <c r="F70" s="253">
        <v>18.76605949975783</v>
      </c>
      <c r="G70" s="160">
        <v>31559505.250610352</v>
      </c>
      <c r="H70" s="131">
        <v>44531</v>
      </c>
    </row>
    <row r="71" spans="1:11" s="132" customFormat="1" hidden="1" x14ac:dyDescent="0.55000000000000004">
      <c r="A71" s="9" t="s">
        <v>6</v>
      </c>
      <c r="B71" s="9" t="s">
        <v>13</v>
      </c>
      <c r="C71" s="144">
        <v>77</v>
      </c>
      <c r="D71" s="144">
        <v>3</v>
      </c>
      <c r="E71" s="175">
        <v>64</v>
      </c>
      <c r="F71" s="171">
        <v>286.52542014122008</v>
      </c>
      <c r="G71" s="146">
        <v>1278932432.9200001</v>
      </c>
      <c r="H71" s="8">
        <v>44532</v>
      </c>
    </row>
    <row r="72" spans="1:11" hidden="1" x14ac:dyDescent="0.55000000000000004">
      <c r="A72" s="132" t="s">
        <v>6</v>
      </c>
      <c r="B72" s="132" t="s">
        <v>13</v>
      </c>
      <c r="C72" s="144">
        <v>78</v>
      </c>
      <c r="D72" s="144">
        <v>3</v>
      </c>
      <c r="E72" s="176">
        <v>56</v>
      </c>
      <c r="F72" s="253">
        <v>13</v>
      </c>
      <c r="G72" s="160">
        <v>244727455</v>
      </c>
      <c r="H72" s="131">
        <v>44533</v>
      </c>
    </row>
    <row r="73" spans="1:11" s="132" customFormat="1" hidden="1" x14ac:dyDescent="0.55000000000000004">
      <c r="A73" s="132" t="s">
        <v>6</v>
      </c>
      <c r="B73" s="132" t="s">
        <v>13</v>
      </c>
      <c r="C73" s="144">
        <v>79</v>
      </c>
      <c r="D73" s="144">
        <v>3</v>
      </c>
      <c r="E73" s="176">
        <v>55</v>
      </c>
      <c r="F73" s="149">
        <v>10</v>
      </c>
      <c r="G73" s="142">
        <v>210913943</v>
      </c>
      <c r="H73" s="131">
        <v>44534</v>
      </c>
    </row>
    <row r="74" spans="1:11" hidden="1" x14ac:dyDescent="0.55000000000000004">
      <c r="A74" s="132" t="s">
        <v>6</v>
      </c>
      <c r="B74" s="132" t="s">
        <v>13</v>
      </c>
      <c r="C74" s="144">
        <v>80</v>
      </c>
      <c r="D74" s="144">
        <v>3</v>
      </c>
      <c r="E74" s="176">
        <v>93</v>
      </c>
      <c r="F74" s="149">
        <v>6</v>
      </c>
      <c r="G74" s="160">
        <v>174666143</v>
      </c>
      <c r="H74" s="131">
        <v>44535</v>
      </c>
    </row>
    <row r="75" spans="1:11" hidden="1" x14ac:dyDescent="0.55000000000000004">
      <c r="A75" s="21" t="s">
        <v>6</v>
      </c>
      <c r="B75" s="21" t="s">
        <v>13</v>
      </c>
      <c r="C75" s="144">
        <v>81</v>
      </c>
      <c r="D75" s="144">
        <v>3</v>
      </c>
      <c r="E75" s="175">
        <v>114</v>
      </c>
      <c r="F75" s="170">
        <v>2.0902160799503329</v>
      </c>
      <c r="G75" s="146">
        <v>6469973.2800000003</v>
      </c>
      <c r="H75" s="20">
        <v>44536</v>
      </c>
    </row>
    <row r="76" spans="1:11" hidden="1" x14ac:dyDescent="0.55000000000000004">
      <c r="A76" s="132" t="s">
        <v>6</v>
      </c>
      <c r="B76" s="132" t="s">
        <v>13</v>
      </c>
      <c r="C76" s="144">
        <v>82</v>
      </c>
      <c r="D76" s="144">
        <v>3</v>
      </c>
      <c r="E76" s="176">
        <v>123</v>
      </c>
      <c r="F76" s="143">
        <v>17.560952375531198</v>
      </c>
      <c r="G76" s="134">
        <v>48374346.900000006</v>
      </c>
      <c r="H76" s="131">
        <v>44537</v>
      </c>
    </row>
    <row r="77" spans="1:11" hidden="1" x14ac:dyDescent="0.55000000000000004">
      <c r="A77" s="27" t="s">
        <v>6</v>
      </c>
      <c r="B77" s="27" t="s">
        <v>13</v>
      </c>
      <c r="C77" s="144">
        <v>83</v>
      </c>
      <c r="D77" s="144">
        <v>3</v>
      </c>
      <c r="E77" s="175">
        <v>103</v>
      </c>
      <c r="F77" s="169">
        <v>33.031688671112057</v>
      </c>
      <c r="G77" s="4">
        <v>90278720.520000011</v>
      </c>
      <c r="H77" s="26">
        <v>44538</v>
      </c>
    </row>
    <row r="78" spans="1:11" hidden="1" x14ac:dyDescent="0.55000000000000004">
      <c r="A78" s="132" t="s">
        <v>6</v>
      </c>
      <c r="B78" s="132" t="s">
        <v>13</v>
      </c>
      <c r="C78" s="144">
        <v>84</v>
      </c>
      <c r="D78" s="144">
        <v>3</v>
      </c>
      <c r="E78" s="176">
        <v>95</v>
      </c>
      <c r="F78" s="143">
        <v>40.73932120323181</v>
      </c>
      <c r="G78" s="134">
        <v>49258994.545000002</v>
      </c>
      <c r="H78" s="131">
        <v>44539</v>
      </c>
    </row>
    <row r="79" spans="1:11" hidden="1" x14ac:dyDescent="0.55000000000000004">
      <c r="A79" s="33" t="s">
        <v>6</v>
      </c>
      <c r="B79" s="33" t="s">
        <v>13</v>
      </c>
      <c r="C79" s="144">
        <v>85</v>
      </c>
      <c r="D79" s="144">
        <v>3</v>
      </c>
      <c r="E79" s="175">
        <v>101</v>
      </c>
      <c r="F79" s="170">
        <v>48.446953735351563</v>
      </c>
      <c r="G79" s="161">
        <v>8239268.5700000003</v>
      </c>
      <c r="H79" s="32">
        <v>44540</v>
      </c>
    </row>
    <row r="80" spans="1:11" hidden="1" x14ac:dyDescent="0.55000000000000004">
      <c r="A80" s="132" t="s">
        <v>6</v>
      </c>
      <c r="B80" s="132" t="s">
        <v>13</v>
      </c>
      <c r="C80" s="144">
        <v>86</v>
      </c>
      <c r="D80" s="144">
        <v>3</v>
      </c>
      <c r="E80" s="176">
        <v>117</v>
      </c>
      <c r="F80" s="149">
        <v>63.141379654582124</v>
      </c>
      <c r="G80" s="160">
        <v>41851232.230499268</v>
      </c>
      <c r="H80" s="131">
        <v>44541</v>
      </c>
    </row>
    <row r="81" spans="1:8" hidden="1" x14ac:dyDescent="0.55000000000000004">
      <c r="A81" s="132" t="s">
        <v>6</v>
      </c>
      <c r="B81" s="132" t="s">
        <v>13</v>
      </c>
      <c r="C81" s="144">
        <v>87</v>
      </c>
      <c r="D81" s="144">
        <v>3</v>
      </c>
      <c r="E81" s="176">
        <v>77</v>
      </c>
      <c r="F81" s="253">
        <v>72.556895014655311</v>
      </c>
      <c r="G81" s="142">
        <v>19074808.166442871</v>
      </c>
      <c r="H81" s="131">
        <v>44542</v>
      </c>
    </row>
    <row r="82" spans="1:8" hidden="1" x14ac:dyDescent="0.55000000000000004">
      <c r="A82" s="39" t="s">
        <v>6</v>
      </c>
      <c r="B82" s="39" t="s">
        <v>13</v>
      </c>
      <c r="C82" s="144">
        <v>88</v>
      </c>
      <c r="D82" s="144">
        <v>3</v>
      </c>
      <c r="E82" s="175">
        <v>81</v>
      </c>
      <c r="F82" s="171">
        <v>3.0138697457313532</v>
      </c>
      <c r="G82" s="161">
        <v>753667.34000000008</v>
      </c>
      <c r="H82" s="38">
        <v>44543</v>
      </c>
    </row>
    <row r="83" spans="1:8" hidden="1" x14ac:dyDescent="0.55000000000000004">
      <c r="A83" t="s">
        <v>6</v>
      </c>
      <c r="B83" t="s">
        <v>13</v>
      </c>
      <c r="C83" s="144">
        <v>89</v>
      </c>
      <c r="D83" s="144">
        <v>3</v>
      </c>
      <c r="E83" s="176">
        <v>81</v>
      </c>
      <c r="F83" s="3">
        <v>55.402052113873651</v>
      </c>
      <c r="G83" s="161">
        <v>13065446.474822998</v>
      </c>
      <c r="H83" s="1">
        <v>44544</v>
      </c>
    </row>
    <row r="84" spans="1:8" hidden="1" x14ac:dyDescent="0.55000000000000004">
      <c r="A84" t="s">
        <v>6</v>
      </c>
      <c r="B84" t="s">
        <v>13</v>
      </c>
      <c r="C84" s="144">
        <v>90</v>
      </c>
      <c r="D84" s="144">
        <v>3</v>
      </c>
      <c r="E84" s="176">
        <v>72</v>
      </c>
      <c r="F84" s="3">
        <v>53.787304290774046</v>
      </c>
      <c r="G84" s="161">
        <v>6409091</v>
      </c>
      <c r="H84" s="1">
        <v>44545</v>
      </c>
    </row>
    <row r="85" spans="1:8" hidden="1" x14ac:dyDescent="0.55000000000000004">
      <c r="A85" s="48" t="s">
        <v>6</v>
      </c>
      <c r="B85" s="48" t="s">
        <v>13</v>
      </c>
      <c r="C85" s="144">
        <v>91</v>
      </c>
      <c r="D85" s="144">
        <v>3</v>
      </c>
      <c r="E85" s="175">
        <v>64</v>
      </c>
      <c r="F85" s="169">
        <v>13.28764391899109</v>
      </c>
      <c r="G85" s="161">
        <v>63706964.330000006</v>
      </c>
      <c r="H85" s="47">
        <v>44546</v>
      </c>
    </row>
    <row r="86" spans="1:8" hidden="1" x14ac:dyDescent="0.55000000000000004">
      <c r="A86" s="132" t="s">
        <v>6</v>
      </c>
      <c r="B86" s="132" t="s">
        <v>13</v>
      </c>
      <c r="C86" s="144">
        <v>92</v>
      </c>
      <c r="D86" s="144">
        <v>3</v>
      </c>
      <c r="E86" s="176">
        <v>80</v>
      </c>
      <c r="F86" s="173">
        <v>12.311260857582093</v>
      </c>
      <c r="G86" s="158">
        <v>33089495.875000004</v>
      </c>
      <c r="H86" s="131">
        <v>44547</v>
      </c>
    </row>
    <row r="87" spans="1:8" hidden="1" x14ac:dyDescent="0.55000000000000004">
      <c r="A87" s="60" t="s">
        <v>6</v>
      </c>
      <c r="B87" s="60" t="s">
        <v>13</v>
      </c>
      <c r="C87" s="144">
        <v>93</v>
      </c>
      <c r="D87" s="144">
        <v>3</v>
      </c>
      <c r="E87" s="173">
        <v>87.315789473684163</v>
      </c>
      <c r="F87" s="169">
        <v>250.55280395507813</v>
      </c>
      <c r="G87" s="4">
        <v>51808775.120000005</v>
      </c>
      <c r="H87" s="59">
        <v>44550</v>
      </c>
    </row>
    <row r="88" spans="1:8" hidden="1" x14ac:dyDescent="0.55000000000000004">
      <c r="A88" s="63" t="s">
        <v>6</v>
      </c>
      <c r="B88" s="63" t="s">
        <v>13</v>
      </c>
      <c r="C88" s="144">
        <v>94</v>
      </c>
      <c r="D88" s="144">
        <v>3</v>
      </c>
      <c r="E88" s="173">
        <v>86.522622345336913</v>
      </c>
      <c r="F88" s="171">
        <v>75.536781921386719</v>
      </c>
      <c r="G88" s="161">
        <v>1054488820.97</v>
      </c>
      <c r="H88" s="62">
        <v>44551</v>
      </c>
    </row>
    <row r="89" spans="1:8" s="132" customFormat="1" hidden="1" x14ac:dyDescent="0.55000000000000004">
      <c r="A89" s="66" t="s">
        <v>6</v>
      </c>
      <c r="B89" s="66" t="s">
        <v>13</v>
      </c>
      <c r="C89" s="144">
        <v>95</v>
      </c>
      <c r="D89" s="144">
        <v>3</v>
      </c>
      <c r="E89" s="173">
        <v>83.890265830781573</v>
      </c>
      <c r="F89" s="170">
        <v>2.0324618244171138</v>
      </c>
      <c r="G89" s="146">
        <v>443714.02</v>
      </c>
      <c r="H89" s="65">
        <v>44552</v>
      </c>
    </row>
    <row r="90" spans="1:8" s="132" customFormat="1" hidden="1" x14ac:dyDescent="0.55000000000000004">
      <c r="A90" s="69" t="s">
        <v>6</v>
      </c>
      <c r="B90" s="69" t="s">
        <v>13</v>
      </c>
      <c r="C90" s="144">
        <v>96</v>
      </c>
      <c r="D90" s="144">
        <v>3</v>
      </c>
      <c r="E90" s="173">
        <v>79.326139131670061</v>
      </c>
      <c r="F90" s="170">
        <v>208.73780609130858</v>
      </c>
      <c r="G90" s="146">
        <v>2348918482.2600002</v>
      </c>
      <c r="H90" s="68">
        <v>44553</v>
      </c>
    </row>
    <row r="91" spans="1:8" hidden="1" x14ac:dyDescent="0.55000000000000004">
      <c r="A91" s="72" t="s">
        <v>6</v>
      </c>
      <c r="B91" s="72" t="s">
        <v>13</v>
      </c>
      <c r="C91" s="144">
        <v>97</v>
      </c>
      <c r="D91" s="144">
        <v>3</v>
      </c>
      <c r="E91" s="173">
        <v>73.189033726928756</v>
      </c>
      <c r="F91" s="169">
        <v>43.725902824401857</v>
      </c>
      <c r="G91" s="161">
        <v>8764159.2100000009</v>
      </c>
      <c r="H91" s="71">
        <v>44554</v>
      </c>
    </row>
    <row r="92" spans="1:8" hidden="1" x14ac:dyDescent="0.55000000000000004">
      <c r="A92" s="132" t="s">
        <v>6</v>
      </c>
      <c r="B92" s="132" t="s">
        <v>13</v>
      </c>
      <c r="C92" s="144">
        <v>98</v>
      </c>
      <c r="D92" s="144">
        <v>3</v>
      </c>
      <c r="E92" s="173">
        <v>69.99979842765606</v>
      </c>
      <c r="F92" s="253">
        <v>132.96628598833922</v>
      </c>
      <c r="G92" s="160">
        <v>1049128174.4560547</v>
      </c>
      <c r="H92" s="131">
        <v>44555</v>
      </c>
    </row>
    <row r="93" spans="1:8" hidden="1" x14ac:dyDescent="0.55000000000000004">
      <c r="A93" s="132" t="s">
        <v>6</v>
      </c>
      <c r="B93" s="132" t="s">
        <v>13</v>
      </c>
      <c r="C93" s="144">
        <v>99</v>
      </c>
      <c r="D93" s="144">
        <v>3</v>
      </c>
      <c r="E93" s="173">
        <v>69.065653350888169</v>
      </c>
      <c r="F93" s="253">
        <v>143.59470867132768</v>
      </c>
      <c r="G93" s="160">
        <v>1222948949.6279297</v>
      </c>
      <c r="H93" s="131">
        <v>44556</v>
      </c>
    </row>
    <row r="94" spans="1:8" s="132" customFormat="1" hidden="1" x14ac:dyDescent="0.55000000000000004">
      <c r="A94" s="81" t="s">
        <v>6</v>
      </c>
      <c r="B94" s="81" t="s">
        <v>13</v>
      </c>
      <c r="C94" s="144">
        <v>100</v>
      </c>
      <c r="D94" s="144">
        <v>3</v>
      </c>
      <c r="E94" s="173">
        <v>69.812042671488598</v>
      </c>
      <c r="F94" s="170">
        <v>43.515040855407719</v>
      </c>
      <c r="G94" s="146">
        <v>1074038752.45</v>
      </c>
      <c r="H94" s="80">
        <v>44557</v>
      </c>
    </row>
    <row r="95" spans="1:8" s="132" customFormat="1" hidden="1" x14ac:dyDescent="0.55000000000000004">
      <c r="A95" s="84" t="s">
        <v>6</v>
      </c>
      <c r="B95" s="84" t="s">
        <v>13</v>
      </c>
      <c r="C95" s="144">
        <v>101</v>
      </c>
      <c r="D95" s="144">
        <v>3</v>
      </c>
      <c r="E95" s="173">
        <v>69.205642842905945</v>
      </c>
      <c r="F95" s="170">
        <v>47.547704582214358</v>
      </c>
      <c r="G95" s="146">
        <v>10015093</v>
      </c>
      <c r="H95" s="83">
        <v>44558</v>
      </c>
    </row>
    <row r="96" spans="1:8" hidden="1" x14ac:dyDescent="0.55000000000000004">
      <c r="A96" s="87" t="s">
        <v>6</v>
      </c>
      <c r="B96" s="87" t="s">
        <v>13</v>
      </c>
      <c r="C96" s="144">
        <v>102</v>
      </c>
      <c r="D96" s="144">
        <v>3</v>
      </c>
      <c r="E96" s="173">
        <v>68.071368617580447</v>
      </c>
      <c r="F96" s="171">
        <v>301.54893873929973</v>
      </c>
      <c r="G96" s="161">
        <v>56880493.800000004</v>
      </c>
      <c r="H96" s="86">
        <v>44559</v>
      </c>
    </row>
    <row r="97" spans="1:8" hidden="1" x14ac:dyDescent="0.55000000000000004">
      <c r="A97" s="132" t="s">
        <v>6</v>
      </c>
      <c r="B97" s="132" t="s">
        <v>13</v>
      </c>
      <c r="C97" s="144">
        <v>103</v>
      </c>
      <c r="D97" s="144">
        <v>3</v>
      </c>
      <c r="E97" s="173">
        <v>67.887674505465839</v>
      </c>
      <c r="F97" s="253">
        <v>172.98819457140053</v>
      </c>
      <c r="G97" s="160">
        <v>854077912.87963867</v>
      </c>
      <c r="H97" s="131">
        <v>44560</v>
      </c>
    </row>
    <row r="98" spans="1:8" hidden="1" x14ac:dyDescent="0.55000000000000004">
      <c r="A98" s="132" t="s">
        <v>6</v>
      </c>
      <c r="B98" s="132" t="s">
        <v>13</v>
      </c>
      <c r="C98" s="144">
        <v>104</v>
      </c>
      <c r="D98" s="144">
        <v>3</v>
      </c>
      <c r="E98" s="173">
        <v>70.207915516813955</v>
      </c>
      <c r="F98" s="253">
        <v>181.90880866721272</v>
      </c>
      <c r="G98" s="160">
        <v>873385861.02758789</v>
      </c>
      <c r="H98" s="131">
        <v>44561</v>
      </c>
    </row>
    <row r="99" spans="1:8" hidden="1" x14ac:dyDescent="0.55000000000000004">
      <c r="A99" s="6" t="s">
        <v>4</v>
      </c>
      <c r="B99" s="6" t="s">
        <v>11</v>
      </c>
      <c r="C99" s="144">
        <v>105</v>
      </c>
      <c r="D99">
        <v>4</v>
      </c>
      <c r="E99" s="175">
        <v>92</v>
      </c>
      <c r="F99" s="171">
        <v>420.17333923339851</v>
      </c>
      <c r="G99" s="161">
        <v>85137418.670000002</v>
      </c>
      <c r="H99" s="5">
        <v>44531</v>
      </c>
    </row>
    <row r="100" spans="1:8" hidden="1" x14ac:dyDescent="0.55000000000000004">
      <c r="A100" s="9" t="s">
        <v>4</v>
      </c>
      <c r="B100" s="9" t="s">
        <v>11</v>
      </c>
      <c r="C100" s="144">
        <v>106</v>
      </c>
      <c r="D100">
        <v>4</v>
      </c>
      <c r="E100" s="175">
        <v>93</v>
      </c>
      <c r="F100" s="171">
        <v>7.7173205089569095</v>
      </c>
      <c r="G100" s="161">
        <v>1242221.8500000001</v>
      </c>
      <c r="H100" s="8">
        <v>44532</v>
      </c>
    </row>
    <row r="101" spans="1:8" hidden="1" x14ac:dyDescent="0.55000000000000004">
      <c r="A101" s="12" t="s">
        <v>4</v>
      </c>
      <c r="B101" s="12" t="s">
        <v>11</v>
      </c>
      <c r="C101" s="144">
        <v>107</v>
      </c>
      <c r="D101">
        <v>4</v>
      </c>
      <c r="E101" s="175">
        <v>77</v>
      </c>
      <c r="F101" s="171">
        <v>1312.9918798828126</v>
      </c>
      <c r="G101" s="161">
        <v>3491333891.9700003</v>
      </c>
      <c r="H101" s="11">
        <v>44533</v>
      </c>
    </row>
    <row r="102" spans="1:8" hidden="1" x14ac:dyDescent="0.55000000000000004">
      <c r="A102" s="15" t="s">
        <v>4</v>
      </c>
      <c r="B102" s="15" t="s">
        <v>11</v>
      </c>
      <c r="C102" s="144">
        <v>108</v>
      </c>
      <c r="D102">
        <v>4</v>
      </c>
      <c r="E102" s="175">
        <v>116</v>
      </c>
      <c r="F102" s="171">
        <v>8.7129330921173107</v>
      </c>
      <c r="G102" s="146">
        <v>38951720.390000001</v>
      </c>
      <c r="H102" s="14">
        <v>44534</v>
      </c>
    </row>
    <row r="103" spans="1:8" hidden="1" x14ac:dyDescent="0.55000000000000004">
      <c r="A103" s="18" t="s">
        <v>4</v>
      </c>
      <c r="B103" s="18" t="s">
        <v>11</v>
      </c>
      <c r="C103" s="144">
        <v>109</v>
      </c>
      <c r="D103">
        <v>4</v>
      </c>
      <c r="E103" s="175">
        <v>110</v>
      </c>
      <c r="F103" s="169">
        <v>78.963978729248055</v>
      </c>
      <c r="G103" s="161">
        <v>627671259.78000009</v>
      </c>
      <c r="H103" s="17">
        <v>44535</v>
      </c>
    </row>
    <row r="104" spans="1:8" hidden="1" x14ac:dyDescent="0.55000000000000004">
      <c r="A104" s="21" t="s">
        <v>4</v>
      </c>
      <c r="B104" s="21" t="s">
        <v>11</v>
      </c>
      <c r="C104" s="144">
        <v>110</v>
      </c>
      <c r="D104">
        <v>4</v>
      </c>
      <c r="E104" s="175">
        <v>119</v>
      </c>
      <c r="F104" s="170">
        <v>77.044583778381352</v>
      </c>
      <c r="G104" s="146">
        <v>125918153.19000001</v>
      </c>
      <c r="H104" s="20">
        <v>44536</v>
      </c>
    </row>
    <row r="105" spans="1:8" hidden="1" x14ac:dyDescent="0.55000000000000004">
      <c r="A105" t="s">
        <v>4</v>
      </c>
      <c r="B105" t="s">
        <v>11</v>
      </c>
      <c r="C105" s="144">
        <v>111</v>
      </c>
      <c r="D105">
        <v>4</v>
      </c>
      <c r="E105" s="176">
        <v>113</v>
      </c>
      <c r="F105" s="170">
        <v>43.636761498451236</v>
      </c>
      <c r="G105" s="125">
        <v>87435147.370000005</v>
      </c>
      <c r="H105" s="1">
        <v>44537</v>
      </c>
    </row>
    <row r="106" spans="1:8" hidden="1" x14ac:dyDescent="0.55000000000000004">
      <c r="A106" s="27" t="s">
        <v>4</v>
      </c>
      <c r="B106" s="27" t="s">
        <v>11</v>
      </c>
      <c r="C106" s="144">
        <v>112</v>
      </c>
      <c r="D106">
        <v>4</v>
      </c>
      <c r="E106" s="175">
        <v>129</v>
      </c>
      <c r="F106" s="171">
        <v>10.228939218521118</v>
      </c>
      <c r="G106" s="161">
        <v>48952141.550000004</v>
      </c>
      <c r="H106" s="26">
        <v>44538</v>
      </c>
    </row>
    <row r="107" spans="1:8" s="132" customFormat="1" hidden="1" x14ac:dyDescent="0.55000000000000004">
      <c r="A107" s="132" t="s">
        <v>4</v>
      </c>
      <c r="B107" s="132" t="s">
        <v>11</v>
      </c>
      <c r="C107" s="144">
        <v>113</v>
      </c>
      <c r="D107">
        <v>4</v>
      </c>
      <c r="E107" s="176">
        <v>140</v>
      </c>
      <c r="F107" s="149">
        <v>94</v>
      </c>
      <c r="G107" s="142">
        <v>63516316.354492188</v>
      </c>
      <c r="H107" s="131">
        <v>44539</v>
      </c>
    </row>
    <row r="108" spans="1:8" hidden="1" x14ac:dyDescent="0.55000000000000004">
      <c r="A108" s="132" t="s">
        <v>4</v>
      </c>
      <c r="B108" s="132" t="s">
        <v>11</v>
      </c>
      <c r="C108" s="144">
        <v>114</v>
      </c>
      <c r="D108">
        <v>4</v>
      </c>
      <c r="E108" s="176">
        <v>115</v>
      </c>
      <c r="F108" s="149">
        <v>107</v>
      </c>
      <c r="G108" s="160">
        <v>357173800</v>
      </c>
      <c r="H108" s="131">
        <v>44540</v>
      </c>
    </row>
    <row r="109" spans="1:8" hidden="1" x14ac:dyDescent="0.55000000000000004">
      <c r="A109" s="36" t="s">
        <v>4</v>
      </c>
      <c r="B109" s="36" t="s">
        <v>11</v>
      </c>
      <c r="C109" s="144">
        <v>115</v>
      </c>
      <c r="D109">
        <v>4</v>
      </c>
      <c r="E109" s="175">
        <v>97</v>
      </c>
      <c r="F109" s="170">
        <v>180.23321695327763</v>
      </c>
      <c r="G109" s="146">
        <v>28413310.720000003</v>
      </c>
      <c r="H109" s="35">
        <v>44541</v>
      </c>
    </row>
    <row r="110" spans="1:8" hidden="1" x14ac:dyDescent="0.55000000000000004">
      <c r="A110" s="132" t="s">
        <v>4</v>
      </c>
      <c r="B110" s="132" t="s">
        <v>11</v>
      </c>
      <c r="C110" s="144">
        <v>116</v>
      </c>
      <c r="D110">
        <v>4</v>
      </c>
      <c r="E110" s="177">
        <v>111</v>
      </c>
      <c r="F110" s="143">
        <v>190.66370976448061</v>
      </c>
      <c r="G110" s="134">
        <v>35026690.215000004</v>
      </c>
      <c r="H110" s="131">
        <v>44542</v>
      </c>
    </row>
    <row r="111" spans="1:8" hidden="1" x14ac:dyDescent="0.55000000000000004">
      <c r="A111" s="39" t="s">
        <v>4</v>
      </c>
      <c r="B111" s="39" t="s">
        <v>11</v>
      </c>
      <c r="C111" s="144">
        <v>117</v>
      </c>
      <c r="D111">
        <v>4</v>
      </c>
      <c r="E111" s="175">
        <v>132</v>
      </c>
      <c r="F111" s="171">
        <v>201.09420257568357</v>
      </c>
      <c r="G111" s="161">
        <v>41640069.710000001</v>
      </c>
      <c r="H111" s="38">
        <v>44543</v>
      </c>
    </row>
    <row r="112" spans="1:8" hidden="1" x14ac:dyDescent="0.55000000000000004">
      <c r="A112" s="132" t="s">
        <v>4</v>
      </c>
      <c r="B112" s="132" t="s">
        <v>11</v>
      </c>
      <c r="C112" s="144">
        <v>118</v>
      </c>
      <c r="D112">
        <v>4</v>
      </c>
      <c r="E112" s="176">
        <v>128</v>
      </c>
      <c r="F112" s="149">
        <v>30.471607838291675</v>
      </c>
      <c r="G112" s="160">
        <v>158828056</v>
      </c>
      <c r="H112" s="131">
        <v>44544</v>
      </c>
    </row>
    <row r="113" spans="1:8" hidden="1" x14ac:dyDescent="0.55000000000000004">
      <c r="A113" s="132" t="s">
        <v>4</v>
      </c>
      <c r="B113" s="132" t="s">
        <v>11</v>
      </c>
      <c r="C113" s="144">
        <v>119</v>
      </c>
      <c r="D113">
        <v>4</v>
      </c>
      <c r="E113" s="176">
        <v>108</v>
      </c>
      <c r="F113" s="149">
        <v>15.555403747246601</v>
      </c>
      <c r="G113" s="160">
        <v>287139617</v>
      </c>
      <c r="H113" s="131">
        <v>44545</v>
      </c>
    </row>
    <row r="114" spans="1:8" hidden="1" x14ac:dyDescent="0.55000000000000004">
      <c r="A114" s="48" t="s">
        <v>4</v>
      </c>
      <c r="B114" s="48" t="s">
        <v>11</v>
      </c>
      <c r="C114" s="144">
        <v>120</v>
      </c>
      <c r="D114">
        <v>4</v>
      </c>
      <c r="E114" s="175">
        <v>109</v>
      </c>
      <c r="F114" s="171">
        <v>124.69573817729948</v>
      </c>
      <c r="G114" s="161">
        <v>421374772.93000001</v>
      </c>
      <c r="H114" s="47">
        <v>44546</v>
      </c>
    </row>
    <row r="115" spans="1:8" hidden="1" x14ac:dyDescent="0.55000000000000004">
      <c r="A115" s="51" t="s">
        <v>4</v>
      </c>
      <c r="B115" s="51" t="s">
        <v>11</v>
      </c>
      <c r="C115" s="144">
        <v>121</v>
      </c>
      <c r="D115">
        <v>4</v>
      </c>
      <c r="E115" s="175">
        <v>101</v>
      </c>
      <c r="F115" s="169">
        <v>268.97417149543764</v>
      </c>
      <c r="G115" s="4">
        <v>2526212444.7000003</v>
      </c>
      <c r="H115" s="50">
        <v>44547</v>
      </c>
    </row>
    <row r="116" spans="1:8" s="132" customFormat="1" hidden="1" x14ac:dyDescent="0.55000000000000004">
      <c r="A116" s="60" t="s">
        <v>4</v>
      </c>
      <c r="B116" s="60" t="s">
        <v>11</v>
      </c>
      <c r="C116" s="144">
        <v>122</v>
      </c>
      <c r="D116">
        <v>4</v>
      </c>
      <c r="E116" s="173">
        <v>116.9122807017593</v>
      </c>
      <c r="F116" s="170">
        <v>144.35050384521483</v>
      </c>
      <c r="G116" s="146">
        <v>43254999.310000002</v>
      </c>
      <c r="H116" s="59">
        <v>44550</v>
      </c>
    </row>
    <row r="117" spans="1:8" s="132" customFormat="1" hidden="1" x14ac:dyDescent="0.55000000000000004">
      <c r="A117" s="132" t="s">
        <v>4</v>
      </c>
      <c r="B117" s="132" t="s">
        <v>11</v>
      </c>
      <c r="C117" s="144">
        <v>123</v>
      </c>
      <c r="D117">
        <v>4</v>
      </c>
      <c r="E117" s="173">
        <v>115.94644506002078</v>
      </c>
      <c r="F117" s="147">
        <v>37.433015928021632</v>
      </c>
      <c r="G117" s="148">
        <v>409553585.95596313</v>
      </c>
      <c r="H117" s="131">
        <v>44551</v>
      </c>
    </row>
    <row r="118" spans="1:8" hidden="1" x14ac:dyDescent="0.55000000000000004">
      <c r="A118" s="132" t="s">
        <v>4</v>
      </c>
      <c r="B118" s="132" t="s">
        <v>11</v>
      </c>
      <c r="C118" s="144">
        <v>124</v>
      </c>
      <c r="D118">
        <v>4</v>
      </c>
      <c r="E118" s="173">
        <v>114.46302506034408</v>
      </c>
      <c r="F118" s="253">
        <v>38.312571053393185</v>
      </c>
      <c r="G118" s="160">
        <v>354155576.64886475</v>
      </c>
      <c r="H118" s="131">
        <v>44552</v>
      </c>
    </row>
    <row r="119" spans="1:8" hidden="1" x14ac:dyDescent="0.55000000000000004">
      <c r="A119" s="69" t="s">
        <v>4</v>
      </c>
      <c r="B119" s="69" t="s">
        <v>11</v>
      </c>
      <c r="C119" s="144">
        <v>125</v>
      </c>
      <c r="D119">
        <v>4</v>
      </c>
      <c r="E119" s="173">
        <v>110.29982462109183</v>
      </c>
      <c r="F119" s="171">
        <v>25.271096763610839</v>
      </c>
      <c r="G119" s="161">
        <v>8785402.9900000002</v>
      </c>
      <c r="H119" s="68">
        <v>44553</v>
      </c>
    </row>
    <row r="120" spans="1:8" hidden="1" x14ac:dyDescent="0.55000000000000004">
      <c r="A120" s="72" t="s">
        <v>4</v>
      </c>
      <c r="B120" s="72" t="s">
        <v>11</v>
      </c>
      <c r="C120" s="144">
        <v>126</v>
      </c>
      <c r="D120">
        <v>4</v>
      </c>
      <c r="E120" s="173">
        <v>109.39238856198062</v>
      </c>
      <c r="F120" s="171">
        <v>131.73973766326907</v>
      </c>
      <c r="G120" s="161">
        <v>25578033.280000001</v>
      </c>
      <c r="H120" s="71">
        <v>44554</v>
      </c>
    </row>
    <row r="121" spans="1:8" hidden="1" x14ac:dyDescent="0.55000000000000004">
      <c r="A121" s="75" t="s">
        <v>4</v>
      </c>
      <c r="B121" s="75" t="s">
        <v>11</v>
      </c>
      <c r="C121" s="144">
        <v>127</v>
      </c>
      <c r="D121">
        <v>4</v>
      </c>
      <c r="E121" s="173">
        <v>107.65707430409748</v>
      </c>
      <c r="F121" s="169">
        <v>74.300312805175793</v>
      </c>
      <c r="G121" s="4">
        <v>44772803.940000005</v>
      </c>
      <c r="H121" s="74">
        <v>44555</v>
      </c>
    </row>
    <row r="122" spans="1:8" hidden="1" x14ac:dyDescent="0.55000000000000004">
      <c r="A122" s="78" t="s">
        <v>4</v>
      </c>
      <c r="B122" s="78" t="s">
        <v>11</v>
      </c>
      <c r="C122" s="144">
        <v>128</v>
      </c>
      <c r="D122">
        <v>4</v>
      </c>
      <c r="E122" s="173">
        <v>106.67235373644507</v>
      </c>
      <c r="F122" s="171">
        <v>5.5127557659149176</v>
      </c>
      <c r="G122" s="161">
        <v>35863047.690000005</v>
      </c>
      <c r="H122" s="77">
        <v>44556</v>
      </c>
    </row>
    <row r="123" spans="1:8" s="132" customFormat="1" hidden="1" x14ac:dyDescent="0.55000000000000004">
      <c r="A123" s="81" t="s">
        <v>4</v>
      </c>
      <c r="B123" s="81" t="s">
        <v>11</v>
      </c>
      <c r="C123" s="144">
        <v>129</v>
      </c>
      <c r="D123">
        <v>4</v>
      </c>
      <c r="E123" s="173">
        <v>104.94248016677011</v>
      </c>
      <c r="F123" s="170">
        <v>27.876668643951415</v>
      </c>
      <c r="G123" s="146">
        <v>5661683.5100000007</v>
      </c>
      <c r="H123" s="80">
        <v>44557</v>
      </c>
    </row>
    <row r="124" spans="1:8" s="132" customFormat="1" hidden="1" x14ac:dyDescent="0.55000000000000004">
      <c r="A124" s="132" t="s">
        <v>4</v>
      </c>
      <c r="B124" s="132" t="s">
        <v>11</v>
      </c>
      <c r="C124" s="144">
        <v>130</v>
      </c>
      <c r="D124">
        <v>4</v>
      </c>
      <c r="E124" s="173">
        <v>104.92434630633215</v>
      </c>
      <c r="F124" s="133">
        <v>8</v>
      </c>
      <c r="G124" s="142">
        <v>128667675.48547363</v>
      </c>
      <c r="H124" s="131">
        <v>44558</v>
      </c>
    </row>
    <row r="125" spans="1:8" s="132" customFormat="1" hidden="1" x14ac:dyDescent="0.55000000000000004">
      <c r="A125" s="132" t="s">
        <v>4</v>
      </c>
      <c r="B125" s="132" t="s">
        <v>11</v>
      </c>
      <c r="C125" s="144">
        <v>131</v>
      </c>
      <c r="D125">
        <v>4</v>
      </c>
      <c r="E125" s="173">
        <v>106.67533373551851</v>
      </c>
      <c r="F125" s="133">
        <v>5</v>
      </c>
      <c r="G125" s="142">
        <v>67542070.411987305</v>
      </c>
      <c r="H125" s="131">
        <v>44559</v>
      </c>
    </row>
    <row r="126" spans="1:8" hidden="1" x14ac:dyDescent="0.55000000000000004">
      <c r="A126" s="132" t="s">
        <v>4</v>
      </c>
      <c r="B126" s="132" t="s">
        <v>11</v>
      </c>
      <c r="C126" s="144">
        <v>132</v>
      </c>
      <c r="D126">
        <v>4</v>
      </c>
      <c r="E126" s="173">
        <v>106.34013700406649</v>
      </c>
      <c r="F126" s="253">
        <v>33</v>
      </c>
      <c r="G126" s="160">
        <v>9942745</v>
      </c>
      <c r="H126" s="131">
        <v>44560</v>
      </c>
    </row>
    <row r="127" spans="1:8" hidden="1" x14ac:dyDescent="0.55000000000000004">
      <c r="A127" s="93" t="s">
        <v>4</v>
      </c>
      <c r="B127" s="93" t="s">
        <v>11</v>
      </c>
      <c r="C127" s="144">
        <v>133</v>
      </c>
      <c r="D127">
        <v>4</v>
      </c>
      <c r="E127" s="173">
        <v>103.86989300046116</v>
      </c>
      <c r="F127" s="171">
        <v>75.280547485351562</v>
      </c>
      <c r="G127" s="161">
        <v>8341615.1400000006</v>
      </c>
      <c r="H127" s="92">
        <v>44561</v>
      </c>
    </row>
    <row r="128" spans="1:8" hidden="1" x14ac:dyDescent="0.55000000000000004">
      <c r="A128" s="6" t="s">
        <v>3</v>
      </c>
      <c r="B128" s="6" t="s">
        <v>10</v>
      </c>
      <c r="C128" s="144">
        <v>134</v>
      </c>
      <c r="D128">
        <v>5</v>
      </c>
      <c r="E128" s="175">
        <v>53</v>
      </c>
      <c r="F128" s="169">
        <v>11.487902727127079</v>
      </c>
      <c r="G128" s="4">
        <v>47407369.710000001</v>
      </c>
      <c r="H128" s="5">
        <v>44531</v>
      </c>
    </row>
    <row r="129" spans="1:12" s="132" customFormat="1" hidden="1" x14ac:dyDescent="0.55000000000000004">
      <c r="A129" s="9" t="s">
        <v>3</v>
      </c>
      <c r="B129" s="9" t="s">
        <v>10</v>
      </c>
      <c r="C129" s="144">
        <v>135</v>
      </c>
      <c r="D129">
        <v>5</v>
      </c>
      <c r="E129" s="175">
        <v>57</v>
      </c>
      <c r="F129" s="169">
        <v>109.37096038818358</v>
      </c>
      <c r="G129" s="146">
        <v>513398941.65000004</v>
      </c>
      <c r="H129" s="8">
        <v>44532</v>
      </c>
    </row>
    <row r="130" spans="1:12" hidden="1" x14ac:dyDescent="0.55000000000000004">
      <c r="A130" s="132" t="s">
        <v>3</v>
      </c>
      <c r="B130" s="132" t="s">
        <v>10</v>
      </c>
      <c r="C130" s="144">
        <v>136</v>
      </c>
      <c r="D130">
        <v>5</v>
      </c>
      <c r="E130" s="176">
        <v>57</v>
      </c>
      <c r="F130" s="159">
        <v>58.591174688339223</v>
      </c>
      <c r="G130" s="158">
        <v>310706319.125</v>
      </c>
      <c r="H130" s="131">
        <v>44533</v>
      </c>
    </row>
    <row r="131" spans="1:12" hidden="1" x14ac:dyDescent="0.55000000000000004">
      <c r="A131" s="15" t="s">
        <v>3</v>
      </c>
      <c r="B131" s="15" t="s">
        <v>10</v>
      </c>
      <c r="C131" s="144">
        <v>137</v>
      </c>
      <c r="D131">
        <v>5</v>
      </c>
      <c r="E131" s="175">
        <v>60</v>
      </c>
      <c r="F131" s="170">
        <v>7.8113889884948735</v>
      </c>
      <c r="G131" s="146">
        <v>108013696.60000001</v>
      </c>
      <c r="H131" s="14">
        <v>44534</v>
      </c>
    </row>
    <row r="132" spans="1:12" hidden="1" x14ac:dyDescent="0.55000000000000004">
      <c r="A132" s="132" t="s">
        <v>3</v>
      </c>
      <c r="B132" s="132" t="s">
        <v>10</v>
      </c>
      <c r="C132" s="144">
        <v>138</v>
      </c>
      <c r="D132">
        <v>5</v>
      </c>
      <c r="E132" s="176">
        <v>60</v>
      </c>
      <c r="F132" s="133">
        <v>31.363024969119579</v>
      </c>
      <c r="G132" s="142">
        <v>239663171.30749512</v>
      </c>
      <c r="H132" s="131">
        <v>44535</v>
      </c>
    </row>
    <row r="133" spans="1:12" hidden="1" x14ac:dyDescent="0.55000000000000004">
      <c r="A133" s="132" t="s">
        <v>3</v>
      </c>
      <c r="B133" s="132" t="s">
        <v>10</v>
      </c>
      <c r="C133" s="144">
        <v>139</v>
      </c>
      <c r="D133">
        <v>5</v>
      </c>
      <c r="E133" s="176">
        <v>55</v>
      </c>
      <c r="F133" s="133">
        <v>19</v>
      </c>
      <c r="G133" s="142">
        <v>36970548.782226563</v>
      </c>
      <c r="H133" s="131">
        <v>44536</v>
      </c>
    </row>
    <row r="134" spans="1:12" hidden="1" x14ac:dyDescent="0.55000000000000004">
      <c r="A134" s="132" t="s">
        <v>3</v>
      </c>
      <c r="B134" s="132" t="s">
        <v>10</v>
      </c>
      <c r="C134" s="144">
        <v>140</v>
      </c>
      <c r="D134">
        <v>5</v>
      </c>
      <c r="E134" s="176">
        <v>62</v>
      </c>
      <c r="F134" s="133">
        <v>5.3859251404064707</v>
      </c>
      <c r="G134" s="142">
        <v>1448974.8735351563</v>
      </c>
      <c r="H134" s="131">
        <v>44537</v>
      </c>
    </row>
    <row r="135" spans="1:12" hidden="1" x14ac:dyDescent="0.55000000000000004">
      <c r="A135" s="132" t="s">
        <v>3</v>
      </c>
      <c r="B135" s="132" t="s">
        <v>10</v>
      </c>
      <c r="C135" s="144">
        <v>141</v>
      </c>
      <c r="D135">
        <v>5</v>
      </c>
      <c r="E135" s="176">
        <v>59</v>
      </c>
      <c r="F135" s="133">
        <v>10.980230646164273</v>
      </c>
      <c r="G135" s="142">
        <v>34072599</v>
      </c>
      <c r="H135" s="131">
        <v>44538</v>
      </c>
      <c r="I135" s="3"/>
      <c r="J135" s="3"/>
      <c r="K135" s="3"/>
      <c r="L135" s="3"/>
    </row>
    <row r="136" spans="1:12" hidden="1" x14ac:dyDescent="0.55000000000000004">
      <c r="A136" s="132" t="s">
        <v>3</v>
      </c>
      <c r="B136" s="132" t="s">
        <v>10</v>
      </c>
      <c r="C136" s="144">
        <v>142</v>
      </c>
      <c r="D136">
        <v>5</v>
      </c>
      <c r="E136" s="176">
        <v>61</v>
      </c>
      <c r="F136" s="149">
        <v>2</v>
      </c>
      <c r="G136" s="142">
        <v>85034499</v>
      </c>
      <c r="H136" s="131">
        <v>44539</v>
      </c>
      <c r="I136" s="3"/>
    </row>
    <row r="137" spans="1:12" hidden="1" x14ac:dyDescent="0.55000000000000004">
      <c r="A137" s="132" t="s">
        <v>3</v>
      </c>
      <c r="B137" s="132" t="s">
        <v>10</v>
      </c>
      <c r="C137" s="144">
        <v>143</v>
      </c>
      <c r="D137">
        <v>5</v>
      </c>
      <c r="E137" s="176">
        <v>59</v>
      </c>
      <c r="F137" s="149">
        <v>2</v>
      </c>
      <c r="G137" s="142">
        <v>83585524.108886719</v>
      </c>
      <c r="H137" s="131">
        <v>44540</v>
      </c>
      <c r="I137" s="3"/>
    </row>
    <row r="138" spans="1:12" hidden="1" x14ac:dyDescent="0.55000000000000004">
      <c r="A138" s="132" t="s">
        <v>3</v>
      </c>
      <c r="B138" s="132" t="s">
        <v>10</v>
      </c>
      <c r="C138" s="144">
        <v>144</v>
      </c>
      <c r="D138">
        <v>5</v>
      </c>
      <c r="E138" s="176">
        <v>55</v>
      </c>
      <c r="F138" s="149">
        <v>4</v>
      </c>
      <c r="G138" s="142">
        <v>125378286.17211914</v>
      </c>
      <c r="H138" s="131">
        <v>44541</v>
      </c>
      <c r="I138" s="3"/>
    </row>
    <row r="139" spans="1:12" hidden="1" x14ac:dyDescent="0.55000000000000004">
      <c r="A139" s="132" t="s">
        <v>3</v>
      </c>
      <c r="B139" s="132" t="s">
        <v>10</v>
      </c>
      <c r="C139" s="144">
        <v>145</v>
      </c>
      <c r="D139">
        <v>5</v>
      </c>
      <c r="E139" s="176">
        <v>65</v>
      </c>
      <c r="F139" s="149">
        <v>10</v>
      </c>
      <c r="G139" s="142">
        <v>150134748.7265625</v>
      </c>
      <c r="H139" s="131">
        <v>44542</v>
      </c>
      <c r="I139" s="3"/>
    </row>
    <row r="140" spans="1:12" hidden="1" x14ac:dyDescent="0.55000000000000004">
      <c r="A140" s="132" t="s">
        <v>3</v>
      </c>
      <c r="B140" s="132" t="s">
        <v>10</v>
      </c>
      <c r="C140" s="144">
        <v>146</v>
      </c>
      <c r="D140">
        <v>5</v>
      </c>
      <c r="E140" s="176">
        <v>71</v>
      </c>
      <c r="F140" s="149">
        <v>13</v>
      </c>
      <c r="G140" s="142">
        <v>170306642.31262207</v>
      </c>
      <c r="H140" s="131">
        <v>44543</v>
      </c>
      <c r="I140" s="3"/>
    </row>
    <row r="141" spans="1:12" hidden="1" x14ac:dyDescent="0.55000000000000004">
      <c r="A141" s="132" t="s">
        <v>3</v>
      </c>
      <c r="B141" s="132" t="s">
        <v>10</v>
      </c>
      <c r="C141" s="144">
        <v>147</v>
      </c>
      <c r="D141">
        <v>5</v>
      </c>
      <c r="E141" s="176">
        <v>68</v>
      </c>
      <c r="F141" s="149">
        <v>17</v>
      </c>
      <c r="G141" s="142">
        <v>203581254.62133789</v>
      </c>
      <c r="H141" s="131">
        <v>44544</v>
      </c>
      <c r="I141" s="3"/>
    </row>
    <row r="142" spans="1:12" hidden="1" x14ac:dyDescent="0.55000000000000004">
      <c r="A142" s="132" t="s">
        <v>3</v>
      </c>
      <c r="B142" s="132" t="s">
        <v>10</v>
      </c>
      <c r="C142" s="144">
        <v>148</v>
      </c>
      <c r="D142">
        <v>5</v>
      </c>
      <c r="E142" s="176">
        <v>68</v>
      </c>
      <c r="F142" s="149">
        <v>22</v>
      </c>
      <c r="G142" s="160">
        <v>226045432.69165039</v>
      </c>
      <c r="H142" s="131">
        <v>44545</v>
      </c>
    </row>
    <row r="143" spans="1:12" hidden="1" x14ac:dyDescent="0.55000000000000004">
      <c r="A143" s="151" t="s">
        <v>3</v>
      </c>
      <c r="B143" s="151" t="s">
        <v>10</v>
      </c>
      <c r="C143" s="144">
        <v>149</v>
      </c>
      <c r="D143">
        <v>5</v>
      </c>
      <c r="E143" s="175">
        <v>65</v>
      </c>
      <c r="F143" s="143">
        <v>17.016497631072994</v>
      </c>
      <c r="G143" s="142">
        <v>61536783.910000004</v>
      </c>
      <c r="H143" s="150">
        <v>44546</v>
      </c>
    </row>
    <row r="144" spans="1:12" hidden="1" x14ac:dyDescent="0.55000000000000004">
      <c r="A144" s="132" t="s">
        <v>3</v>
      </c>
      <c r="B144" s="132" t="s">
        <v>10</v>
      </c>
      <c r="C144" s="144">
        <v>150</v>
      </c>
      <c r="D144">
        <v>5</v>
      </c>
      <c r="E144" s="176">
        <v>61</v>
      </c>
      <c r="F144" s="133">
        <v>12</v>
      </c>
      <c r="G144" s="142">
        <v>99471770.474487305</v>
      </c>
      <c r="H144" s="131">
        <v>44547</v>
      </c>
    </row>
    <row r="145" spans="1:8" hidden="1" x14ac:dyDescent="0.55000000000000004">
      <c r="A145" s="132" t="s">
        <v>3</v>
      </c>
      <c r="B145" s="132" t="s">
        <v>10</v>
      </c>
      <c r="C145" s="144">
        <v>151</v>
      </c>
      <c r="D145">
        <v>5</v>
      </c>
      <c r="E145" s="176">
        <v>65</v>
      </c>
      <c r="F145" s="133">
        <v>7</v>
      </c>
      <c r="G145" s="142">
        <v>71518698.734863281</v>
      </c>
      <c r="H145" s="131">
        <v>44548</v>
      </c>
    </row>
    <row r="146" spans="1:8" hidden="1" x14ac:dyDescent="0.55000000000000004">
      <c r="A146" s="132" t="s">
        <v>3</v>
      </c>
      <c r="B146" s="132" t="s">
        <v>10</v>
      </c>
      <c r="C146" s="144">
        <v>152</v>
      </c>
      <c r="D146">
        <v>5</v>
      </c>
      <c r="E146" s="178">
        <v>67.385964912282361</v>
      </c>
      <c r="F146" s="133">
        <v>10.042956139322996</v>
      </c>
      <c r="G146" s="142">
        <v>127887330.14793396</v>
      </c>
      <c r="H146" s="131">
        <v>44550</v>
      </c>
    </row>
    <row r="147" spans="1:8" hidden="1" x14ac:dyDescent="0.55000000000000004">
      <c r="A147" s="132" t="s">
        <v>3</v>
      </c>
      <c r="B147" s="132" t="s">
        <v>10</v>
      </c>
      <c r="C147" s="144">
        <v>153</v>
      </c>
      <c r="D147">
        <v>5</v>
      </c>
      <c r="E147" s="178">
        <v>67.642659279779764</v>
      </c>
      <c r="F147" s="133">
        <v>9.0668171182951482</v>
      </c>
      <c r="G147" s="142">
        <v>131012789.27122498</v>
      </c>
      <c r="H147" s="131">
        <v>44551</v>
      </c>
    </row>
    <row r="148" spans="1:8" hidden="1" x14ac:dyDescent="0.55000000000000004">
      <c r="A148" s="66" t="s">
        <v>3</v>
      </c>
      <c r="B148" s="66" t="s">
        <v>10</v>
      </c>
      <c r="C148" s="144">
        <v>154</v>
      </c>
      <c r="D148">
        <v>5</v>
      </c>
      <c r="E148" s="178">
        <v>68.192237287588796</v>
      </c>
      <c r="F148" s="169">
        <v>11.560028867721565</v>
      </c>
      <c r="G148" s="4">
        <v>2723129.67</v>
      </c>
      <c r="H148" s="65">
        <v>44552</v>
      </c>
    </row>
    <row r="149" spans="1:8" hidden="1" x14ac:dyDescent="0.55000000000000004">
      <c r="A149" s="69" t="s">
        <v>3</v>
      </c>
      <c r="B149" s="69" t="s">
        <v>10</v>
      </c>
      <c r="C149" s="144">
        <v>155</v>
      </c>
      <c r="D149">
        <v>5</v>
      </c>
      <c r="E149" s="178">
        <v>68.67080260792136</v>
      </c>
      <c r="F149" s="171">
        <v>211.43554946899414</v>
      </c>
      <c r="G149" s="161">
        <v>2477140600.1100001</v>
      </c>
      <c r="H149" s="68">
        <v>44553</v>
      </c>
    </row>
    <row r="150" spans="1:8" s="132" customFormat="1" hidden="1" x14ac:dyDescent="0.55000000000000004">
      <c r="A150" s="132" t="s">
        <v>3</v>
      </c>
      <c r="B150" s="132" t="s">
        <v>10</v>
      </c>
      <c r="C150" s="144">
        <v>156</v>
      </c>
      <c r="D150">
        <v>5</v>
      </c>
      <c r="E150" s="178">
        <v>69.422184534505504</v>
      </c>
      <c r="F150" s="133">
        <v>34.714500483190932</v>
      </c>
      <c r="G150" s="142">
        <v>481193233.15368652</v>
      </c>
      <c r="H150" s="131">
        <v>44554</v>
      </c>
    </row>
    <row r="151" spans="1:8" s="132" customFormat="1" hidden="1" x14ac:dyDescent="0.55000000000000004">
      <c r="A151" s="132" t="s">
        <v>3</v>
      </c>
      <c r="B151" s="132" t="s">
        <v>10</v>
      </c>
      <c r="C151" s="144">
        <v>157</v>
      </c>
      <c r="D151">
        <v>5</v>
      </c>
      <c r="E151" s="178">
        <v>70.179632785846479</v>
      </c>
      <c r="F151" s="133">
        <v>34.678686462433689</v>
      </c>
      <c r="G151" s="142">
        <v>505387089.73071289</v>
      </c>
      <c r="H151" s="131">
        <v>44555</v>
      </c>
    </row>
    <row r="152" spans="1:8" hidden="1" x14ac:dyDescent="0.55000000000000004">
      <c r="A152" s="78" t="s">
        <v>3</v>
      </c>
      <c r="B152" s="78" t="s">
        <v>10</v>
      </c>
      <c r="C152" s="144">
        <v>158</v>
      </c>
      <c r="D152">
        <v>5</v>
      </c>
      <c r="E152" s="178">
        <v>70.317207256168331</v>
      </c>
      <c r="F152" s="171">
        <v>11.487902727127079</v>
      </c>
      <c r="G152" s="161">
        <v>293055471.25999999</v>
      </c>
      <c r="H152" s="77">
        <v>44556</v>
      </c>
    </row>
    <row r="153" spans="1:8" s="132" customFormat="1" hidden="1" x14ac:dyDescent="0.55000000000000004">
      <c r="A153" s="132" t="s">
        <v>3</v>
      </c>
      <c r="B153" s="132" t="s">
        <v>10</v>
      </c>
      <c r="C153" s="144">
        <v>159</v>
      </c>
      <c r="D153">
        <v>5</v>
      </c>
      <c r="E153" s="178">
        <v>71.077084548553103</v>
      </c>
      <c r="F153" s="173">
        <v>8.4717949199676532</v>
      </c>
      <c r="G153" s="134">
        <v>157748016.71000001</v>
      </c>
      <c r="H153" s="131">
        <v>44557</v>
      </c>
    </row>
    <row r="154" spans="1:8" hidden="1" x14ac:dyDescent="0.55000000000000004">
      <c r="A154" s="84" t="s">
        <v>3</v>
      </c>
      <c r="B154" s="84" t="s">
        <v>10</v>
      </c>
      <c r="C154" s="144">
        <v>160</v>
      </c>
      <c r="D154">
        <v>5</v>
      </c>
      <c r="E154" s="178">
        <v>71.4825990383506</v>
      </c>
      <c r="F154" s="169">
        <v>5.4556871128082278</v>
      </c>
      <c r="G154" s="161">
        <v>22440562.16</v>
      </c>
      <c r="H154" s="83">
        <v>44558</v>
      </c>
    </row>
    <row r="155" spans="1:8" s="132" customFormat="1" hidden="1" x14ac:dyDescent="0.55000000000000004">
      <c r="A155" s="132" t="s">
        <v>3</v>
      </c>
      <c r="B155" s="132" t="s">
        <v>10</v>
      </c>
      <c r="C155" s="144">
        <v>161</v>
      </c>
      <c r="D155">
        <v>5</v>
      </c>
      <c r="E155" s="178">
        <v>72.007220358485938</v>
      </c>
      <c r="F155" s="133">
        <v>26.56061450118068</v>
      </c>
      <c r="G155" s="142">
        <v>425812054.67822266</v>
      </c>
      <c r="H155" s="131">
        <v>44559</v>
      </c>
    </row>
    <row r="156" spans="1:8" s="132" customFormat="1" hidden="1" x14ac:dyDescent="0.55000000000000004">
      <c r="A156" s="132" t="s">
        <v>3</v>
      </c>
      <c r="B156" s="132" t="s">
        <v>10</v>
      </c>
      <c r="C156" s="144">
        <v>162</v>
      </c>
      <c r="D156">
        <v>5</v>
      </c>
      <c r="E156" s="178">
        <v>72.212768990957557</v>
      </c>
      <c r="F156" s="133">
        <v>25.68968331882877</v>
      </c>
      <c r="G156" s="142">
        <v>435864853.98352051</v>
      </c>
      <c r="H156" s="131">
        <v>44560</v>
      </c>
    </row>
    <row r="157" spans="1:8" hidden="1" x14ac:dyDescent="0.55000000000000004">
      <c r="A157" s="93" t="s">
        <v>3</v>
      </c>
      <c r="B157" s="93" t="s">
        <v>10</v>
      </c>
      <c r="C157" s="144">
        <v>163</v>
      </c>
      <c r="D157">
        <v>5</v>
      </c>
      <c r="E157" s="178">
        <v>71.742166101166731</v>
      </c>
      <c r="F157" s="169">
        <v>57.964073600769048</v>
      </c>
      <c r="G157" s="161">
        <v>775294632.61000001</v>
      </c>
      <c r="H157" s="92">
        <v>44561</v>
      </c>
    </row>
    <row r="158" spans="1:8" x14ac:dyDescent="0.55000000000000004">
      <c r="E158" s="137"/>
      <c r="F158" s="4"/>
      <c r="G158" s="4"/>
    </row>
    <row r="159" spans="1:8" x14ac:dyDescent="0.55000000000000004">
      <c r="E159" s="137"/>
      <c r="F159" s="4"/>
      <c r="G159" s="4"/>
    </row>
    <row r="160" spans="1:8" x14ac:dyDescent="0.55000000000000004">
      <c r="E160" s="137"/>
      <c r="F160" s="4"/>
      <c r="G160" s="4"/>
    </row>
    <row r="161" spans="5:7" x14ac:dyDescent="0.55000000000000004">
      <c r="E161" s="137"/>
      <c r="F161" s="4"/>
      <c r="G161" s="4"/>
    </row>
    <row r="162" spans="5:7" x14ac:dyDescent="0.55000000000000004">
      <c r="E162" s="137"/>
      <c r="F162" s="4"/>
      <c r="G162" s="4"/>
    </row>
    <row r="163" spans="5:7" x14ac:dyDescent="0.55000000000000004">
      <c r="E163" s="137"/>
      <c r="F163" s="4"/>
      <c r="G163" s="4"/>
    </row>
    <row r="164" spans="5:7" x14ac:dyDescent="0.55000000000000004">
      <c r="E164" s="137"/>
      <c r="F164" s="4"/>
      <c r="G164" s="4"/>
    </row>
    <row r="165" spans="5:7" x14ac:dyDescent="0.55000000000000004">
      <c r="E165" s="137"/>
      <c r="F165" s="4"/>
      <c r="G165" s="4"/>
    </row>
    <row r="166" spans="5:7" x14ac:dyDescent="0.55000000000000004">
      <c r="E166" s="137"/>
      <c r="F166" s="4"/>
      <c r="G166" s="4"/>
    </row>
    <row r="167" spans="5:7" x14ac:dyDescent="0.55000000000000004">
      <c r="E167" s="137"/>
      <c r="F167" s="4"/>
      <c r="G167" s="4"/>
    </row>
    <row r="168" spans="5:7" x14ac:dyDescent="0.55000000000000004">
      <c r="E168" s="137"/>
      <c r="F168" s="4"/>
      <c r="G168" s="4"/>
    </row>
    <row r="169" spans="5:7" x14ac:dyDescent="0.55000000000000004">
      <c r="E169" s="137"/>
      <c r="F169" s="4"/>
      <c r="G169" s="4"/>
    </row>
    <row r="170" spans="5:7" x14ac:dyDescent="0.55000000000000004">
      <c r="E170" s="137"/>
      <c r="F170" s="4"/>
      <c r="G170" s="4"/>
    </row>
    <row r="171" spans="5:7" x14ac:dyDescent="0.55000000000000004">
      <c r="E171" s="137"/>
      <c r="F171" s="4"/>
      <c r="G171" s="4"/>
    </row>
    <row r="172" spans="5:7" x14ac:dyDescent="0.55000000000000004">
      <c r="E172" s="137"/>
      <c r="F172" s="4"/>
      <c r="G172" s="4"/>
    </row>
    <row r="173" spans="5:7" x14ac:dyDescent="0.55000000000000004">
      <c r="E173" s="137"/>
      <c r="F173" s="4"/>
      <c r="G173" s="4"/>
    </row>
    <row r="174" spans="5:7" x14ac:dyDescent="0.55000000000000004">
      <c r="E174" s="137"/>
      <c r="F174" s="4"/>
      <c r="G174" s="4"/>
    </row>
    <row r="175" spans="5:7" x14ac:dyDescent="0.55000000000000004">
      <c r="E175" s="137"/>
      <c r="F175" s="4"/>
      <c r="G175" s="4"/>
    </row>
    <row r="176" spans="5:7" x14ac:dyDescent="0.55000000000000004">
      <c r="E176" s="137"/>
      <c r="F176" s="4"/>
      <c r="G176" s="4"/>
    </row>
    <row r="177" spans="5:7" x14ac:dyDescent="0.55000000000000004">
      <c r="E177" s="137"/>
      <c r="F177" s="4"/>
      <c r="G177" s="4"/>
    </row>
    <row r="178" spans="5:7" x14ac:dyDescent="0.55000000000000004">
      <c r="E178" s="137"/>
      <c r="F178" s="4"/>
      <c r="G178" s="4"/>
    </row>
    <row r="179" spans="5:7" x14ac:dyDescent="0.55000000000000004">
      <c r="E179" s="137"/>
      <c r="F179" s="4"/>
      <c r="G179" s="4"/>
    </row>
    <row r="180" spans="5:7" x14ac:dyDescent="0.55000000000000004">
      <c r="E180" s="137"/>
      <c r="F180" s="4"/>
      <c r="G180" s="4"/>
    </row>
    <row r="181" spans="5:7" x14ac:dyDescent="0.55000000000000004">
      <c r="E181" s="137"/>
      <c r="F181" s="4"/>
      <c r="G181" s="4"/>
    </row>
    <row r="182" spans="5:7" x14ac:dyDescent="0.55000000000000004">
      <c r="E182" s="137"/>
      <c r="F182" s="4"/>
      <c r="G182" s="4"/>
    </row>
    <row r="183" spans="5:7" x14ac:dyDescent="0.55000000000000004">
      <c r="E183" s="137"/>
      <c r="F183" s="4"/>
      <c r="G183" s="4"/>
    </row>
    <row r="184" spans="5:7" x14ac:dyDescent="0.55000000000000004">
      <c r="E184" s="137"/>
      <c r="F184" s="4"/>
      <c r="G184" s="4"/>
    </row>
    <row r="185" spans="5:7" x14ac:dyDescent="0.55000000000000004">
      <c r="E185" s="137"/>
      <c r="F185" s="4"/>
      <c r="G185" s="4"/>
    </row>
    <row r="186" spans="5:7" x14ac:dyDescent="0.55000000000000004">
      <c r="E186" s="137"/>
      <c r="F186" s="4"/>
      <c r="G186" s="4"/>
    </row>
    <row r="187" spans="5:7" x14ac:dyDescent="0.55000000000000004">
      <c r="E187" s="137"/>
      <c r="F187" s="4"/>
      <c r="G187" s="4"/>
    </row>
    <row r="188" spans="5:7" x14ac:dyDescent="0.55000000000000004">
      <c r="E188" s="137"/>
      <c r="F188" s="4"/>
      <c r="G188" s="4"/>
    </row>
    <row r="189" spans="5:7" x14ac:dyDescent="0.55000000000000004">
      <c r="E189" s="137"/>
      <c r="F189" s="4"/>
      <c r="G189" s="4"/>
    </row>
    <row r="190" spans="5:7" x14ac:dyDescent="0.55000000000000004">
      <c r="E190" s="137"/>
      <c r="F190" s="4"/>
      <c r="G190" s="4"/>
    </row>
    <row r="191" spans="5:7" x14ac:dyDescent="0.55000000000000004">
      <c r="E191" s="137"/>
      <c r="F191" s="4"/>
      <c r="G191" s="4"/>
    </row>
    <row r="192" spans="5:7" x14ac:dyDescent="0.55000000000000004">
      <c r="E192" s="137"/>
      <c r="F192" s="4"/>
      <c r="G192" s="4"/>
    </row>
    <row r="193" spans="5:7" x14ac:dyDescent="0.55000000000000004">
      <c r="E193" s="137"/>
      <c r="F193" s="4"/>
      <c r="G193" s="4"/>
    </row>
    <row r="194" spans="5:7" x14ac:dyDescent="0.55000000000000004">
      <c r="E194" s="137"/>
      <c r="F194" s="4"/>
      <c r="G194" s="4"/>
    </row>
    <row r="195" spans="5:7" x14ac:dyDescent="0.55000000000000004">
      <c r="E195" s="137"/>
      <c r="F195" s="4"/>
      <c r="G195" s="4"/>
    </row>
    <row r="196" spans="5:7" x14ac:dyDescent="0.55000000000000004">
      <c r="E196" s="137"/>
      <c r="F196" s="4"/>
      <c r="G196" s="4"/>
    </row>
    <row r="197" spans="5:7" x14ac:dyDescent="0.55000000000000004">
      <c r="E197" s="137"/>
      <c r="F197" s="4"/>
      <c r="G197" s="4"/>
    </row>
    <row r="198" spans="5:7" x14ac:dyDescent="0.55000000000000004">
      <c r="E198" s="137"/>
      <c r="F198" s="4"/>
      <c r="G198" s="4"/>
    </row>
    <row r="199" spans="5:7" x14ac:dyDescent="0.55000000000000004">
      <c r="E199" s="137"/>
      <c r="F199" s="4"/>
      <c r="G199" s="4"/>
    </row>
    <row r="200" spans="5:7" x14ac:dyDescent="0.55000000000000004">
      <c r="E200" s="137"/>
      <c r="F200" s="4"/>
      <c r="G200" s="4"/>
    </row>
    <row r="201" spans="5:7" x14ac:dyDescent="0.55000000000000004">
      <c r="E201" s="137"/>
      <c r="F201" s="4"/>
      <c r="G201" s="4"/>
    </row>
    <row r="202" spans="5:7" x14ac:dyDescent="0.55000000000000004">
      <c r="E202" s="137"/>
      <c r="F202" s="4"/>
      <c r="G202" s="4"/>
    </row>
    <row r="203" spans="5:7" x14ac:dyDescent="0.55000000000000004">
      <c r="E203" s="137"/>
      <c r="F203" s="4"/>
      <c r="G203" s="4"/>
    </row>
    <row r="204" spans="5:7" x14ac:dyDescent="0.55000000000000004">
      <c r="E204" s="137"/>
      <c r="F204" s="4"/>
      <c r="G204" s="4"/>
    </row>
    <row r="205" spans="5:7" x14ac:dyDescent="0.55000000000000004">
      <c r="E205" s="137"/>
      <c r="F205" s="4"/>
      <c r="G205" s="4"/>
    </row>
    <row r="206" spans="5:7" x14ac:dyDescent="0.55000000000000004">
      <c r="E206" s="137"/>
      <c r="F206" s="4"/>
      <c r="G206" s="4"/>
    </row>
    <row r="207" spans="5:7" x14ac:dyDescent="0.55000000000000004">
      <c r="E207" s="137"/>
      <c r="F207" s="4"/>
      <c r="G207" s="4"/>
    </row>
    <row r="208" spans="5:7" x14ac:dyDescent="0.55000000000000004">
      <c r="E208" s="137"/>
      <c r="F208" s="4"/>
      <c r="G208" s="4"/>
    </row>
    <row r="209" spans="5:7" x14ac:dyDescent="0.55000000000000004">
      <c r="E209" s="137"/>
      <c r="F209" s="4"/>
      <c r="G209" s="4"/>
    </row>
    <row r="210" spans="5:7" x14ac:dyDescent="0.55000000000000004">
      <c r="E210" s="137"/>
      <c r="F210" s="4"/>
      <c r="G210" s="4"/>
    </row>
    <row r="211" spans="5:7" x14ac:dyDescent="0.55000000000000004">
      <c r="E211" s="137"/>
      <c r="F211" s="4"/>
      <c r="G211" s="4"/>
    </row>
    <row r="212" spans="5:7" x14ac:dyDescent="0.55000000000000004">
      <c r="E212" s="137"/>
      <c r="F212" s="4"/>
      <c r="G212" s="4"/>
    </row>
    <row r="213" spans="5:7" x14ac:dyDescent="0.55000000000000004">
      <c r="E213" s="137"/>
      <c r="F213" s="4"/>
      <c r="G213" s="4"/>
    </row>
    <row r="214" spans="5:7" x14ac:dyDescent="0.55000000000000004">
      <c r="E214" s="137"/>
      <c r="F214" s="4"/>
      <c r="G214" s="4"/>
    </row>
    <row r="215" spans="5:7" x14ac:dyDescent="0.55000000000000004">
      <c r="E215" s="137"/>
      <c r="F215" s="4"/>
      <c r="G215" s="4"/>
    </row>
    <row r="216" spans="5:7" x14ac:dyDescent="0.55000000000000004">
      <c r="E216" s="137"/>
      <c r="F216" s="4"/>
      <c r="G216" s="4"/>
    </row>
    <row r="217" spans="5:7" x14ac:dyDescent="0.55000000000000004">
      <c r="E217" s="137"/>
      <c r="F217" s="4"/>
      <c r="G217" s="4"/>
    </row>
    <row r="218" spans="5:7" x14ac:dyDescent="0.55000000000000004">
      <c r="E218" s="137"/>
      <c r="F218" s="4"/>
      <c r="G218" s="4"/>
    </row>
    <row r="219" spans="5:7" x14ac:dyDescent="0.55000000000000004">
      <c r="E219" s="137"/>
      <c r="F219" s="4"/>
      <c r="G219" s="4"/>
    </row>
    <row r="220" spans="5:7" x14ac:dyDescent="0.55000000000000004">
      <c r="E220" s="137"/>
      <c r="F220" s="4"/>
      <c r="G220" s="4"/>
    </row>
    <row r="221" spans="5:7" x14ac:dyDescent="0.55000000000000004">
      <c r="E221" s="137"/>
      <c r="F221" s="4"/>
      <c r="G221" s="4"/>
    </row>
    <row r="222" spans="5:7" x14ac:dyDescent="0.55000000000000004">
      <c r="E222" s="137"/>
      <c r="F222" s="4"/>
      <c r="G222" s="4"/>
    </row>
    <row r="223" spans="5:7" x14ac:dyDescent="0.55000000000000004">
      <c r="E223" s="137"/>
      <c r="F223" s="4"/>
      <c r="G223" s="4"/>
    </row>
    <row r="224" spans="5:7" x14ac:dyDescent="0.55000000000000004">
      <c r="E224" s="137"/>
      <c r="F224" s="4"/>
      <c r="G224" s="4"/>
    </row>
    <row r="225" spans="5:7" x14ac:dyDescent="0.55000000000000004">
      <c r="E225" s="137"/>
      <c r="F225" s="4"/>
      <c r="G225" s="4"/>
    </row>
    <row r="226" spans="5:7" x14ac:dyDescent="0.55000000000000004">
      <c r="E226" s="137"/>
      <c r="F226" s="4"/>
      <c r="G226" s="4"/>
    </row>
    <row r="227" spans="5:7" x14ac:dyDescent="0.55000000000000004">
      <c r="E227" s="137"/>
      <c r="F227" s="4"/>
      <c r="G227" s="4"/>
    </row>
    <row r="228" spans="5:7" x14ac:dyDescent="0.55000000000000004">
      <c r="E228" s="137"/>
      <c r="F228" s="4"/>
      <c r="G228" s="4"/>
    </row>
    <row r="229" spans="5:7" x14ac:dyDescent="0.55000000000000004">
      <c r="E229" s="137"/>
      <c r="F229" s="4"/>
      <c r="G229" s="4"/>
    </row>
    <row r="230" spans="5:7" x14ac:dyDescent="0.55000000000000004">
      <c r="E230" s="137"/>
      <c r="F230" s="4"/>
      <c r="G230" s="4"/>
    </row>
    <row r="231" spans="5:7" x14ac:dyDescent="0.55000000000000004">
      <c r="E231" s="137"/>
      <c r="F231" s="4"/>
      <c r="G231" s="4"/>
    </row>
    <row r="232" spans="5:7" x14ac:dyDescent="0.55000000000000004">
      <c r="E232" s="137"/>
      <c r="F232" s="4"/>
      <c r="G232" s="4"/>
    </row>
    <row r="233" spans="5:7" x14ac:dyDescent="0.55000000000000004">
      <c r="E233" s="137"/>
      <c r="F233" s="4"/>
      <c r="G233" s="4"/>
    </row>
    <row r="234" spans="5:7" x14ac:dyDescent="0.55000000000000004">
      <c r="E234" s="137"/>
      <c r="F234" s="4"/>
      <c r="G234" s="4"/>
    </row>
    <row r="235" spans="5:7" x14ac:dyDescent="0.55000000000000004">
      <c r="E235" s="137"/>
      <c r="F235" s="4"/>
      <c r="G235" s="4"/>
    </row>
    <row r="236" spans="5:7" x14ac:dyDescent="0.55000000000000004">
      <c r="E236" s="137"/>
      <c r="F236" s="4"/>
      <c r="G236" s="4"/>
    </row>
    <row r="237" spans="5:7" x14ac:dyDescent="0.55000000000000004">
      <c r="E237" s="137"/>
      <c r="F237" s="4"/>
      <c r="G237" s="4"/>
    </row>
    <row r="238" spans="5:7" x14ac:dyDescent="0.55000000000000004">
      <c r="E238" s="137"/>
      <c r="F238" s="4"/>
      <c r="G238" s="4"/>
    </row>
    <row r="239" spans="5:7" x14ac:dyDescent="0.55000000000000004">
      <c r="E239" s="137"/>
      <c r="F239" s="4"/>
      <c r="G239" s="4"/>
    </row>
    <row r="240" spans="5:7" x14ac:dyDescent="0.55000000000000004">
      <c r="E240" s="137"/>
      <c r="F240" s="4"/>
      <c r="G240" s="4"/>
    </row>
    <row r="241" spans="5:7" x14ac:dyDescent="0.55000000000000004">
      <c r="E241" s="137"/>
      <c r="F241" s="4"/>
      <c r="G241" s="4"/>
    </row>
    <row r="242" spans="5:7" x14ac:dyDescent="0.55000000000000004">
      <c r="E242" s="137"/>
      <c r="F242" s="4"/>
      <c r="G242" s="4"/>
    </row>
    <row r="243" spans="5:7" x14ac:dyDescent="0.55000000000000004">
      <c r="E243" s="137"/>
      <c r="F243" s="4"/>
      <c r="G243" s="4"/>
    </row>
    <row r="244" spans="5:7" x14ac:dyDescent="0.55000000000000004">
      <c r="E244" s="137"/>
      <c r="F244" s="4"/>
      <c r="G244" s="4"/>
    </row>
    <row r="245" spans="5:7" x14ac:dyDescent="0.55000000000000004">
      <c r="E245" s="137"/>
      <c r="F245" s="4"/>
      <c r="G245" s="4"/>
    </row>
    <row r="246" spans="5:7" x14ac:dyDescent="0.55000000000000004">
      <c r="E246" s="137"/>
      <c r="F246" s="4"/>
      <c r="G246" s="4"/>
    </row>
    <row r="247" spans="5:7" x14ac:dyDescent="0.55000000000000004">
      <c r="E247" s="137"/>
      <c r="F247" s="4"/>
      <c r="G247" s="4"/>
    </row>
    <row r="248" spans="5:7" x14ac:dyDescent="0.55000000000000004">
      <c r="E248" s="137"/>
      <c r="F248" s="4"/>
      <c r="G248" s="4"/>
    </row>
    <row r="249" spans="5:7" x14ac:dyDescent="0.55000000000000004">
      <c r="E249" s="137"/>
      <c r="F249" s="4"/>
      <c r="G249" s="4"/>
    </row>
    <row r="250" spans="5:7" x14ac:dyDescent="0.55000000000000004">
      <c r="E250" s="137"/>
      <c r="F250" s="4"/>
      <c r="G250" s="4"/>
    </row>
    <row r="251" spans="5:7" x14ac:dyDescent="0.55000000000000004">
      <c r="E251" s="137"/>
      <c r="F251" s="4"/>
      <c r="G251" s="4"/>
    </row>
    <row r="252" spans="5:7" x14ac:dyDescent="0.55000000000000004">
      <c r="E252" s="137"/>
      <c r="F252" s="4"/>
      <c r="G252" s="4"/>
    </row>
    <row r="253" spans="5:7" x14ac:dyDescent="0.55000000000000004">
      <c r="E253" s="137"/>
      <c r="F253" s="4"/>
      <c r="G253" s="4"/>
    </row>
    <row r="254" spans="5:7" x14ac:dyDescent="0.55000000000000004">
      <c r="E254" s="137"/>
      <c r="F254" s="4"/>
      <c r="G254" s="4"/>
    </row>
    <row r="255" spans="5:7" x14ac:dyDescent="0.55000000000000004">
      <c r="E255" s="137"/>
      <c r="F255" s="4"/>
      <c r="G255" s="4"/>
    </row>
    <row r="256" spans="5:7" x14ac:dyDescent="0.55000000000000004">
      <c r="E256" s="137"/>
      <c r="F256" s="4"/>
      <c r="G256" s="4"/>
    </row>
    <row r="257" spans="5:7" x14ac:dyDescent="0.55000000000000004">
      <c r="E257" s="137"/>
      <c r="F257" s="4"/>
      <c r="G257" s="4"/>
    </row>
    <row r="258" spans="5:7" x14ac:dyDescent="0.55000000000000004">
      <c r="E258" s="137"/>
      <c r="F258" s="4"/>
      <c r="G258" s="4"/>
    </row>
    <row r="259" spans="5:7" x14ac:dyDescent="0.55000000000000004">
      <c r="E259" s="137"/>
      <c r="F259" s="4"/>
      <c r="G259" s="4"/>
    </row>
    <row r="260" spans="5:7" x14ac:dyDescent="0.55000000000000004">
      <c r="E260" s="137"/>
      <c r="F260" s="4"/>
      <c r="G260" s="4"/>
    </row>
    <row r="261" spans="5:7" x14ac:dyDescent="0.55000000000000004">
      <c r="E261" s="137"/>
      <c r="F261" s="4"/>
      <c r="G261" s="4"/>
    </row>
    <row r="262" spans="5:7" x14ac:dyDescent="0.55000000000000004">
      <c r="E262" s="137"/>
      <c r="F262" s="4"/>
      <c r="G262" s="4"/>
    </row>
    <row r="263" spans="5:7" x14ac:dyDescent="0.55000000000000004">
      <c r="E263" s="137"/>
      <c r="F263" s="4"/>
      <c r="G263" s="4"/>
    </row>
    <row r="264" spans="5:7" x14ac:dyDescent="0.55000000000000004">
      <c r="E264" s="137"/>
      <c r="F264" s="4"/>
      <c r="G264" s="4"/>
    </row>
    <row r="265" spans="5:7" x14ac:dyDescent="0.55000000000000004">
      <c r="E265" s="137"/>
      <c r="F265" s="4"/>
      <c r="G265" s="4"/>
    </row>
    <row r="266" spans="5:7" x14ac:dyDescent="0.55000000000000004">
      <c r="E266" s="137"/>
      <c r="F266" s="4"/>
      <c r="G266" s="4"/>
    </row>
    <row r="267" spans="5:7" x14ac:dyDescent="0.55000000000000004">
      <c r="E267" s="137"/>
      <c r="F267" s="4"/>
      <c r="G267" s="4"/>
    </row>
    <row r="268" spans="5:7" x14ac:dyDescent="0.55000000000000004">
      <c r="E268" s="137"/>
      <c r="F268" s="4"/>
      <c r="G268" s="4"/>
    </row>
    <row r="269" spans="5:7" x14ac:dyDescent="0.55000000000000004">
      <c r="E269" s="137"/>
      <c r="F269" s="4"/>
      <c r="G269" s="4"/>
    </row>
    <row r="270" spans="5:7" x14ac:dyDescent="0.55000000000000004">
      <c r="E270" s="137"/>
      <c r="F270" s="4"/>
      <c r="G270" s="4"/>
    </row>
    <row r="271" spans="5:7" x14ac:dyDescent="0.55000000000000004">
      <c r="E271" s="137"/>
      <c r="F271" s="4"/>
      <c r="G271" s="4"/>
    </row>
    <row r="272" spans="5:7" x14ac:dyDescent="0.55000000000000004">
      <c r="E272" s="137"/>
      <c r="F272" s="4"/>
      <c r="G272" s="4"/>
    </row>
    <row r="273" spans="5:7" x14ac:dyDescent="0.55000000000000004">
      <c r="E273" s="137"/>
      <c r="F273" s="4"/>
      <c r="G273" s="4"/>
    </row>
    <row r="274" spans="5:7" x14ac:dyDescent="0.55000000000000004">
      <c r="E274" s="137"/>
      <c r="F274" s="4"/>
      <c r="G274" s="4"/>
    </row>
    <row r="275" spans="5:7" x14ac:dyDescent="0.55000000000000004">
      <c r="E275" s="137"/>
      <c r="F275" s="4"/>
      <c r="G275" s="4"/>
    </row>
    <row r="276" spans="5:7" x14ac:dyDescent="0.55000000000000004">
      <c r="E276" s="137"/>
      <c r="F276" s="4"/>
      <c r="G276" s="4"/>
    </row>
    <row r="277" spans="5:7" x14ac:dyDescent="0.55000000000000004">
      <c r="E277" s="137"/>
      <c r="F277" s="4"/>
      <c r="G277" s="4"/>
    </row>
    <row r="278" spans="5:7" x14ac:dyDescent="0.55000000000000004">
      <c r="E278" s="137"/>
      <c r="F278" s="4"/>
      <c r="G278" s="4"/>
    </row>
    <row r="279" spans="5:7" x14ac:dyDescent="0.55000000000000004">
      <c r="E279" s="137"/>
      <c r="F279" s="4"/>
      <c r="G279" s="4"/>
    </row>
    <row r="280" spans="5:7" x14ac:dyDescent="0.55000000000000004">
      <c r="E280" s="137"/>
      <c r="F280" s="4"/>
      <c r="G280" s="4"/>
    </row>
    <row r="281" spans="5:7" x14ac:dyDescent="0.55000000000000004">
      <c r="E281" s="137"/>
      <c r="F281" s="4"/>
      <c r="G281" s="4"/>
    </row>
    <row r="282" spans="5:7" x14ac:dyDescent="0.55000000000000004">
      <c r="E282" s="137"/>
      <c r="F282" s="4"/>
      <c r="G282" s="4"/>
    </row>
  </sheetData>
  <autoFilter ref="A2:H157" xr:uid="{214634BF-672F-4D0D-9740-9A896BC05835}">
    <filterColumn colId="2">
      <filters>
        <filter val="1"/>
        <filter val="11"/>
        <filter val="12"/>
        <filter val="13"/>
        <filter val="14"/>
        <filter val="16"/>
        <filter val="17"/>
        <filter val="19"/>
        <filter val="2"/>
        <filter val="20"/>
        <filter val="21.22"/>
        <filter val="3"/>
        <filter val="5"/>
        <filter val="9"/>
      </filters>
    </filterColumn>
    <sortState xmlns:xlrd2="http://schemas.microsoft.com/office/spreadsheetml/2017/richdata2" ref="A3:H157">
      <sortCondition ref="C2:C157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EF95-C433-426D-B926-0A10D35326F6}">
  <dimension ref="A1:Q281"/>
  <sheetViews>
    <sheetView topLeftCell="A107" zoomScale="90" zoomScaleNormal="90" workbookViewId="0">
      <selection activeCell="A112" sqref="A112"/>
    </sheetView>
  </sheetViews>
  <sheetFormatPr defaultRowHeight="14.4" x14ac:dyDescent="0.55000000000000004"/>
  <cols>
    <col min="1" max="1" width="10.15625" bestFit="1" customWidth="1"/>
    <col min="2" max="2" width="27.3671875" bestFit="1" customWidth="1"/>
    <col min="3" max="3" width="14.1015625" bestFit="1" customWidth="1"/>
    <col min="4" max="4" width="10.83984375" style="3" bestFit="1" customWidth="1"/>
    <col min="5" max="5" width="17.3125" bestFit="1" customWidth="1"/>
    <col min="6" max="6" width="7" style="180" bestFit="1" customWidth="1"/>
    <col min="8" max="8" width="14.15625" bestFit="1" customWidth="1"/>
    <col min="9" max="9" width="10.7890625" bestFit="1" customWidth="1"/>
    <col min="10" max="10" width="8.89453125" bestFit="1" customWidth="1"/>
    <col min="11" max="11" width="9.68359375" bestFit="1" customWidth="1"/>
    <col min="12" max="12" width="8.83984375" bestFit="1" customWidth="1"/>
    <col min="13" max="13" width="15.7890625" bestFit="1" customWidth="1"/>
    <col min="14" max="14" width="11.68359375" bestFit="1" customWidth="1"/>
    <col min="15" max="15" width="13.89453125" bestFit="1" customWidth="1"/>
    <col min="16" max="16" width="14.05078125" bestFit="1" customWidth="1"/>
    <col min="17" max="17" width="11.68359375" bestFit="1" customWidth="1"/>
  </cols>
  <sheetData>
    <row r="1" spans="1:17" x14ac:dyDescent="0.55000000000000004">
      <c r="A1" s="144" t="s">
        <v>0</v>
      </c>
      <c r="B1" t="s">
        <v>1</v>
      </c>
      <c r="C1" t="s">
        <v>8</v>
      </c>
      <c r="D1" s="179" t="s">
        <v>69</v>
      </c>
      <c r="E1" s="93" t="s">
        <v>61</v>
      </c>
      <c r="F1" s="179" t="s">
        <v>65</v>
      </c>
      <c r="K1" t="s">
        <v>23</v>
      </c>
      <c r="L1" s="156" t="s">
        <v>69</v>
      </c>
      <c r="M1" s="93" t="s">
        <v>61</v>
      </c>
      <c r="N1" s="156" t="s">
        <v>65</v>
      </c>
      <c r="O1" t="s">
        <v>26</v>
      </c>
      <c r="P1" s="168" t="s">
        <v>71</v>
      </c>
      <c r="Q1" s="168" t="s">
        <v>72</v>
      </c>
    </row>
    <row r="2" spans="1:17" x14ac:dyDescent="0.55000000000000004">
      <c r="A2" s="5">
        <v>44531</v>
      </c>
      <c r="B2" s="6" t="s">
        <v>2</v>
      </c>
      <c r="C2" s="6" t="s">
        <v>9</v>
      </c>
      <c r="D2" s="169">
        <v>139.49574783325193</v>
      </c>
      <c r="E2" s="4">
        <v>474917846.85000002</v>
      </c>
      <c r="F2" s="175">
        <v>81</v>
      </c>
      <c r="K2" t="s">
        <v>18</v>
      </c>
      <c r="L2" s="164">
        <f>SUM(D2:D156)</f>
        <v>19519.892423535784</v>
      </c>
      <c r="M2" s="164">
        <f>SUM(E2:E156)</f>
        <v>58028589738.17112</v>
      </c>
      <c r="N2" s="164"/>
    </row>
    <row r="3" spans="1:17" s="132" customFormat="1" x14ac:dyDescent="0.55000000000000004">
      <c r="A3" s="5">
        <v>44531</v>
      </c>
      <c r="B3" s="6" t="s">
        <v>7</v>
      </c>
      <c r="C3" s="6" t="s">
        <v>15</v>
      </c>
      <c r="D3" s="170">
        <v>23.489329452514649</v>
      </c>
      <c r="E3" s="146">
        <v>4934980.17</v>
      </c>
      <c r="F3" s="175">
        <v>150</v>
      </c>
      <c r="K3" t="s">
        <v>19</v>
      </c>
      <c r="L3" s="165">
        <f>AVERAGE(D2:D156)</f>
        <v>125.93478982926312</v>
      </c>
      <c r="M3" s="155">
        <f>AVERAGE(E2:E156)</f>
        <v>374377998.31078142</v>
      </c>
      <c r="N3" s="165">
        <f>AVERAGE(F2:F156)</f>
        <v>98.18679456486791</v>
      </c>
      <c r="O3" s="9" t="s">
        <v>7</v>
      </c>
      <c r="P3" s="132" t="s">
        <v>11</v>
      </c>
      <c r="Q3" s="132" t="s">
        <v>10</v>
      </c>
    </row>
    <row r="4" spans="1:17" x14ac:dyDescent="0.55000000000000004">
      <c r="A4" s="131">
        <v>44531</v>
      </c>
      <c r="B4" s="132" t="s">
        <v>6</v>
      </c>
      <c r="C4" s="132" t="s">
        <v>13</v>
      </c>
      <c r="D4" s="149">
        <v>18.76605949975783</v>
      </c>
      <c r="E4" s="160">
        <v>31559505.250610352</v>
      </c>
      <c r="F4" s="176">
        <v>76</v>
      </c>
      <c r="K4" t="s">
        <v>20</v>
      </c>
      <c r="L4" s="3">
        <f>_xlfn.STDEV.P(D2:D156)</f>
        <v>180.34197598840075</v>
      </c>
      <c r="M4" s="167">
        <f>_xlfn.STDEV.P(E2:E156)</f>
        <v>652722036.43324351</v>
      </c>
      <c r="N4" s="166">
        <f>_xlfn.STDEV.P(F2:F156)</f>
        <v>32.157753535870938</v>
      </c>
      <c r="Q4" s="132" t="s">
        <v>13</v>
      </c>
    </row>
    <row r="5" spans="1:17" x14ac:dyDescent="0.55000000000000004">
      <c r="A5" s="5">
        <v>44531</v>
      </c>
      <c r="B5" s="6" t="s">
        <v>4</v>
      </c>
      <c r="C5" s="6" t="s">
        <v>11</v>
      </c>
      <c r="D5" s="169">
        <v>420.17333923339851</v>
      </c>
      <c r="E5" s="4">
        <v>85137418.670000002</v>
      </c>
      <c r="F5" s="175">
        <v>92</v>
      </c>
      <c r="K5" t="s">
        <v>21</v>
      </c>
      <c r="L5" s="166">
        <f>MIN(D2:D156)</f>
        <v>1.0694357013702394</v>
      </c>
      <c r="M5" s="4">
        <f>MIN(E2:E156)</f>
        <v>314714.82</v>
      </c>
      <c r="N5" s="3">
        <f>MIN(F2:F156)</f>
        <v>48.889399212959688</v>
      </c>
      <c r="O5" s="42" t="s">
        <v>7</v>
      </c>
    </row>
    <row r="6" spans="1:17" x14ac:dyDescent="0.55000000000000004">
      <c r="A6" s="5">
        <v>44531</v>
      </c>
      <c r="B6" s="6" t="s">
        <v>3</v>
      </c>
      <c r="C6" s="6" t="s">
        <v>10</v>
      </c>
      <c r="D6" s="169">
        <v>11.487902727127079</v>
      </c>
      <c r="E6" s="4">
        <v>47407369.710000001</v>
      </c>
      <c r="F6" s="175">
        <v>53</v>
      </c>
      <c r="K6" t="s">
        <v>22</v>
      </c>
      <c r="L6" s="167">
        <f>MAX(D2:D156)</f>
        <v>1312.9918798828126</v>
      </c>
      <c r="M6" s="4">
        <f>MAX(E2:E156)</f>
        <v>4289780498.71</v>
      </c>
      <c r="N6" s="3">
        <f>MAX(F2:F156)</f>
        <v>167.23695803520968</v>
      </c>
      <c r="O6" s="69" t="s">
        <v>9</v>
      </c>
    </row>
    <row r="7" spans="1:17" x14ac:dyDescent="0.55000000000000004">
      <c r="A7" s="131">
        <v>44532</v>
      </c>
      <c r="B7" s="132" t="s">
        <v>2</v>
      </c>
      <c r="C7" s="132" t="s">
        <v>9</v>
      </c>
      <c r="D7" s="174">
        <v>104.81852149963377</v>
      </c>
      <c r="E7" s="158">
        <v>277400817.53500003</v>
      </c>
      <c r="F7" s="175">
        <v>110</v>
      </c>
    </row>
    <row r="8" spans="1:17" x14ac:dyDescent="0.55000000000000004">
      <c r="A8" s="8">
        <v>44532</v>
      </c>
      <c r="B8" s="9" t="s">
        <v>7</v>
      </c>
      <c r="C8" s="9" t="s">
        <v>15</v>
      </c>
      <c r="D8" s="169">
        <v>261.61609441280359</v>
      </c>
      <c r="E8" s="4">
        <v>376094825.37</v>
      </c>
      <c r="F8" s="175">
        <v>113</v>
      </c>
    </row>
    <row r="9" spans="1:17" x14ac:dyDescent="0.55000000000000004">
      <c r="A9" s="8">
        <v>44532</v>
      </c>
      <c r="B9" s="9" t="s">
        <v>6</v>
      </c>
      <c r="C9" s="9" t="s">
        <v>13</v>
      </c>
      <c r="D9" s="170">
        <v>286.52542014122008</v>
      </c>
      <c r="E9" s="146">
        <v>1278932432.9200001</v>
      </c>
      <c r="F9" s="175">
        <v>64</v>
      </c>
    </row>
    <row r="10" spans="1:17" x14ac:dyDescent="0.55000000000000004">
      <c r="A10" s="8">
        <v>44532</v>
      </c>
      <c r="B10" s="9" t="s">
        <v>4</v>
      </c>
      <c r="C10" s="9" t="s">
        <v>11</v>
      </c>
      <c r="D10" s="170">
        <v>7.7173205089569095</v>
      </c>
      <c r="E10" s="146">
        <v>1242221.8500000001</v>
      </c>
      <c r="F10" s="175">
        <v>93</v>
      </c>
    </row>
    <row r="11" spans="1:17" x14ac:dyDescent="0.55000000000000004">
      <c r="A11" s="8">
        <v>44532</v>
      </c>
      <c r="B11" s="9" t="s">
        <v>3</v>
      </c>
      <c r="C11" s="9" t="s">
        <v>10</v>
      </c>
      <c r="D11" s="169">
        <v>109.37096038818358</v>
      </c>
      <c r="E11" s="4">
        <v>513398941.65000004</v>
      </c>
      <c r="F11" s="175">
        <v>57</v>
      </c>
    </row>
    <row r="12" spans="1:17" x14ac:dyDescent="0.55000000000000004">
      <c r="A12" s="11">
        <v>44533</v>
      </c>
      <c r="B12" s="12" t="s">
        <v>2</v>
      </c>
      <c r="C12" s="12" t="s">
        <v>9</v>
      </c>
      <c r="D12" s="169">
        <v>70.141295166015624</v>
      </c>
      <c r="E12" s="4">
        <v>79883788.219999999</v>
      </c>
      <c r="F12" s="175">
        <v>89</v>
      </c>
    </row>
    <row r="13" spans="1:17" x14ac:dyDescent="0.55000000000000004">
      <c r="A13" s="11">
        <v>44533</v>
      </c>
      <c r="B13" s="12" t="s">
        <v>7</v>
      </c>
      <c r="C13" s="12" t="s">
        <v>15</v>
      </c>
      <c r="D13" s="170">
        <v>31.134267947673798</v>
      </c>
      <c r="E13" s="146">
        <v>6783136.6000000006</v>
      </c>
      <c r="F13" s="175">
        <v>79</v>
      </c>
    </row>
    <row r="14" spans="1:17" x14ac:dyDescent="0.55000000000000004">
      <c r="A14" s="131">
        <v>44533</v>
      </c>
      <c r="B14" s="132" t="s">
        <v>6</v>
      </c>
      <c r="C14" s="132" t="s">
        <v>13</v>
      </c>
      <c r="D14" s="133">
        <v>13</v>
      </c>
      <c r="E14" s="142">
        <v>244727455</v>
      </c>
      <c r="F14" s="176">
        <v>56</v>
      </c>
    </row>
    <row r="15" spans="1:17" x14ac:dyDescent="0.55000000000000004">
      <c r="A15" s="11">
        <v>44533</v>
      </c>
      <c r="B15" s="12" t="s">
        <v>4</v>
      </c>
      <c r="C15" s="12" t="s">
        <v>11</v>
      </c>
      <c r="D15" s="169">
        <v>1312.9918798828126</v>
      </c>
      <c r="E15" s="4">
        <v>3491333891.9700003</v>
      </c>
      <c r="F15" s="175">
        <v>77</v>
      </c>
    </row>
    <row r="16" spans="1:17" x14ac:dyDescent="0.55000000000000004">
      <c r="A16" s="131">
        <v>44533</v>
      </c>
      <c r="B16" s="132" t="s">
        <v>3</v>
      </c>
      <c r="C16" s="132" t="s">
        <v>10</v>
      </c>
      <c r="D16" s="173">
        <v>58.591174688339223</v>
      </c>
      <c r="E16" s="158">
        <v>310706319.125</v>
      </c>
      <c r="F16" s="176">
        <v>57</v>
      </c>
    </row>
    <row r="17" spans="1:6" x14ac:dyDescent="0.55000000000000004">
      <c r="A17" s="14">
        <v>44534</v>
      </c>
      <c r="B17" s="15" t="s">
        <v>2</v>
      </c>
      <c r="C17" s="15" t="s">
        <v>9</v>
      </c>
      <c r="D17" s="169">
        <v>210.53629623413087</v>
      </c>
      <c r="E17" s="4">
        <v>49678462.900000006</v>
      </c>
      <c r="F17" s="175">
        <v>93</v>
      </c>
    </row>
    <row r="18" spans="1:6" s="132" customFormat="1" x14ac:dyDescent="0.55000000000000004">
      <c r="A18" s="14">
        <v>44534</v>
      </c>
      <c r="B18" s="15" t="s">
        <v>7</v>
      </c>
      <c r="C18" s="15" t="s">
        <v>15</v>
      </c>
      <c r="D18" s="170">
        <v>21.178821468353277</v>
      </c>
      <c r="E18" s="146">
        <v>58787883.290000007</v>
      </c>
      <c r="F18" s="175">
        <v>153</v>
      </c>
    </row>
    <row r="19" spans="1:6" x14ac:dyDescent="0.55000000000000004">
      <c r="A19" s="131">
        <v>44534</v>
      </c>
      <c r="B19" s="132" t="s">
        <v>6</v>
      </c>
      <c r="C19" s="132" t="s">
        <v>13</v>
      </c>
      <c r="D19" s="149">
        <v>10</v>
      </c>
      <c r="E19" s="135">
        <v>210913943</v>
      </c>
      <c r="F19" s="176">
        <v>55</v>
      </c>
    </row>
    <row r="20" spans="1:6" x14ac:dyDescent="0.55000000000000004">
      <c r="A20" s="14">
        <v>44534</v>
      </c>
      <c r="B20" s="15" t="s">
        <v>4</v>
      </c>
      <c r="C20" s="15" t="s">
        <v>11</v>
      </c>
      <c r="D20" s="169">
        <v>8.7129330921173107</v>
      </c>
      <c r="E20" s="4">
        <v>38951720.390000001</v>
      </c>
      <c r="F20" s="175">
        <v>116</v>
      </c>
    </row>
    <row r="21" spans="1:6" s="132" customFormat="1" x14ac:dyDescent="0.55000000000000004">
      <c r="A21" s="14">
        <v>44534</v>
      </c>
      <c r="B21" s="15" t="s">
        <v>3</v>
      </c>
      <c r="C21" s="15" t="s">
        <v>10</v>
      </c>
      <c r="D21" s="170">
        <v>7.8113889884948735</v>
      </c>
      <c r="E21" s="146">
        <v>108013696.60000001</v>
      </c>
      <c r="F21" s="175">
        <v>60</v>
      </c>
    </row>
    <row r="22" spans="1:6" x14ac:dyDescent="0.55000000000000004">
      <c r="A22" s="17">
        <v>44535</v>
      </c>
      <c r="B22" s="18" t="s">
        <v>2</v>
      </c>
      <c r="C22" s="18" t="s">
        <v>9</v>
      </c>
      <c r="D22" s="169">
        <v>4.1705398416519168</v>
      </c>
      <c r="E22" s="4">
        <v>14091800.49</v>
      </c>
      <c r="F22" s="175">
        <v>83</v>
      </c>
    </row>
    <row r="23" spans="1:6" x14ac:dyDescent="0.55000000000000004">
      <c r="A23" s="17">
        <v>44535</v>
      </c>
      <c r="B23" s="18" t="s">
        <v>7</v>
      </c>
      <c r="C23" s="18" t="s">
        <v>15</v>
      </c>
      <c r="D23" s="169">
        <v>136.29085101127626</v>
      </c>
      <c r="E23" s="4">
        <v>1046243735.8800001</v>
      </c>
      <c r="F23" s="175">
        <v>126</v>
      </c>
    </row>
    <row r="24" spans="1:6" x14ac:dyDescent="0.55000000000000004">
      <c r="A24" s="131">
        <v>44535</v>
      </c>
      <c r="B24" s="132" t="s">
        <v>6</v>
      </c>
      <c r="C24" s="132" t="s">
        <v>13</v>
      </c>
      <c r="D24" s="149">
        <v>6</v>
      </c>
      <c r="E24" s="135">
        <v>174666143</v>
      </c>
      <c r="F24" s="176">
        <v>93</v>
      </c>
    </row>
    <row r="25" spans="1:6" x14ac:dyDescent="0.55000000000000004">
      <c r="A25" s="17">
        <v>44535</v>
      </c>
      <c r="B25" s="18" t="s">
        <v>4</v>
      </c>
      <c r="C25" s="18" t="s">
        <v>11</v>
      </c>
      <c r="D25" s="169">
        <v>78.963978729248055</v>
      </c>
      <c r="E25" s="4">
        <v>627671259.78000009</v>
      </c>
      <c r="F25" s="175">
        <v>110</v>
      </c>
    </row>
    <row r="26" spans="1:6" s="132" customFormat="1" x14ac:dyDescent="0.55000000000000004">
      <c r="A26" s="131">
        <v>44535</v>
      </c>
      <c r="B26" s="132" t="s">
        <v>3</v>
      </c>
      <c r="C26" s="132" t="s">
        <v>10</v>
      </c>
      <c r="D26" s="149">
        <v>31.363024969119579</v>
      </c>
      <c r="E26" s="142">
        <v>239663171.30749512</v>
      </c>
      <c r="F26" s="176">
        <v>60</v>
      </c>
    </row>
    <row r="27" spans="1:6" x14ac:dyDescent="0.55000000000000004">
      <c r="A27" s="20">
        <v>44536</v>
      </c>
      <c r="B27" s="21" t="s">
        <v>2</v>
      </c>
      <c r="C27" s="21" t="s">
        <v>9</v>
      </c>
      <c r="D27" s="169">
        <v>101.50255172729493</v>
      </c>
      <c r="E27" s="4">
        <v>18504317.850000001</v>
      </c>
      <c r="F27" s="175">
        <v>139</v>
      </c>
    </row>
    <row r="28" spans="1:6" x14ac:dyDescent="0.55000000000000004">
      <c r="A28" s="20">
        <v>44536</v>
      </c>
      <c r="B28" s="21" t="s">
        <v>7</v>
      </c>
      <c r="C28" s="21" t="s">
        <v>15</v>
      </c>
      <c r="D28" s="169">
        <v>35.846557178497321</v>
      </c>
      <c r="E28" s="4">
        <v>90790255.420000002</v>
      </c>
      <c r="F28" s="175">
        <v>117</v>
      </c>
    </row>
    <row r="29" spans="1:6" x14ac:dyDescent="0.55000000000000004">
      <c r="A29" s="20">
        <v>44536</v>
      </c>
      <c r="B29" s="21" t="s">
        <v>6</v>
      </c>
      <c r="C29" s="21" t="s">
        <v>13</v>
      </c>
      <c r="D29" s="169">
        <v>2.0902160799503329</v>
      </c>
      <c r="E29" s="4">
        <v>6469973.2800000003</v>
      </c>
      <c r="F29" s="175">
        <v>114</v>
      </c>
    </row>
    <row r="30" spans="1:6" x14ac:dyDescent="0.55000000000000004">
      <c r="A30" s="20">
        <v>44536</v>
      </c>
      <c r="B30" s="21" t="s">
        <v>4</v>
      </c>
      <c r="C30" s="21" t="s">
        <v>11</v>
      </c>
      <c r="D30" s="169">
        <v>77.044583778381352</v>
      </c>
      <c r="E30" s="4">
        <v>125918153.19000001</v>
      </c>
      <c r="F30" s="175">
        <v>119</v>
      </c>
    </row>
    <row r="31" spans="1:6" x14ac:dyDescent="0.55000000000000004">
      <c r="A31" s="131">
        <v>44536</v>
      </c>
      <c r="B31" s="132" t="s">
        <v>3</v>
      </c>
      <c r="C31" s="132" t="s">
        <v>10</v>
      </c>
      <c r="D31" s="149">
        <v>19</v>
      </c>
      <c r="E31" s="160">
        <v>36970548.782226563</v>
      </c>
      <c r="F31" s="176">
        <v>55</v>
      </c>
    </row>
    <row r="32" spans="1:6" x14ac:dyDescent="0.55000000000000004">
      <c r="A32" s="23">
        <v>44537</v>
      </c>
      <c r="B32" s="24" t="s">
        <v>2</v>
      </c>
      <c r="C32" s="24" t="s">
        <v>9</v>
      </c>
      <c r="D32" s="169">
        <v>685.90095581054686</v>
      </c>
      <c r="E32" s="4">
        <v>301740619.53000003</v>
      </c>
      <c r="F32" s="175">
        <v>142</v>
      </c>
    </row>
    <row r="33" spans="1:6" x14ac:dyDescent="0.55000000000000004">
      <c r="A33" s="23">
        <v>44537</v>
      </c>
      <c r="B33" s="24" t="s">
        <v>7</v>
      </c>
      <c r="C33" s="24" t="s">
        <v>15</v>
      </c>
      <c r="D33" s="169">
        <v>40.95959002017976</v>
      </c>
      <c r="E33" s="4">
        <v>16032208.040000001</v>
      </c>
      <c r="F33" s="175">
        <v>126</v>
      </c>
    </row>
    <row r="34" spans="1:6" x14ac:dyDescent="0.55000000000000004">
      <c r="A34" s="131">
        <v>44537</v>
      </c>
      <c r="B34" s="132" t="s">
        <v>6</v>
      </c>
      <c r="C34" s="132" t="s">
        <v>13</v>
      </c>
      <c r="D34" s="173">
        <v>17.560952375531198</v>
      </c>
      <c r="E34" s="158">
        <v>48374346.900000006</v>
      </c>
      <c r="F34" s="176">
        <v>123</v>
      </c>
    </row>
    <row r="35" spans="1:6" x14ac:dyDescent="0.55000000000000004">
      <c r="A35" s="1">
        <v>44537</v>
      </c>
      <c r="B35" t="s">
        <v>4</v>
      </c>
      <c r="C35" t="s">
        <v>11</v>
      </c>
      <c r="D35" s="169">
        <v>43.636761498451236</v>
      </c>
      <c r="E35" s="163">
        <v>87435147.370000005</v>
      </c>
      <c r="F35" s="176">
        <v>113</v>
      </c>
    </row>
    <row r="36" spans="1:6" x14ac:dyDescent="0.55000000000000004">
      <c r="A36" s="131">
        <v>44537</v>
      </c>
      <c r="B36" s="132" t="s">
        <v>3</v>
      </c>
      <c r="C36" s="132" t="s">
        <v>10</v>
      </c>
      <c r="D36" s="149">
        <v>5.3859251404064707</v>
      </c>
      <c r="E36" s="160">
        <v>1448974.8735351563</v>
      </c>
      <c r="F36" s="176">
        <v>62</v>
      </c>
    </row>
    <row r="37" spans="1:6" x14ac:dyDescent="0.55000000000000004">
      <c r="A37" s="131">
        <v>44538</v>
      </c>
      <c r="B37" s="132" t="s">
        <v>2</v>
      </c>
      <c r="C37" s="132" t="s">
        <v>9</v>
      </c>
      <c r="D37" s="149">
        <v>411.88269102526829</v>
      </c>
      <c r="E37" s="160">
        <v>16157283.473632813</v>
      </c>
      <c r="F37" s="176">
        <v>152</v>
      </c>
    </row>
    <row r="38" spans="1:6" x14ac:dyDescent="0.55000000000000004">
      <c r="A38" s="26">
        <v>44538</v>
      </c>
      <c r="B38" s="27" t="s">
        <v>7</v>
      </c>
      <c r="C38" s="27" t="s">
        <v>15</v>
      </c>
      <c r="D38" s="169">
        <v>6.7602480936050418</v>
      </c>
      <c r="E38" s="4">
        <v>46692000.880000003</v>
      </c>
      <c r="F38" s="175">
        <v>141</v>
      </c>
    </row>
    <row r="39" spans="1:6" x14ac:dyDescent="0.55000000000000004">
      <c r="A39" s="26">
        <v>44538</v>
      </c>
      <c r="B39" s="27" t="s">
        <v>6</v>
      </c>
      <c r="C39" s="27" t="s">
        <v>13</v>
      </c>
      <c r="D39" s="169">
        <v>33.031688671112057</v>
      </c>
      <c r="E39" s="4">
        <v>90278720.520000011</v>
      </c>
      <c r="F39" s="175">
        <v>103</v>
      </c>
    </row>
    <row r="40" spans="1:6" x14ac:dyDescent="0.55000000000000004">
      <c r="A40" s="26">
        <v>44538</v>
      </c>
      <c r="B40" s="27" t="s">
        <v>4</v>
      </c>
      <c r="C40" s="27" t="s">
        <v>11</v>
      </c>
      <c r="D40" s="169">
        <v>10.228939218521118</v>
      </c>
      <c r="E40" s="4">
        <v>48952141.550000004</v>
      </c>
      <c r="F40" s="175">
        <v>129</v>
      </c>
    </row>
    <row r="41" spans="1:6" x14ac:dyDescent="0.55000000000000004">
      <c r="A41" s="131">
        <v>44538</v>
      </c>
      <c r="B41" s="132" t="s">
        <v>3</v>
      </c>
      <c r="C41" s="132" t="s">
        <v>10</v>
      </c>
      <c r="D41" s="149">
        <v>10.980230646164273</v>
      </c>
      <c r="E41" s="160">
        <v>34072599</v>
      </c>
      <c r="F41" s="176">
        <v>59</v>
      </c>
    </row>
    <row r="42" spans="1:6" x14ac:dyDescent="0.55000000000000004">
      <c r="A42" s="131">
        <v>44539</v>
      </c>
      <c r="B42" s="132" t="s">
        <v>2</v>
      </c>
      <c r="C42" s="132" t="s">
        <v>9</v>
      </c>
      <c r="D42" s="159">
        <v>518.94727666629478</v>
      </c>
      <c r="E42" s="160">
        <v>55180857.912109375</v>
      </c>
      <c r="F42" s="176">
        <v>154</v>
      </c>
    </row>
    <row r="43" spans="1:6" x14ac:dyDescent="0.55000000000000004">
      <c r="A43" s="29">
        <v>44539</v>
      </c>
      <c r="B43" s="30" t="s">
        <v>7</v>
      </c>
      <c r="C43" s="30" t="s">
        <v>15</v>
      </c>
      <c r="D43" s="169">
        <v>539.21121475219729</v>
      </c>
      <c r="E43" s="4">
        <v>2272019985.48</v>
      </c>
      <c r="F43" s="175">
        <v>126</v>
      </c>
    </row>
    <row r="44" spans="1:6" x14ac:dyDescent="0.55000000000000004">
      <c r="A44" s="131">
        <v>44539</v>
      </c>
      <c r="B44" s="132" t="s">
        <v>6</v>
      </c>
      <c r="C44" s="132" t="s">
        <v>13</v>
      </c>
      <c r="D44" s="143">
        <v>40.73932120323181</v>
      </c>
      <c r="E44" s="134">
        <v>49258994.545000002</v>
      </c>
      <c r="F44" s="176">
        <v>95</v>
      </c>
    </row>
    <row r="45" spans="1:6" x14ac:dyDescent="0.55000000000000004">
      <c r="A45" s="131">
        <v>44539</v>
      </c>
      <c r="B45" s="132" t="s">
        <v>4</v>
      </c>
      <c r="C45" s="132" t="s">
        <v>11</v>
      </c>
      <c r="D45" s="133">
        <v>94</v>
      </c>
      <c r="E45" s="142">
        <v>63516316.354492188</v>
      </c>
      <c r="F45" s="176">
        <v>140</v>
      </c>
    </row>
    <row r="46" spans="1:6" x14ac:dyDescent="0.55000000000000004">
      <c r="A46" s="131">
        <v>44539</v>
      </c>
      <c r="B46" s="132" t="s">
        <v>3</v>
      </c>
      <c r="C46" s="132" t="s">
        <v>10</v>
      </c>
      <c r="D46" s="149">
        <v>2</v>
      </c>
      <c r="E46" s="160">
        <v>85034499</v>
      </c>
      <c r="F46" s="176">
        <v>61</v>
      </c>
    </row>
    <row r="47" spans="1:6" x14ac:dyDescent="0.55000000000000004">
      <c r="A47" s="32">
        <v>44540</v>
      </c>
      <c r="B47" s="33" t="s">
        <v>2</v>
      </c>
      <c r="C47" s="33" t="s">
        <v>9</v>
      </c>
      <c r="D47" s="169">
        <v>8.2056321954727185</v>
      </c>
      <c r="E47" s="4">
        <v>28148791.740000002</v>
      </c>
      <c r="F47" s="175">
        <v>129</v>
      </c>
    </row>
    <row r="48" spans="1:6" x14ac:dyDescent="0.55000000000000004">
      <c r="A48" s="32">
        <v>44540</v>
      </c>
      <c r="B48" s="33" t="s">
        <v>7</v>
      </c>
      <c r="C48" s="33" t="s">
        <v>15</v>
      </c>
      <c r="D48" s="169">
        <v>248.25890451431272</v>
      </c>
      <c r="E48" s="4">
        <v>496856688.15000004</v>
      </c>
      <c r="F48" s="175">
        <v>145</v>
      </c>
    </row>
    <row r="49" spans="1:6" x14ac:dyDescent="0.55000000000000004">
      <c r="A49" s="32">
        <v>44540</v>
      </c>
      <c r="B49" s="33" t="s">
        <v>6</v>
      </c>
      <c r="C49" s="33" t="s">
        <v>13</v>
      </c>
      <c r="D49" s="169">
        <v>48.446953735351563</v>
      </c>
      <c r="E49" s="4">
        <v>8239268.5700000003</v>
      </c>
      <c r="F49" s="175">
        <v>101</v>
      </c>
    </row>
    <row r="50" spans="1:6" x14ac:dyDescent="0.55000000000000004">
      <c r="A50" s="131">
        <v>44540</v>
      </c>
      <c r="B50" s="132" t="s">
        <v>4</v>
      </c>
      <c r="C50" s="132" t="s">
        <v>11</v>
      </c>
      <c r="D50" s="149">
        <v>107</v>
      </c>
      <c r="E50" s="160">
        <v>357173800</v>
      </c>
      <c r="F50" s="176">
        <v>115</v>
      </c>
    </row>
    <row r="51" spans="1:6" x14ac:dyDescent="0.55000000000000004">
      <c r="A51" s="131">
        <v>44540</v>
      </c>
      <c r="B51" s="132" t="s">
        <v>3</v>
      </c>
      <c r="C51" s="132" t="s">
        <v>10</v>
      </c>
      <c r="D51" s="149">
        <v>2</v>
      </c>
      <c r="E51" s="160">
        <v>83585524.108886719</v>
      </c>
      <c r="F51" s="176">
        <v>59</v>
      </c>
    </row>
    <row r="52" spans="1:6" x14ac:dyDescent="0.55000000000000004">
      <c r="A52" s="35">
        <v>44541</v>
      </c>
      <c r="B52" s="36" t="s">
        <v>2</v>
      </c>
      <c r="C52" s="36" t="s">
        <v>9</v>
      </c>
      <c r="D52" s="169">
        <v>236.83927937030791</v>
      </c>
      <c r="E52" s="4">
        <v>814496020.38</v>
      </c>
      <c r="F52" s="175">
        <v>110</v>
      </c>
    </row>
    <row r="53" spans="1:6" x14ac:dyDescent="0.55000000000000004">
      <c r="A53" s="35">
        <v>44541</v>
      </c>
      <c r="B53" s="36" t="s">
        <v>7</v>
      </c>
      <c r="C53" s="36" t="s">
        <v>15</v>
      </c>
      <c r="D53" s="169">
        <v>76.67032840132714</v>
      </c>
      <c r="E53" s="4">
        <v>154873489.53</v>
      </c>
      <c r="F53" s="175">
        <v>126</v>
      </c>
    </row>
    <row r="54" spans="1:6" x14ac:dyDescent="0.55000000000000004">
      <c r="A54" s="131">
        <v>44541</v>
      </c>
      <c r="B54" s="132" t="s">
        <v>6</v>
      </c>
      <c r="C54" s="132" t="s">
        <v>13</v>
      </c>
      <c r="D54" s="149">
        <v>63.141379654582124</v>
      </c>
      <c r="E54" s="160">
        <v>41851232.230499268</v>
      </c>
      <c r="F54" s="176">
        <v>117</v>
      </c>
    </row>
    <row r="55" spans="1:6" x14ac:dyDescent="0.55000000000000004">
      <c r="A55" s="35">
        <v>44541</v>
      </c>
      <c r="B55" s="36" t="s">
        <v>4</v>
      </c>
      <c r="C55" s="36" t="s">
        <v>11</v>
      </c>
      <c r="D55" s="169">
        <v>180.23321695327763</v>
      </c>
      <c r="E55" s="4">
        <v>28413310.720000003</v>
      </c>
      <c r="F55" s="175">
        <v>97</v>
      </c>
    </row>
    <row r="56" spans="1:6" x14ac:dyDescent="0.55000000000000004">
      <c r="A56" s="131">
        <v>44541</v>
      </c>
      <c r="B56" s="132" t="s">
        <v>3</v>
      </c>
      <c r="C56" s="132" t="s">
        <v>10</v>
      </c>
      <c r="D56" s="149">
        <v>4</v>
      </c>
      <c r="E56" s="160">
        <v>125378286.17211914</v>
      </c>
      <c r="F56" s="176">
        <v>55</v>
      </c>
    </row>
    <row r="57" spans="1:6" x14ac:dyDescent="0.55000000000000004">
      <c r="A57" s="131">
        <v>44542</v>
      </c>
      <c r="B57" s="132" t="s">
        <v>2</v>
      </c>
      <c r="C57" s="132" t="s">
        <v>9</v>
      </c>
      <c r="D57" s="149">
        <v>364.6459216075018</v>
      </c>
      <c r="E57" s="160">
        <v>239875351.55645752</v>
      </c>
      <c r="F57" s="176">
        <v>139</v>
      </c>
    </row>
    <row r="58" spans="1:6" s="132" customFormat="1" x14ac:dyDescent="0.55000000000000004">
      <c r="A58" s="131">
        <v>44542</v>
      </c>
      <c r="B58" s="132" t="s">
        <v>7</v>
      </c>
      <c r="C58" s="132" t="s">
        <v>15</v>
      </c>
      <c r="D58" s="149">
        <v>217.17630981339607</v>
      </c>
      <c r="E58" s="142">
        <v>795867049.08642578</v>
      </c>
      <c r="F58" s="176">
        <v>109</v>
      </c>
    </row>
    <row r="59" spans="1:6" x14ac:dyDescent="0.55000000000000004">
      <c r="A59" s="131">
        <v>44542</v>
      </c>
      <c r="B59" s="132" t="s">
        <v>6</v>
      </c>
      <c r="C59" s="132" t="s">
        <v>13</v>
      </c>
      <c r="D59" s="149">
        <v>72.556895014655311</v>
      </c>
      <c r="E59" s="160">
        <v>19074808.166442871</v>
      </c>
      <c r="F59" s="176">
        <v>77</v>
      </c>
    </row>
    <row r="60" spans="1:6" s="132" customFormat="1" x14ac:dyDescent="0.55000000000000004">
      <c r="A60" s="131">
        <v>44542</v>
      </c>
      <c r="B60" s="132" t="s">
        <v>4</v>
      </c>
      <c r="C60" s="132" t="s">
        <v>11</v>
      </c>
      <c r="D60" s="173">
        <v>190.66370976448061</v>
      </c>
      <c r="E60" s="134">
        <v>35026690.215000004</v>
      </c>
      <c r="F60" s="177">
        <v>111</v>
      </c>
    </row>
    <row r="61" spans="1:6" x14ac:dyDescent="0.55000000000000004">
      <c r="A61" s="131">
        <v>44542</v>
      </c>
      <c r="B61" s="132" t="s">
        <v>3</v>
      </c>
      <c r="C61" s="132" t="s">
        <v>10</v>
      </c>
      <c r="D61" s="149">
        <v>10</v>
      </c>
      <c r="E61" s="160">
        <v>150134748.7265625</v>
      </c>
      <c r="F61" s="176">
        <v>65</v>
      </c>
    </row>
    <row r="62" spans="1:6" x14ac:dyDescent="0.55000000000000004">
      <c r="A62" s="131">
        <v>44543</v>
      </c>
      <c r="B62" s="132" t="s">
        <v>2</v>
      </c>
      <c r="C62" s="132" t="s">
        <v>9</v>
      </c>
      <c r="D62" s="149">
        <v>394.26484509604052</v>
      </c>
      <c r="E62" s="160">
        <v>323163301.00244141</v>
      </c>
      <c r="F62" s="176">
        <v>135</v>
      </c>
    </row>
    <row r="63" spans="1:6" x14ac:dyDescent="0.55000000000000004">
      <c r="A63" s="131">
        <v>44543</v>
      </c>
      <c r="B63" s="132" t="s">
        <v>7</v>
      </c>
      <c r="C63" s="132" t="s">
        <v>15</v>
      </c>
      <c r="D63" s="149">
        <v>224.16974358411971</v>
      </c>
      <c r="E63" s="160">
        <v>837161015.58642578</v>
      </c>
      <c r="F63" s="176">
        <v>123</v>
      </c>
    </row>
    <row r="64" spans="1:6" x14ac:dyDescent="0.55000000000000004">
      <c r="A64" s="38">
        <v>44543</v>
      </c>
      <c r="B64" s="39" t="s">
        <v>6</v>
      </c>
      <c r="C64" s="39" t="s">
        <v>13</v>
      </c>
      <c r="D64" s="170">
        <v>3.0138697457313532</v>
      </c>
      <c r="E64" s="146">
        <v>753667.34000000008</v>
      </c>
      <c r="F64" s="175">
        <v>81</v>
      </c>
    </row>
    <row r="65" spans="1:10" x14ac:dyDescent="0.55000000000000004">
      <c r="A65" s="38">
        <v>44543</v>
      </c>
      <c r="B65" s="39" t="s">
        <v>4</v>
      </c>
      <c r="C65" s="39" t="s">
        <v>11</v>
      </c>
      <c r="D65" s="169">
        <v>201.09420257568357</v>
      </c>
      <c r="E65" s="4">
        <v>41640069.710000001</v>
      </c>
      <c r="F65" s="175">
        <v>132</v>
      </c>
    </row>
    <row r="66" spans="1:10" x14ac:dyDescent="0.55000000000000004">
      <c r="A66" s="131">
        <v>44543</v>
      </c>
      <c r="B66" s="132" t="s">
        <v>3</v>
      </c>
      <c r="C66" s="132" t="s">
        <v>10</v>
      </c>
      <c r="D66" s="133">
        <v>13</v>
      </c>
      <c r="E66" s="160">
        <v>170306642.31262207</v>
      </c>
      <c r="F66" s="176">
        <v>71</v>
      </c>
      <c r="J66" s="3"/>
    </row>
    <row r="67" spans="1:10" x14ac:dyDescent="0.55000000000000004">
      <c r="A67" s="41">
        <v>44544</v>
      </c>
      <c r="B67" s="42" t="s">
        <v>2</v>
      </c>
      <c r="C67" s="42" t="s">
        <v>9</v>
      </c>
      <c r="D67" s="170">
        <v>108.6566746520996</v>
      </c>
      <c r="E67" s="4">
        <v>24775167.34</v>
      </c>
      <c r="F67" s="175">
        <v>109</v>
      </c>
      <c r="J67" s="3"/>
    </row>
    <row r="68" spans="1:10" x14ac:dyDescent="0.55000000000000004">
      <c r="A68" s="41">
        <v>44544</v>
      </c>
      <c r="B68" s="42" t="s">
        <v>7</v>
      </c>
      <c r="C68" s="42" t="s">
        <v>15</v>
      </c>
      <c r="D68" s="170">
        <v>1.0694357013702394</v>
      </c>
      <c r="E68" s="4">
        <v>314714.82</v>
      </c>
      <c r="F68" s="175">
        <v>96</v>
      </c>
      <c r="J68" s="3"/>
    </row>
    <row r="69" spans="1:10" x14ac:dyDescent="0.55000000000000004">
      <c r="A69" s="1">
        <v>44544</v>
      </c>
      <c r="B69" t="s">
        <v>6</v>
      </c>
      <c r="C69" t="s">
        <v>13</v>
      </c>
      <c r="D69" s="3">
        <v>55.402052113873651</v>
      </c>
      <c r="E69" s="161">
        <v>13065446.474822998</v>
      </c>
      <c r="F69" s="176">
        <v>81</v>
      </c>
    </row>
    <row r="70" spans="1:10" s="132" customFormat="1" x14ac:dyDescent="0.55000000000000004">
      <c r="A70" s="131">
        <v>44544</v>
      </c>
      <c r="B70" s="132" t="s">
        <v>4</v>
      </c>
      <c r="C70" s="132" t="s">
        <v>11</v>
      </c>
      <c r="D70" s="149">
        <v>30.471607838291675</v>
      </c>
      <c r="E70" s="142">
        <v>158828056</v>
      </c>
      <c r="F70" s="176">
        <v>128</v>
      </c>
    </row>
    <row r="71" spans="1:10" x14ac:dyDescent="0.55000000000000004">
      <c r="A71" s="131">
        <v>44544</v>
      </c>
      <c r="B71" s="132" t="s">
        <v>3</v>
      </c>
      <c r="C71" s="132" t="s">
        <v>10</v>
      </c>
      <c r="D71" s="149">
        <v>17</v>
      </c>
      <c r="E71" s="160">
        <v>203581254.62133789</v>
      </c>
      <c r="F71" s="176">
        <v>68</v>
      </c>
    </row>
    <row r="72" spans="1:10" s="132" customFormat="1" x14ac:dyDescent="0.55000000000000004">
      <c r="A72" s="44">
        <v>44545</v>
      </c>
      <c r="B72" s="45" t="s">
        <v>2</v>
      </c>
      <c r="C72" s="45" t="s">
        <v>9</v>
      </c>
      <c r="D72" s="169">
        <v>108.6566746520996</v>
      </c>
      <c r="E72" s="146">
        <v>46024985.350000001</v>
      </c>
      <c r="F72" s="175">
        <v>152</v>
      </c>
    </row>
    <row r="73" spans="1:10" x14ac:dyDescent="0.55000000000000004">
      <c r="A73" s="44">
        <v>44545</v>
      </c>
      <c r="B73" s="45" t="s">
        <v>7</v>
      </c>
      <c r="C73" s="45" t="s">
        <v>15</v>
      </c>
      <c r="D73" s="169">
        <v>13.520496187210082</v>
      </c>
      <c r="E73" s="4">
        <v>5306437.09</v>
      </c>
      <c r="F73" s="175">
        <v>90</v>
      </c>
    </row>
    <row r="74" spans="1:10" x14ac:dyDescent="0.55000000000000004">
      <c r="A74" s="1">
        <v>44545</v>
      </c>
      <c r="B74" t="s">
        <v>6</v>
      </c>
      <c r="C74" t="s">
        <v>13</v>
      </c>
      <c r="D74" s="2">
        <v>53.787304290774046</v>
      </c>
      <c r="E74" s="146">
        <v>6409091</v>
      </c>
      <c r="F74" s="176">
        <v>72</v>
      </c>
    </row>
    <row r="75" spans="1:10" x14ac:dyDescent="0.55000000000000004">
      <c r="A75" s="131">
        <v>44545</v>
      </c>
      <c r="B75" s="132" t="s">
        <v>4</v>
      </c>
      <c r="C75" s="132" t="s">
        <v>11</v>
      </c>
      <c r="D75" s="133">
        <v>15.555403747246601</v>
      </c>
      <c r="E75" s="142">
        <v>287139617</v>
      </c>
      <c r="F75" s="176">
        <v>108</v>
      </c>
    </row>
    <row r="76" spans="1:10" x14ac:dyDescent="0.55000000000000004">
      <c r="A76" s="131">
        <v>44545</v>
      </c>
      <c r="B76" s="132" t="s">
        <v>3</v>
      </c>
      <c r="C76" s="132" t="s">
        <v>10</v>
      </c>
      <c r="D76" s="149">
        <v>22</v>
      </c>
      <c r="E76" s="160">
        <v>226045432.69165039</v>
      </c>
      <c r="F76" s="176">
        <v>68</v>
      </c>
    </row>
    <row r="77" spans="1:10" x14ac:dyDescent="0.55000000000000004">
      <c r="A77" s="47">
        <v>44546</v>
      </c>
      <c r="B77" s="48" t="s">
        <v>2</v>
      </c>
      <c r="C77" s="48" t="s">
        <v>9</v>
      </c>
      <c r="D77" s="170">
        <v>192.42457200527195</v>
      </c>
      <c r="E77" s="146">
        <v>1027267347.9400001</v>
      </c>
      <c r="F77" s="175">
        <v>152</v>
      </c>
    </row>
    <row r="78" spans="1:10" x14ac:dyDescent="0.55000000000000004">
      <c r="A78" s="47">
        <v>44546</v>
      </c>
      <c r="B78" s="48" t="s">
        <v>7</v>
      </c>
      <c r="C78" s="48" t="s">
        <v>15</v>
      </c>
      <c r="D78" s="170">
        <v>20.457878437042236</v>
      </c>
      <c r="E78" s="4">
        <v>65303064.07</v>
      </c>
      <c r="F78" s="175">
        <v>89</v>
      </c>
    </row>
    <row r="79" spans="1:10" x14ac:dyDescent="0.55000000000000004">
      <c r="A79" s="47">
        <v>44546</v>
      </c>
      <c r="B79" s="48" t="s">
        <v>6</v>
      </c>
      <c r="C79" s="48" t="s">
        <v>13</v>
      </c>
      <c r="D79" s="169">
        <v>13.28764391899109</v>
      </c>
      <c r="E79" s="4">
        <v>63706964.330000006</v>
      </c>
      <c r="F79" s="175">
        <v>64</v>
      </c>
    </row>
    <row r="80" spans="1:10" x14ac:dyDescent="0.55000000000000004">
      <c r="A80" s="47">
        <v>44546</v>
      </c>
      <c r="B80" s="48" t="s">
        <v>4</v>
      </c>
      <c r="C80" s="48" t="s">
        <v>11</v>
      </c>
      <c r="D80" s="169">
        <v>124.69573817729948</v>
      </c>
      <c r="E80" s="146">
        <v>421374772.93000001</v>
      </c>
      <c r="F80" s="175">
        <v>109</v>
      </c>
    </row>
    <row r="81" spans="1:6" x14ac:dyDescent="0.55000000000000004">
      <c r="A81" s="150">
        <v>44546</v>
      </c>
      <c r="B81" s="151" t="s">
        <v>3</v>
      </c>
      <c r="C81" s="151" t="s">
        <v>10</v>
      </c>
      <c r="D81" s="173">
        <v>17.016497631072994</v>
      </c>
      <c r="E81" s="135">
        <v>61536783.910000004</v>
      </c>
      <c r="F81" s="175">
        <v>65</v>
      </c>
    </row>
    <row r="82" spans="1:6" x14ac:dyDescent="0.55000000000000004">
      <c r="A82" s="131">
        <v>44547</v>
      </c>
      <c r="B82" s="132" t="s">
        <v>2</v>
      </c>
      <c r="C82" s="132" t="s">
        <v>9</v>
      </c>
      <c r="D82" s="174">
        <v>152.13423123121265</v>
      </c>
      <c r="E82" s="158">
        <v>522264928.48000002</v>
      </c>
      <c r="F82" s="176">
        <v>147</v>
      </c>
    </row>
    <row r="83" spans="1:6" x14ac:dyDescent="0.55000000000000004">
      <c r="A83" s="50">
        <v>44547</v>
      </c>
      <c r="B83" s="51" t="s">
        <v>7</v>
      </c>
      <c r="C83" s="51" t="s">
        <v>15</v>
      </c>
      <c r="D83" s="169">
        <v>193.11337501525878</v>
      </c>
      <c r="E83" s="4">
        <v>548302123.37</v>
      </c>
      <c r="F83" s="175">
        <v>91</v>
      </c>
    </row>
    <row r="84" spans="1:6" x14ac:dyDescent="0.55000000000000004">
      <c r="A84" s="131">
        <v>44547</v>
      </c>
      <c r="B84" s="132" t="s">
        <v>6</v>
      </c>
      <c r="C84" s="132" t="s">
        <v>13</v>
      </c>
      <c r="D84" s="173">
        <v>12.311260857582093</v>
      </c>
      <c r="E84" s="158">
        <v>33089495.875000004</v>
      </c>
      <c r="F84" s="176">
        <v>80</v>
      </c>
    </row>
    <row r="85" spans="1:6" x14ac:dyDescent="0.55000000000000004">
      <c r="A85" s="50">
        <v>44547</v>
      </c>
      <c r="B85" s="51" t="s">
        <v>4</v>
      </c>
      <c r="C85" s="51" t="s">
        <v>11</v>
      </c>
      <c r="D85" s="169">
        <v>268.97417149543764</v>
      </c>
      <c r="E85" s="4">
        <v>2526212444.7000003</v>
      </c>
      <c r="F85" s="175">
        <v>101</v>
      </c>
    </row>
    <row r="86" spans="1:6" x14ac:dyDescent="0.55000000000000004">
      <c r="A86" s="131">
        <v>44547</v>
      </c>
      <c r="B86" s="132" t="s">
        <v>3</v>
      </c>
      <c r="C86" s="132" t="s">
        <v>10</v>
      </c>
      <c r="D86" s="149">
        <v>12</v>
      </c>
      <c r="E86" s="160">
        <v>99471770.474487305</v>
      </c>
      <c r="F86" s="176">
        <v>61</v>
      </c>
    </row>
    <row r="87" spans="1:6" x14ac:dyDescent="0.55000000000000004">
      <c r="A87" s="53">
        <v>44548</v>
      </c>
      <c r="B87" s="54" t="s">
        <v>2</v>
      </c>
      <c r="C87" s="54" t="s">
        <v>9</v>
      </c>
      <c r="D87" s="169">
        <v>111.84389045715332</v>
      </c>
      <c r="E87" s="4">
        <v>17262509.02</v>
      </c>
      <c r="F87" s="175">
        <v>151</v>
      </c>
    </row>
    <row r="88" spans="1:6" s="132" customFormat="1" x14ac:dyDescent="0.55000000000000004">
      <c r="A88" s="53">
        <v>44548</v>
      </c>
      <c r="B88" s="54" t="s">
        <v>7</v>
      </c>
      <c r="C88" s="54" t="s">
        <v>15</v>
      </c>
      <c r="D88" s="170">
        <v>101.94906857967378</v>
      </c>
      <c r="E88" s="146">
        <v>626002490.99000001</v>
      </c>
      <c r="F88" s="175">
        <v>94</v>
      </c>
    </row>
    <row r="89" spans="1:6" s="132" customFormat="1" x14ac:dyDescent="0.55000000000000004">
      <c r="A89" s="53">
        <v>44548</v>
      </c>
      <c r="B89" s="54" t="s">
        <v>6</v>
      </c>
      <c r="C89" s="54" t="s">
        <v>13</v>
      </c>
      <c r="D89" s="170">
        <v>11.334877796173094</v>
      </c>
      <c r="E89" s="146">
        <v>2472027.42</v>
      </c>
      <c r="F89" s="175">
        <v>88</v>
      </c>
    </row>
    <row r="90" spans="1:6" x14ac:dyDescent="0.55000000000000004">
      <c r="A90" s="53">
        <v>44548</v>
      </c>
      <c r="B90" s="54" t="s">
        <v>4</v>
      </c>
      <c r="C90" s="54" t="s">
        <v>11</v>
      </c>
      <c r="D90" s="169">
        <v>14.825175027847289</v>
      </c>
      <c r="E90" s="4">
        <v>2185338.04</v>
      </c>
      <c r="F90" s="175">
        <v>108</v>
      </c>
    </row>
    <row r="91" spans="1:6" x14ac:dyDescent="0.55000000000000004">
      <c r="A91" s="131">
        <v>44548</v>
      </c>
      <c r="B91" s="132" t="s">
        <v>3</v>
      </c>
      <c r="C91" s="132" t="s">
        <v>10</v>
      </c>
      <c r="D91" s="149">
        <v>7</v>
      </c>
      <c r="E91" s="160">
        <v>71518698.734863281</v>
      </c>
      <c r="F91" s="176">
        <v>65</v>
      </c>
    </row>
    <row r="92" spans="1:6" x14ac:dyDescent="0.55000000000000004">
      <c r="A92" s="56">
        <v>44549</v>
      </c>
      <c r="B92" s="57" t="s">
        <v>2</v>
      </c>
      <c r="C92" s="57" t="s">
        <v>9</v>
      </c>
      <c r="D92" s="169">
        <v>39.342071876525878</v>
      </c>
      <c r="E92" s="4">
        <v>83637276.530000001</v>
      </c>
      <c r="F92" s="175">
        <v>122</v>
      </c>
    </row>
    <row r="93" spans="1:6" s="132" customFormat="1" x14ac:dyDescent="0.55000000000000004">
      <c r="A93" s="56">
        <v>44549</v>
      </c>
      <c r="B93" s="57" t="s">
        <v>7</v>
      </c>
      <c r="C93" s="57" t="s">
        <v>15</v>
      </c>
      <c r="D93" s="170">
        <v>514.29946090698252</v>
      </c>
      <c r="E93" s="146">
        <v>82316698.579999998</v>
      </c>
      <c r="F93" s="175">
        <v>84</v>
      </c>
    </row>
    <row r="94" spans="1:6" s="132" customFormat="1" x14ac:dyDescent="0.55000000000000004">
      <c r="A94" s="56">
        <v>44549</v>
      </c>
      <c r="B94" s="57" t="s">
        <v>6</v>
      </c>
      <c r="C94" s="57" t="s">
        <v>13</v>
      </c>
      <c r="D94" s="170">
        <v>12.814274921417239</v>
      </c>
      <c r="E94" s="146">
        <v>179400725.03</v>
      </c>
      <c r="F94" s="175">
        <v>85</v>
      </c>
    </row>
    <row r="95" spans="1:6" x14ac:dyDescent="0.55000000000000004">
      <c r="A95" s="56">
        <v>44549</v>
      </c>
      <c r="B95" s="57" t="s">
        <v>4</v>
      </c>
      <c r="C95" s="57" t="s">
        <v>11</v>
      </c>
      <c r="D95" s="169">
        <v>168.38406616210938</v>
      </c>
      <c r="E95" s="4">
        <v>849153045.3900001</v>
      </c>
      <c r="F95" s="175">
        <v>104</v>
      </c>
    </row>
    <row r="96" spans="1:6" x14ac:dyDescent="0.55000000000000004">
      <c r="A96" s="131">
        <v>44549</v>
      </c>
      <c r="B96" s="132" t="s">
        <v>3</v>
      </c>
      <c r="C96" s="132" t="s">
        <v>10</v>
      </c>
      <c r="D96" s="149">
        <v>5.78638879013306</v>
      </c>
      <c r="E96" s="160">
        <v>105174484.83215332</v>
      </c>
      <c r="F96" s="176">
        <v>64</v>
      </c>
    </row>
    <row r="97" spans="1:6" x14ac:dyDescent="0.55000000000000004">
      <c r="A97" s="131">
        <v>44550</v>
      </c>
      <c r="B97" s="132" t="s">
        <v>2</v>
      </c>
      <c r="C97" s="132" t="s">
        <v>9</v>
      </c>
      <c r="D97" s="174">
        <v>35.562798643112181</v>
      </c>
      <c r="E97" s="158">
        <v>129018991.25500001</v>
      </c>
      <c r="F97" s="178">
        <v>153.64912280702265</v>
      </c>
    </row>
    <row r="98" spans="1:6" x14ac:dyDescent="0.55000000000000004">
      <c r="A98" s="59">
        <v>44550</v>
      </c>
      <c r="B98" s="60" t="s">
        <v>7</v>
      </c>
      <c r="C98" s="60" t="s">
        <v>15</v>
      </c>
      <c r="D98" s="169">
        <v>9.8917212963104255</v>
      </c>
      <c r="E98" s="4">
        <v>42227077.060000002</v>
      </c>
      <c r="F98" s="173">
        <v>90.36842105264077</v>
      </c>
    </row>
    <row r="99" spans="1:6" x14ac:dyDescent="0.55000000000000004">
      <c r="A99" s="59">
        <v>44550</v>
      </c>
      <c r="B99" s="60" t="s">
        <v>6</v>
      </c>
      <c r="C99" s="60" t="s">
        <v>13</v>
      </c>
      <c r="D99" s="169">
        <v>250.55280395507813</v>
      </c>
      <c r="E99" s="4">
        <v>51808775.120000005</v>
      </c>
      <c r="F99" s="173">
        <v>87.315789473684163</v>
      </c>
    </row>
    <row r="100" spans="1:6" x14ac:dyDescent="0.55000000000000004">
      <c r="A100" s="59">
        <v>44550</v>
      </c>
      <c r="B100" s="60" t="s">
        <v>4</v>
      </c>
      <c r="C100" s="60" t="s">
        <v>11</v>
      </c>
      <c r="D100" s="169">
        <v>144.35050384521483</v>
      </c>
      <c r="E100" s="4">
        <v>43254999.310000002</v>
      </c>
      <c r="F100" s="173">
        <v>116.9122807017593</v>
      </c>
    </row>
    <row r="101" spans="1:6" x14ac:dyDescent="0.55000000000000004">
      <c r="A101" s="131">
        <v>44550</v>
      </c>
      <c r="B101" s="132" t="s">
        <v>3</v>
      </c>
      <c r="C101" s="132" t="s">
        <v>10</v>
      </c>
      <c r="D101" s="149">
        <v>10.042956139322996</v>
      </c>
      <c r="E101" s="142">
        <v>127887330.14793396</v>
      </c>
      <c r="F101" s="178">
        <v>67.385964912282361</v>
      </c>
    </row>
    <row r="102" spans="1:6" x14ac:dyDescent="0.55000000000000004">
      <c r="A102" s="62">
        <v>44551</v>
      </c>
      <c r="B102" s="63" t="s">
        <v>2</v>
      </c>
      <c r="C102" s="63" t="s">
        <v>9</v>
      </c>
      <c r="D102" s="169">
        <v>31.783525409698488</v>
      </c>
      <c r="E102" s="4">
        <v>174400705.98000002</v>
      </c>
      <c r="F102" s="178">
        <v>154.03139427515271</v>
      </c>
    </row>
    <row r="103" spans="1:6" x14ac:dyDescent="0.55000000000000004">
      <c r="A103" s="62">
        <v>44551</v>
      </c>
      <c r="B103" s="63" t="s">
        <v>7</v>
      </c>
      <c r="C103" s="63" t="s">
        <v>15</v>
      </c>
      <c r="D103" s="170">
        <v>180.71417490005493</v>
      </c>
      <c r="E103" s="146">
        <v>121762315.99000001</v>
      </c>
      <c r="F103" s="173">
        <v>89.603878116351552</v>
      </c>
    </row>
    <row r="104" spans="1:6" x14ac:dyDescent="0.55000000000000004">
      <c r="A104" s="62">
        <v>44551</v>
      </c>
      <c r="B104" s="63" t="s">
        <v>6</v>
      </c>
      <c r="C104" s="63" t="s">
        <v>13</v>
      </c>
      <c r="D104" s="170">
        <v>75.536781921386719</v>
      </c>
      <c r="E104" s="146">
        <v>1054488820.97</v>
      </c>
      <c r="F104" s="173">
        <v>86.522622345336913</v>
      </c>
    </row>
    <row r="105" spans="1:6" x14ac:dyDescent="0.55000000000000004">
      <c r="A105" s="131">
        <v>44551</v>
      </c>
      <c r="B105" s="132" t="s">
        <v>4</v>
      </c>
      <c r="C105" s="132" t="s">
        <v>11</v>
      </c>
      <c r="D105" s="157">
        <v>37.433015928021632</v>
      </c>
      <c r="E105" s="162">
        <v>409553585.95596313</v>
      </c>
      <c r="F105" s="173">
        <v>115.94644506002078</v>
      </c>
    </row>
    <row r="106" spans="1:6" s="132" customFormat="1" x14ac:dyDescent="0.55000000000000004">
      <c r="A106" s="131">
        <v>44551</v>
      </c>
      <c r="B106" s="132" t="s">
        <v>3</v>
      </c>
      <c r="C106" s="132" t="s">
        <v>10</v>
      </c>
      <c r="D106" s="149">
        <v>9.0668171182951482</v>
      </c>
      <c r="E106" s="142">
        <v>131012789.27122498</v>
      </c>
      <c r="F106" s="178">
        <v>67.642659279779764</v>
      </c>
    </row>
    <row r="107" spans="1:6" x14ac:dyDescent="0.55000000000000004">
      <c r="A107" s="65">
        <v>44552</v>
      </c>
      <c r="B107" s="66" t="s">
        <v>2</v>
      </c>
      <c r="C107" s="66" t="s">
        <v>9</v>
      </c>
      <c r="D107" s="169">
        <v>111.84389045715332</v>
      </c>
      <c r="E107" s="4">
        <v>313870446.62</v>
      </c>
      <c r="F107" s="178">
        <v>156.78100144171913</v>
      </c>
    </row>
    <row r="108" spans="1:6" x14ac:dyDescent="0.55000000000000004">
      <c r="A108" s="65">
        <v>44552</v>
      </c>
      <c r="B108" s="66" t="s">
        <v>7</v>
      </c>
      <c r="C108" s="66" t="s">
        <v>15</v>
      </c>
      <c r="D108" s="170">
        <v>305.79295653820037</v>
      </c>
      <c r="E108" s="146">
        <v>197112929.37</v>
      </c>
      <c r="F108" s="173">
        <v>85.180687175001367</v>
      </c>
    </row>
    <row r="109" spans="1:6" x14ac:dyDescent="0.55000000000000004">
      <c r="A109" s="65">
        <v>44552</v>
      </c>
      <c r="B109" s="66" t="s">
        <v>6</v>
      </c>
      <c r="C109" s="66" t="s">
        <v>13</v>
      </c>
      <c r="D109" s="170">
        <v>2.0324618244171138</v>
      </c>
      <c r="E109" s="146">
        <v>443714.02</v>
      </c>
      <c r="F109" s="173">
        <v>83.890265830781573</v>
      </c>
    </row>
    <row r="110" spans="1:6" x14ac:dyDescent="0.55000000000000004">
      <c r="A110" s="131">
        <v>44552</v>
      </c>
      <c r="B110" s="132" t="s">
        <v>4</v>
      </c>
      <c r="C110" s="132" t="s">
        <v>11</v>
      </c>
      <c r="D110" s="149">
        <v>38.312571053393185</v>
      </c>
      <c r="E110" s="160">
        <v>354155576.64886475</v>
      </c>
      <c r="F110" s="173">
        <v>114.46302506034408</v>
      </c>
    </row>
    <row r="111" spans="1:6" x14ac:dyDescent="0.55000000000000004">
      <c r="A111" s="65">
        <v>44552</v>
      </c>
      <c r="B111" s="66" t="s">
        <v>3</v>
      </c>
      <c r="C111" s="66" t="s">
        <v>10</v>
      </c>
      <c r="D111" s="169">
        <v>11.560028867721565</v>
      </c>
      <c r="E111" s="4">
        <v>2723129.67</v>
      </c>
      <c r="F111" s="178">
        <v>68.192237287588796</v>
      </c>
    </row>
    <row r="112" spans="1:6" x14ac:dyDescent="0.55000000000000004">
      <c r="A112" s="68">
        <v>44553</v>
      </c>
      <c r="B112" s="69" t="s">
        <v>2</v>
      </c>
      <c r="C112" s="69" t="s">
        <v>9</v>
      </c>
      <c r="D112" s="169">
        <v>148.82544708251956</v>
      </c>
      <c r="E112" s="4">
        <v>4289780498.71</v>
      </c>
      <c r="F112" s="178">
        <v>156.75804530522146</v>
      </c>
    </row>
    <row r="113" spans="1:6" x14ac:dyDescent="0.55000000000000004">
      <c r="A113" s="68">
        <v>44553</v>
      </c>
      <c r="B113" s="69" t="s">
        <v>7</v>
      </c>
      <c r="C113" s="69" t="s">
        <v>15</v>
      </c>
      <c r="D113" s="169">
        <v>229.72609462738035</v>
      </c>
      <c r="E113" s="4">
        <v>263584316.81</v>
      </c>
      <c r="F113" s="173">
        <v>76.061317822895944</v>
      </c>
    </row>
    <row r="114" spans="1:6" x14ac:dyDescent="0.55000000000000004">
      <c r="A114" s="68">
        <v>44553</v>
      </c>
      <c r="B114" s="69" t="s">
        <v>6</v>
      </c>
      <c r="C114" s="69" t="s">
        <v>13</v>
      </c>
      <c r="D114" s="169">
        <v>208.73780609130858</v>
      </c>
      <c r="E114" s="4">
        <v>2348918482.2600002</v>
      </c>
      <c r="F114" s="173">
        <v>79.326139131670061</v>
      </c>
    </row>
    <row r="115" spans="1:6" s="132" customFormat="1" x14ac:dyDescent="0.55000000000000004">
      <c r="A115" s="68">
        <v>44553</v>
      </c>
      <c r="B115" s="69" t="s">
        <v>4</v>
      </c>
      <c r="C115" s="69" t="s">
        <v>11</v>
      </c>
      <c r="D115" s="170">
        <v>25.271096763610839</v>
      </c>
      <c r="E115" s="146">
        <v>8785402.9900000002</v>
      </c>
      <c r="F115" s="173">
        <v>110.29982462109183</v>
      </c>
    </row>
    <row r="116" spans="1:6" s="132" customFormat="1" x14ac:dyDescent="0.55000000000000004">
      <c r="A116" s="68">
        <v>44553</v>
      </c>
      <c r="B116" s="69" t="s">
        <v>3</v>
      </c>
      <c r="C116" s="69" t="s">
        <v>10</v>
      </c>
      <c r="D116" s="170">
        <v>211.43554946899414</v>
      </c>
      <c r="E116" s="146">
        <v>2477140600.1100001</v>
      </c>
      <c r="F116" s="178">
        <v>68.67080260792136</v>
      </c>
    </row>
    <row r="117" spans="1:6" x14ac:dyDescent="0.55000000000000004">
      <c r="A117" s="71">
        <v>44554</v>
      </c>
      <c r="B117" s="72" t="s">
        <v>2</v>
      </c>
      <c r="C117" s="72" t="s">
        <v>9</v>
      </c>
      <c r="D117" s="169">
        <v>97.905563278198244</v>
      </c>
      <c r="E117" s="4">
        <v>350407419.90000004</v>
      </c>
      <c r="F117" s="178">
        <v>156.03234399187204</v>
      </c>
    </row>
    <row r="118" spans="1:6" x14ac:dyDescent="0.55000000000000004">
      <c r="A118" s="71">
        <v>44554</v>
      </c>
      <c r="B118" s="72" t="s">
        <v>7</v>
      </c>
      <c r="C118" s="72" t="s">
        <v>15</v>
      </c>
      <c r="D118" s="169">
        <v>797.07038185119632</v>
      </c>
      <c r="E118" s="4">
        <v>225442334.97</v>
      </c>
      <c r="F118" s="173">
        <v>74.001367428718368</v>
      </c>
    </row>
    <row r="119" spans="1:6" x14ac:dyDescent="0.55000000000000004">
      <c r="A119" s="71">
        <v>44554</v>
      </c>
      <c r="B119" s="72" t="s">
        <v>6</v>
      </c>
      <c r="C119" s="72" t="s">
        <v>13</v>
      </c>
      <c r="D119" s="169">
        <v>43.725902824401857</v>
      </c>
      <c r="E119" s="4">
        <v>8764159.2100000009</v>
      </c>
      <c r="F119" s="173">
        <v>73.189033726928756</v>
      </c>
    </row>
    <row r="120" spans="1:6" x14ac:dyDescent="0.55000000000000004">
      <c r="A120" s="71">
        <v>44554</v>
      </c>
      <c r="B120" s="72" t="s">
        <v>4</v>
      </c>
      <c r="C120" s="72" t="s">
        <v>11</v>
      </c>
      <c r="D120" s="169">
        <v>131.73973766326907</v>
      </c>
      <c r="E120" s="4">
        <v>25578033.280000001</v>
      </c>
      <c r="F120" s="173">
        <v>109.39238856198062</v>
      </c>
    </row>
    <row r="121" spans="1:6" x14ac:dyDescent="0.55000000000000004">
      <c r="A121" s="131">
        <v>44554</v>
      </c>
      <c r="B121" s="132" t="s">
        <v>3</v>
      </c>
      <c r="C121" s="132" t="s">
        <v>10</v>
      </c>
      <c r="D121" s="149">
        <v>34.714500483190932</v>
      </c>
      <c r="E121" s="160">
        <v>481193233.15368652</v>
      </c>
      <c r="F121" s="178">
        <v>69.422184534505504</v>
      </c>
    </row>
    <row r="122" spans="1:6" s="132" customFormat="1" x14ac:dyDescent="0.55000000000000004">
      <c r="A122" s="131">
        <v>44555</v>
      </c>
      <c r="B122" s="132" t="s">
        <v>2</v>
      </c>
      <c r="C122" s="132" t="s">
        <v>9</v>
      </c>
      <c r="D122" s="143">
        <v>156.75006519317628</v>
      </c>
      <c r="E122" s="134">
        <v>490965965.255</v>
      </c>
      <c r="F122" s="178">
        <v>152.80723108087113</v>
      </c>
    </row>
    <row r="123" spans="1:6" s="132" customFormat="1" x14ac:dyDescent="0.55000000000000004">
      <c r="A123" s="74">
        <v>44555</v>
      </c>
      <c r="B123" s="75" t="s">
        <v>7</v>
      </c>
      <c r="C123" s="75" t="s">
        <v>15</v>
      </c>
      <c r="D123" s="170">
        <v>361.36392587661743</v>
      </c>
      <c r="E123" s="146">
        <v>2717841098.7000003</v>
      </c>
      <c r="F123" s="173">
        <v>69.5417552353465</v>
      </c>
    </row>
    <row r="124" spans="1:6" s="132" customFormat="1" x14ac:dyDescent="0.55000000000000004">
      <c r="A124" s="131">
        <v>44555</v>
      </c>
      <c r="B124" s="132" t="s">
        <v>6</v>
      </c>
      <c r="C124" s="132" t="s">
        <v>13</v>
      </c>
      <c r="D124" s="133">
        <v>132.96628598833922</v>
      </c>
      <c r="E124" s="142">
        <v>1049128174.4560547</v>
      </c>
      <c r="F124" s="173">
        <v>69.99979842765606</v>
      </c>
    </row>
    <row r="125" spans="1:6" x14ac:dyDescent="0.55000000000000004">
      <c r="A125" s="74">
        <v>44555</v>
      </c>
      <c r="B125" s="75" t="s">
        <v>4</v>
      </c>
      <c r="C125" s="75" t="s">
        <v>11</v>
      </c>
      <c r="D125" s="169">
        <v>74.300312805175793</v>
      </c>
      <c r="E125" s="4">
        <v>44772803.940000005</v>
      </c>
      <c r="F125" s="173">
        <v>107.65707430409748</v>
      </c>
    </row>
    <row r="126" spans="1:6" x14ac:dyDescent="0.55000000000000004">
      <c r="A126" s="131">
        <v>44555</v>
      </c>
      <c r="B126" s="132" t="s">
        <v>3</v>
      </c>
      <c r="C126" s="132" t="s">
        <v>10</v>
      </c>
      <c r="D126" s="149">
        <v>34.678686462433689</v>
      </c>
      <c r="E126" s="160">
        <v>505387089.73071289</v>
      </c>
      <c r="F126" s="178">
        <v>70.179632785846479</v>
      </c>
    </row>
    <row r="127" spans="1:6" x14ac:dyDescent="0.55000000000000004">
      <c r="A127" s="77">
        <v>44556</v>
      </c>
      <c r="B127" s="78" t="s">
        <v>2</v>
      </c>
      <c r="C127" s="78" t="s">
        <v>9</v>
      </c>
      <c r="D127" s="169">
        <v>215.59456710815434</v>
      </c>
      <c r="E127" s="4">
        <v>631524510.61000001</v>
      </c>
      <c r="F127" s="178">
        <v>154.49907082033315</v>
      </c>
    </row>
    <row r="128" spans="1:6" s="132" customFormat="1" x14ac:dyDescent="0.55000000000000004">
      <c r="A128" s="131">
        <v>44556</v>
      </c>
      <c r="B128" s="132" t="s">
        <v>7</v>
      </c>
      <c r="C128" s="132" t="s">
        <v>15</v>
      </c>
      <c r="D128" s="173">
        <v>543.30347116947178</v>
      </c>
      <c r="E128" s="134">
        <v>1882480959.4650002</v>
      </c>
      <c r="F128" s="173">
        <v>63.950270870933309</v>
      </c>
    </row>
    <row r="129" spans="1:11" x14ac:dyDescent="0.55000000000000004">
      <c r="A129" s="131">
        <v>44556</v>
      </c>
      <c r="B129" s="132" t="s">
        <v>6</v>
      </c>
      <c r="C129" s="132" t="s">
        <v>13</v>
      </c>
      <c r="D129" s="149">
        <v>143.59470867132768</v>
      </c>
      <c r="E129" s="160">
        <v>1222948949.6279297</v>
      </c>
      <c r="F129" s="173">
        <v>69.065653350888169</v>
      </c>
    </row>
    <row r="130" spans="1:11" x14ac:dyDescent="0.55000000000000004">
      <c r="A130" s="77">
        <v>44556</v>
      </c>
      <c r="B130" s="78" t="s">
        <v>4</v>
      </c>
      <c r="C130" s="78" t="s">
        <v>11</v>
      </c>
      <c r="D130" s="170">
        <v>5.5127557659149176</v>
      </c>
      <c r="E130" s="146">
        <v>35863047.690000005</v>
      </c>
      <c r="F130" s="173">
        <v>106.67235373644507</v>
      </c>
    </row>
    <row r="131" spans="1:11" x14ac:dyDescent="0.55000000000000004">
      <c r="A131" s="77">
        <v>44556</v>
      </c>
      <c r="B131" s="78" t="s">
        <v>3</v>
      </c>
      <c r="C131" s="78" t="s">
        <v>10</v>
      </c>
      <c r="D131" s="170">
        <v>11.487902727127079</v>
      </c>
      <c r="E131" s="146">
        <v>293055471.25999999</v>
      </c>
      <c r="F131" s="178">
        <v>70.317207256168331</v>
      </c>
    </row>
    <row r="132" spans="1:11" x14ac:dyDescent="0.55000000000000004">
      <c r="A132" s="80">
        <v>44557</v>
      </c>
      <c r="B132" s="81" t="s">
        <v>2</v>
      </c>
      <c r="C132" s="81" t="s">
        <v>9</v>
      </c>
      <c r="D132" s="170">
        <v>122.99834269523625</v>
      </c>
      <c r="E132" s="146">
        <v>245638555.01000002</v>
      </c>
      <c r="F132" s="178">
        <v>156.67327627546183</v>
      </c>
    </row>
    <row r="133" spans="1:11" x14ac:dyDescent="0.55000000000000004">
      <c r="A133" s="80">
        <v>44557</v>
      </c>
      <c r="B133" s="81" t="s">
        <v>7</v>
      </c>
      <c r="C133" s="81" t="s">
        <v>15</v>
      </c>
      <c r="D133" s="170">
        <v>725.24301646232607</v>
      </c>
      <c r="E133" s="146">
        <v>1047120820.23</v>
      </c>
      <c r="F133" s="173">
        <v>59.119495846738573</v>
      </c>
    </row>
    <row r="134" spans="1:11" x14ac:dyDescent="0.55000000000000004">
      <c r="A134" s="80">
        <v>44557</v>
      </c>
      <c r="B134" s="81" t="s">
        <v>6</v>
      </c>
      <c r="C134" s="81" t="s">
        <v>13</v>
      </c>
      <c r="D134" s="170">
        <v>43.515040855407719</v>
      </c>
      <c r="E134" s="146">
        <v>1074038752.45</v>
      </c>
      <c r="F134" s="173">
        <v>69.812042671488598</v>
      </c>
      <c r="H134" s="3"/>
      <c r="I134" s="3"/>
      <c r="J134" s="3"/>
      <c r="K134" s="3"/>
    </row>
    <row r="135" spans="1:11" x14ac:dyDescent="0.55000000000000004">
      <c r="A135" s="80">
        <v>44557</v>
      </c>
      <c r="B135" s="81" t="s">
        <v>4</v>
      </c>
      <c r="C135" s="81" t="s">
        <v>11</v>
      </c>
      <c r="D135" s="169">
        <v>27.876668643951415</v>
      </c>
      <c r="E135" s="146">
        <v>5661683.5100000007</v>
      </c>
      <c r="F135" s="173">
        <v>104.94248016677011</v>
      </c>
      <c r="H135" s="3"/>
    </row>
    <row r="136" spans="1:11" x14ac:dyDescent="0.55000000000000004">
      <c r="A136" s="131">
        <v>44557</v>
      </c>
      <c r="B136" s="132" t="s">
        <v>3</v>
      </c>
      <c r="C136" s="132" t="s">
        <v>10</v>
      </c>
      <c r="D136" s="173">
        <v>8.4717949199676532</v>
      </c>
      <c r="E136" s="134">
        <v>157748016.71000001</v>
      </c>
      <c r="F136" s="178">
        <v>71.077084548553103</v>
      </c>
      <c r="H136" s="3"/>
    </row>
    <row r="137" spans="1:11" x14ac:dyDescent="0.55000000000000004">
      <c r="A137" s="83">
        <v>44558</v>
      </c>
      <c r="B137" s="84" t="s">
        <v>2</v>
      </c>
      <c r="C137" s="84" t="s">
        <v>9</v>
      </c>
      <c r="D137" s="169">
        <v>2.0902160799503329</v>
      </c>
      <c r="E137" s="146">
        <v>525244.81000000006</v>
      </c>
      <c r="F137" s="178">
        <v>160.31399742604117</v>
      </c>
      <c r="H137" s="3"/>
    </row>
    <row r="138" spans="1:11" x14ac:dyDescent="0.55000000000000004">
      <c r="A138" s="131">
        <v>44558</v>
      </c>
      <c r="B138" s="132" t="s">
        <v>7</v>
      </c>
      <c r="C138" s="132" t="s">
        <v>15</v>
      </c>
      <c r="D138" s="173">
        <v>376.74743983149529</v>
      </c>
      <c r="E138" s="134">
        <v>525961661.85000002</v>
      </c>
      <c r="F138" s="173">
        <v>56.202412556536729</v>
      </c>
      <c r="H138" s="3"/>
    </row>
    <row r="139" spans="1:11" x14ac:dyDescent="0.55000000000000004">
      <c r="A139" s="83">
        <v>44558</v>
      </c>
      <c r="B139" s="84" t="s">
        <v>6</v>
      </c>
      <c r="C139" s="84" t="s">
        <v>13</v>
      </c>
      <c r="D139" s="169">
        <v>47.547704582214358</v>
      </c>
      <c r="E139" s="146">
        <v>10015093</v>
      </c>
      <c r="F139" s="173">
        <v>69.205642842905945</v>
      </c>
      <c r="H139" s="3"/>
    </row>
    <row r="140" spans="1:11" x14ac:dyDescent="0.55000000000000004">
      <c r="A140" s="131">
        <v>44558</v>
      </c>
      <c r="B140" s="132" t="s">
        <v>4</v>
      </c>
      <c r="C140" s="132" t="s">
        <v>11</v>
      </c>
      <c r="D140" s="149">
        <v>8</v>
      </c>
      <c r="E140" s="142">
        <v>128667675.48547363</v>
      </c>
      <c r="F140" s="173">
        <v>104.92434630633215</v>
      </c>
      <c r="H140" s="3"/>
    </row>
    <row r="141" spans="1:11" x14ac:dyDescent="0.55000000000000004">
      <c r="A141" s="83">
        <v>44558</v>
      </c>
      <c r="B141" s="84" t="s">
        <v>3</v>
      </c>
      <c r="C141" s="84" t="s">
        <v>10</v>
      </c>
      <c r="D141" s="169">
        <v>5.4556871128082278</v>
      </c>
      <c r="E141" s="4">
        <v>22440562.16</v>
      </c>
      <c r="F141" s="178">
        <v>71.4825990383506</v>
      </c>
    </row>
    <row r="142" spans="1:11" x14ac:dyDescent="0.55000000000000004">
      <c r="A142" s="86">
        <v>44559</v>
      </c>
      <c r="B142" s="87" t="s">
        <v>2</v>
      </c>
      <c r="C142" s="87" t="s">
        <v>9</v>
      </c>
      <c r="D142" s="170">
        <v>215.66146953225135</v>
      </c>
      <c r="E142" s="146">
        <v>1022347699.8000001</v>
      </c>
      <c r="F142" s="178">
        <v>164.88481291927746</v>
      </c>
    </row>
    <row r="143" spans="1:11" x14ac:dyDescent="0.55000000000000004">
      <c r="A143" s="86">
        <v>44559</v>
      </c>
      <c r="B143" s="87" t="s">
        <v>7</v>
      </c>
      <c r="C143" s="87" t="s">
        <v>15</v>
      </c>
      <c r="D143" s="170">
        <v>28.251863200664527</v>
      </c>
      <c r="E143" s="146">
        <v>4802503.4700000007</v>
      </c>
      <c r="F143" s="173">
        <v>52.265601278108079</v>
      </c>
    </row>
    <row r="144" spans="1:11" x14ac:dyDescent="0.55000000000000004">
      <c r="A144" s="86">
        <v>44559</v>
      </c>
      <c r="B144" s="87" t="s">
        <v>6</v>
      </c>
      <c r="C144" s="87" t="s">
        <v>13</v>
      </c>
      <c r="D144" s="170">
        <v>301.54893873929973</v>
      </c>
      <c r="E144" s="146">
        <v>56880493.800000004</v>
      </c>
      <c r="F144" s="173">
        <v>68.071368617580447</v>
      </c>
    </row>
    <row r="145" spans="1:6" x14ac:dyDescent="0.55000000000000004">
      <c r="A145" s="131">
        <v>44559</v>
      </c>
      <c r="B145" s="132" t="s">
        <v>4</v>
      </c>
      <c r="C145" s="132" t="s">
        <v>11</v>
      </c>
      <c r="D145" s="133">
        <v>5</v>
      </c>
      <c r="E145" s="142">
        <v>67542070.411987305</v>
      </c>
      <c r="F145" s="173">
        <v>106.67533373551851</v>
      </c>
    </row>
    <row r="146" spans="1:6" x14ac:dyDescent="0.55000000000000004">
      <c r="A146" s="131">
        <v>44559</v>
      </c>
      <c r="B146" s="132" t="s">
        <v>3</v>
      </c>
      <c r="C146" s="132" t="s">
        <v>10</v>
      </c>
      <c r="D146" s="133">
        <v>26.56061450118068</v>
      </c>
      <c r="E146" s="142">
        <v>425812054.67822266</v>
      </c>
      <c r="F146" s="178">
        <v>72.007220358485938</v>
      </c>
    </row>
    <row r="147" spans="1:6" x14ac:dyDescent="0.55000000000000004">
      <c r="A147" s="89">
        <v>44560</v>
      </c>
      <c r="B147" s="90" t="s">
        <v>2</v>
      </c>
      <c r="C147" s="90" t="s">
        <v>9</v>
      </c>
      <c r="D147" s="169">
        <v>460.80898765563961</v>
      </c>
      <c r="E147" s="4">
        <v>953816028.43000007</v>
      </c>
      <c r="F147" s="178">
        <v>167.23695803520968</v>
      </c>
    </row>
    <row r="148" spans="1:6" x14ac:dyDescent="0.55000000000000004">
      <c r="A148" s="89">
        <v>44560</v>
      </c>
      <c r="B148" s="90" t="s">
        <v>7</v>
      </c>
      <c r="C148" s="90" t="s">
        <v>15</v>
      </c>
      <c r="D148" s="169">
        <v>428.93876434326177</v>
      </c>
      <c r="E148" s="4">
        <v>343846307.23000002</v>
      </c>
      <c r="F148" s="173">
        <v>51.057840036548441</v>
      </c>
    </row>
    <row r="149" spans="1:6" s="132" customFormat="1" x14ac:dyDescent="0.55000000000000004">
      <c r="A149" s="131">
        <v>44560</v>
      </c>
      <c r="B149" s="132" t="s">
        <v>6</v>
      </c>
      <c r="C149" s="132" t="s">
        <v>13</v>
      </c>
      <c r="D149" s="133">
        <v>172.98819457140053</v>
      </c>
      <c r="E149" s="142">
        <v>854077912.87963867</v>
      </c>
      <c r="F149" s="173">
        <v>67.887674505465839</v>
      </c>
    </row>
    <row r="150" spans="1:6" s="132" customFormat="1" x14ac:dyDescent="0.55000000000000004">
      <c r="A150" s="131">
        <v>44560</v>
      </c>
      <c r="B150" s="132" t="s">
        <v>4</v>
      </c>
      <c r="C150" s="132" t="s">
        <v>11</v>
      </c>
      <c r="D150" s="133">
        <v>33</v>
      </c>
      <c r="E150" s="142">
        <v>9942745</v>
      </c>
      <c r="F150" s="173">
        <v>106.34013700406649</v>
      </c>
    </row>
    <row r="151" spans="1:6" x14ac:dyDescent="0.55000000000000004">
      <c r="A151" s="131">
        <v>44560</v>
      </c>
      <c r="B151" s="132" t="s">
        <v>3</v>
      </c>
      <c r="C151" s="132" t="s">
        <v>10</v>
      </c>
      <c r="D151" s="149">
        <v>25.68968331882877</v>
      </c>
      <c r="E151" s="160">
        <v>435864853.98352051</v>
      </c>
      <c r="F151" s="178">
        <v>72.212768990957557</v>
      </c>
    </row>
    <row r="152" spans="1:6" s="132" customFormat="1" x14ac:dyDescent="0.55000000000000004">
      <c r="A152" s="92">
        <v>44561</v>
      </c>
      <c r="B152" s="93" t="s">
        <v>2</v>
      </c>
      <c r="C152" s="93" t="s">
        <v>9</v>
      </c>
      <c r="D152" s="169">
        <v>101.3901466035843</v>
      </c>
      <c r="E152" s="146">
        <v>71562167.100000009</v>
      </c>
      <c r="F152" s="178">
        <v>167.12140014187025</v>
      </c>
    </row>
    <row r="153" spans="1:6" x14ac:dyDescent="0.55000000000000004">
      <c r="A153" s="92">
        <v>44561</v>
      </c>
      <c r="B153" s="93" t="s">
        <v>7</v>
      </c>
      <c r="C153" s="93" t="s">
        <v>15</v>
      </c>
      <c r="D153" s="169">
        <v>7.2203142356872565</v>
      </c>
      <c r="E153" s="4">
        <v>817328.06</v>
      </c>
      <c r="F153" s="173">
        <v>48.889399212959688</v>
      </c>
    </row>
    <row r="154" spans="1:6" s="132" customFormat="1" x14ac:dyDescent="0.55000000000000004">
      <c r="A154" s="131">
        <v>44561</v>
      </c>
      <c r="B154" s="132" t="s">
        <v>6</v>
      </c>
      <c r="C154" s="132" t="s">
        <v>13</v>
      </c>
      <c r="D154" s="133">
        <v>181.90880866721272</v>
      </c>
      <c r="E154" s="142">
        <v>873385861.02758789</v>
      </c>
      <c r="F154" s="173">
        <v>70.207915516813955</v>
      </c>
    </row>
    <row r="155" spans="1:6" s="132" customFormat="1" x14ac:dyDescent="0.55000000000000004">
      <c r="A155" s="92">
        <v>44561</v>
      </c>
      <c r="B155" s="93" t="s">
        <v>4</v>
      </c>
      <c r="C155" s="93" t="s">
        <v>11</v>
      </c>
      <c r="D155" s="170">
        <v>75.280547485351562</v>
      </c>
      <c r="E155" s="146">
        <v>8341615.1400000006</v>
      </c>
      <c r="F155" s="173">
        <v>103.86989300046116</v>
      </c>
    </row>
    <row r="156" spans="1:6" x14ac:dyDescent="0.55000000000000004">
      <c r="A156" s="92">
        <v>44561</v>
      </c>
      <c r="B156" s="93" t="s">
        <v>3</v>
      </c>
      <c r="C156" s="93" t="s">
        <v>10</v>
      </c>
      <c r="D156" s="169">
        <v>57.964073600769048</v>
      </c>
      <c r="E156" s="4">
        <v>775294632.61000001</v>
      </c>
      <c r="F156" s="178">
        <v>71.742166101166731</v>
      </c>
    </row>
    <row r="157" spans="1:6" x14ac:dyDescent="0.55000000000000004">
      <c r="D157" s="169"/>
      <c r="E157" s="4"/>
      <c r="F157" s="175"/>
    </row>
    <row r="158" spans="1:6" x14ac:dyDescent="0.55000000000000004">
      <c r="D158" s="169"/>
      <c r="E158" s="4"/>
      <c r="F158" s="175"/>
    </row>
    <row r="159" spans="1:6" x14ac:dyDescent="0.55000000000000004">
      <c r="D159" s="169"/>
      <c r="E159" s="4"/>
      <c r="F159" s="175"/>
    </row>
    <row r="160" spans="1:6" x14ac:dyDescent="0.55000000000000004">
      <c r="D160" s="169"/>
      <c r="E160" s="4"/>
      <c r="F160" s="175"/>
    </row>
    <row r="161" spans="4:6" x14ac:dyDescent="0.55000000000000004">
      <c r="D161" s="169"/>
      <c r="E161" s="4"/>
      <c r="F161" s="175"/>
    </row>
    <row r="162" spans="4:6" x14ac:dyDescent="0.55000000000000004">
      <c r="D162" s="169"/>
      <c r="E162" s="4"/>
      <c r="F162" s="175"/>
    </row>
    <row r="163" spans="4:6" x14ac:dyDescent="0.55000000000000004">
      <c r="D163" s="169"/>
      <c r="E163" s="4"/>
      <c r="F163" s="175"/>
    </row>
    <row r="164" spans="4:6" x14ac:dyDescent="0.55000000000000004">
      <c r="D164" s="169"/>
      <c r="E164" s="4"/>
      <c r="F164" s="175"/>
    </row>
    <row r="165" spans="4:6" x14ac:dyDescent="0.55000000000000004">
      <c r="D165" s="169"/>
      <c r="E165" s="4"/>
      <c r="F165" s="175"/>
    </row>
    <row r="166" spans="4:6" x14ac:dyDescent="0.55000000000000004">
      <c r="D166" s="169"/>
      <c r="E166" s="4"/>
      <c r="F166" s="175"/>
    </row>
    <row r="167" spans="4:6" x14ac:dyDescent="0.55000000000000004">
      <c r="D167" s="169"/>
      <c r="E167" s="4"/>
      <c r="F167" s="175"/>
    </row>
    <row r="168" spans="4:6" x14ac:dyDescent="0.55000000000000004">
      <c r="D168" s="169"/>
      <c r="E168" s="4"/>
      <c r="F168" s="175"/>
    </row>
    <row r="169" spans="4:6" x14ac:dyDescent="0.55000000000000004">
      <c r="D169" s="169"/>
      <c r="E169" s="4"/>
      <c r="F169" s="175"/>
    </row>
    <row r="170" spans="4:6" x14ac:dyDescent="0.55000000000000004">
      <c r="D170" s="169"/>
      <c r="E170" s="4"/>
      <c r="F170" s="175"/>
    </row>
    <row r="171" spans="4:6" x14ac:dyDescent="0.55000000000000004">
      <c r="D171" s="169"/>
      <c r="E171" s="4"/>
      <c r="F171" s="175"/>
    </row>
    <row r="172" spans="4:6" x14ac:dyDescent="0.55000000000000004">
      <c r="D172" s="169"/>
      <c r="E172" s="4"/>
      <c r="F172" s="175"/>
    </row>
    <row r="173" spans="4:6" x14ac:dyDescent="0.55000000000000004">
      <c r="D173" s="169"/>
      <c r="E173" s="4"/>
      <c r="F173" s="175"/>
    </row>
    <row r="174" spans="4:6" x14ac:dyDescent="0.55000000000000004">
      <c r="D174" s="169"/>
      <c r="E174" s="4"/>
      <c r="F174" s="175"/>
    </row>
    <row r="175" spans="4:6" x14ac:dyDescent="0.55000000000000004">
      <c r="D175" s="169"/>
      <c r="E175" s="4"/>
      <c r="F175" s="175"/>
    </row>
    <row r="176" spans="4:6" x14ac:dyDescent="0.55000000000000004">
      <c r="D176" s="169"/>
      <c r="E176" s="4"/>
      <c r="F176" s="175"/>
    </row>
    <row r="177" spans="4:6" x14ac:dyDescent="0.55000000000000004">
      <c r="D177" s="169"/>
      <c r="E177" s="4"/>
      <c r="F177" s="175"/>
    </row>
    <row r="178" spans="4:6" x14ac:dyDescent="0.55000000000000004">
      <c r="D178" s="169"/>
      <c r="E178" s="4"/>
      <c r="F178" s="175"/>
    </row>
    <row r="179" spans="4:6" x14ac:dyDescent="0.55000000000000004">
      <c r="D179" s="169"/>
      <c r="E179" s="4"/>
      <c r="F179" s="175"/>
    </row>
    <row r="180" spans="4:6" x14ac:dyDescent="0.55000000000000004">
      <c r="D180" s="169"/>
      <c r="E180" s="4"/>
      <c r="F180" s="175"/>
    </row>
    <row r="181" spans="4:6" x14ac:dyDescent="0.55000000000000004">
      <c r="D181" s="169"/>
      <c r="E181" s="4"/>
      <c r="F181" s="175"/>
    </row>
    <row r="182" spans="4:6" x14ac:dyDescent="0.55000000000000004">
      <c r="D182" s="169"/>
      <c r="E182" s="4"/>
      <c r="F182" s="175"/>
    </row>
    <row r="183" spans="4:6" x14ac:dyDescent="0.55000000000000004">
      <c r="D183" s="169"/>
      <c r="E183" s="4"/>
      <c r="F183" s="175"/>
    </row>
    <row r="184" spans="4:6" x14ac:dyDescent="0.55000000000000004">
      <c r="D184" s="169"/>
      <c r="E184" s="4"/>
      <c r="F184" s="175"/>
    </row>
    <row r="185" spans="4:6" x14ac:dyDescent="0.55000000000000004">
      <c r="D185" s="169"/>
      <c r="E185" s="4"/>
      <c r="F185" s="175"/>
    </row>
    <row r="186" spans="4:6" x14ac:dyDescent="0.55000000000000004">
      <c r="D186" s="169"/>
      <c r="E186" s="4"/>
      <c r="F186" s="175"/>
    </row>
    <row r="187" spans="4:6" x14ac:dyDescent="0.55000000000000004">
      <c r="D187" s="169"/>
      <c r="E187" s="4"/>
      <c r="F187" s="175"/>
    </row>
    <row r="188" spans="4:6" x14ac:dyDescent="0.55000000000000004">
      <c r="D188" s="169"/>
      <c r="E188" s="4"/>
      <c r="F188" s="175"/>
    </row>
    <row r="189" spans="4:6" x14ac:dyDescent="0.55000000000000004">
      <c r="D189" s="169"/>
      <c r="E189" s="4"/>
      <c r="F189" s="175"/>
    </row>
    <row r="190" spans="4:6" x14ac:dyDescent="0.55000000000000004">
      <c r="D190" s="169"/>
      <c r="E190" s="4"/>
      <c r="F190" s="175"/>
    </row>
    <row r="191" spans="4:6" x14ac:dyDescent="0.55000000000000004">
      <c r="D191" s="169"/>
      <c r="E191" s="4"/>
      <c r="F191" s="175"/>
    </row>
    <row r="192" spans="4:6" x14ac:dyDescent="0.55000000000000004">
      <c r="D192" s="169"/>
      <c r="E192" s="4"/>
      <c r="F192" s="175"/>
    </row>
    <row r="193" spans="4:6" x14ac:dyDescent="0.55000000000000004">
      <c r="D193" s="169"/>
      <c r="E193" s="4"/>
      <c r="F193" s="175"/>
    </row>
    <row r="194" spans="4:6" x14ac:dyDescent="0.55000000000000004">
      <c r="D194" s="169"/>
      <c r="E194" s="4"/>
      <c r="F194" s="175"/>
    </row>
    <row r="195" spans="4:6" x14ac:dyDescent="0.55000000000000004">
      <c r="D195" s="169"/>
      <c r="E195" s="4"/>
      <c r="F195" s="175"/>
    </row>
    <row r="196" spans="4:6" x14ac:dyDescent="0.55000000000000004">
      <c r="D196" s="169"/>
      <c r="E196" s="4"/>
      <c r="F196" s="175"/>
    </row>
    <row r="197" spans="4:6" x14ac:dyDescent="0.55000000000000004">
      <c r="D197" s="169"/>
      <c r="E197" s="4"/>
      <c r="F197" s="175"/>
    </row>
    <row r="198" spans="4:6" x14ac:dyDescent="0.55000000000000004">
      <c r="D198" s="169"/>
      <c r="E198" s="4"/>
      <c r="F198" s="175"/>
    </row>
    <row r="199" spans="4:6" x14ac:dyDescent="0.55000000000000004">
      <c r="D199" s="169"/>
      <c r="E199" s="4"/>
      <c r="F199" s="175"/>
    </row>
    <row r="200" spans="4:6" x14ac:dyDescent="0.55000000000000004">
      <c r="D200" s="169"/>
      <c r="E200" s="4"/>
      <c r="F200" s="175"/>
    </row>
    <row r="201" spans="4:6" x14ac:dyDescent="0.55000000000000004">
      <c r="D201" s="169"/>
      <c r="E201" s="4"/>
      <c r="F201" s="175"/>
    </row>
    <row r="202" spans="4:6" x14ac:dyDescent="0.55000000000000004">
      <c r="D202" s="169"/>
      <c r="E202" s="4"/>
      <c r="F202" s="175"/>
    </row>
    <row r="203" spans="4:6" x14ac:dyDescent="0.55000000000000004">
      <c r="D203" s="169"/>
      <c r="E203" s="4"/>
      <c r="F203" s="175"/>
    </row>
    <row r="204" spans="4:6" x14ac:dyDescent="0.55000000000000004">
      <c r="D204" s="169"/>
      <c r="E204" s="4"/>
      <c r="F204" s="175"/>
    </row>
    <row r="205" spans="4:6" x14ac:dyDescent="0.55000000000000004">
      <c r="D205" s="169"/>
      <c r="E205" s="4"/>
      <c r="F205" s="175"/>
    </row>
    <row r="206" spans="4:6" x14ac:dyDescent="0.55000000000000004">
      <c r="D206" s="169"/>
      <c r="E206" s="4"/>
      <c r="F206" s="175"/>
    </row>
    <row r="207" spans="4:6" x14ac:dyDescent="0.55000000000000004">
      <c r="D207" s="169"/>
      <c r="E207" s="4"/>
      <c r="F207" s="175"/>
    </row>
    <row r="208" spans="4:6" x14ac:dyDescent="0.55000000000000004">
      <c r="D208" s="169"/>
      <c r="E208" s="4"/>
      <c r="F208" s="175"/>
    </row>
    <row r="209" spans="4:6" x14ac:dyDescent="0.55000000000000004">
      <c r="D209" s="169"/>
      <c r="E209" s="4"/>
      <c r="F209" s="175"/>
    </row>
    <row r="210" spans="4:6" x14ac:dyDescent="0.55000000000000004">
      <c r="D210" s="169"/>
      <c r="E210" s="4"/>
      <c r="F210" s="175"/>
    </row>
    <row r="211" spans="4:6" x14ac:dyDescent="0.55000000000000004">
      <c r="D211" s="169"/>
      <c r="E211" s="4"/>
      <c r="F211" s="175"/>
    </row>
    <row r="212" spans="4:6" x14ac:dyDescent="0.55000000000000004">
      <c r="D212" s="169"/>
      <c r="E212" s="4"/>
      <c r="F212" s="175"/>
    </row>
    <row r="213" spans="4:6" x14ac:dyDescent="0.55000000000000004">
      <c r="D213" s="169"/>
      <c r="E213" s="4"/>
      <c r="F213" s="175"/>
    </row>
    <row r="214" spans="4:6" x14ac:dyDescent="0.55000000000000004">
      <c r="D214" s="169"/>
      <c r="E214" s="4"/>
      <c r="F214" s="175"/>
    </row>
    <row r="215" spans="4:6" x14ac:dyDescent="0.55000000000000004">
      <c r="D215" s="169"/>
      <c r="E215" s="4"/>
      <c r="F215" s="175"/>
    </row>
    <row r="216" spans="4:6" x14ac:dyDescent="0.55000000000000004">
      <c r="D216" s="169"/>
      <c r="E216" s="4"/>
      <c r="F216" s="175"/>
    </row>
    <row r="217" spans="4:6" x14ac:dyDescent="0.55000000000000004">
      <c r="D217" s="169"/>
      <c r="E217" s="4"/>
      <c r="F217" s="175"/>
    </row>
    <row r="218" spans="4:6" x14ac:dyDescent="0.55000000000000004">
      <c r="D218" s="169"/>
      <c r="E218" s="4"/>
      <c r="F218" s="175"/>
    </row>
    <row r="219" spans="4:6" x14ac:dyDescent="0.55000000000000004">
      <c r="D219" s="169"/>
      <c r="E219" s="4"/>
      <c r="F219" s="175"/>
    </row>
    <row r="220" spans="4:6" x14ac:dyDescent="0.55000000000000004">
      <c r="D220" s="169"/>
      <c r="E220" s="4"/>
      <c r="F220" s="175"/>
    </row>
    <row r="221" spans="4:6" x14ac:dyDescent="0.55000000000000004">
      <c r="D221" s="169"/>
      <c r="E221" s="4"/>
      <c r="F221" s="175"/>
    </row>
    <row r="222" spans="4:6" x14ac:dyDescent="0.55000000000000004">
      <c r="D222" s="169"/>
      <c r="E222" s="4"/>
      <c r="F222" s="175"/>
    </row>
    <row r="223" spans="4:6" x14ac:dyDescent="0.55000000000000004">
      <c r="D223" s="169"/>
      <c r="E223" s="4"/>
      <c r="F223" s="175"/>
    </row>
    <row r="224" spans="4:6" x14ac:dyDescent="0.55000000000000004">
      <c r="D224" s="169"/>
      <c r="E224" s="4"/>
      <c r="F224" s="175"/>
    </row>
    <row r="225" spans="4:6" x14ac:dyDescent="0.55000000000000004">
      <c r="D225" s="169"/>
      <c r="E225" s="4"/>
      <c r="F225" s="175"/>
    </row>
    <row r="226" spans="4:6" x14ac:dyDescent="0.55000000000000004">
      <c r="D226" s="169"/>
      <c r="E226" s="4"/>
      <c r="F226" s="175"/>
    </row>
    <row r="227" spans="4:6" x14ac:dyDescent="0.55000000000000004">
      <c r="D227" s="169"/>
      <c r="E227" s="4"/>
      <c r="F227" s="175"/>
    </row>
    <row r="228" spans="4:6" x14ac:dyDescent="0.55000000000000004">
      <c r="D228" s="169"/>
      <c r="E228" s="4"/>
      <c r="F228" s="175"/>
    </row>
    <row r="229" spans="4:6" x14ac:dyDescent="0.55000000000000004">
      <c r="D229" s="169"/>
      <c r="E229" s="4"/>
      <c r="F229" s="175"/>
    </row>
    <row r="230" spans="4:6" x14ac:dyDescent="0.55000000000000004">
      <c r="D230" s="169"/>
      <c r="E230" s="4"/>
      <c r="F230" s="175"/>
    </row>
    <row r="231" spans="4:6" x14ac:dyDescent="0.55000000000000004">
      <c r="D231" s="169"/>
      <c r="E231" s="4"/>
      <c r="F231" s="175"/>
    </row>
    <row r="232" spans="4:6" x14ac:dyDescent="0.55000000000000004">
      <c r="D232" s="169"/>
      <c r="E232" s="4"/>
      <c r="F232" s="175"/>
    </row>
    <row r="233" spans="4:6" x14ac:dyDescent="0.55000000000000004">
      <c r="D233" s="169"/>
      <c r="E233" s="4"/>
      <c r="F233" s="175"/>
    </row>
    <row r="234" spans="4:6" x14ac:dyDescent="0.55000000000000004">
      <c r="D234" s="169"/>
      <c r="E234" s="4"/>
      <c r="F234" s="175"/>
    </row>
    <row r="235" spans="4:6" x14ac:dyDescent="0.55000000000000004">
      <c r="D235" s="169"/>
      <c r="E235" s="4"/>
      <c r="F235" s="175"/>
    </row>
    <row r="236" spans="4:6" x14ac:dyDescent="0.55000000000000004">
      <c r="D236" s="169"/>
      <c r="E236" s="4"/>
      <c r="F236" s="175"/>
    </row>
    <row r="237" spans="4:6" x14ac:dyDescent="0.55000000000000004">
      <c r="D237" s="169"/>
      <c r="E237" s="4"/>
      <c r="F237" s="175"/>
    </row>
    <row r="238" spans="4:6" x14ac:dyDescent="0.55000000000000004">
      <c r="D238" s="169"/>
      <c r="E238" s="4"/>
      <c r="F238" s="175"/>
    </row>
    <row r="239" spans="4:6" x14ac:dyDescent="0.55000000000000004">
      <c r="D239" s="169"/>
      <c r="E239" s="4"/>
      <c r="F239" s="175"/>
    </row>
    <row r="240" spans="4:6" x14ac:dyDescent="0.55000000000000004">
      <c r="D240" s="169"/>
      <c r="E240" s="4"/>
      <c r="F240" s="175"/>
    </row>
    <row r="241" spans="4:6" x14ac:dyDescent="0.55000000000000004">
      <c r="D241" s="169"/>
      <c r="E241" s="4"/>
      <c r="F241" s="175"/>
    </row>
    <row r="242" spans="4:6" x14ac:dyDescent="0.55000000000000004">
      <c r="D242" s="169"/>
      <c r="E242" s="4"/>
      <c r="F242" s="175"/>
    </row>
    <row r="243" spans="4:6" x14ac:dyDescent="0.55000000000000004">
      <c r="D243" s="169"/>
      <c r="E243" s="4"/>
      <c r="F243" s="175"/>
    </row>
    <row r="244" spans="4:6" x14ac:dyDescent="0.55000000000000004">
      <c r="D244" s="169"/>
      <c r="E244" s="4"/>
      <c r="F244" s="175"/>
    </row>
    <row r="245" spans="4:6" x14ac:dyDescent="0.55000000000000004">
      <c r="D245" s="169"/>
      <c r="E245" s="4"/>
      <c r="F245" s="175"/>
    </row>
    <row r="246" spans="4:6" x14ac:dyDescent="0.55000000000000004">
      <c r="D246" s="169"/>
      <c r="E246" s="4"/>
      <c r="F246" s="175"/>
    </row>
    <row r="247" spans="4:6" x14ac:dyDescent="0.55000000000000004">
      <c r="D247" s="169"/>
      <c r="E247" s="4"/>
      <c r="F247" s="175"/>
    </row>
    <row r="248" spans="4:6" x14ac:dyDescent="0.55000000000000004">
      <c r="D248" s="169"/>
      <c r="E248" s="4"/>
      <c r="F248" s="175"/>
    </row>
    <row r="249" spans="4:6" x14ac:dyDescent="0.55000000000000004">
      <c r="D249" s="169"/>
      <c r="E249" s="4"/>
      <c r="F249" s="175"/>
    </row>
    <row r="250" spans="4:6" x14ac:dyDescent="0.55000000000000004">
      <c r="D250" s="169"/>
      <c r="E250" s="4"/>
      <c r="F250" s="175"/>
    </row>
    <row r="251" spans="4:6" x14ac:dyDescent="0.55000000000000004">
      <c r="D251" s="169"/>
      <c r="E251" s="4"/>
      <c r="F251" s="175"/>
    </row>
    <row r="252" spans="4:6" x14ac:dyDescent="0.55000000000000004">
      <c r="D252" s="169"/>
      <c r="E252" s="4"/>
      <c r="F252" s="175"/>
    </row>
    <row r="253" spans="4:6" x14ac:dyDescent="0.55000000000000004">
      <c r="D253" s="169"/>
      <c r="E253" s="4"/>
      <c r="F253" s="175"/>
    </row>
    <row r="254" spans="4:6" x14ac:dyDescent="0.55000000000000004">
      <c r="D254" s="169"/>
      <c r="E254" s="4"/>
      <c r="F254" s="175"/>
    </row>
    <row r="255" spans="4:6" x14ac:dyDescent="0.55000000000000004">
      <c r="D255" s="169"/>
      <c r="E255" s="4"/>
      <c r="F255" s="175"/>
    </row>
    <row r="256" spans="4:6" x14ac:dyDescent="0.55000000000000004">
      <c r="D256" s="169"/>
      <c r="E256" s="4"/>
      <c r="F256" s="175"/>
    </row>
    <row r="257" spans="4:6" x14ac:dyDescent="0.55000000000000004">
      <c r="D257" s="169"/>
      <c r="E257" s="4"/>
      <c r="F257" s="175"/>
    </row>
    <row r="258" spans="4:6" x14ac:dyDescent="0.55000000000000004">
      <c r="D258" s="169"/>
      <c r="E258" s="4"/>
      <c r="F258" s="175"/>
    </row>
    <row r="259" spans="4:6" x14ac:dyDescent="0.55000000000000004">
      <c r="D259" s="169"/>
      <c r="E259" s="4"/>
      <c r="F259" s="175"/>
    </row>
    <row r="260" spans="4:6" x14ac:dyDescent="0.55000000000000004">
      <c r="D260" s="169"/>
      <c r="E260" s="4"/>
      <c r="F260" s="175"/>
    </row>
    <row r="261" spans="4:6" x14ac:dyDescent="0.55000000000000004">
      <c r="D261" s="169"/>
      <c r="E261" s="4"/>
      <c r="F261" s="175"/>
    </row>
    <row r="262" spans="4:6" x14ac:dyDescent="0.55000000000000004">
      <c r="D262" s="169"/>
      <c r="E262" s="4"/>
      <c r="F262" s="175"/>
    </row>
    <row r="263" spans="4:6" x14ac:dyDescent="0.55000000000000004">
      <c r="D263" s="169"/>
      <c r="E263" s="4"/>
      <c r="F263" s="175"/>
    </row>
    <row r="264" spans="4:6" x14ac:dyDescent="0.55000000000000004">
      <c r="D264" s="169"/>
      <c r="E264" s="4"/>
      <c r="F264" s="175"/>
    </row>
    <row r="265" spans="4:6" x14ac:dyDescent="0.55000000000000004">
      <c r="D265" s="169"/>
      <c r="E265" s="4"/>
      <c r="F265" s="175"/>
    </row>
    <row r="266" spans="4:6" x14ac:dyDescent="0.55000000000000004">
      <c r="D266" s="169"/>
      <c r="E266" s="4"/>
      <c r="F266" s="175"/>
    </row>
    <row r="267" spans="4:6" x14ac:dyDescent="0.55000000000000004">
      <c r="D267" s="169"/>
      <c r="E267" s="4"/>
      <c r="F267" s="175"/>
    </row>
    <row r="268" spans="4:6" x14ac:dyDescent="0.55000000000000004">
      <c r="D268" s="169"/>
      <c r="E268" s="4"/>
      <c r="F268" s="175"/>
    </row>
    <row r="269" spans="4:6" x14ac:dyDescent="0.55000000000000004">
      <c r="D269" s="169"/>
      <c r="E269" s="4"/>
      <c r="F269" s="175"/>
    </row>
    <row r="270" spans="4:6" x14ac:dyDescent="0.55000000000000004">
      <c r="D270" s="169"/>
      <c r="E270" s="4"/>
      <c r="F270" s="175"/>
    </row>
    <row r="271" spans="4:6" x14ac:dyDescent="0.55000000000000004">
      <c r="D271" s="169"/>
      <c r="E271" s="4"/>
      <c r="F271" s="175"/>
    </row>
    <row r="272" spans="4:6" x14ac:dyDescent="0.55000000000000004">
      <c r="D272" s="169"/>
      <c r="E272" s="4"/>
      <c r="F272" s="175"/>
    </row>
    <row r="273" spans="4:6" x14ac:dyDescent="0.55000000000000004">
      <c r="D273" s="169"/>
      <c r="E273" s="4"/>
      <c r="F273" s="175"/>
    </row>
    <row r="274" spans="4:6" x14ac:dyDescent="0.55000000000000004">
      <c r="D274" s="169"/>
      <c r="E274" s="4"/>
      <c r="F274" s="175"/>
    </row>
    <row r="275" spans="4:6" x14ac:dyDescent="0.55000000000000004">
      <c r="D275" s="169"/>
      <c r="E275" s="4"/>
      <c r="F275" s="175"/>
    </row>
    <row r="276" spans="4:6" x14ac:dyDescent="0.55000000000000004">
      <c r="D276" s="169"/>
      <c r="E276" s="4"/>
      <c r="F276" s="175"/>
    </row>
    <row r="277" spans="4:6" x14ac:dyDescent="0.55000000000000004">
      <c r="D277" s="169"/>
      <c r="E277" s="4"/>
      <c r="F277" s="175"/>
    </row>
    <row r="278" spans="4:6" x14ac:dyDescent="0.55000000000000004">
      <c r="D278" s="169"/>
      <c r="E278" s="4"/>
      <c r="F278" s="175"/>
    </row>
    <row r="279" spans="4:6" x14ac:dyDescent="0.55000000000000004">
      <c r="D279" s="169"/>
      <c r="E279" s="4"/>
      <c r="F279" s="175"/>
    </row>
    <row r="280" spans="4:6" x14ac:dyDescent="0.55000000000000004">
      <c r="D280" s="169"/>
      <c r="E280" s="4"/>
      <c r="F280" s="175"/>
    </row>
    <row r="281" spans="4:6" x14ac:dyDescent="0.55000000000000004">
      <c r="D281" s="169"/>
      <c r="E281" s="4"/>
      <c r="F281" s="17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01BC-2B11-470A-9A29-6BC34DC5155D}">
  <dimension ref="A1:O281"/>
  <sheetViews>
    <sheetView topLeftCell="A64" zoomScale="90" zoomScaleNormal="90" workbookViewId="0">
      <selection activeCell="B72" sqref="B72"/>
    </sheetView>
  </sheetViews>
  <sheetFormatPr defaultRowHeight="14.4" x14ac:dyDescent="0.55000000000000004"/>
  <cols>
    <col min="1" max="1" width="10.15625" bestFit="1" customWidth="1"/>
    <col min="2" max="2" width="27.3671875" bestFit="1" customWidth="1"/>
    <col min="3" max="3" width="14.1015625" bestFit="1" customWidth="1"/>
    <col min="4" max="4" width="7.5234375" bestFit="1" customWidth="1"/>
    <col min="5" max="5" width="15.7890625" style="4" bestFit="1" customWidth="1"/>
    <col min="6" max="6" width="15.7890625" bestFit="1" customWidth="1"/>
    <col min="7" max="7" width="10.83984375" bestFit="1" customWidth="1"/>
    <col min="8" max="8" width="17.3125" bestFit="1" customWidth="1"/>
    <col min="9" max="9" width="7" style="136" bestFit="1" customWidth="1"/>
    <col min="10" max="10" width="15" style="136" customWidth="1"/>
    <col min="12" max="12" width="14.15625" bestFit="1" customWidth="1"/>
    <col min="13" max="13" width="10.7890625" bestFit="1" customWidth="1"/>
    <col min="14" max="14" width="8.89453125" bestFit="1" customWidth="1"/>
    <col min="15" max="15" width="9.68359375" bestFit="1" customWidth="1"/>
  </cols>
  <sheetData>
    <row r="1" spans="1:10" x14ac:dyDescent="0.55000000000000004">
      <c r="A1" t="s">
        <v>0</v>
      </c>
      <c r="B1" t="s">
        <v>1</v>
      </c>
      <c r="C1" t="s">
        <v>8</v>
      </c>
      <c r="D1" t="s">
        <v>16</v>
      </c>
      <c r="E1" s="4" t="s">
        <v>17</v>
      </c>
      <c r="F1" t="s">
        <v>57</v>
      </c>
      <c r="G1" s="136" t="s">
        <v>69</v>
      </c>
      <c r="H1" t="s">
        <v>61</v>
      </c>
      <c r="I1" s="136" t="s">
        <v>65</v>
      </c>
      <c r="J1" s="136" t="s">
        <v>68</v>
      </c>
    </row>
    <row r="2" spans="1:10" x14ac:dyDescent="0.55000000000000004">
      <c r="A2" s="5">
        <v>44531</v>
      </c>
      <c r="B2" s="6" t="s">
        <v>2</v>
      </c>
      <c r="C2" s="6" t="s">
        <v>9</v>
      </c>
      <c r="D2" s="7">
        <v>130.36985778808591</v>
      </c>
      <c r="E2" s="95">
        <v>357317696</v>
      </c>
      <c r="F2" s="4">
        <v>443848455</v>
      </c>
      <c r="G2" s="4">
        <f>D2*1.07</f>
        <v>139.49574783325193</v>
      </c>
      <c r="H2" s="4">
        <f>F2*1.07</f>
        <v>474917846.85000002</v>
      </c>
      <c r="I2" s="137">
        <v>81</v>
      </c>
      <c r="J2" s="138">
        <f>I2*1.0056</f>
        <v>81.453600000000009</v>
      </c>
    </row>
    <row r="3" spans="1:10" s="132" customFormat="1" x14ac:dyDescent="0.55000000000000004">
      <c r="A3" s="131">
        <v>44532</v>
      </c>
      <c r="B3" s="132" t="s">
        <v>2</v>
      </c>
      <c r="C3" s="132" t="s">
        <v>9</v>
      </c>
      <c r="D3" s="133">
        <f>(D2+D4)/2</f>
        <v>97.961235046386705</v>
      </c>
      <c r="E3" s="134">
        <f t="shared" ref="E3:H3" si="0">(E2+E4)/2</f>
        <v>253015995.25</v>
      </c>
      <c r="F3" s="134">
        <f t="shared" si="0"/>
        <v>259253100.5</v>
      </c>
      <c r="G3" s="134">
        <f>(G2+G4)/2</f>
        <v>104.81852149963377</v>
      </c>
      <c r="H3" s="134">
        <f t="shared" si="0"/>
        <v>277400817.53500003</v>
      </c>
      <c r="I3" s="137">
        <v>110</v>
      </c>
      <c r="J3" s="138">
        <f t="shared" ref="J3:J32" si="1">I3*1.0056</f>
        <v>110.616</v>
      </c>
    </row>
    <row r="4" spans="1:10" x14ac:dyDescent="0.55000000000000004">
      <c r="A4" s="11">
        <v>44533</v>
      </c>
      <c r="B4" s="12" t="s">
        <v>2</v>
      </c>
      <c r="C4" s="12" t="s">
        <v>9</v>
      </c>
      <c r="D4" s="13">
        <v>65.5526123046875</v>
      </c>
      <c r="E4" s="97">
        <v>148714294.5</v>
      </c>
      <c r="F4" s="4">
        <v>74657746</v>
      </c>
      <c r="G4" s="4">
        <f t="shared" ref="G4:G65" si="2">D4*1.07</f>
        <v>70.141295166015624</v>
      </c>
      <c r="H4" s="4">
        <f t="shared" ref="H4:H91" si="3">F4*1.07</f>
        <v>79883788.219999999</v>
      </c>
      <c r="I4" s="137">
        <v>89</v>
      </c>
      <c r="J4" s="138">
        <f t="shared" si="1"/>
        <v>89.498400000000004</v>
      </c>
    </row>
    <row r="5" spans="1:10" x14ac:dyDescent="0.55000000000000004">
      <c r="A5" s="14">
        <v>44534</v>
      </c>
      <c r="B5" s="15" t="s">
        <v>2</v>
      </c>
      <c r="C5" s="15" t="s">
        <v>9</v>
      </c>
      <c r="D5" s="16">
        <v>196.76289367675781</v>
      </c>
      <c r="E5" s="98">
        <v>37857180</v>
      </c>
      <c r="F5" s="4">
        <v>46428470</v>
      </c>
      <c r="G5" s="4">
        <f t="shared" si="2"/>
        <v>210.53629623413087</v>
      </c>
      <c r="H5" s="4">
        <f t="shared" si="3"/>
        <v>49678462.900000006</v>
      </c>
      <c r="I5" s="137">
        <v>93</v>
      </c>
      <c r="J5" s="138">
        <f t="shared" si="1"/>
        <v>93.520800000000008</v>
      </c>
    </row>
    <row r="6" spans="1:10" x14ac:dyDescent="0.55000000000000004">
      <c r="A6" s="17">
        <v>44535</v>
      </c>
      <c r="B6" s="18" t="s">
        <v>2</v>
      </c>
      <c r="C6" s="18" t="s">
        <v>9</v>
      </c>
      <c r="D6" s="19">
        <v>3.8977007865905762</v>
      </c>
      <c r="E6" s="99">
        <v>10907716</v>
      </c>
      <c r="F6" s="4">
        <v>13169907</v>
      </c>
      <c r="G6" s="4">
        <f t="shared" si="2"/>
        <v>4.1705398416519168</v>
      </c>
      <c r="H6" s="4">
        <f t="shared" si="3"/>
        <v>14091800.49</v>
      </c>
      <c r="I6" s="137">
        <v>83</v>
      </c>
      <c r="J6" s="138">
        <f t="shared" si="1"/>
        <v>83.464800000000011</v>
      </c>
    </row>
    <row r="7" spans="1:10" x14ac:dyDescent="0.55000000000000004">
      <c r="A7" s="20">
        <v>44536</v>
      </c>
      <c r="B7" s="21" t="s">
        <v>2</v>
      </c>
      <c r="C7" s="21" t="s">
        <v>9</v>
      </c>
      <c r="D7" s="22">
        <v>94.862197875976563</v>
      </c>
      <c r="E7" s="100">
        <v>18251486</v>
      </c>
      <c r="F7" s="4">
        <v>17293755</v>
      </c>
      <c r="G7" s="4">
        <f t="shared" si="2"/>
        <v>101.50255172729493</v>
      </c>
      <c r="H7" s="4">
        <f t="shared" si="3"/>
        <v>18504317.850000001</v>
      </c>
      <c r="I7" s="137">
        <v>139</v>
      </c>
      <c r="J7" s="138">
        <f t="shared" si="1"/>
        <v>139.7784</v>
      </c>
    </row>
    <row r="8" spans="1:10" x14ac:dyDescent="0.55000000000000004">
      <c r="A8" s="23">
        <v>44537</v>
      </c>
      <c r="B8" s="24" t="s">
        <v>2</v>
      </c>
      <c r="C8" s="24" t="s">
        <v>9</v>
      </c>
      <c r="D8" s="25">
        <v>641.0289306640625</v>
      </c>
      <c r="E8" s="101">
        <v>209808768</v>
      </c>
      <c r="F8" s="4">
        <v>282000579</v>
      </c>
      <c r="G8" s="4">
        <f t="shared" si="2"/>
        <v>685.90095581054686</v>
      </c>
      <c r="H8" s="4">
        <f t="shared" si="3"/>
        <v>301740619.53000003</v>
      </c>
      <c r="I8" s="137">
        <v>142</v>
      </c>
      <c r="J8" s="138">
        <f t="shared" si="1"/>
        <v>142.79519999999999</v>
      </c>
    </row>
    <row r="9" spans="1:10" x14ac:dyDescent="0.55000000000000004">
      <c r="A9" s="131">
        <v>44538</v>
      </c>
      <c r="B9" s="132" t="s">
        <v>2</v>
      </c>
      <c r="C9" s="132" t="s">
        <v>9</v>
      </c>
      <c r="D9" s="133">
        <f>_xlfn.FORECAST.LINEAR($A$9,D2:D8,$A$2:$A$8)</f>
        <v>384.93709441600367</v>
      </c>
      <c r="E9" s="142">
        <f>MAX(1998464,_xlfn.FORECAST.LINEAR($A$9,E2:E8,$A$2:$A$8))</f>
        <v>1998464</v>
      </c>
      <c r="F9" s="142">
        <f t="shared" ref="F9:H9" si="4">_xlfn.FORECAST.LINEAR($A$9,F2:F8,$A$2:$A$8)</f>
        <v>15100264.928466797</v>
      </c>
      <c r="G9" s="133">
        <f t="shared" si="4"/>
        <v>411.88269102526829</v>
      </c>
      <c r="H9" s="142">
        <f t="shared" si="4"/>
        <v>16157283.473632813</v>
      </c>
      <c r="I9" s="139">
        <v>152</v>
      </c>
      <c r="J9" s="138">
        <f t="shared" si="1"/>
        <v>152.85120000000001</v>
      </c>
    </row>
    <row r="10" spans="1:10" x14ac:dyDescent="0.55000000000000004">
      <c r="A10" s="131">
        <v>44539</v>
      </c>
      <c r="B10" s="132" t="s">
        <v>2</v>
      </c>
      <c r="C10" s="132" t="s">
        <v>9</v>
      </c>
      <c r="D10" s="133">
        <f>_xlfn.FORECAST.LINEAR($A$10,D3:D9,$A$3:$A$9)</f>
        <v>484.99745482811704</v>
      </c>
      <c r="E10" s="142">
        <f>_xlfn.FORECAST.LINEAR($A$10,E3:E9,$A$3:$A$9)</f>
        <v>4297794.7142333984</v>
      </c>
      <c r="F10" s="142">
        <f t="shared" ref="F10:H10" si="5">_xlfn.FORECAST.LINEAR($A$10,F3:F9,$A$3:$A$9)</f>
        <v>51570895.244750977</v>
      </c>
      <c r="G10" s="143">
        <f t="shared" si="5"/>
        <v>518.94727666629478</v>
      </c>
      <c r="H10" s="142">
        <f t="shared" si="5"/>
        <v>55180857.912109375</v>
      </c>
      <c r="I10" s="139">
        <v>154</v>
      </c>
      <c r="J10" s="138">
        <f t="shared" si="1"/>
        <v>154.86240000000001</v>
      </c>
    </row>
    <row r="11" spans="1:10" x14ac:dyDescent="0.55000000000000004">
      <c r="A11" s="32">
        <v>44540</v>
      </c>
      <c r="B11" s="33" t="s">
        <v>2</v>
      </c>
      <c r="C11" s="33" t="s">
        <v>9</v>
      </c>
      <c r="D11" s="34">
        <v>7.6688151359558114</v>
      </c>
      <c r="E11" s="104">
        <v>27708962</v>
      </c>
      <c r="F11" s="4">
        <v>26307282</v>
      </c>
      <c r="G11" s="4">
        <f t="shared" si="2"/>
        <v>8.2056321954727185</v>
      </c>
      <c r="H11" s="4">
        <f t="shared" si="3"/>
        <v>28148791.740000002</v>
      </c>
      <c r="I11" s="137">
        <v>129</v>
      </c>
      <c r="J11" s="138">
        <f t="shared" si="1"/>
        <v>129.72239999999999</v>
      </c>
    </row>
    <row r="12" spans="1:10" x14ac:dyDescent="0.55000000000000004">
      <c r="A12" s="35">
        <v>44541</v>
      </c>
      <c r="B12" s="36" t="s">
        <v>2</v>
      </c>
      <c r="C12" s="36" t="s">
        <v>9</v>
      </c>
      <c r="D12" s="37">
        <v>221.34512090682981</v>
      </c>
      <c r="E12" s="105">
        <v>855738255.875</v>
      </c>
      <c r="F12" s="4">
        <v>761211234</v>
      </c>
      <c r="G12" s="4">
        <f t="shared" si="2"/>
        <v>236.83927937030791</v>
      </c>
      <c r="H12" s="4">
        <f t="shared" si="3"/>
        <v>814496020.38</v>
      </c>
      <c r="I12" s="137">
        <v>110</v>
      </c>
      <c r="J12" s="138">
        <f t="shared" si="1"/>
        <v>110.616</v>
      </c>
    </row>
    <row r="13" spans="1:10" x14ac:dyDescent="0.55000000000000004">
      <c r="A13" s="131">
        <v>44542</v>
      </c>
      <c r="B13" s="132" t="s">
        <v>2</v>
      </c>
      <c r="C13" s="132" t="s">
        <v>9</v>
      </c>
      <c r="D13" s="133">
        <f>_xlfn.FORECAST.LINEAR($A$13,D2:D12,$A$2:$A$12)</f>
        <v>340.79058094148058</v>
      </c>
      <c r="E13" s="142">
        <f t="shared" ref="E13:H13" si="6">_xlfn.FORECAST.LINEAR($A$13,E2:E12,$A$2:$A$12)</f>
        <v>245136534.95904541</v>
      </c>
      <c r="F13" s="142">
        <f t="shared" si="6"/>
        <v>224182571.54797363</v>
      </c>
      <c r="G13" s="133">
        <f t="shared" si="6"/>
        <v>364.6459216075018</v>
      </c>
      <c r="H13" s="142">
        <f t="shared" si="6"/>
        <v>239875351.55645752</v>
      </c>
      <c r="I13" s="139">
        <v>139</v>
      </c>
      <c r="J13" s="138">
        <f t="shared" si="1"/>
        <v>139.7784</v>
      </c>
    </row>
    <row r="14" spans="1:10" x14ac:dyDescent="0.55000000000000004">
      <c r="A14" s="131">
        <v>44543</v>
      </c>
      <c r="B14" s="132" t="s">
        <v>2</v>
      </c>
      <c r="C14" s="132" t="s">
        <v>9</v>
      </c>
      <c r="D14" s="133">
        <f>_xlfn.FORECAST.LINEAR($A$14,D3:D13,$A$3:$A$13)</f>
        <v>368.47181784664281</v>
      </c>
      <c r="E14" s="142">
        <f t="shared" ref="E14:H14" si="7">_xlfn.FORECAST.LINEAR($A$14,E3:E13,$A$3:$A$13)</f>
        <v>313700369.68945313</v>
      </c>
      <c r="F14" s="142">
        <f t="shared" si="7"/>
        <v>302021776.63781738</v>
      </c>
      <c r="G14" s="133">
        <f t="shared" si="7"/>
        <v>394.26484509604052</v>
      </c>
      <c r="H14" s="142">
        <f t="shared" si="7"/>
        <v>323163301.00244141</v>
      </c>
      <c r="I14" s="139">
        <v>135</v>
      </c>
      <c r="J14" s="138">
        <f t="shared" si="1"/>
        <v>135.756</v>
      </c>
    </row>
    <row r="15" spans="1:10" x14ac:dyDescent="0.55000000000000004">
      <c r="A15" s="41">
        <v>44544</v>
      </c>
      <c r="B15" s="42" t="s">
        <v>2</v>
      </c>
      <c r="C15" s="42" t="s">
        <v>9</v>
      </c>
      <c r="D15" s="43">
        <v>101.5482940673828</v>
      </c>
      <c r="E15" s="107">
        <v>18786434</v>
      </c>
      <c r="F15" s="4">
        <v>23154362</v>
      </c>
      <c r="G15" s="4">
        <f t="shared" si="2"/>
        <v>108.6566746520996</v>
      </c>
      <c r="H15" s="4">
        <f t="shared" si="3"/>
        <v>24775167.34</v>
      </c>
      <c r="I15" s="137">
        <v>109</v>
      </c>
      <c r="J15" s="138">
        <f t="shared" si="1"/>
        <v>109.6104</v>
      </c>
    </row>
    <row r="16" spans="1:10" x14ac:dyDescent="0.55000000000000004">
      <c r="A16" s="44">
        <v>44545</v>
      </c>
      <c r="B16" s="45" t="s">
        <v>2</v>
      </c>
      <c r="C16" s="45" t="s">
        <v>9</v>
      </c>
      <c r="D16" s="46">
        <v>101.5482940673828</v>
      </c>
      <c r="E16" s="108">
        <v>38293860</v>
      </c>
      <c r="F16" s="4">
        <v>43014005</v>
      </c>
      <c r="G16" s="4">
        <f t="shared" si="2"/>
        <v>108.6566746520996</v>
      </c>
      <c r="H16" s="4">
        <f t="shared" si="3"/>
        <v>46024985.350000001</v>
      </c>
      <c r="I16" s="137">
        <v>152</v>
      </c>
      <c r="J16" s="138">
        <f t="shared" si="1"/>
        <v>152.85120000000001</v>
      </c>
    </row>
    <row r="17" spans="1:10" x14ac:dyDescent="0.55000000000000004">
      <c r="A17" s="47">
        <v>44546</v>
      </c>
      <c r="B17" s="48" t="s">
        <v>2</v>
      </c>
      <c r="C17" s="48" t="s">
        <v>9</v>
      </c>
      <c r="D17" s="49">
        <v>179.83604860305789</v>
      </c>
      <c r="E17" s="109">
        <v>893590718.5</v>
      </c>
      <c r="F17" s="4">
        <v>960062942</v>
      </c>
      <c r="G17" s="4">
        <f t="shared" si="2"/>
        <v>192.42457200527195</v>
      </c>
      <c r="H17" s="4">
        <f t="shared" si="3"/>
        <v>1027267347.9400001</v>
      </c>
      <c r="I17" s="137">
        <v>152</v>
      </c>
      <c r="J17" s="138">
        <f t="shared" si="1"/>
        <v>152.85120000000001</v>
      </c>
    </row>
    <row r="18" spans="1:10" s="132" customFormat="1" x14ac:dyDescent="0.55000000000000004">
      <c r="A18" s="131">
        <v>44547</v>
      </c>
      <c r="B18" s="132" t="s">
        <v>2</v>
      </c>
      <c r="C18" s="132" t="s">
        <v>9</v>
      </c>
      <c r="D18" s="133">
        <f>(D17+D19)/2</f>
        <v>142.18152451515198</v>
      </c>
      <c r="E18" s="134">
        <f t="shared" ref="E18" si="8">(E17+E19)/2</f>
        <v>456375259.25</v>
      </c>
      <c r="F18" s="134">
        <f t="shared" ref="F18" si="9">(F17+F19)/2</f>
        <v>488098064</v>
      </c>
      <c r="G18" s="134">
        <f>(G17+G19)/2</f>
        <v>152.13423123121265</v>
      </c>
      <c r="H18" s="134">
        <f t="shared" ref="H18" si="10">(H17+H19)/2</f>
        <v>522264928.48000002</v>
      </c>
      <c r="I18" s="139">
        <v>147</v>
      </c>
      <c r="J18" s="138">
        <f t="shared" si="1"/>
        <v>147.82320000000001</v>
      </c>
    </row>
    <row r="19" spans="1:10" x14ac:dyDescent="0.55000000000000004">
      <c r="A19" s="53">
        <v>44548</v>
      </c>
      <c r="B19" s="54" t="s">
        <v>2</v>
      </c>
      <c r="C19" s="54" t="s">
        <v>9</v>
      </c>
      <c r="D19" s="55">
        <v>104.52700042724609</v>
      </c>
      <c r="E19" s="111">
        <v>19159800</v>
      </c>
      <c r="F19" s="4">
        <v>16133186</v>
      </c>
      <c r="G19" s="4">
        <f t="shared" si="2"/>
        <v>111.84389045715332</v>
      </c>
      <c r="H19" s="4">
        <f t="shared" si="3"/>
        <v>17262509.02</v>
      </c>
      <c r="I19" s="137">
        <v>151</v>
      </c>
      <c r="J19" s="138">
        <f t="shared" si="1"/>
        <v>151.84560000000002</v>
      </c>
    </row>
    <row r="20" spans="1:10" x14ac:dyDescent="0.55000000000000004">
      <c r="A20" s="56">
        <v>44549</v>
      </c>
      <c r="B20" s="57" t="s">
        <v>2</v>
      </c>
      <c r="C20" s="57" t="s">
        <v>9</v>
      </c>
      <c r="D20" s="58">
        <v>36.768291473388672</v>
      </c>
      <c r="E20" s="112">
        <v>135630880</v>
      </c>
      <c r="F20" s="4">
        <v>78165679</v>
      </c>
      <c r="G20" s="4">
        <f t="shared" si="2"/>
        <v>39.342071876525878</v>
      </c>
      <c r="H20" s="4">
        <f t="shared" si="3"/>
        <v>83637276.530000001</v>
      </c>
      <c r="I20" s="137">
        <v>122</v>
      </c>
      <c r="J20" s="138">
        <f t="shared" si="1"/>
        <v>122.6832</v>
      </c>
    </row>
    <row r="21" spans="1:10" s="132" customFormat="1" x14ac:dyDescent="0.55000000000000004">
      <c r="A21" s="131">
        <v>44550</v>
      </c>
      <c r="B21" s="132" t="s">
        <v>2</v>
      </c>
      <c r="C21" s="132" t="s">
        <v>9</v>
      </c>
      <c r="D21" s="133">
        <f>(D20+D22)/2</f>
        <v>33.236260414123535</v>
      </c>
      <c r="E21" s="134">
        <f t="shared" ref="E21" si="11">(E20+E22)/2</f>
        <v>132212724</v>
      </c>
      <c r="F21" s="134">
        <f>(F20+F22)/2</f>
        <v>120578496.5</v>
      </c>
      <c r="G21" s="134">
        <f t="shared" ref="G21" si="12">(G20+G22)/2</f>
        <v>35.562798643112181</v>
      </c>
      <c r="H21" s="134">
        <f t="shared" ref="H21" si="13">(H20+H22)/2</f>
        <v>129018991.25500001</v>
      </c>
      <c r="I21" s="140">
        <f>_xlfn.FORECAST.LINEAR(A21,I2:I20,A2:A20)</f>
        <v>153.64912280702265</v>
      </c>
      <c r="J21" s="141">
        <f t="shared" si="1"/>
        <v>154.50955789474199</v>
      </c>
    </row>
    <row r="22" spans="1:10" x14ac:dyDescent="0.55000000000000004">
      <c r="A22" s="62">
        <v>44551</v>
      </c>
      <c r="B22" s="63" t="s">
        <v>2</v>
      </c>
      <c r="C22" s="63" t="s">
        <v>9</v>
      </c>
      <c r="D22" s="64">
        <v>29.704229354858398</v>
      </c>
      <c r="E22" s="114">
        <v>128794568</v>
      </c>
      <c r="F22" s="4">
        <v>162991314</v>
      </c>
      <c r="G22" s="4">
        <f t="shared" si="2"/>
        <v>31.783525409698488</v>
      </c>
      <c r="H22" s="4">
        <f t="shared" si="3"/>
        <v>174400705.98000002</v>
      </c>
      <c r="I22" s="140">
        <f t="shared" ref="I22:I32" si="14">_xlfn.FORECAST.LINEAR(A22,I3:I21,A3:A21)</f>
        <v>154.03139427515271</v>
      </c>
      <c r="J22" s="141">
        <f t="shared" si="1"/>
        <v>154.89397008309356</v>
      </c>
    </row>
    <row r="23" spans="1:10" x14ac:dyDescent="0.55000000000000004">
      <c r="A23" s="65">
        <v>44552</v>
      </c>
      <c r="B23" s="66" t="s">
        <v>2</v>
      </c>
      <c r="C23" s="66" t="s">
        <v>9</v>
      </c>
      <c r="D23" s="67">
        <v>104.52700042724609</v>
      </c>
      <c r="E23" s="115">
        <v>385976416</v>
      </c>
      <c r="F23" s="4">
        <v>293336866</v>
      </c>
      <c r="G23" s="4">
        <f t="shared" si="2"/>
        <v>111.84389045715332</v>
      </c>
      <c r="H23" s="4">
        <f t="shared" si="3"/>
        <v>313870446.62</v>
      </c>
      <c r="I23" s="140">
        <f t="shared" si="14"/>
        <v>156.78100144171913</v>
      </c>
      <c r="J23" s="141">
        <f t="shared" si="1"/>
        <v>157.65897504979276</v>
      </c>
    </row>
    <row r="24" spans="1:10" x14ac:dyDescent="0.55000000000000004">
      <c r="A24" s="68">
        <v>44553</v>
      </c>
      <c r="B24" s="69" t="s">
        <v>2</v>
      </c>
      <c r="C24" s="69" t="s">
        <v>9</v>
      </c>
      <c r="D24" s="70">
        <v>139.0892028808594</v>
      </c>
      <c r="E24" s="116">
        <v>3934444032</v>
      </c>
      <c r="F24" s="4">
        <v>4009140653</v>
      </c>
      <c r="G24" s="4">
        <f t="shared" si="2"/>
        <v>148.82544708251956</v>
      </c>
      <c r="H24" s="4">
        <f t="shared" si="3"/>
        <v>4289780498.71</v>
      </c>
      <c r="I24" s="140">
        <f t="shared" si="14"/>
        <v>156.75804530522146</v>
      </c>
      <c r="J24" s="141">
        <f t="shared" si="1"/>
        <v>157.63589035893071</v>
      </c>
    </row>
    <row r="25" spans="1:10" x14ac:dyDescent="0.55000000000000004">
      <c r="A25" s="71">
        <v>44554</v>
      </c>
      <c r="B25" s="72" t="s">
        <v>2</v>
      </c>
      <c r="C25" s="72" t="s">
        <v>9</v>
      </c>
      <c r="D25" s="73">
        <v>91.500526428222656</v>
      </c>
      <c r="E25" s="117">
        <v>405036224</v>
      </c>
      <c r="F25" s="4">
        <v>327483570</v>
      </c>
      <c r="G25" s="4">
        <f t="shared" si="2"/>
        <v>97.905563278198244</v>
      </c>
      <c r="H25" s="4">
        <f t="shared" si="3"/>
        <v>350407419.90000004</v>
      </c>
      <c r="I25" s="140">
        <f t="shared" si="14"/>
        <v>156.03234399187204</v>
      </c>
      <c r="J25" s="141">
        <f t="shared" si="1"/>
        <v>156.90612511822653</v>
      </c>
    </row>
    <row r="26" spans="1:10" s="132" customFormat="1" x14ac:dyDescent="0.55000000000000004">
      <c r="A26" s="131">
        <v>44555</v>
      </c>
      <c r="B26" s="132" t="s">
        <v>2</v>
      </c>
      <c r="C26" s="132" t="s">
        <v>9</v>
      </c>
      <c r="D26" s="133">
        <f>(D25+D27)/2</f>
        <v>146.49538803100586</v>
      </c>
      <c r="E26" s="134">
        <f t="shared" ref="E26" si="15">(E25+E27)/2</f>
        <v>484453344</v>
      </c>
      <c r="F26" s="134">
        <f t="shared" ref="F26" si="16">(F25+F27)/2</f>
        <v>458846696.5</v>
      </c>
      <c r="G26" s="135">
        <f>D26*1.07</f>
        <v>156.75006519317628</v>
      </c>
      <c r="H26" s="134">
        <f t="shared" ref="H26" si="17">(H25+H27)/2</f>
        <v>490965965.255</v>
      </c>
      <c r="I26" s="140">
        <f t="shared" si="14"/>
        <v>152.80723108087113</v>
      </c>
      <c r="J26" s="141">
        <f t="shared" si="1"/>
        <v>153.66295157492402</v>
      </c>
    </row>
    <row r="27" spans="1:10" x14ac:dyDescent="0.55000000000000004">
      <c r="A27" s="77">
        <v>44556</v>
      </c>
      <c r="B27" s="78" t="s">
        <v>2</v>
      </c>
      <c r="C27" s="78" t="s">
        <v>9</v>
      </c>
      <c r="D27" s="79">
        <v>201.49024963378909</v>
      </c>
      <c r="E27" s="119">
        <v>563870464</v>
      </c>
      <c r="F27" s="4">
        <v>590209823</v>
      </c>
      <c r="G27" s="4">
        <f t="shared" si="2"/>
        <v>215.59456710815434</v>
      </c>
      <c r="H27" s="4">
        <f t="shared" si="3"/>
        <v>631524510.61000001</v>
      </c>
      <c r="I27" s="140">
        <f t="shared" si="14"/>
        <v>154.49907082033315</v>
      </c>
      <c r="J27" s="141">
        <f t="shared" si="1"/>
        <v>155.36426561692701</v>
      </c>
    </row>
    <row r="28" spans="1:10" x14ac:dyDescent="0.55000000000000004">
      <c r="A28" s="80">
        <v>44557</v>
      </c>
      <c r="B28" s="81" t="s">
        <v>2</v>
      </c>
      <c r="C28" s="81" t="s">
        <v>9</v>
      </c>
      <c r="D28" s="82">
        <v>114.95172214508059</v>
      </c>
      <c r="E28" s="120">
        <v>220874635</v>
      </c>
      <c r="F28" s="4">
        <v>229568743</v>
      </c>
      <c r="G28" s="4">
        <f t="shared" si="2"/>
        <v>122.99834269523625</v>
      </c>
      <c r="H28" s="4">
        <f t="shared" si="3"/>
        <v>245638555.01000002</v>
      </c>
      <c r="I28" s="140">
        <f t="shared" si="14"/>
        <v>156.67327627546183</v>
      </c>
      <c r="J28" s="141">
        <f t="shared" si="1"/>
        <v>157.55064662260443</v>
      </c>
    </row>
    <row r="29" spans="1:10" x14ac:dyDescent="0.55000000000000004">
      <c r="A29" s="83">
        <v>44558</v>
      </c>
      <c r="B29" s="84" t="s">
        <v>2</v>
      </c>
      <c r="C29" s="84" t="s">
        <v>9</v>
      </c>
      <c r="D29" s="85">
        <v>1.953472971916199</v>
      </c>
      <c r="E29" s="121">
        <v>486024.0625</v>
      </c>
      <c r="F29" s="4">
        <v>490883</v>
      </c>
      <c r="G29" s="4">
        <f t="shared" si="2"/>
        <v>2.0902160799503329</v>
      </c>
      <c r="H29" s="4">
        <f t="shared" si="3"/>
        <v>525244.81000000006</v>
      </c>
      <c r="I29" s="140">
        <f t="shared" si="14"/>
        <v>160.31399742604117</v>
      </c>
      <c r="J29" s="141">
        <f t="shared" si="1"/>
        <v>161.211755811627</v>
      </c>
    </row>
    <row r="30" spans="1:10" x14ac:dyDescent="0.55000000000000004">
      <c r="A30" s="86">
        <v>44559</v>
      </c>
      <c r="B30" s="87" t="s">
        <v>2</v>
      </c>
      <c r="C30" s="87" t="s">
        <v>9</v>
      </c>
      <c r="D30" s="88">
        <v>201.55277526378629</v>
      </c>
      <c r="E30" s="122">
        <v>897518281.9375</v>
      </c>
      <c r="F30" s="4">
        <v>955465140</v>
      </c>
      <c r="G30" s="4">
        <f t="shared" si="2"/>
        <v>215.66146953225135</v>
      </c>
      <c r="H30" s="4">
        <f t="shared" si="3"/>
        <v>1022347699.8000001</v>
      </c>
      <c r="I30" s="140">
        <f t="shared" si="14"/>
        <v>164.88481291927746</v>
      </c>
      <c r="J30" s="141">
        <f t="shared" si="1"/>
        <v>165.80816787162541</v>
      </c>
    </row>
    <row r="31" spans="1:10" x14ac:dyDescent="0.55000000000000004">
      <c r="A31" s="89">
        <v>44560</v>
      </c>
      <c r="B31" s="90" t="s">
        <v>2</v>
      </c>
      <c r="C31" s="90" t="s">
        <v>9</v>
      </c>
      <c r="D31" s="91">
        <v>430.66260528564447</v>
      </c>
      <c r="E31" s="123">
        <v>1285230357</v>
      </c>
      <c r="F31" s="4">
        <v>891416849</v>
      </c>
      <c r="G31" s="4">
        <f t="shared" si="2"/>
        <v>460.80898765563961</v>
      </c>
      <c r="H31" s="4">
        <f t="shared" si="3"/>
        <v>953816028.43000007</v>
      </c>
      <c r="I31" s="140">
        <f t="shared" si="14"/>
        <v>167.23695803520968</v>
      </c>
      <c r="J31" s="141">
        <f t="shared" si="1"/>
        <v>168.17348500020685</v>
      </c>
    </row>
    <row r="32" spans="1:10" x14ac:dyDescent="0.55000000000000004">
      <c r="A32" s="92">
        <v>44561</v>
      </c>
      <c r="B32" s="93" t="s">
        <v>2</v>
      </c>
      <c r="C32" s="93" t="s">
        <v>9</v>
      </c>
      <c r="D32" s="94">
        <v>94.75714635848999</v>
      </c>
      <c r="E32" s="124">
        <v>66710686</v>
      </c>
      <c r="F32" s="4">
        <v>66880530</v>
      </c>
      <c r="G32" s="4">
        <f t="shared" si="2"/>
        <v>101.3901466035843</v>
      </c>
      <c r="H32" s="4">
        <f t="shared" si="3"/>
        <v>71562167.100000009</v>
      </c>
      <c r="I32" s="140">
        <f t="shared" si="14"/>
        <v>167.12140014187025</v>
      </c>
      <c r="J32" s="141">
        <f t="shared" si="1"/>
        <v>168.05727998266474</v>
      </c>
    </row>
    <row r="33" spans="1:10" x14ac:dyDescent="0.55000000000000004">
      <c r="A33" s="5">
        <v>44531</v>
      </c>
      <c r="B33" s="6" t="s">
        <v>7</v>
      </c>
      <c r="C33" s="6" t="s">
        <v>15</v>
      </c>
      <c r="D33" s="7">
        <v>21.952644348144531</v>
      </c>
      <c r="E33" s="95">
        <v>4032918.375</v>
      </c>
      <c r="F33" s="4">
        <v>4612131</v>
      </c>
      <c r="G33" s="4">
        <f t="shared" si="2"/>
        <v>23.489329452514649</v>
      </c>
      <c r="H33" s="4">
        <f t="shared" si="3"/>
        <v>4934980.17</v>
      </c>
      <c r="I33" s="137">
        <v>150</v>
      </c>
      <c r="J33" s="138">
        <f t="shared" ref="J33:J96" si="18">I33*1.0056</f>
        <v>150.84</v>
      </c>
    </row>
    <row r="34" spans="1:10" x14ac:dyDescent="0.55000000000000004">
      <c r="A34" s="8">
        <v>44532</v>
      </c>
      <c r="B34" s="9" t="s">
        <v>7</v>
      </c>
      <c r="C34" s="9" t="s">
        <v>15</v>
      </c>
      <c r="D34" s="10">
        <v>244.50102281570429</v>
      </c>
      <c r="E34" s="96">
        <v>310255279.25</v>
      </c>
      <c r="F34" s="4">
        <v>351490491</v>
      </c>
      <c r="G34" s="4">
        <f t="shared" si="2"/>
        <v>261.61609441280359</v>
      </c>
      <c r="H34" s="4">
        <f t="shared" si="3"/>
        <v>376094825.37</v>
      </c>
      <c r="I34" s="137">
        <v>113</v>
      </c>
      <c r="J34" s="138">
        <f t="shared" si="18"/>
        <v>113.6328</v>
      </c>
    </row>
    <row r="35" spans="1:10" x14ac:dyDescent="0.55000000000000004">
      <c r="A35" s="11">
        <v>44533</v>
      </c>
      <c r="B35" s="12" t="s">
        <v>7</v>
      </c>
      <c r="C35" s="12" t="s">
        <v>15</v>
      </c>
      <c r="D35" s="13">
        <v>29.09744668006897</v>
      </c>
      <c r="E35" s="97">
        <v>5580890.0625</v>
      </c>
      <c r="F35" s="4">
        <v>6339380</v>
      </c>
      <c r="G35" s="4">
        <f t="shared" si="2"/>
        <v>31.134267947673798</v>
      </c>
      <c r="H35" s="4">
        <f t="shared" si="3"/>
        <v>6783136.6000000006</v>
      </c>
      <c r="I35" s="137">
        <v>79</v>
      </c>
      <c r="J35" s="138">
        <f t="shared" si="18"/>
        <v>79.442400000000006</v>
      </c>
    </row>
    <row r="36" spans="1:10" x14ac:dyDescent="0.55000000000000004">
      <c r="A36" s="14">
        <v>44534</v>
      </c>
      <c r="B36" s="15" t="s">
        <v>7</v>
      </c>
      <c r="C36" s="15" t="s">
        <v>15</v>
      </c>
      <c r="D36" s="16">
        <v>19.793291091918949</v>
      </c>
      <c r="E36" s="98">
        <v>55391524</v>
      </c>
      <c r="F36" s="4">
        <v>54941947</v>
      </c>
      <c r="G36" s="4">
        <f t="shared" si="2"/>
        <v>21.178821468353277</v>
      </c>
      <c r="H36" s="4">
        <f t="shared" si="3"/>
        <v>58787883.290000007</v>
      </c>
      <c r="I36" s="137">
        <v>153</v>
      </c>
      <c r="J36" s="138">
        <f t="shared" si="18"/>
        <v>153.85680000000002</v>
      </c>
    </row>
    <row r="37" spans="1:10" x14ac:dyDescent="0.55000000000000004">
      <c r="A37" s="17">
        <v>44535</v>
      </c>
      <c r="B37" s="18" t="s">
        <v>7</v>
      </c>
      <c r="C37" s="18" t="s">
        <v>15</v>
      </c>
      <c r="D37" s="19">
        <v>127.3746271133423</v>
      </c>
      <c r="E37" s="99">
        <v>912653974</v>
      </c>
      <c r="F37" s="4">
        <v>977797884</v>
      </c>
      <c r="G37" s="4">
        <f t="shared" si="2"/>
        <v>136.29085101127626</v>
      </c>
      <c r="H37" s="4">
        <f t="shared" si="3"/>
        <v>1046243735.8800001</v>
      </c>
      <c r="I37" s="137">
        <v>126</v>
      </c>
      <c r="J37" s="138">
        <f t="shared" si="18"/>
        <v>126.7056</v>
      </c>
    </row>
    <row r="38" spans="1:10" x14ac:dyDescent="0.55000000000000004">
      <c r="A38" s="20">
        <v>44536</v>
      </c>
      <c r="B38" s="21" t="s">
        <v>7</v>
      </c>
      <c r="C38" s="21" t="s">
        <v>15</v>
      </c>
      <c r="D38" s="22">
        <v>33.501455307006843</v>
      </c>
      <c r="E38" s="100">
        <v>91296762.375</v>
      </c>
      <c r="F38" s="4">
        <v>84850706</v>
      </c>
      <c r="G38" s="4">
        <f t="shared" si="2"/>
        <v>35.846557178497321</v>
      </c>
      <c r="H38" s="4">
        <f t="shared" si="3"/>
        <v>90790255.420000002</v>
      </c>
      <c r="I38" s="137">
        <v>117</v>
      </c>
      <c r="J38" s="138">
        <f t="shared" si="18"/>
        <v>117.65520000000001</v>
      </c>
    </row>
    <row r="39" spans="1:10" x14ac:dyDescent="0.55000000000000004">
      <c r="A39" s="23">
        <v>44537</v>
      </c>
      <c r="B39" s="24" t="s">
        <v>7</v>
      </c>
      <c r="C39" s="24" t="s">
        <v>15</v>
      </c>
      <c r="D39" s="25">
        <v>38.279990673065193</v>
      </c>
      <c r="E39" s="101">
        <v>11607739</v>
      </c>
      <c r="F39" s="4">
        <v>14983372</v>
      </c>
      <c r="G39" s="4">
        <f t="shared" si="2"/>
        <v>40.95959002017976</v>
      </c>
      <c r="H39" s="4">
        <f t="shared" si="3"/>
        <v>16032208.040000001</v>
      </c>
      <c r="I39" s="137">
        <v>126</v>
      </c>
      <c r="J39" s="138">
        <f t="shared" si="18"/>
        <v>126.7056</v>
      </c>
    </row>
    <row r="40" spans="1:10" x14ac:dyDescent="0.55000000000000004">
      <c r="A40" s="26">
        <v>44538</v>
      </c>
      <c r="B40" s="27" t="s">
        <v>7</v>
      </c>
      <c r="C40" s="27" t="s">
        <v>15</v>
      </c>
      <c r="D40" s="28">
        <v>6.3179888725280762</v>
      </c>
      <c r="E40" s="102">
        <v>38137276</v>
      </c>
      <c r="F40" s="4">
        <v>43637384</v>
      </c>
      <c r="G40" s="4">
        <f t="shared" si="2"/>
        <v>6.7602480936050418</v>
      </c>
      <c r="H40" s="4">
        <f t="shared" si="3"/>
        <v>46692000.880000003</v>
      </c>
      <c r="I40" s="137">
        <v>141</v>
      </c>
      <c r="J40" s="138">
        <f t="shared" si="18"/>
        <v>141.78960000000001</v>
      </c>
    </row>
    <row r="41" spans="1:10" x14ac:dyDescent="0.55000000000000004">
      <c r="A41" s="29">
        <v>44539</v>
      </c>
      <c r="B41" s="30" t="s">
        <v>7</v>
      </c>
      <c r="C41" s="30" t="s">
        <v>15</v>
      </c>
      <c r="D41" s="31">
        <v>503.93571472167969</v>
      </c>
      <c r="E41" s="103">
        <v>2224608416</v>
      </c>
      <c r="F41" s="4">
        <v>2123383164</v>
      </c>
      <c r="G41" s="4">
        <f t="shared" si="2"/>
        <v>539.21121475219729</v>
      </c>
      <c r="H41" s="4">
        <f t="shared" si="3"/>
        <v>2272019985.48</v>
      </c>
      <c r="I41" s="137">
        <v>126</v>
      </c>
      <c r="J41" s="138">
        <f t="shared" si="18"/>
        <v>126.7056</v>
      </c>
    </row>
    <row r="42" spans="1:10" x14ac:dyDescent="0.55000000000000004">
      <c r="A42" s="32">
        <v>44540</v>
      </c>
      <c r="B42" s="33" t="s">
        <v>7</v>
      </c>
      <c r="C42" s="33" t="s">
        <v>15</v>
      </c>
      <c r="D42" s="34">
        <v>232.01766777038571</v>
      </c>
      <c r="E42" s="104">
        <v>537824574.5</v>
      </c>
      <c r="F42" s="4">
        <v>464352045</v>
      </c>
      <c r="G42" s="4">
        <f t="shared" si="2"/>
        <v>248.25890451431272</v>
      </c>
      <c r="H42" s="4">
        <f t="shared" si="3"/>
        <v>496856688.15000004</v>
      </c>
      <c r="I42" s="137">
        <v>145</v>
      </c>
      <c r="J42" s="138">
        <f t="shared" si="18"/>
        <v>145.81200000000001</v>
      </c>
    </row>
    <row r="43" spans="1:10" x14ac:dyDescent="0.55000000000000004">
      <c r="A43" s="35">
        <v>44541</v>
      </c>
      <c r="B43" s="36" t="s">
        <v>7</v>
      </c>
      <c r="C43" s="36" t="s">
        <v>15</v>
      </c>
      <c r="D43" s="37">
        <v>71.654512524604797</v>
      </c>
      <c r="E43" s="105">
        <v>169287597.375</v>
      </c>
      <c r="F43" s="4">
        <v>144741579</v>
      </c>
      <c r="G43" s="4">
        <f t="shared" si="2"/>
        <v>76.67032840132714</v>
      </c>
      <c r="H43" s="4">
        <f t="shared" si="3"/>
        <v>154873489.53</v>
      </c>
      <c r="I43" s="137">
        <v>126</v>
      </c>
      <c r="J43" s="138">
        <f t="shared" si="18"/>
        <v>126.7056</v>
      </c>
    </row>
    <row r="44" spans="1:10" x14ac:dyDescent="0.55000000000000004">
      <c r="A44" s="131">
        <v>44542</v>
      </c>
      <c r="B44" s="132" t="s">
        <v>7</v>
      </c>
      <c r="C44" s="132" t="s">
        <v>15</v>
      </c>
      <c r="D44" s="133">
        <f>_xlfn.FORECAST.LINEAR($A$44,D33:D43,$A$33:$A$43)</f>
        <v>202.96851384418551</v>
      </c>
      <c r="E44" s="142">
        <f t="shared" ref="E44:H44" si="19">_xlfn.FORECAST.LINEAR($A$44,E33:E43,$A$33:$A$43)</f>
        <v>803229454.96582031</v>
      </c>
      <c r="F44" s="142">
        <f t="shared" si="19"/>
        <v>743800980.45458984</v>
      </c>
      <c r="G44" s="133">
        <f t="shared" si="19"/>
        <v>217.17630981339607</v>
      </c>
      <c r="H44" s="142">
        <f t="shared" si="19"/>
        <v>795867049.08642578</v>
      </c>
      <c r="I44" s="139">
        <v>109</v>
      </c>
      <c r="J44" s="138">
        <f t="shared" si="18"/>
        <v>109.6104</v>
      </c>
    </row>
    <row r="45" spans="1:10" x14ac:dyDescent="0.55000000000000004">
      <c r="A45" s="131">
        <v>44543</v>
      </c>
      <c r="B45" s="132" t="s">
        <v>7</v>
      </c>
      <c r="C45" s="132" t="s">
        <v>15</v>
      </c>
      <c r="D45" s="133">
        <f>_xlfn.FORECAST.LINEAR($A$45,D34:D44,$A$34:$A$44)</f>
        <v>209.50443325622473</v>
      </c>
      <c r="E45" s="142">
        <f t="shared" ref="E45:H45" si="20">_xlfn.FORECAST.LINEAR($A$45,E34:E44,$A$34:$A$44)</f>
        <v>858411021.97265625</v>
      </c>
      <c r="F45" s="142">
        <f t="shared" si="20"/>
        <v>782393472.51074219</v>
      </c>
      <c r="G45" s="133">
        <f t="shared" si="20"/>
        <v>224.16974358411971</v>
      </c>
      <c r="H45" s="142">
        <f t="shared" si="20"/>
        <v>837161015.58642578</v>
      </c>
      <c r="I45" s="139">
        <v>123</v>
      </c>
      <c r="J45" s="138">
        <f t="shared" si="18"/>
        <v>123.6888</v>
      </c>
    </row>
    <row r="46" spans="1:10" x14ac:dyDescent="0.55000000000000004">
      <c r="A46" s="41">
        <v>44544</v>
      </c>
      <c r="B46" s="42" t="s">
        <v>7</v>
      </c>
      <c r="C46" s="42" t="s">
        <v>15</v>
      </c>
      <c r="D46" s="43">
        <v>0.99947261810302734</v>
      </c>
      <c r="E46" s="107">
        <v>257963.875</v>
      </c>
      <c r="F46" s="4">
        <v>294126</v>
      </c>
      <c r="G46" s="4">
        <f t="shared" si="2"/>
        <v>1.0694357013702394</v>
      </c>
      <c r="H46" s="4">
        <f t="shared" si="3"/>
        <v>314714.82</v>
      </c>
      <c r="I46" s="137">
        <v>96</v>
      </c>
      <c r="J46" s="138">
        <f t="shared" si="18"/>
        <v>96.537599999999998</v>
      </c>
    </row>
    <row r="47" spans="1:10" x14ac:dyDescent="0.55000000000000004">
      <c r="A47" s="44">
        <v>44545</v>
      </c>
      <c r="B47" s="45" t="s">
        <v>7</v>
      </c>
      <c r="C47" s="45" t="s">
        <v>15</v>
      </c>
      <c r="D47" s="46">
        <v>12.635977745056151</v>
      </c>
      <c r="E47" s="108">
        <v>5002583.5</v>
      </c>
      <c r="F47" s="4">
        <v>4959287</v>
      </c>
      <c r="G47" s="4">
        <f t="shared" si="2"/>
        <v>13.520496187210082</v>
      </c>
      <c r="H47" s="4">
        <f t="shared" si="3"/>
        <v>5306437.09</v>
      </c>
      <c r="I47" s="137">
        <v>90</v>
      </c>
      <c r="J47" s="138">
        <f t="shared" si="18"/>
        <v>90.504000000000005</v>
      </c>
    </row>
    <row r="48" spans="1:10" x14ac:dyDescent="0.55000000000000004">
      <c r="A48" s="47">
        <v>44546</v>
      </c>
      <c r="B48" s="48" t="s">
        <v>7</v>
      </c>
      <c r="C48" s="48" t="s">
        <v>15</v>
      </c>
      <c r="D48" s="49">
        <v>19.119512557983398</v>
      </c>
      <c r="E48" s="109">
        <v>159259808</v>
      </c>
      <c r="F48" s="4">
        <v>61030901</v>
      </c>
      <c r="G48" s="4">
        <f t="shared" si="2"/>
        <v>20.457878437042236</v>
      </c>
      <c r="H48" s="4">
        <f t="shared" si="3"/>
        <v>65303064.07</v>
      </c>
      <c r="I48" s="137">
        <v>89</v>
      </c>
      <c r="J48" s="138">
        <f t="shared" si="18"/>
        <v>89.498400000000004</v>
      </c>
    </row>
    <row r="49" spans="1:10" x14ac:dyDescent="0.55000000000000004">
      <c r="A49" s="50">
        <v>44547</v>
      </c>
      <c r="B49" s="51" t="s">
        <v>7</v>
      </c>
      <c r="C49" s="51" t="s">
        <v>15</v>
      </c>
      <c r="D49" s="52">
        <v>180.47978973388669</v>
      </c>
      <c r="E49" s="110">
        <v>455283456</v>
      </c>
      <c r="F49" s="4">
        <v>512431891</v>
      </c>
      <c r="G49" s="4">
        <f t="shared" si="2"/>
        <v>193.11337501525878</v>
      </c>
      <c r="H49" s="4">
        <f t="shared" si="3"/>
        <v>548302123.37</v>
      </c>
      <c r="I49" s="137">
        <v>91</v>
      </c>
      <c r="J49" s="138">
        <f t="shared" si="18"/>
        <v>91.509600000000006</v>
      </c>
    </row>
    <row r="50" spans="1:10" x14ac:dyDescent="0.55000000000000004">
      <c r="A50" s="53">
        <v>44548</v>
      </c>
      <c r="B50" s="54" t="s">
        <v>7</v>
      </c>
      <c r="C50" s="54" t="s">
        <v>15</v>
      </c>
      <c r="D50" s="55">
        <v>95.279503345489502</v>
      </c>
      <c r="E50" s="111">
        <v>492226611</v>
      </c>
      <c r="F50" s="4">
        <v>585049057</v>
      </c>
      <c r="G50" s="4">
        <f t="shared" si="2"/>
        <v>101.94906857967378</v>
      </c>
      <c r="H50" s="4">
        <f t="shared" si="3"/>
        <v>626002490.99000001</v>
      </c>
      <c r="I50" s="137">
        <v>94</v>
      </c>
      <c r="J50" s="138">
        <f t="shared" si="18"/>
        <v>94.52640000000001</v>
      </c>
    </row>
    <row r="51" spans="1:10" x14ac:dyDescent="0.55000000000000004">
      <c r="A51" s="56">
        <v>44549</v>
      </c>
      <c r="B51" s="57" t="s">
        <v>7</v>
      </c>
      <c r="C51" s="57" t="s">
        <v>15</v>
      </c>
      <c r="D51" s="58">
        <v>480.65370178222662</v>
      </c>
      <c r="E51" s="112">
        <v>149819756</v>
      </c>
      <c r="F51" s="4">
        <v>76931494</v>
      </c>
      <c r="G51" s="4">
        <f t="shared" si="2"/>
        <v>514.29946090698252</v>
      </c>
      <c r="H51" s="4">
        <f t="shared" si="3"/>
        <v>82316698.579999998</v>
      </c>
      <c r="I51" s="137">
        <v>84</v>
      </c>
      <c r="J51" s="138">
        <f t="shared" si="18"/>
        <v>84.470399999999998</v>
      </c>
    </row>
    <row r="52" spans="1:10" x14ac:dyDescent="0.55000000000000004">
      <c r="A52" s="59">
        <v>44550</v>
      </c>
      <c r="B52" s="60" t="s">
        <v>7</v>
      </c>
      <c r="C52" s="60" t="s">
        <v>15</v>
      </c>
      <c r="D52" s="61">
        <v>9.2445993423461914</v>
      </c>
      <c r="E52" s="113">
        <v>40970216</v>
      </c>
      <c r="F52" s="4">
        <v>39464558</v>
      </c>
      <c r="G52" s="4">
        <f t="shared" si="2"/>
        <v>9.8917212963104255</v>
      </c>
      <c r="H52" s="4">
        <f t="shared" si="3"/>
        <v>42227077.060000002</v>
      </c>
      <c r="I52" s="135">
        <f>_xlfn.FORECAST.LINEAR(A52,I33:I51,A33:A51)</f>
        <v>90.36842105264077</v>
      </c>
      <c r="J52" s="141">
        <f t="shared" si="18"/>
        <v>90.874484210535556</v>
      </c>
    </row>
    <row r="53" spans="1:10" x14ac:dyDescent="0.55000000000000004">
      <c r="A53" s="62">
        <v>44551</v>
      </c>
      <c r="B53" s="63" t="s">
        <v>7</v>
      </c>
      <c r="C53" s="63" t="s">
        <v>15</v>
      </c>
      <c r="D53" s="64">
        <v>168.89175224304199</v>
      </c>
      <c r="E53" s="114">
        <v>112287220</v>
      </c>
      <c r="F53" s="4">
        <v>113796557</v>
      </c>
      <c r="G53" s="4">
        <f t="shared" si="2"/>
        <v>180.71417490005493</v>
      </c>
      <c r="H53" s="4">
        <f t="shared" si="3"/>
        <v>121762315.99000001</v>
      </c>
      <c r="I53" s="135">
        <f t="shared" ref="I53:I63" si="21">_xlfn.FORECAST.LINEAR(A53,I34:I52,A34:A52)</f>
        <v>89.603878116351552</v>
      </c>
      <c r="J53" s="141">
        <f t="shared" si="18"/>
        <v>90.105659833803131</v>
      </c>
    </row>
    <row r="54" spans="1:10" x14ac:dyDescent="0.55000000000000004">
      <c r="A54" s="65">
        <v>44552</v>
      </c>
      <c r="B54" s="66" t="s">
        <v>7</v>
      </c>
      <c r="C54" s="66" t="s">
        <v>15</v>
      </c>
      <c r="D54" s="67">
        <v>285.7878098487854</v>
      </c>
      <c r="E54" s="115">
        <v>165079630.84375</v>
      </c>
      <c r="F54" s="4">
        <v>184217691</v>
      </c>
      <c r="G54" s="4">
        <f t="shared" si="2"/>
        <v>305.79295653820037</v>
      </c>
      <c r="H54" s="4">
        <f t="shared" si="3"/>
        <v>197112929.37</v>
      </c>
      <c r="I54" s="135">
        <f t="shared" si="21"/>
        <v>85.180687175001367</v>
      </c>
      <c r="J54" s="141">
        <f t="shared" si="18"/>
        <v>85.65769902318138</v>
      </c>
    </row>
    <row r="55" spans="1:10" x14ac:dyDescent="0.55000000000000004">
      <c r="A55" s="68">
        <v>44553</v>
      </c>
      <c r="B55" s="69" t="s">
        <v>7</v>
      </c>
      <c r="C55" s="69" t="s">
        <v>15</v>
      </c>
      <c r="D55" s="70">
        <v>214.6972846984863</v>
      </c>
      <c r="E55" s="116">
        <v>177946164</v>
      </c>
      <c r="F55" s="4">
        <v>246340483</v>
      </c>
      <c r="G55" s="4">
        <f t="shared" si="2"/>
        <v>229.72609462738035</v>
      </c>
      <c r="H55" s="4">
        <f t="shared" si="3"/>
        <v>263584316.81</v>
      </c>
      <c r="I55" s="135">
        <f t="shared" si="21"/>
        <v>76.061317822895944</v>
      </c>
      <c r="J55" s="141">
        <f t="shared" si="18"/>
        <v>76.487261202704161</v>
      </c>
    </row>
    <row r="56" spans="1:10" x14ac:dyDescent="0.55000000000000004">
      <c r="A56" s="71">
        <v>44554</v>
      </c>
      <c r="B56" s="72" t="s">
        <v>7</v>
      </c>
      <c r="C56" s="72" t="s">
        <v>15</v>
      </c>
      <c r="D56" s="73">
        <v>744.92559051513672</v>
      </c>
      <c r="E56" s="117">
        <v>253494828</v>
      </c>
      <c r="F56" s="4">
        <v>210693771</v>
      </c>
      <c r="G56" s="4">
        <f t="shared" si="2"/>
        <v>797.07038185119632</v>
      </c>
      <c r="H56" s="4">
        <f t="shared" si="3"/>
        <v>225442334.97</v>
      </c>
      <c r="I56" s="135">
        <f t="shared" si="21"/>
        <v>74.001367428718368</v>
      </c>
      <c r="J56" s="141">
        <f t="shared" si="18"/>
        <v>74.415775086319201</v>
      </c>
    </row>
    <row r="57" spans="1:10" x14ac:dyDescent="0.55000000000000004">
      <c r="A57" s="74">
        <v>44555</v>
      </c>
      <c r="B57" s="75" t="s">
        <v>7</v>
      </c>
      <c r="C57" s="75" t="s">
        <v>15</v>
      </c>
      <c r="D57" s="76">
        <v>337.72329521179199</v>
      </c>
      <c r="E57" s="118">
        <v>2299063504</v>
      </c>
      <c r="F57" s="4">
        <v>2540038410</v>
      </c>
      <c r="G57" s="4">
        <f t="shared" si="2"/>
        <v>361.36392587661743</v>
      </c>
      <c r="H57" s="4">
        <f t="shared" si="3"/>
        <v>2717841098.7000003</v>
      </c>
      <c r="I57" s="135">
        <f t="shared" si="21"/>
        <v>69.5417552353465</v>
      </c>
      <c r="J57" s="141">
        <f t="shared" si="18"/>
        <v>69.931189064664437</v>
      </c>
    </row>
    <row r="58" spans="1:10" s="132" customFormat="1" x14ac:dyDescent="0.55000000000000004">
      <c r="A58" s="131">
        <v>44556</v>
      </c>
      <c r="B58" s="132" t="s">
        <v>7</v>
      </c>
      <c r="C58" s="132" t="s">
        <v>15</v>
      </c>
      <c r="D58" s="133">
        <f>(D57+D59)/2</f>
        <v>507.76025342941284</v>
      </c>
      <c r="E58" s="134">
        <f t="shared" ref="E58" si="22">(E57+E59)/2</f>
        <v>1865895417.25</v>
      </c>
      <c r="F58" s="134">
        <f t="shared" ref="F58" si="23">(F57+F59)/2</f>
        <v>1759327999.5</v>
      </c>
      <c r="G58" s="135">
        <f t="shared" si="2"/>
        <v>543.30347116947178</v>
      </c>
      <c r="H58" s="134">
        <f t="shared" ref="H58" si="24">(H57+H59)/2</f>
        <v>1882480959.4650002</v>
      </c>
      <c r="I58" s="135">
        <f t="shared" si="21"/>
        <v>63.950270870933309</v>
      </c>
      <c r="J58" s="141">
        <f t="shared" si="18"/>
        <v>64.308392387810542</v>
      </c>
    </row>
    <row r="59" spans="1:10" x14ac:dyDescent="0.55000000000000004">
      <c r="A59" s="80">
        <v>44557</v>
      </c>
      <c r="B59" s="81" t="s">
        <v>7</v>
      </c>
      <c r="C59" s="81" t="s">
        <v>15</v>
      </c>
      <c r="D59" s="82">
        <v>677.79721164703369</v>
      </c>
      <c r="E59" s="120">
        <v>1432727330.5</v>
      </c>
      <c r="F59" s="4">
        <v>978617589</v>
      </c>
      <c r="G59" s="4">
        <f t="shared" si="2"/>
        <v>725.24301646232607</v>
      </c>
      <c r="H59" s="4">
        <f t="shared" si="3"/>
        <v>1047120820.23</v>
      </c>
      <c r="I59" s="135">
        <f t="shared" si="21"/>
        <v>59.119495846738573</v>
      </c>
      <c r="J59" s="141">
        <f t="shared" si="18"/>
        <v>59.450565023480316</v>
      </c>
    </row>
    <row r="60" spans="1:10" s="132" customFormat="1" x14ac:dyDescent="0.55000000000000004">
      <c r="A60" s="131">
        <v>44558</v>
      </c>
      <c r="B60" s="132" t="s">
        <v>7</v>
      </c>
      <c r="C60" s="132" t="s">
        <v>15</v>
      </c>
      <c r="D60" s="133">
        <f>(D59+D61)/2</f>
        <v>352.10041105747223</v>
      </c>
      <c r="E60" s="134">
        <f t="shared" ref="E60" si="25">(E59+E61)/2</f>
        <v>718973478.5</v>
      </c>
      <c r="F60" s="134">
        <f t="shared" ref="F60" si="26">(F59+F61)/2</f>
        <v>491552955</v>
      </c>
      <c r="G60" s="135">
        <f t="shared" si="2"/>
        <v>376.74743983149529</v>
      </c>
      <c r="H60" s="134">
        <f t="shared" ref="H60" si="27">(H59+H61)/2</f>
        <v>525961661.85000002</v>
      </c>
      <c r="I60" s="135">
        <f t="shared" si="21"/>
        <v>56.202412556536729</v>
      </c>
      <c r="J60" s="141">
        <f t="shared" si="18"/>
        <v>56.517146066853336</v>
      </c>
    </row>
    <row r="61" spans="1:10" x14ac:dyDescent="0.55000000000000004">
      <c r="A61" s="86">
        <v>44559</v>
      </c>
      <c r="B61" s="87" t="s">
        <v>7</v>
      </c>
      <c r="C61" s="87" t="s">
        <v>15</v>
      </c>
      <c r="D61" s="88">
        <v>26.40361046791077</v>
      </c>
      <c r="E61" s="122">
        <v>5219626.5</v>
      </c>
      <c r="F61" s="4">
        <v>4488321</v>
      </c>
      <c r="G61" s="4">
        <f t="shared" si="2"/>
        <v>28.251863200664527</v>
      </c>
      <c r="H61" s="4">
        <f t="shared" si="3"/>
        <v>4802503.4700000007</v>
      </c>
      <c r="I61" s="135">
        <f t="shared" si="21"/>
        <v>52.265601278108079</v>
      </c>
      <c r="J61" s="141">
        <f t="shared" si="18"/>
        <v>52.558288645265485</v>
      </c>
    </row>
    <row r="62" spans="1:10" x14ac:dyDescent="0.55000000000000004">
      <c r="A62" s="89">
        <v>44560</v>
      </c>
      <c r="B62" s="90" t="s">
        <v>7</v>
      </c>
      <c r="C62" s="90" t="s">
        <v>15</v>
      </c>
      <c r="D62" s="91">
        <v>400.87734985351563</v>
      </c>
      <c r="E62" s="123">
        <v>231852656</v>
      </c>
      <c r="F62" s="4">
        <v>321351689</v>
      </c>
      <c r="G62" s="4">
        <f t="shared" si="2"/>
        <v>428.93876434326177</v>
      </c>
      <c r="H62" s="4">
        <f t="shared" si="3"/>
        <v>343846307.23000002</v>
      </c>
      <c r="I62" s="135">
        <f t="shared" si="21"/>
        <v>51.057840036548441</v>
      </c>
      <c r="J62" s="141">
        <f t="shared" si="18"/>
        <v>51.343763940753114</v>
      </c>
    </row>
    <row r="63" spans="1:10" x14ac:dyDescent="0.55000000000000004">
      <c r="A63" s="92">
        <v>44561</v>
      </c>
      <c r="B63" s="93" t="s">
        <v>7</v>
      </c>
      <c r="C63" s="93" t="s">
        <v>15</v>
      </c>
      <c r="D63" s="94">
        <v>6.7479572296142578</v>
      </c>
      <c r="E63" s="124">
        <v>1294258.25</v>
      </c>
      <c r="F63" s="4">
        <v>763858</v>
      </c>
      <c r="G63" s="4">
        <f t="shared" si="2"/>
        <v>7.2203142356872565</v>
      </c>
      <c r="H63" s="4">
        <f t="shared" si="3"/>
        <v>817328.06</v>
      </c>
      <c r="I63" s="135">
        <f t="shared" si="21"/>
        <v>48.889399212959688</v>
      </c>
      <c r="J63" s="141">
        <f t="shared" si="18"/>
        <v>49.163179848552268</v>
      </c>
    </row>
    <row r="64" spans="1:10" x14ac:dyDescent="0.55000000000000004">
      <c r="A64" s="131">
        <v>44531</v>
      </c>
      <c r="B64" s="132" t="s">
        <v>6</v>
      </c>
      <c r="C64" s="132" t="s">
        <v>13</v>
      </c>
      <c r="D64" s="133">
        <f>_xlfn.FORECAST.LINEAR($A$64,D65:D94,$A$65:$A$94)</f>
        <v>17.40970218583243</v>
      </c>
      <c r="E64" s="135">
        <v>6190099</v>
      </c>
      <c r="F64" s="142">
        <f t="shared" ref="F64:H64" si="28">_xlfn.FORECAST.LINEAR($A$64,F65:F94,$A$65:$A$94)</f>
        <v>29494864.829345703</v>
      </c>
      <c r="G64" s="133">
        <f t="shared" si="28"/>
        <v>18.76605949975783</v>
      </c>
      <c r="H64" s="142">
        <f t="shared" si="28"/>
        <v>31559505.250610352</v>
      </c>
      <c r="I64" s="139">
        <v>76</v>
      </c>
      <c r="J64" s="138">
        <f t="shared" si="18"/>
        <v>76.425600000000003</v>
      </c>
    </row>
    <row r="65" spans="1:14" x14ac:dyDescent="0.55000000000000004">
      <c r="A65" s="8">
        <v>44532</v>
      </c>
      <c r="B65" s="9" t="s">
        <v>6</v>
      </c>
      <c r="C65" s="9" t="s">
        <v>13</v>
      </c>
      <c r="D65" s="10">
        <v>267.78076648712158</v>
      </c>
      <c r="E65" s="96">
        <v>1131169969.25</v>
      </c>
      <c r="F65" s="4">
        <v>1195263956</v>
      </c>
      <c r="G65" s="4">
        <f t="shared" si="2"/>
        <v>286.52542014122008</v>
      </c>
      <c r="H65" s="4">
        <f t="shared" si="3"/>
        <v>1278932432.9200001</v>
      </c>
      <c r="I65" s="137">
        <v>64</v>
      </c>
      <c r="J65" s="138">
        <f t="shared" si="18"/>
        <v>64.358400000000003</v>
      </c>
    </row>
    <row r="66" spans="1:14" x14ac:dyDescent="0.55000000000000004">
      <c r="A66" s="131">
        <v>44533</v>
      </c>
      <c r="B66" s="132" t="s">
        <v>6</v>
      </c>
      <c r="C66" s="132" t="s">
        <v>13</v>
      </c>
      <c r="D66" s="133">
        <f>MAX(12,_xlfn.FORECAST.LINEAR($A$66,D67:D92,$A$67:$A$92))</f>
        <v>12</v>
      </c>
      <c r="E66" s="135">
        <v>270094467</v>
      </c>
      <c r="F66" s="135">
        <v>228717248</v>
      </c>
      <c r="G66" s="133">
        <f>MAX(13,_xlfn.FORECAST.LINEAR($A$66,G67:G92,$A$67:$A$92))</f>
        <v>13</v>
      </c>
      <c r="H66" s="135">
        <v>244727455</v>
      </c>
      <c r="I66" s="139">
        <v>56</v>
      </c>
      <c r="J66" s="138">
        <f t="shared" si="18"/>
        <v>56.313600000000001</v>
      </c>
      <c r="N66" s="3"/>
    </row>
    <row r="67" spans="1:14" x14ac:dyDescent="0.55000000000000004">
      <c r="A67" s="131">
        <v>44534</v>
      </c>
      <c r="B67" s="132" t="s">
        <v>6</v>
      </c>
      <c r="C67" s="132" t="s">
        <v>13</v>
      </c>
      <c r="D67" s="133">
        <f>MAX(9,_xlfn.FORECAST.LINEAR($A$67,D68:D93,$A$68:$A$93))</f>
        <v>9</v>
      </c>
      <c r="E67" s="135">
        <v>229344926</v>
      </c>
      <c r="F67" s="135">
        <v>197115835</v>
      </c>
      <c r="G67" s="133">
        <f>MAX(10,_xlfn.FORECAST.LINEAR($A$67,G68:G93,$A$68:$A$93))</f>
        <v>10</v>
      </c>
      <c r="H67" s="135">
        <v>210913943</v>
      </c>
      <c r="I67" s="139">
        <v>55</v>
      </c>
      <c r="J67" s="138">
        <f t="shared" si="18"/>
        <v>55.308</v>
      </c>
      <c r="N67" s="3"/>
    </row>
    <row r="68" spans="1:14" x14ac:dyDescent="0.55000000000000004">
      <c r="A68" s="131">
        <v>44535</v>
      </c>
      <c r="B68" s="132" t="s">
        <v>6</v>
      </c>
      <c r="C68" s="132" t="s">
        <v>13</v>
      </c>
      <c r="D68" s="133">
        <f>MAX(5,_xlfn.FORECAST.LINEAR($A$68,D69:D94,$A$69:$A$94))</f>
        <v>5</v>
      </c>
      <c r="E68" s="135">
        <v>185263226</v>
      </c>
      <c r="F68" s="135">
        <v>163239386</v>
      </c>
      <c r="G68" s="133">
        <f>MAX(6,_xlfn.FORECAST.LINEAR($A$68,G69:G94,$A$69:$A$94))</f>
        <v>6</v>
      </c>
      <c r="H68" s="135">
        <v>174666143</v>
      </c>
      <c r="I68" s="139">
        <v>93</v>
      </c>
      <c r="J68" s="138">
        <f t="shared" si="18"/>
        <v>93.520800000000008</v>
      </c>
      <c r="N68" s="3"/>
    </row>
    <row r="69" spans="1:14" x14ac:dyDescent="0.55000000000000004">
      <c r="A69" s="20">
        <v>44536</v>
      </c>
      <c r="B69" s="21" t="s">
        <v>6</v>
      </c>
      <c r="C69" s="21" t="s">
        <v>13</v>
      </c>
      <c r="D69" s="22">
        <v>1.953472971916199</v>
      </c>
      <c r="E69" s="100">
        <v>6501939.5</v>
      </c>
      <c r="F69" s="4">
        <v>6046704</v>
      </c>
      <c r="G69" s="4">
        <f t="shared" ref="G69:G129" si="29">D69*1.07</f>
        <v>2.0902160799503329</v>
      </c>
      <c r="H69" s="4">
        <f t="shared" si="3"/>
        <v>6469973.2800000003</v>
      </c>
      <c r="I69" s="137">
        <v>114</v>
      </c>
      <c r="J69" s="138">
        <f t="shared" si="18"/>
        <v>114.6384</v>
      </c>
    </row>
    <row r="70" spans="1:14" s="132" customFormat="1" x14ac:dyDescent="0.55000000000000004">
      <c r="A70" s="131">
        <v>44537</v>
      </c>
      <c r="B70" s="132" t="s">
        <v>6</v>
      </c>
      <c r="C70" s="132" t="s">
        <v>13</v>
      </c>
      <c r="D70" s="133">
        <f>(D69+D71)/2</f>
        <v>16.412105023860931</v>
      </c>
      <c r="E70" s="134">
        <f t="shared" ref="E70" si="30">(E69+E71)/2</f>
        <v>64385833.75</v>
      </c>
      <c r="F70" s="134">
        <f t="shared" ref="F70" si="31">(F69+F71)/2</f>
        <v>45209670</v>
      </c>
      <c r="G70" s="135">
        <f t="shared" si="29"/>
        <v>17.560952375531198</v>
      </c>
      <c r="H70" s="134">
        <f t="shared" ref="H70" si="32">(H69+H71)/2</f>
        <v>48374346.900000006</v>
      </c>
      <c r="I70" s="139">
        <v>123</v>
      </c>
      <c r="J70" s="138">
        <f t="shared" si="18"/>
        <v>123.6888</v>
      </c>
    </row>
    <row r="71" spans="1:14" x14ac:dyDescent="0.55000000000000004">
      <c r="A71" s="26">
        <v>44538</v>
      </c>
      <c r="B71" s="27" t="s">
        <v>6</v>
      </c>
      <c r="C71" s="27" t="s">
        <v>13</v>
      </c>
      <c r="D71" s="28">
        <v>30.870737075805661</v>
      </c>
      <c r="E71" s="102">
        <v>122269728</v>
      </c>
      <c r="F71" s="4">
        <v>84372636</v>
      </c>
      <c r="G71" s="4">
        <f t="shared" si="29"/>
        <v>33.031688671112057</v>
      </c>
      <c r="H71" s="4">
        <f t="shared" si="3"/>
        <v>90278720.520000011</v>
      </c>
      <c r="I71" s="137">
        <v>103</v>
      </c>
      <c r="J71" s="138">
        <f t="shared" si="18"/>
        <v>103.57680000000001</v>
      </c>
    </row>
    <row r="72" spans="1:14" s="132" customFormat="1" x14ac:dyDescent="0.55000000000000004">
      <c r="A72" s="131">
        <v>44539</v>
      </c>
      <c r="B72" s="132" t="s">
        <v>6</v>
      </c>
      <c r="C72" s="132" t="s">
        <v>13</v>
      </c>
      <c r="D72" s="133">
        <f>(D71+D73)/2</f>
        <v>38.074131965637207</v>
      </c>
      <c r="E72" s="134">
        <f t="shared" ref="E72" si="33">(E71+E73)/2</f>
        <v>68632822.5</v>
      </c>
      <c r="F72" s="134">
        <f t="shared" ref="F72" si="34">(F71+F73)/2</f>
        <v>46036443.5</v>
      </c>
      <c r="G72" s="135">
        <f t="shared" si="29"/>
        <v>40.73932120323181</v>
      </c>
      <c r="H72" s="134">
        <f t="shared" ref="H72" si="35">(H71+H73)/2</f>
        <v>49258994.545000002</v>
      </c>
      <c r="I72" s="139">
        <v>95</v>
      </c>
      <c r="J72" s="138">
        <f t="shared" si="18"/>
        <v>95.532000000000011</v>
      </c>
    </row>
    <row r="73" spans="1:14" x14ac:dyDescent="0.55000000000000004">
      <c r="A73" s="32">
        <v>44540</v>
      </c>
      <c r="B73" s="33" t="s">
        <v>6</v>
      </c>
      <c r="C73" s="33" t="s">
        <v>13</v>
      </c>
      <c r="D73" s="34">
        <v>45.27752685546875</v>
      </c>
      <c r="E73" s="104">
        <v>14995917</v>
      </c>
      <c r="F73" s="4">
        <v>7700251</v>
      </c>
      <c r="G73" s="4">
        <f t="shared" si="29"/>
        <v>48.446953735351563</v>
      </c>
      <c r="H73" s="4">
        <f t="shared" si="3"/>
        <v>8239268.5700000003</v>
      </c>
      <c r="I73" s="137">
        <v>101</v>
      </c>
      <c r="J73" s="138">
        <f t="shared" si="18"/>
        <v>101.5656</v>
      </c>
    </row>
    <row r="74" spans="1:14" x14ac:dyDescent="0.55000000000000004">
      <c r="A74" s="131">
        <v>44541</v>
      </c>
      <c r="B74" s="132" t="s">
        <v>6</v>
      </c>
      <c r="C74" s="132" t="s">
        <v>13</v>
      </c>
      <c r="D74" s="133">
        <f>_xlfn.FORECAST.LINEAR($A$74,D69:D73,$A$69:$A$73)</f>
        <v>59.010635191225447</v>
      </c>
      <c r="E74" s="142">
        <f t="shared" ref="E74:H74" si="36">_xlfn.FORECAST.LINEAR($A$74,E69:E73,$A$69:$A$73)</f>
        <v>61727731.274993896</v>
      </c>
      <c r="F74" s="142">
        <f t="shared" si="36"/>
        <v>39113301.150001526</v>
      </c>
      <c r="G74" s="133">
        <f t="shared" si="36"/>
        <v>63.141379654582124</v>
      </c>
      <c r="H74" s="142">
        <f t="shared" si="36"/>
        <v>41851232.230499268</v>
      </c>
      <c r="I74" s="139">
        <v>117</v>
      </c>
      <c r="J74" s="138">
        <f t="shared" si="18"/>
        <v>117.65520000000001</v>
      </c>
    </row>
    <row r="75" spans="1:14" x14ac:dyDescent="0.55000000000000004">
      <c r="A75" s="131">
        <v>44542</v>
      </c>
      <c r="B75" s="132" t="s">
        <v>6</v>
      </c>
      <c r="C75" s="132" t="s">
        <v>13</v>
      </c>
      <c r="D75" s="133">
        <f>_xlfn.FORECAST.LINEAR($A$75,D70:D74,$A$70:$A$74)</f>
        <v>67.81018225668231</v>
      </c>
      <c r="E75" s="142">
        <f t="shared" ref="E75:H75" si="37">_xlfn.FORECAST.LINEAR($A$75,E70:E74,$A$70:$A$74)</f>
        <v>32625401.720031738</v>
      </c>
      <c r="F75" s="142">
        <f t="shared" si="37"/>
        <v>17826923.520019531</v>
      </c>
      <c r="G75" s="133">
        <f t="shared" si="37"/>
        <v>72.556895014655311</v>
      </c>
      <c r="H75" s="142">
        <f t="shared" si="37"/>
        <v>19074808.166442871</v>
      </c>
      <c r="I75" s="139">
        <v>77</v>
      </c>
      <c r="J75" s="138">
        <f t="shared" si="18"/>
        <v>77.431200000000004</v>
      </c>
    </row>
    <row r="76" spans="1:14" x14ac:dyDescent="0.55000000000000004">
      <c r="A76" s="38">
        <v>44543</v>
      </c>
      <c r="B76" s="39" t="s">
        <v>6</v>
      </c>
      <c r="C76" s="39" t="s">
        <v>13</v>
      </c>
      <c r="D76" s="40">
        <v>2.81670069694519</v>
      </c>
      <c r="E76" s="106">
        <v>735722.25</v>
      </c>
      <c r="F76" s="4">
        <v>704362</v>
      </c>
      <c r="G76" s="4">
        <f t="shared" si="29"/>
        <v>3.0138697457313532</v>
      </c>
      <c r="H76" s="4">
        <f t="shared" si="3"/>
        <v>753667.34000000008</v>
      </c>
      <c r="I76" s="137">
        <v>81</v>
      </c>
      <c r="J76" s="138">
        <f t="shared" si="18"/>
        <v>81.453600000000009</v>
      </c>
    </row>
    <row r="77" spans="1:14" x14ac:dyDescent="0.55000000000000004">
      <c r="A77" s="1">
        <v>44544</v>
      </c>
      <c r="B77" t="s">
        <v>6</v>
      </c>
      <c r="C77" t="s">
        <v>13</v>
      </c>
      <c r="D77" s="2">
        <f>_xlfn.FORECAST.LINEAR($A$77,D69:D76,$A$69:$A$76)</f>
        <v>51.77761879801983</v>
      </c>
      <c r="E77" s="146">
        <f t="shared" ref="E77:H77" si="38">_xlfn.FORECAST.LINEAR($A$77,E69:E76,$A$69:$A$76)</f>
        <v>23211427.540008545</v>
      </c>
      <c r="F77" s="146">
        <f t="shared" si="38"/>
        <v>12210697.640014648</v>
      </c>
      <c r="G77" s="2">
        <f t="shared" si="38"/>
        <v>55.402052113873651</v>
      </c>
      <c r="H77" s="146">
        <f t="shared" si="38"/>
        <v>13065446.474822998</v>
      </c>
      <c r="I77" s="139">
        <v>81</v>
      </c>
      <c r="J77" s="138">
        <f t="shared" si="18"/>
        <v>81.453600000000009</v>
      </c>
    </row>
    <row r="78" spans="1:14" x14ac:dyDescent="0.55000000000000004">
      <c r="A78" s="1">
        <v>44545</v>
      </c>
      <c r="B78" t="s">
        <v>6</v>
      </c>
      <c r="C78" t="s">
        <v>13</v>
      </c>
      <c r="D78" s="2">
        <f>_xlfn.FORECAST.LINEAR($A$78,D70:D77,$A$70:$A$77)</f>
        <v>50.268508682973334</v>
      </c>
      <c r="E78" s="4">
        <v>2704498</v>
      </c>
      <c r="F78" s="4">
        <v>5989805</v>
      </c>
      <c r="G78" s="2">
        <f t="shared" ref="G78" si="39">_xlfn.FORECAST.LINEAR($A$78,G70:G77,$A$70:$A$77)</f>
        <v>53.787304290774046</v>
      </c>
      <c r="H78" s="4">
        <v>6409091</v>
      </c>
      <c r="I78" s="139">
        <v>72</v>
      </c>
      <c r="J78" s="138">
        <f t="shared" si="18"/>
        <v>72.403199999999998</v>
      </c>
    </row>
    <row r="79" spans="1:14" x14ac:dyDescent="0.55000000000000004">
      <c r="A79" s="47">
        <v>44546</v>
      </c>
      <c r="B79" s="48" t="s">
        <v>6</v>
      </c>
      <c r="C79" s="48" t="s">
        <v>13</v>
      </c>
      <c r="D79" s="49">
        <v>12.41835880279541</v>
      </c>
      <c r="E79" s="109">
        <v>61854604</v>
      </c>
      <c r="F79" s="4">
        <v>59539219</v>
      </c>
      <c r="G79" s="4">
        <f t="shared" si="29"/>
        <v>13.28764391899109</v>
      </c>
      <c r="H79" s="4">
        <f t="shared" si="3"/>
        <v>63706964.330000006</v>
      </c>
      <c r="I79" s="137">
        <v>64</v>
      </c>
      <c r="J79" s="138">
        <f t="shared" si="18"/>
        <v>64.358400000000003</v>
      </c>
    </row>
    <row r="80" spans="1:14" x14ac:dyDescent="0.55000000000000004">
      <c r="A80" s="131">
        <v>44547</v>
      </c>
      <c r="B80" s="132" t="s">
        <v>6</v>
      </c>
      <c r="C80" s="132" t="s">
        <v>13</v>
      </c>
      <c r="D80" s="133">
        <f>(D79+D81)/2</f>
        <v>11.505851268768311</v>
      </c>
      <c r="E80" s="134">
        <f t="shared" ref="E80" si="40">(E79+E81)/2</f>
        <v>31955386</v>
      </c>
      <c r="F80" s="134">
        <f t="shared" ref="F80" si="41">(F79+F81)/2</f>
        <v>30924762.5</v>
      </c>
      <c r="G80" s="135">
        <f t="shared" si="29"/>
        <v>12.311260857582093</v>
      </c>
      <c r="H80" s="134">
        <f t="shared" ref="H80" si="42">(H79+H81)/2</f>
        <v>33089495.875000004</v>
      </c>
      <c r="I80" s="139">
        <v>80</v>
      </c>
      <c r="J80" s="138">
        <f t="shared" si="18"/>
        <v>80.448000000000008</v>
      </c>
    </row>
    <row r="81" spans="1:10" x14ac:dyDescent="0.55000000000000004">
      <c r="A81" s="53">
        <v>44548</v>
      </c>
      <c r="B81" s="54" t="s">
        <v>6</v>
      </c>
      <c r="C81" s="54" t="s">
        <v>13</v>
      </c>
      <c r="D81" s="55">
        <v>10.593343734741209</v>
      </c>
      <c r="E81" s="111">
        <v>2056168</v>
      </c>
      <c r="F81" s="4">
        <v>2310306</v>
      </c>
      <c r="G81" s="4">
        <f t="shared" si="29"/>
        <v>11.334877796173094</v>
      </c>
      <c r="H81" s="4">
        <f t="shared" si="3"/>
        <v>2472027.42</v>
      </c>
      <c r="I81" s="137">
        <v>88</v>
      </c>
      <c r="J81" s="138">
        <f t="shared" si="18"/>
        <v>88.492800000000003</v>
      </c>
    </row>
    <row r="82" spans="1:10" x14ac:dyDescent="0.55000000000000004">
      <c r="A82" s="56">
        <v>44549</v>
      </c>
      <c r="B82" s="57" t="s">
        <v>6</v>
      </c>
      <c r="C82" s="57" t="s">
        <v>13</v>
      </c>
      <c r="D82" s="58">
        <v>11.9759578704834</v>
      </c>
      <c r="E82" s="112">
        <v>257812432</v>
      </c>
      <c r="F82" s="4">
        <v>167664229</v>
      </c>
      <c r="G82" s="4">
        <f t="shared" si="29"/>
        <v>12.814274921417239</v>
      </c>
      <c r="H82" s="4">
        <f t="shared" si="3"/>
        <v>179400725.03</v>
      </c>
      <c r="I82" s="137">
        <v>85</v>
      </c>
      <c r="J82" s="138">
        <f t="shared" si="18"/>
        <v>85.475999999999999</v>
      </c>
    </row>
    <row r="83" spans="1:10" x14ac:dyDescent="0.55000000000000004">
      <c r="A83" s="59">
        <v>44550</v>
      </c>
      <c r="B83" s="60" t="s">
        <v>6</v>
      </c>
      <c r="C83" s="60" t="s">
        <v>13</v>
      </c>
      <c r="D83" s="61">
        <v>234.1614990234375</v>
      </c>
      <c r="E83" s="113">
        <v>45942488</v>
      </c>
      <c r="F83" s="4">
        <v>48419416</v>
      </c>
      <c r="G83" s="4">
        <f t="shared" si="29"/>
        <v>250.55280395507813</v>
      </c>
      <c r="H83" s="4">
        <f t="shared" si="3"/>
        <v>51808775.120000005</v>
      </c>
      <c r="I83" s="135">
        <f>_xlfn.FORECAST.LINEAR(A83,I64:I82,A64:A82)</f>
        <v>87.315789473684163</v>
      </c>
      <c r="J83" s="141">
        <f t="shared" si="18"/>
        <v>87.804757894736795</v>
      </c>
    </row>
    <row r="84" spans="1:10" x14ac:dyDescent="0.55000000000000004">
      <c r="A84" s="62">
        <v>44551</v>
      </c>
      <c r="B84" s="63" t="s">
        <v>6</v>
      </c>
      <c r="C84" s="63" t="s">
        <v>13</v>
      </c>
      <c r="D84" s="64">
        <v>70.595123291015625</v>
      </c>
      <c r="E84" s="114">
        <v>1347999744</v>
      </c>
      <c r="F84" s="4">
        <v>985503571</v>
      </c>
      <c r="G84" s="4">
        <f t="shared" si="29"/>
        <v>75.536781921386719</v>
      </c>
      <c r="H84" s="4">
        <f t="shared" si="3"/>
        <v>1054488820.97</v>
      </c>
      <c r="I84" s="135">
        <f t="shared" ref="I84:I94" si="43">_xlfn.FORECAST.LINEAR(A84,I65:I83,A65:A83)</f>
        <v>86.522622345336913</v>
      </c>
      <c r="J84" s="141">
        <f t="shared" si="18"/>
        <v>87.007149030470799</v>
      </c>
    </row>
    <row r="85" spans="1:10" x14ac:dyDescent="0.55000000000000004">
      <c r="A85" s="65">
        <v>44552</v>
      </c>
      <c r="B85" s="66" t="s">
        <v>6</v>
      </c>
      <c r="C85" s="66" t="s">
        <v>13</v>
      </c>
      <c r="D85" s="67">
        <v>1.8994970321655269</v>
      </c>
      <c r="E85" s="115">
        <v>354826.03125</v>
      </c>
      <c r="F85" s="4">
        <v>414686</v>
      </c>
      <c r="G85" s="4">
        <f t="shared" si="29"/>
        <v>2.0324618244171138</v>
      </c>
      <c r="H85" s="4">
        <f t="shared" si="3"/>
        <v>443714.02</v>
      </c>
      <c r="I85" s="135">
        <f t="shared" si="43"/>
        <v>83.890265830781573</v>
      </c>
      <c r="J85" s="141">
        <f t="shared" si="18"/>
        <v>84.36005131943395</v>
      </c>
    </row>
    <row r="86" spans="1:10" x14ac:dyDescent="0.55000000000000004">
      <c r="A86" s="68">
        <v>44553</v>
      </c>
      <c r="B86" s="69" t="s">
        <v>6</v>
      </c>
      <c r="C86" s="69" t="s">
        <v>13</v>
      </c>
      <c r="D86" s="70">
        <v>195.0820617675781</v>
      </c>
      <c r="E86" s="116">
        <v>2957502464</v>
      </c>
      <c r="F86" s="4">
        <v>2195250918</v>
      </c>
      <c r="G86" s="4">
        <f t="shared" si="29"/>
        <v>208.73780609130858</v>
      </c>
      <c r="H86" s="4">
        <f t="shared" si="3"/>
        <v>2348918482.2600002</v>
      </c>
      <c r="I86" s="135">
        <f t="shared" si="43"/>
        <v>79.326139131670061</v>
      </c>
      <c r="J86" s="141">
        <f t="shared" si="18"/>
        <v>79.770365510807423</v>
      </c>
    </row>
    <row r="87" spans="1:10" x14ac:dyDescent="0.55000000000000004">
      <c r="A87" s="71">
        <v>44554</v>
      </c>
      <c r="B87" s="72" t="s">
        <v>6</v>
      </c>
      <c r="C87" s="72" t="s">
        <v>13</v>
      </c>
      <c r="D87" s="73">
        <v>40.865329742431641</v>
      </c>
      <c r="E87" s="117">
        <v>8017777.5</v>
      </c>
      <c r="F87" s="4">
        <v>8190803</v>
      </c>
      <c r="G87" s="4">
        <f t="shared" si="29"/>
        <v>43.725902824401857</v>
      </c>
      <c r="H87" s="4">
        <f t="shared" si="3"/>
        <v>8764159.2100000009</v>
      </c>
      <c r="I87" s="135">
        <f t="shared" si="43"/>
        <v>73.189033726928756</v>
      </c>
      <c r="J87" s="141">
        <f t="shared" si="18"/>
        <v>73.59889231579956</v>
      </c>
    </row>
    <row r="88" spans="1:10" s="132" customFormat="1" x14ac:dyDescent="0.55000000000000004">
      <c r="A88" s="131">
        <v>44555</v>
      </c>
      <c r="B88" s="132" t="s">
        <v>6</v>
      </c>
      <c r="C88" s="132" t="s">
        <v>13</v>
      </c>
      <c r="D88" s="133">
        <f>_xlfn.FORECAST.LINEAR($A$88,D79:D87,$A$79:$A$87)</f>
        <v>124.26755699847126</v>
      </c>
      <c r="E88" s="142">
        <f t="shared" ref="E88:H88" si="44">_xlfn.FORECAST.LINEAR($A$88,E79:E87,$A$79:$A$87)</f>
        <v>1327728311.8427734</v>
      </c>
      <c r="F88" s="142">
        <f t="shared" si="44"/>
        <v>980493620.98632813</v>
      </c>
      <c r="G88" s="133">
        <f t="shared" si="44"/>
        <v>132.96628598833922</v>
      </c>
      <c r="H88" s="142">
        <f t="shared" si="44"/>
        <v>1049128174.4560547</v>
      </c>
      <c r="I88" s="135">
        <f t="shared" si="43"/>
        <v>69.99979842765606</v>
      </c>
      <c r="J88" s="141">
        <f t="shared" si="18"/>
        <v>70.391797298850932</v>
      </c>
    </row>
    <row r="89" spans="1:10" s="132" customFormat="1" x14ac:dyDescent="0.55000000000000004">
      <c r="A89" s="131">
        <v>44556</v>
      </c>
      <c r="B89" s="132" t="s">
        <v>6</v>
      </c>
      <c r="C89" s="132" t="s">
        <v>13</v>
      </c>
      <c r="D89" s="133">
        <f>_xlfn.FORECAST.LINEAR($A$89,D80:D88,$A$80:$A$88)</f>
        <v>134.20066230971133</v>
      </c>
      <c r="E89" s="142">
        <f t="shared" ref="E89:H89" si="45">_xlfn.FORECAST.LINEAR($A$89,E80:E88,$A$80:$A$88)</f>
        <v>1543938477.5332031</v>
      </c>
      <c r="F89" s="142">
        <f t="shared" si="45"/>
        <v>1142942943.578125</v>
      </c>
      <c r="G89" s="133">
        <f t="shared" si="45"/>
        <v>143.59470867132768</v>
      </c>
      <c r="H89" s="142">
        <f t="shared" si="45"/>
        <v>1222948949.6279297</v>
      </c>
      <c r="I89" s="135">
        <f t="shared" si="43"/>
        <v>69.065653350888169</v>
      </c>
      <c r="J89" s="141">
        <f t="shared" si="18"/>
        <v>69.45242100965315</v>
      </c>
    </row>
    <row r="90" spans="1:10" x14ac:dyDescent="0.55000000000000004">
      <c r="A90" s="80">
        <v>44557</v>
      </c>
      <c r="B90" s="81" t="s">
        <v>6</v>
      </c>
      <c r="C90" s="81" t="s">
        <v>13</v>
      </c>
      <c r="D90" s="82">
        <v>40.668262481689453</v>
      </c>
      <c r="E90" s="120">
        <v>958099520</v>
      </c>
      <c r="F90" s="4">
        <v>1003774535</v>
      </c>
      <c r="G90" s="4">
        <f t="shared" si="29"/>
        <v>43.515040855407719</v>
      </c>
      <c r="H90" s="4">
        <f t="shared" si="3"/>
        <v>1074038752.45</v>
      </c>
      <c r="I90" s="135">
        <f t="shared" si="43"/>
        <v>69.812042671488598</v>
      </c>
      <c r="J90" s="141">
        <f t="shared" si="18"/>
        <v>70.202990110448937</v>
      </c>
    </row>
    <row r="91" spans="1:10" x14ac:dyDescent="0.55000000000000004">
      <c r="A91" s="83">
        <v>44558</v>
      </c>
      <c r="B91" s="84" t="s">
        <v>6</v>
      </c>
      <c r="C91" s="84" t="s">
        <v>13</v>
      </c>
      <c r="D91" s="85">
        <v>44.437107086181641</v>
      </c>
      <c r="E91" s="121">
        <v>8563031</v>
      </c>
      <c r="F91" s="4">
        <v>9359900</v>
      </c>
      <c r="G91" s="4">
        <f t="shared" si="29"/>
        <v>47.547704582214358</v>
      </c>
      <c r="H91" s="4">
        <f t="shared" si="3"/>
        <v>10015093</v>
      </c>
      <c r="I91" s="135">
        <f t="shared" si="43"/>
        <v>69.205642842905945</v>
      </c>
      <c r="J91" s="141">
        <f t="shared" si="18"/>
        <v>69.593194442826217</v>
      </c>
    </row>
    <row r="92" spans="1:10" x14ac:dyDescent="0.55000000000000004">
      <c r="A92" s="86">
        <v>44559</v>
      </c>
      <c r="B92" s="87" t="s">
        <v>6</v>
      </c>
      <c r="C92" s="87" t="s">
        <v>13</v>
      </c>
      <c r="D92" s="88">
        <v>281.82143807411188</v>
      </c>
      <c r="E92" s="122">
        <v>54109688.4375</v>
      </c>
      <c r="F92" s="4">
        <v>53159340</v>
      </c>
      <c r="G92" s="4">
        <f t="shared" si="29"/>
        <v>301.54893873929973</v>
      </c>
      <c r="H92" s="4">
        <f t="shared" ref="H92:H156" si="46">F92*1.07</f>
        <v>56880493.800000004</v>
      </c>
      <c r="I92" s="135">
        <f t="shared" si="43"/>
        <v>68.071368617580447</v>
      </c>
      <c r="J92" s="141">
        <f t="shared" si="18"/>
        <v>68.452568281838907</v>
      </c>
    </row>
    <row r="93" spans="1:10" s="132" customFormat="1" x14ac:dyDescent="0.55000000000000004">
      <c r="A93" s="131">
        <v>44560</v>
      </c>
      <c r="B93" s="132" t="s">
        <v>6</v>
      </c>
      <c r="C93" s="132" t="s">
        <v>13</v>
      </c>
      <c r="D93" s="133">
        <f>_xlfn.FORECAST.LINEAR($A$93,D79:D92,$A$79:$A$92)</f>
        <v>161.67120987985982</v>
      </c>
      <c r="E93" s="142">
        <f t="shared" ref="E93:H93" si="47">_xlfn.FORECAST.LINEAR($A$93,E79:E92,$A$79:$A$92)</f>
        <v>987161343.68017578</v>
      </c>
      <c r="F93" s="142">
        <f t="shared" si="47"/>
        <v>798203656.89697266</v>
      </c>
      <c r="G93" s="133">
        <f t="shared" si="47"/>
        <v>172.98819457140053</v>
      </c>
      <c r="H93" s="142">
        <f t="shared" si="47"/>
        <v>854077912.87963867</v>
      </c>
      <c r="I93" s="135">
        <f t="shared" si="43"/>
        <v>67.887674505465839</v>
      </c>
      <c r="J93" s="141">
        <f t="shared" si="18"/>
        <v>68.267845482696444</v>
      </c>
    </row>
    <row r="94" spans="1:10" s="132" customFormat="1" x14ac:dyDescent="0.55000000000000004">
      <c r="A94" s="131">
        <v>44561</v>
      </c>
      <c r="B94" s="132" t="s">
        <v>6</v>
      </c>
      <c r="C94" s="132" t="s">
        <v>13</v>
      </c>
      <c r="D94" s="133">
        <f>_xlfn.FORECAST.LINEAR($A$94,D80:D93,$A$80:$A$93)</f>
        <v>170.00823239935562</v>
      </c>
      <c r="E94" s="142">
        <f t="shared" ref="E94:H94" si="48">_xlfn.FORECAST.LINEAR($A$94,E80:E93,$A$80:$A$93)</f>
        <v>996370836.47851563</v>
      </c>
      <c r="F94" s="142">
        <f t="shared" si="48"/>
        <v>816248468.25024414</v>
      </c>
      <c r="G94" s="133">
        <f t="shared" si="48"/>
        <v>181.90880866721272</v>
      </c>
      <c r="H94" s="142">
        <f t="shared" si="48"/>
        <v>873385861.02758789</v>
      </c>
      <c r="I94" s="135">
        <f t="shared" si="43"/>
        <v>70.207915516813955</v>
      </c>
      <c r="J94" s="141">
        <f t="shared" si="18"/>
        <v>70.601079843708121</v>
      </c>
    </row>
    <row r="95" spans="1:10" x14ac:dyDescent="0.55000000000000004">
      <c r="A95" s="5">
        <v>44531</v>
      </c>
      <c r="B95" s="6" t="s">
        <v>4</v>
      </c>
      <c r="C95" s="6" t="s">
        <v>11</v>
      </c>
      <c r="D95" s="7">
        <v>392.68536376953131</v>
      </c>
      <c r="E95" s="95">
        <v>76102424</v>
      </c>
      <c r="F95" s="4">
        <v>79567681</v>
      </c>
      <c r="G95" s="4">
        <f t="shared" si="29"/>
        <v>420.17333923339851</v>
      </c>
      <c r="H95" s="4">
        <f t="shared" si="46"/>
        <v>85137418.670000002</v>
      </c>
      <c r="I95" s="137">
        <v>92</v>
      </c>
      <c r="J95" s="138">
        <f t="shared" si="18"/>
        <v>92.515200000000007</v>
      </c>
    </row>
    <row r="96" spans="1:10" x14ac:dyDescent="0.55000000000000004">
      <c r="A96" s="8">
        <v>44532</v>
      </c>
      <c r="B96" s="9" t="s">
        <v>4</v>
      </c>
      <c r="C96" s="9" t="s">
        <v>11</v>
      </c>
      <c r="D96" s="10">
        <v>7.2124490737915039</v>
      </c>
      <c r="E96" s="96">
        <v>1331418.125</v>
      </c>
      <c r="F96" s="4">
        <v>1160955</v>
      </c>
      <c r="G96" s="4">
        <f t="shared" si="29"/>
        <v>7.7173205089569095</v>
      </c>
      <c r="H96" s="4">
        <f t="shared" si="46"/>
        <v>1242221.8500000001</v>
      </c>
      <c r="I96" s="137">
        <v>93</v>
      </c>
      <c r="J96" s="138">
        <f t="shared" si="18"/>
        <v>93.520800000000008</v>
      </c>
    </row>
    <row r="97" spans="1:10" x14ac:dyDescent="0.55000000000000004">
      <c r="A97" s="11">
        <v>44533</v>
      </c>
      <c r="B97" s="12" t="s">
        <v>4</v>
      </c>
      <c r="C97" s="12" t="s">
        <v>11</v>
      </c>
      <c r="D97" s="13">
        <v>1227.09521484375</v>
      </c>
      <c r="E97" s="97">
        <v>3434025984</v>
      </c>
      <c r="F97" s="4">
        <v>3262928871</v>
      </c>
      <c r="G97" s="4">
        <f t="shared" si="29"/>
        <v>1312.9918798828126</v>
      </c>
      <c r="H97" s="4">
        <f t="shared" si="46"/>
        <v>3491333891.9700003</v>
      </c>
      <c r="I97" s="137">
        <v>77</v>
      </c>
      <c r="J97" s="138">
        <f t="shared" ref="J97:J156" si="49">I97*1.0056</f>
        <v>77.431200000000004</v>
      </c>
    </row>
    <row r="98" spans="1:10" x14ac:dyDescent="0.55000000000000004">
      <c r="A98" s="14">
        <v>44534</v>
      </c>
      <c r="B98" s="15" t="s">
        <v>4</v>
      </c>
      <c r="C98" s="15" t="s">
        <v>11</v>
      </c>
      <c r="D98" s="16">
        <v>8.1429281234741211</v>
      </c>
      <c r="E98" s="98">
        <v>30974070</v>
      </c>
      <c r="F98" s="4">
        <v>36403477</v>
      </c>
      <c r="G98" s="4">
        <f t="shared" si="29"/>
        <v>8.7129330921173107</v>
      </c>
      <c r="H98" s="4">
        <f t="shared" si="46"/>
        <v>38951720.390000001</v>
      </c>
      <c r="I98" s="137">
        <v>116</v>
      </c>
      <c r="J98" s="138">
        <f t="shared" si="49"/>
        <v>116.64960000000001</v>
      </c>
    </row>
    <row r="99" spans="1:10" x14ac:dyDescent="0.55000000000000004">
      <c r="A99" s="17">
        <v>44535</v>
      </c>
      <c r="B99" s="18" t="s">
        <v>4</v>
      </c>
      <c r="C99" s="18" t="s">
        <v>11</v>
      </c>
      <c r="D99" s="19">
        <v>73.798110961914063</v>
      </c>
      <c r="E99" s="99">
        <v>499421344</v>
      </c>
      <c r="F99" s="4">
        <v>586608654</v>
      </c>
      <c r="G99" s="4">
        <f t="shared" si="29"/>
        <v>78.963978729248055</v>
      </c>
      <c r="H99" s="4">
        <f t="shared" si="46"/>
        <v>627671259.78000009</v>
      </c>
      <c r="I99" s="137">
        <v>110</v>
      </c>
      <c r="J99" s="138">
        <f t="shared" si="49"/>
        <v>110.616</v>
      </c>
    </row>
    <row r="100" spans="1:10" x14ac:dyDescent="0.55000000000000004">
      <c r="A100" s="20">
        <v>44536</v>
      </c>
      <c r="B100" s="21" t="s">
        <v>4</v>
      </c>
      <c r="C100" s="21" t="s">
        <v>11</v>
      </c>
      <c r="D100" s="22">
        <v>72.004283905029297</v>
      </c>
      <c r="E100" s="100">
        <v>112078835</v>
      </c>
      <c r="F100" s="4">
        <v>117680517</v>
      </c>
      <c r="G100" s="4">
        <f t="shared" si="29"/>
        <v>77.044583778381352</v>
      </c>
      <c r="H100" s="4">
        <f t="shared" si="46"/>
        <v>125918153.19000001</v>
      </c>
      <c r="I100" s="137">
        <v>119</v>
      </c>
      <c r="J100" s="138">
        <f t="shared" si="49"/>
        <v>119.66640000000001</v>
      </c>
    </row>
    <row r="101" spans="1:10" x14ac:dyDescent="0.55000000000000004">
      <c r="A101" s="1">
        <v>44537</v>
      </c>
      <c r="B101" t="s">
        <v>4</v>
      </c>
      <c r="C101" t="s">
        <v>11</v>
      </c>
      <c r="D101" s="2">
        <f>(D100+D102)/2</f>
        <v>40.782020092010498</v>
      </c>
      <c r="E101" s="125">
        <f t="shared" ref="E101" si="50">(E100+E102)/2</f>
        <v>75154627.5</v>
      </c>
      <c r="F101" s="125">
        <f t="shared" ref="F101" si="51">(F100+F102)/2</f>
        <v>81715091</v>
      </c>
      <c r="G101" s="4">
        <f t="shared" si="29"/>
        <v>43.636761498451236</v>
      </c>
      <c r="H101" s="125">
        <f t="shared" ref="H101" si="52">(H100+H102)/2</f>
        <v>87435147.370000005</v>
      </c>
      <c r="I101" s="139">
        <v>113</v>
      </c>
      <c r="J101" s="138">
        <f t="shared" si="49"/>
        <v>113.6328</v>
      </c>
    </row>
    <row r="102" spans="1:10" x14ac:dyDescent="0.55000000000000004">
      <c r="A102" s="26">
        <v>44538</v>
      </c>
      <c r="B102" s="27" t="s">
        <v>4</v>
      </c>
      <c r="C102" s="27" t="s">
        <v>11</v>
      </c>
      <c r="D102" s="28">
        <v>9.5597562789916992</v>
      </c>
      <c r="E102" s="102">
        <v>38230420</v>
      </c>
      <c r="F102" s="4">
        <v>45749665</v>
      </c>
      <c r="G102" s="4">
        <f t="shared" si="29"/>
        <v>10.228939218521118</v>
      </c>
      <c r="H102" s="4">
        <f t="shared" si="46"/>
        <v>48952141.550000004</v>
      </c>
      <c r="I102" s="137">
        <v>129</v>
      </c>
      <c r="J102" s="138">
        <f t="shared" si="49"/>
        <v>129.72239999999999</v>
      </c>
    </row>
    <row r="103" spans="1:10" x14ac:dyDescent="0.55000000000000004">
      <c r="A103" s="131">
        <v>44539</v>
      </c>
      <c r="B103" s="132" t="s">
        <v>4</v>
      </c>
      <c r="C103" s="132" t="s">
        <v>11</v>
      </c>
      <c r="D103" s="133">
        <f>MAX(88,_xlfn.FORECAST.LINEAR($A$103,D95:D102,$A$95:$A$102))</f>
        <v>88</v>
      </c>
      <c r="E103" s="142">
        <f t="shared" ref="E103:H103" si="53">_xlfn.FORECAST.LINEAR($A$103,E95:E102,$A$95:$A$102)</f>
        <v>30197989.213867188</v>
      </c>
      <c r="F103" s="142">
        <f t="shared" si="53"/>
        <v>59361043.322265625</v>
      </c>
      <c r="G103" s="133">
        <f>MAX(94,_xlfn.FORECAST.LINEAR($A$103,G95:G102,$A$95:$A$102))</f>
        <v>94</v>
      </c>
      <c r="H103" s="142">
        <f t="shared" si="53"/>
        <v>63516316.354492188</v>
      </c>
      <c r="I103" s="139">
        <v>140</v>
      </c>
      <c r="J103" s="138">
        <f t="shared" si="49"/>
        <v>140.78400000000002</v>
      </c>
    </row>
    <row r="104" spans="1:10" x14ac:dyDescent="0.55000000000000004">
      <c r="A104" s="131">
        <v>44540</v>
      </c>
      <c r="B104" s="132" t="s">
        <v>4</v>
      </c>
      <c r="C104" s="132" t="s">
        <v>11</v>
      </c>
      <c r="D104" s="133">
        <f>MAX(100,_xlfn.FORECAST.LINEAR($A$104,D96:D103,$A$96:$A$103))</f>
        <v>100</v>
      </c>
      <c r="E104" s="142">
        <f>MAX(384736342,_xlfn.FORECAST.LINEAR($A$104,E96:E103,$A$96:$A$103))</f>
        <v>384736342</v>
      </c>
      <c r="F104" s="142">
        <f>MAX(333807289,_xlfn.FORECAST.LINEAR($A$104,F96:F103,$A$96:$A$103))</f>
        <v>333807289</v>
      </c>
      <c r="G104" s="133">
        <f>MAX(107,_xlfn.FORECAST.LINEAR($A$104,G96:G103,$A$96:$A$103))</f>
        <v>107</v>
      </c>
      <c r="H104" s="142">
        <f>MAX(357173800,_xlfn.FORECAST.LINEAR($A$104,H96:H103,$A$96:$A$103))</f>
        <v>357173800</v>
      </c>
      <c r="I104" s="139">
        <v>115</v>
      </c>
      <c r="J104" s="138">
        <f t="shared" si="49"/>
        <v>115.64400000000001</v>
      </c>
    </row>
    <row r="105" spans="1:10" x14ac:dyDescent="0.55000000000000004">
      <c r="A105" s="35">
        <v>44541</v>
      </c>
      <c r="B105" s="36" t="s">
        <v>4</v>
      </c>
      <c r="C105" s="36" t="s">
        <v>11</v>
      </c>
      <c r="D105" s="37">
        <v>168.4422588348389</v>
      </c>
      <c r="E105" s="105">
        <v>32269366.5</v>
      </c>
      <c r="F105" s="4">
        <v>26554496</v>
      </c>
      <c r="G105" s="4">
        <f t="shared" si="29"/>
        <v>180.23321695327763</v>
      </c>
      <c r="H105" s="4">
        <f t="shared" si="46"/>
        <v>28413310.720000003</v>
      </c>
      <c r="I105" s="137">
        <v>97</v>
      </c>
      <c r="J105" s="138">
        <f t="shared" si="49"/>
        <v>97.543199999999999</v>
      </c>
    </row>
    <row r="106" spans="1:10" s="132" customFormat="1" x14ac:dyDescent="0.55000000000000004">
      <c r="A106" s="131">
        <v>44542</v>
      </c>
      <c r="B106" s="132" t="s">
        <v>4</v>
      </c>
      <c r="C106" s="132" t="s">
        <v>11</v>
      </c>
      <c r="D106" s="133">
        <f>(D105+D107)/2</f>
        <v>178.1903829574585</v>
      </c>
      <c r="E106" s="134">
        <f t="shared" ref="E106" si="54">(E105+E107)/2</f>
        <v>34345925.25</v>
      </c>
      <c r="F106" s="134">
        <f t="shared" ref="F106" si="55">(F105+F107)/2</f>
        <v>32735224.5</v>
      </c>
      <c r="G106" s="135">
        <f t="shared" si="29"/>
        <v>190.66370976448061</v>
      </c>
      <c r="H106" s="134">
        <f t="shared" ref="H106" si="56">(H105+H107)/2</f>
        <v>35026690.215000004</v>
      </c>
      <c r="I106" s="154">
        <v>111</v>
      </c>
      <c r="J106" s="155">
        <f t="shared" si="49"/>
        <v>111.6216</v>
      </c>
    </row>
    <row r="107" spans="1:10" x14ac:dyDescent="0.55000000000000004">
      <c r="A107" s="38">
        <v>44543</v>
      </c>
      <c r="B107" s="39" t="s">
        <v>4</v>
      </c>
      <c r="C107" s="39" t="s">
        <v>11</v>
      </c>
      <c r="D107" s="40">
        <v>187.9385070800781</v>
      </c>
      <c r="E107" s="106">
        <v>36422484</v>
      </c>
      <c r="F107" s="4">
        <v>38915953</v>
      </c>
      <c r="G107" s="4">
        <f t="shared" si="29"/>
        <v>201.09420257568357</v>
      </c>
      <c r="H107" s="4">
        <f t="shared" si="46"/>
        <v>41640069.710000001</v>
      </c>
      <c r="I107" s="137">
        <v>132</v>
      </c>
      <c r="J107" s="138">
        <f t="shared" si="49"/>
        <v>132.73920000000001</v>
      </c>
    </row>
    <row r="108" spans="1:10" x14ac:dyDescent="0.55000000000000004">
      <c r="A108" s="131">
        <v>44544</v>
      </c>
      <c r="B108" s="132" t="s">
        <v>4</v>
      </c>
      <c r="C108" s="132" t="s">
        <v>11</v>
      </c>
      <c r="D108" s="133">
        <f>_xlfn.FORECAST.LINEAR($A$108,D95:D107,$A$95:$A$107)</f>
        <v>28.501143198693171</v>
      </c>
      <c r="E108" s="142">
        <f>MAX(156171516,_xlfn.FORECAST.LINEAR($A$108,E95:E107,$A$95:$A$107))</f>
        <v>156171516</v>
      </c>
      <c r="F108" s="142">
        <f>MAX(148437436,_xlfn.FORECAST.LINEAR($A$108,F95:F107,$A$95:$A$107))</f>
        <v>148437436</v>
      </c>
      <c r="G108" s="133">
        <f t="shared" ref="G108" si="57">_xlfn.FORECAST.LINEAR($A$108,G95:G107,$A$95:$A$107)</f>
        <v>30.471607838291675</v>
      </c>
      <c r="H108" s="142">
        <f>MAX(158828056,_xlfn.FORECAST.LINEAR($A$108,H95:H107,$A$95:$A$107))</f>
        <v>158828056</v>
      </c>
      <c r="I108" s="139">
        <v>128</v>
      </c>
      <c r="J108" s="138">
        <f t="shared" si="49"/>
        <v>128.71680000000001</v>
      </c>
    </row>
    <row r="109" spans="1:10" x14ac:dyDescent="0.55000000000000004">
      <c r="A109" s="131">
        <v>44545</v>
      </c>
      <c r="B109" s="132" t="s">
        <v>4</v>
      </c>
      <c r="C109" s="132" t="s">
        <v>11</v>
      </c>
      <c r="D109" s="133">
        <f>_xlfn.FORECAST.LINEAR($A$109,D96:D108,$A$96:$A$108)</f>
        <v>14.562092756968923</v>
      </c>
      <c r="E109" s="142">
        <f>MAX(277533323,_xlfn.FORECAST.LINEAR($A$109,E96:E108,$A$96:$A$108))</f>
        <v>277533323</v>
      </c>
      <c r="F109" s="142">
        <f>MAX(268354783,_xlfn.FORECAST.LINEAR($A$109,F96:F108,$A$96:$A$108))</f>
        <v>268354783</v>
      </c>
      <c r="G109" s="133">
        <f t="shared" ref="G109" si="58">_xlfn.FORECAST.LINEAR($A$109,G96:G108,$A$96:$A$108)</f>
        <v>15.555403747246601</v>
      </c>
      <c r="H109" s="142">
        <f>MAX(287139617,_xlfn.FORECAST.LINEAR($A$109,H96:H108,$A$96:$A$108))</f>
        <v>287139617</v>
      </c>
      <c r="I109" s="139">
        <v>108</v>
      </c>
      <c r="J109" s="138">
        <f t="shared" si="49"/>
        <v>108.60480000000001</v>
      </c>
    </row>
    <row r="110" spans="1:10" x14ac:dyDescent="0.55000000000000004">
      <c r="A110" s="47">
        <v>44546</v>
      </c>
      <c r="B110" s="48" t="s">
        <v>4</v>
      </c>
      <c r="C110" s="48" t="s">
        <v>11</v>
      </c>
      <c r="D110" s="49">
        <v>116.5380730628967</v>
      </c>
      <c r="E110" s="109">
        <v>329690808.25</v>
      </c>
      <c r="F110" s="4">
        <v>393808199</v>
      </c>
      <c r="G110" s="4">
        <f t="shared" si="29"/>
        <v>124.69573817729948</v>
      </c>
      <c r="H110" s="4">
        <f t="shared" si="46"/>
        <v>421374772.93000001</v>
      </c>
      <c r="I110" s="137">
        <v>109</v>
      </c>
      <c r="J110" s="138">
        <f t="shared" si="49"/>
        <v>109.6104</v>
      </c>
    </row>
    <row r="111" spans="1:10" x14ac:dyDescent="0.55000000000000004">
      <c r="A111" s="50">
        <v>44547</v>
      </c>
      <c r="B111" s="51" t="s">
        <v>4</v>
      </c>
      <c r="C111" s="51" t="s">
        <v>11</v>
      </c>
      <c r="D111" s="52">
        <v>251.3777303695679</v>
      </c>
      <c r="E111" s="110">
        <v>1373410066.5</v>
      </c>
      <c r="F111" s="4">
        <v>2360946210</v>
      </c>
      <c r="G111" s="4">
        <f t="shared" si="29"/>
        <v>268.97417149543764</v>
      </c>
      <c r="H111" s="4">
        <f t="shared" si="46"/>
        <v>2526212444.7000003</v>
      </c>
      <c r="I111" s="137">
        <v>101</v>
      </c>
      <c r="J111" s="138">
        <f t="shared" si="49"/>
        <v>101.5656</v>
      </c>
    </row>
    <row r="112" spans="1:10" x14ac:dyDescent="0.55000000000000004">
      <c r="A112" s="53">
        <v>44548</v>
      </c>
      <c r="B112" s="54" t="s">
        <v>4</v>
      </c>
      <c r="C112" s="54" t="s">
        <v>11</v>
      </c>
      <c r="D112" s="55">
        <v>13.85530376434326</v>
      </c>
      <c r="E112" s="111">
        <v>2657447.25</v>
      </c>
      <c r="F112" s="4">
        <v>2042372</v>
      </c>
      <c r="G112" s="4">
        <f t="shared" si="29"/>
        <v>14.825175027847289</v>
      </c>
      <c r="H112" s="4">
        <f t="shared" si="46"/>
        <v>2185338.04</v>
      </c>
      <c r="I112" s="137">
        <v>108</v>
      </c>
      <c r="J112" s="138">
        <f t="shared" si="49"/>
        <v>108.60480000000001</v>
      </c>
    </row>
    <row r="113" spans="1:10" x14ac:dyDescent="0.55000000000000004">
      <c r="A113" s="56">
        <v>44549</v>
      </c>
      <c r="B113" s="57" t="s">
        <v>4</v>
      </c>
      <c r="C113" s="57" t="s">
        <v>11</v>
      </c>
      <c r="D113" s="58">
        <v>157.3682861328125</v>
      </c>
      <c r="E113" s="112">
        <v>756249024</v>
      </c>
      <c r="F113" s="4">
        <v>793600977</v>
      </c>
      <c r="G113" s="4">
        <f t="shared" si="29"/>
        <v>168.38406616210938</v>
      </c>
      <c r="H113" s="4">
        <f t="shared" si="46"/>
        <v>849153045.3900001</v>
      </c>
      <c r="I113" s="137">
        <v>104</v>
      </c>
      <c r="J113" s="138">
        <f t="shared" si="49"/>
        <v>104.58240000000001</v>
      </c>
    </row>
    <row r="114" spans="1:10" x14ac:dyDescent="0.55000000000000004">
      <c r="A114" s="59">
        <v>44550</v>
      </c>
      <c r="B114" s="60" t="s">
        <v>4</v>
      </c>
      <c r="C114" s="60" t="s">
        <v>11</v>
      </c>
      <c r="D114" s="61">
        <v>134.9070129394531</v>
      </c>
      <c r="E114" s="113">
        <v>42752349</v>
      </c>
      <c r="F114" s="4">
        <v>40425233</v>
      </c>
      <c r="G114" s="4">
        <f t="shared" si="29"/>
        <v>144.35050384521483</v>
      </c>
      <c r="H114" s="4">
        <f t="shared" si="46"/>
        <v>43254999.310000002</v>
      </c>
      <c r="I114" s="135">
        <f>_xlfn.FORECAST.LINEAR(A114,I95:I113,A95:A113)</f>
        <v>116.9122807017593</v>
      </c>
      <c r="J114" s="141">
        <f t="shared" si="49"/>
        <v>117.56698947368916</v>
      </c>
    </row>
    <row r="115" spans="1:10" s="132" customFormat="1" x14ac:dyDescent="0.55000000000000004">
      <c r="A115" s="131">
        <v>44551</v>
      </c>
      <c r="B115" s="132" t="s">
        <v>4</v>
      </c>
      <c r="C115" s="132" t="s">
        <v>11</v>
      </c>
      <c r="D115" s="147">
        <f>_xlfn.FORECAST.LINEAR($A$115,D95:D114,$A$95:$A$114)</f>
        <v>34.993429171503522</v>
      </c>
      <c r="E115" s="148">
        <f t="shared" ref="E115:H115" si="59">_xlfn.FORECAST.LINEAR($A$115,E95:E114,$A$95:$A$114)</f>
        <v>212670927.5135498</v>
      </c>
      <c r="F115" s="148">
        <f t="shared" si="59"/>
        <v>382760360.81903076</v>
      </c>
      <c r="G115" s="147">
        <f t="shared" si="59"/>
        <v>37.433015928021632</v>
      </c>
      <c r="H115" s="148">
        <f t="shared" si="59"/>
        <v>409553585.95596313</v>
      </c>
      <c r="I115" s="135">
        <f t="shared" ref="I115:I125" si="60">_xlfn.FORECAST.LINEAR(A115,I96:I114,A96:A114)</f>
        <v>115.94644506002078</v>
      </c>
      <c r="J115" s="141">
        <f t="shared" si="49"/>
        <v>116.5957451523569</v>
      </c>
    </row>
    <row r="116" spans="1:10" s="132" customFormat="1" x14ac:dyDescent="0.55000000000000004">
      <c r="A116" s="131">
        <v>44552</v>
      </c>
      <c r="B116" s="132" t="s">
        <v>4</v>
      </c>
      <c r="C116" s="132" t="s">
        <v>11</v>
      </c>
      <c r="D116" s="133">
        <f>_xlfn.FORECAST.LINEAR($A$116,D96:D115,$A$96:$A$115)</f>
        <v>35.814195261104032</v>
      </c>
      <c r="E116" s="142">
        <f t="shared" ref="E116:H116" si="61">_xlfn.FORECAST.LINEAR($A$116,E96:E115,$A$96:$A$115)</f>
        <v>142062934.26489258</v>
      </c>
      <c r="F116" s="142">
        <f t="shared" si="61"/>
        <v>330986520.35931396</v>
      </c>
      <c r="G116" s="133">
        <f t="shared" si="61"/>
        <v>38.312571053393185</v>
      </c>
      <c r="H116" s="142">
        <f t="shared" si="61"/>
        <v>354155576.64886475</v>
      </c>
      <c r="I116" s="135">
        <f t="shared" si="60"/>
        <v>114.46302506034408</v>
      </c>
      <c r="J116" s="141">
        <f t="shared" si="49"/>
        <v>115.10401800068202</v>
      </c>
    </row>
    <row r="117" spans="1:10" x14ac:dyDescent="0.55000000000000004">
      <c r="A117" s="68">
        <v>44553</v>
      </c>
      <c r="B117" s="69" t="s">
        <v>4</v>
      </c>
      <c r="C117" s="69" t="s">
        <v>11</v>
      </c>
      <c r="D117" s="70">
        <v>23.61784744262695</v>
      </c>
      <c r="E117" s="116">
        <v>8906290</v>
      </c>
      <c r="F117" s="4">
        <v>8210657</v>
      </c>
      <c r="G117" s="4">
        <f t="shared" si="29"/>
        <v>25.271096763610839</v>
      </c>
      <c r="H117" s="4">
        <f t="shared" si="46"/>
        <v>8785402.9900000002</v>
      </c>
      <c r="I117" s="135">
        <f t="shared" si="60"/>
        <v>110.29982462109183</v>
      </c>
      <c r="J117" s="141">
        <f t="shared" si="49"/>
        <v>110.91750363896995</v>
      </c>
    </row>
    <row r="118" spans="1:10" x14ac:dyDescent="0.55000000000000004">
      <c r="A118" s="71">
        <v>44554</v>
      </c>
      <c r="B118" s="72" t="s">
        <v>4</v>
      </c>
      <c r="C118" s="72" t="s">
        <v>11</v>
      </c>
      <c r="D118" s="73">
        <v>123.1212501525879</v>
      </c>
      <c r="E118" s="117">
        <v>22676076.25</v>
      </c>
      <c r="F118" s="4">
        <v>23904704</v>
      </c>
      <c r="G118" s="4">
        <f t="shared" si="29"/>
        <v>131.73973766326907</v>
      </c>
      <c r="H118" s="4">
        <f t="shared" si="46"/>
        <v>25578033.280000001</v>
      </c>
      <c r="I118" s="135">
        <f t="shared" si="60"/>
        <v>109.39238856198062</v>
      </c>
      <c r="J118" s="141">
        <f t="shared" si="49"/>
        <v>110.00498593792773</v>
      </c>
    </row>
    <row r="119" spans="1:10" x14ac:dyDescent="0.55000000000000004">
      <c r="A119" s="74">
        <v>44555</v>
      </c>
      <c r="B119" s="75" t="s">
        <v>4</v>
      </c>
      <c r="C119" s="75" t="s">
        <v>11</v>
      </c>
      <c r="D119" s="76">
        <v>69.439544677734375</v>
      </c>
      <c r="E119" s="118">
        <v>32865736</v>
      </c>
      <c r="F119" s="4">
        <v>41843742</v>
      </c>
      <c r="G119" s="4">
        <f t="shared" si="29"/>
        <v>74.300312805175793</v>
      </c>
      <c r="H119" s="4">
        <f t="shared" si="46"/>
        <v>44772803.940000005</v>
      </c>
      <c r="I119" s="135">
        <f t="shared" si="60"/>
        <v>107.65707430409748</v>
      </c>
      <c r="J119" s="141">
        <f t="shared" si="49"/>
        <v>108.25995392020043</v>
      </c>
    </row>
    <row r="120" spans="1:10" x14ac:dyDescent="0.55000000000000004">
      <c r="A120" s="77">
        <v>44556</v>
      </c>
      <c r="B120" s="78" t="s">
        <v>4</v>
      </c>
      <c r="C120" s="78" t="s">
        <v>11</v>
      </c>
      <c r="D120" s="79">
        <v>5.1521081924438477</v>
      </c>
      <c r="E120" s="119">
        <v>26061940</v>
      </c>
      <c r="F120" s="4">
        <v>33516867</v>
      </c>
      <c r="G120" s="4">
        <f t="shared" si="29"/>
        <v>5.5127557659149176</v>
      </c>
      <c r="H120" s="4">
        <f t="shared" si="46"/>
        <v>35863047.690000005</v>
      </c>
      <c r="I120" s="135">
        <f t="shared" si="60"/>
        <v>106.67235373644507</v>
      </c>
      <c r="J120" s="141">
        <f t="shared" si="49"/>
        <v>107.26971891736918</v>
      </c>
    </row>
    <row r="121" spans="1:10" x14ac:dyDescent="0.55000000000000004">
      <c r="A121" s="80">
        <v>44557</v>
      </c>
      <c r="B121" s="81" t="s">
        <v>4</v>
      </c>
      <c r="C121" s="81" t="s">
        <v>11</v>
      </c>
      <c r="D121" s="82">
        <v>26.052961349487301</v>
      </c>
      <c r="E121" s="120">
        <v>4996958</v>
      </c>
      <c r="F121" s="4">
        <v>5291293</v>
      </c>
      <c r="G121" s="4">
        <f t="shared" si="29"/>
        <v>27.876668643951415</v>
      </c>
      <c r="H121" s="4">
        <f t="shared" si="46"/>
        <v>5661683.5100000007</v>
      </c>
      <c r="I121" s="135">
        <f t="shared" si="60"/>
        <v>104.94248016677011</v>
      </c>
      <c r="J121" s="141">
        <f t="shared" si="49"/>
        <v>105.53015805570402</v>
      </c>
    </row>
    <row r="122" spans="1:10" s="132" customFormat="1" x14ac:dyDescent="0.55000000000000004">
      <c r="A122" s="131">
        <v>44558</v>
      </c>
      <c r="B122" s="132" t="s">
        <v>4</v>
      </c>
      <c r="C122" s="132" t="s">
        <v>11</v>
      </c>
      <c r="D122" s="133">
        <f>MAX(8,_xlfn.FORECAST.LINEAR($A$122,D95:D121,$A$95:$A$121))</f>
        <v>8</v>
      </c>
      <c r="E122" s="142">
        <f t="shared" ref="E122:H122" si="62">_xlfn.FORECAST.LINEAR($A$122,E95:E121,$A$95:$A$121)</f>
        <v>9140597.1408691406</v>
      </c>
      <c r="F122" s="142">
        <f t="shared" si="62"/>
        <v>120250164.07983398</v>
      </c>
      <c r="G122" s="133">
        <f>MAX(8,_xlfn.FORECAST.LINEAR($A$122,G95:G121,$A$95:$A$121))</f>
        <v>8</v>
      </c>
      <c r="H122" s="142">
        <f t="shared" si="62"/>
        <v>128667675.48547363</v>
      </c>
      <c r="I122" s="135">
        <f t="shared" si="60"/>
        <v>104.92434630633215</v>
      </c>
      <c r="J122" s="141">
        <f t="shared" si="49"/>
        <v>105.51192264564762</v>
      </c>
    </row>
    <row r="123" spans="1:10" s="132" customFormat="1" x14ac:dyDescent="0.55000000000000004">
      <c r="A123" s="131">
        <v>44559</v>
      </c>
      <c r="B123" s="132" t="s">
        <v>4</v>
      </c>
      <c r="C123" s="132" t="s">
        <v>11</v>
      </c>
      <c r="D123" s="133">
        <f>MAX(5,_xlfn.FORECAST.LINEAR($A$123,D96:D122,$A$96:$A$122))</f>
        <v>5</v>
      </c>
      <c r="E123" s="142">
        <f>MAX(53080795,_xlfn.FORECAST.LINEAR($A$123,E96:E122,$A$96:$A$122))</f>
        <v>53080795</v>
      </c>
      <c r="F123" s="142">
        <f t="shared" ref="F123:H123" si="63">_xlfn.FORECAST.LINEAR($A$123,F96:F122,$A$96:$A$122)</f>
        <v>63123430.370849609</v>
      </c>
      <c r="G123" s="133">
        <f>MAX(5,_xlfn.FORECAST.LINEAR($A$123,G96:G122,$A$96:$A$122))</f>
        <v>5</v>
      </c>
      <c r="H123" s="142">
        <f t="shared" si="63"/>
        <v>67542070.411987305</v>
      </c>
      <c r="I123" s="135">
        <f t="shared" si="60"/>
        <v>106.67533373551851</v>
      </c>
      <c r="J123" s="141">
        <f t="shared" si="49"/>
        <v>107.27271560443742</v>
      </c>
    </row>
    <row r="124" spans="1:10" s="132" customFormat="1" x14ac:dyDescent="0.55000000000000004">
      <c r="A124" s="131">
        <v>44560</v>
      </c>
      <c r="B124" s="132" t="s">
        <v>4</v>
      </c>
      <c r="C124" s="132" t="s">
        <v>11</v>
      </c>
      <c r="D124" s="133">
        <f>MAX(31,_xlfn.FORECAST.LINEAR($A$124,D97:D123,$A$97:$A$123))</f>
        <v>31</v>
      </c>
      <c r="E124" s="142">
        <f>MAX(114397866,_xlfn.FORECAST.LINEAR($A$124,E97:E123,$A$97:$A$123))</f>
        <v>114397866</v>
      </c>
      <c r="F124" s="142">
        <f>MAX(9292285,_xlfn.FORECAST.LINEAR($A$124,F97:F123,$A$97:$A$123))</f>
        <v>9292285</v>
      </c>
      <c r="G124" s="133">
        <f>MAX(33,_xlfn.FORECAST.LINEAR($A$124,G97:G123,$A$97:$A$123))</f>
        <v>33</v>
      </c>
      <c r="H124" s="142">
        <f>MAX(9942745,_xlfn.FORECAST.LINEAR($A$124,H97:H123,$A$97:$A$123))</f>
        <v>9942745</v>
      </c>
      <c r="I124" s="135">
        <f t="shared" si="60"/>
        <v>106.34013700406649</v>
      </c>
      <c r="J124" s="141">
        <f t="shared" si="49"/>
        <v>106.93564177128927</v>
      </c>
    </row>
    <row r="125" spans="1:10" x14ac:dyDescent="0.55000000000000004">
      <c r="A125" s="92">
        <v>44561</v>
      </c>
      <c r="B125" s="93" t="s">
        <v>4</v>
      </c>
      <c r="C125" s="93" t="s">
        <v>11</v>
      </c>
      <c r="D125" s="94">
        <v>70.35565185546875</v>
      </c>
      <c r="E125" s="124">
        <v>17293420</v>
      </c>
      <c r="F125" s="4">
        <v>7795902</v>
      </c>
      <c r="G125" s="4">
        <f t="shared" si="29"/>
        <v>75.280547485351562</v>
      </c>
      <c r="H125" s="4">
        <f t="shared" si="46"/>
        <v>8341615.1400000006</v>
      </c>
      <c r="I125" s="135">
        <f t="shared" si="60"/>
        <v>103.86989300046116</v>
      </c>
      <c r="J125" s="141">
        <f t="shared" si="49"/>
        <v>104.45156440126375</v>
      </c>
    </row>
    <row r="126" spans="1:10" x14ac:dyDescent="0.55000000000000004">
      <c r="A126" s="5">
        <v>44531</v>
      </c>
      <c r="B126" s="6" t="s">
        <v>3</v>
      </c>
      <c r="C126" s="6" t="s">
        <v>10</v>
      </c>
      <c r="D126" s="7">
        <v>10.73635768890381</v>
      </c>
      <c r="E126" s="95">
        <v>42340972</v>
      </c>
      <c r="F126" s="4">
        <v>44305953</v>
      </c>
      <c r="G126" s="4">
        <f t="shared" si="29"/>
        <v>11.487902727127079</v>
      </c>
      <c r="H126" s="4">
        <f t="shared" si="46"/>
        <v>47407369.710000001</v>
      </c>
      <c r="I126" s="137">
        <v>53</v>
      </c>
      <c r="J126" s="138">
        <f t="shared" si="49"/>
        <v>53.296800000000005</v>
      </c>
    </row>
    <row r="127" spans="1:10" x14ac:dyDescent="0.55000000000000004">
      <c r="A127" s="8">
        <v>44532</v>
      </c>
      <c r="B127" s="9" t="s">
        <v>3</v>
      </c>
      <c r="C127" s="9" t="s">
        <v>10</v>
      </c>
      <c r="D127" s="10">
        <v>102.2158508300781</v>
      </c>
      <c r="E127" s="96">
        <v>541590656</v>
      </c>
      <c r="F127" s="4">
        <v>479812095</v>
      </c>
      <c r="G127" s="4">
        <f t="shared" si="29"/>
        <v>109.37096038818358</v>
      </c>
      <c r="H127" s="4">
        <f t="shared" si="46"/>
        <v>513398941.65000004</v>
      </c>
      <c r="I127" s="137">
        <v>57</v>
      </c>
      <c r="J127" s="138">
        <f t="shared" si="49"/>
        <v>57.319200000000002</v>
      </c>
    </row>
    <row r="128" spans="1:10" s="132" customFormat="1" x14ac:dyDescent="0.55000000000000004">
      <c r="A128" s="131">
        <v>44533</v>
      </c>
      <c r="B128" s="132" t="s">
        <v>3</v>
      </c>
      <c r="C128" s="132" t="s">
        <v>10</v>
      </c>
      <c r="D128" s="133">
        <f>(D127+D129)/2</f>
        <v>54.758107185363755</v>
      </c>
      <c r="E128" s="134">
        <f t="shared" ref="E128" si="64">(E127+E129)/2</f>
        <v>329183272</v>
      </c>
      <c r="F128" s="134">
        <f t="shared" ref="F128" si="65">(F127+F129)/2</f>
        <v>290379737.5</v>
      </c>
      <c r="G128" s="135">
        <f t="shared" si="29"/>
        <v>58.591174688339223</v>
      </c>
      <c r="H128" s="134">
        <f t="shared" ref="H128" si="66">(H127+H129)/2</f>
        <v>310706319.125</v>
      </c>
      <c r="I128" s="139">
        <v>57</v>
      </c>
      <c r="J128" s="138">
        <f t="shared" si="49"/>
        <v>57.319200000000002</v>
      </c>
    </row>
    <row r="129" spans="1:15" x14ac:dyDescent="0.55000000000000004">
      <c r="A129" s="14">
        <v>44534</v>
      </c>
      <c r="B129" s="15" t="s">
        <v>3</v>
      </c>
      <c r="C129" s="15" t="s">
        <v>10</v>
      </c>
      <c r="D129" s="16">
        <v>7.3003635406494141</v>
      </c>
      <c r="E129" s="98">
        <v>116775888</v>
      </c>
      <c r="F129" s="4">
        <v>100947380</v>
      </c>
      <c r="G129" s="4">
        <f t="shared" si="29"/>
        <v>7.8113889884948735</v>
      </c>
      <c r="H129" s="4">
        <f t="shared" si="46"/>
        <v>108013696.60000001</v>
      </c>
      <c r="I129" s="137">
        <v>60</v>
      </c>
      <c r="J129" s="138">
        <f t="shared" si="49"/>
        <v>60.336000000000006</v>
      </c>
    </row>
    <row r="130" spans="1:15" x14ac:dyDescent="0.55000000000000004">
      <c r="A130" s="131">
        <v>44535</v>
      </c>
      <c r="B130" s="132" t="s">
        <v>3</v>
      </c>
      <c r="C130" s="132" t="s">
        <v>10</v>
      </c>
      <c r="D130" s="133">
        <f>_xlfn.FORECAST.LINEAR($A$130,D126:D129,$A$126:$A$129)</f>
        <v>29.311238288879395</v>
      </c>
      <c r="E130" s="142">
        <f t="shared" ref="E130:H130" si="67">_xlfn.FORECAST.LINEAR($A$130,E126:E129,$A$126:$A$129)</f>
        <v>260197038</v>
      </c>
      <c r="F130" s="142">
        <f t="shared" si="67"/>
        <v>223984272.25</v>
      </c>
      <c r="G130" s="133">
        <f t="shared" si="67"/>
        <v>31.363024969119579</v>
      </c>
      <c r="H130" s="142">
        <f t="shared" si="67"/>
        <v>239663171.30749512</v>
      </c>
      <c r="I130" s="139">
        <v>60</v>
      </c>
      <c r="J130" s="138">
        <f t="shared" si="49"/>
        <v>60.336000000000006</v>
      </c>
    </row>
    <row r="131" spans="1:15" x14ac:dyDescent="0.55000000000000004">
      <c r="A131" s="131">
        <v>44536</v>
      </c>
      <c r="B131" s="132" t="s">
        <v>3</v>
      </c>
      <c r="C131" s="132" t="s">
        <v>10</v>
      </c>
      <c r="D131" s="133">
        <f>MAX(18,_xlfn.FORECAST.LINEAR($A$131,D127:D130,$A$127:$A$130))</f>
        <v>18</v>
      </c>
      <c r="E131" s="142">
        <f t="shared" ref="E131:H131" si="68">_xlfn.FORECAST.LINEAR($A$131,E127:E130,$A$127:$A$130)</f>
        <v>47789654</v>
      </c>
      <c r="F131" s="142">
        <f t="shared" si="68"/>
        <v>34551914.75</v>
      </c>
      <c r="G131" s="133">
        <f>MAX(19,_xlfn.FORECAST.LINEAR($A$131,G127:G130,$A$127:$A$130))</f>
        <v>19</v>
      </c>
      <c r="H131" s="142">
        <f t="shared" si="68"/>
        <v>36970548.782226563</v>
      </c>
      <c r="I131" s="139">
        <v>55</v>
      </c>
      <c r="J131" s="138">
        <f t="shared" si="49"/>
        <v>55.308</v>
      </c>
    </row>
    <row r="132" spans="1:15" x14ac:dyDescent="0.55000000000000004">
      <c r="A132" s="131">
        <v>44537</v>
      </c>
      <c r="B132" s="132" t="s">
        <v>3</v>
      </c>
      <c r="C132" s="132" t="s">
        <v>10</v>
      </c>
      <c r="D132" s="133">
        <f>_xlfn.FORECAST.LINEAR($A$132,D128:D131,$A$128:$A$131)</f>
        <v>5.2765655517578125</v>
      </c>
      <c r="E132" s="142">
        <f t="shared" ref="E132:H132" si="69">_xlfn.FORECAST.LINEAR($A$132,E128:E131,$A$128:$A$131)</f>
        <v>13296537</v>
      </c>
      <c r="F132" s="142">
        <f t="shared" si="69"/>
        <v>1354182.125</v>
      </c>
      <c r="G132" s="133">
        <f t="shared" si="69"/>
        <v>5.3859251404064707</v>
      </c>
      <c r="H132" s="142">
        <f t="shared" si="69"/>
        <v>1448974.8735351563</v>
      </c>
      <c r="I132" s="139">
        <v>62</v>
      </c>
      <c r="J132" s="138">
        <f t="shared" si="49"/>
        <v>62.347200000000001</v>
      </c>
    </row>
    <row r="133" spans="1:15" x14ac:dyDescent="0.55000000000000004">
      <c r="A133" s="131">
        <v>44538</v>
      </c>
      <c r="B133" s="132" t="s">
        <v>3</v>
      </c>
      <c r="C133" s="132" t="s">
        <v>10</v>
      </c>
      <c r="D133" s="133">
        <f>_xlfn.FORECAST.LINEAR($A$133,D129:D132,$A$129:$A$132)</f>
        <v>10.626383781433105</v>
      </c>
      <c r="E133" s="142">
        <f>MAX(21196580,_xlfn.FORECAST.LINEAR($A$133,E129:E132,$A$129:$A$132))</f>
        <v>21196580</v>
      </c>
      <c r="F133" s="142">
        <f>MAX(31843551,_xlfn.FORECAST.LINEAR($A$133,F129:F132,$A$129:$A$132))</f>
        <v>31843551</v>
      </c>
      <c r="G133" s="133">
        <f t="shared" ref="G133" si="70">_xlfn.FORECAST.LINEAR($A$133,G129:G132,$A$129:$A$132)</f>
        <v>10.980230646164273</v>
      </c>
      <c r="H133" s="142">
        <f>MAX(34072599,_xlfn.FORECAST.LINEAR($A$133,H129:H132,$A$129:$A$132))</f>
        <v>34072599</v>
      </c>
      <c r="I133" s="139">
        <v>59</v>
      </c>
      <c r="J133" s="138">
        <f t="shared" si="49"/>
        <v>59.330400000000004</v>
      </c>
    </row>
    <row r="134" spans="1:15" x14ac:dyDescent="0.55000000000000004">
      <c r="A134" s="131">
        <v>44539</v>
      </c>
      <c r="B134" s="132" t="s">
        <v>3</v>
      </c>
      <c r="C134" s="132" t="s">
        <v>10</v>
      </c>
      <c r="D134" s="133">
        <f>MAX(1,_xlfn.FORECAST.LINEAR($A$134,D130:D133,$A$130:$A$133))</f>
        <v>1</v>
      </c>
      <c r="E134" s="142">
        <f>MAX(102253671,_xlfn.FORECAST.LINEAR($A$134,E130:E133,$A$130:$A$133))</f>
        <v>102253671</v>
      </c>
      <c r="F134" s="142">
        <f>MAX(79471494,_xlfn.FORECAST.LINEAR($A$134,F130:F133,$A$130:$A$133))</f>
        <v>79471494</v>
      </c>
      <c r="G134" s="133">
        <f>MAX(2,_xlfn.FORECAST.LINEAR($A$134,G130:G133,$A$130:$A$133))</f>
        <v>2</v>
      </c>
      <c r="H134" s="142">
        <f>MAX(85034499,_xlfn.FORECAST.LINEAR($A$134,H130:H133,$A$130:$A$133))</f>
        <v>85034499</v>
      </c>
      <c r="I134" s="139">
        <v>61</v>
      </c>
      <c r="J134" s="138">
        <f t="shared" si="49"/>
        <v>61.3416</v>
      </c>
      <c r="L134" s="3"/>
      <c r="M134" s="3"/>
      <c r="N134" s="3"/>
      <c r="O134" s="3"/>
    </row>
    <row r="135" spans="1:15" x14ac:dyDescent="0.55000000000000004">
      <c r="A135" s="131">
        <v>44540</v>
      </c>
      <c r="B135" s="132" t="s">
        <v>3</v>
      </c>
      <c r="C135" s="132" t="s">
        <v>10</v>
      </c>
      <c r="D135" s="149">
        <v>3</v>
      </c>
      <c r="E135" s="142">
        <f t="shared" ref="E135:H135" si="71">_xlfn.FORECAST.LINEAR($A$135,E131:E134,$A$131:$A$134)</f>
        <v>88957134</v>
      </c>
      <c r="F135" s="142">
        <f t="shared" si="71"/>
        <v>78117312.125</v>
      </c>
      <c r="G135" s="132">
        <v>2</v>
      </c>
      <c r="H135" s="142">
        <f t="shared" si="71"/>
        <v>83585524.108886719</v>
      </c>
      <c r="I135" s="139">
        <v>59</v>
      </c>
      <c r="J135" s="138">
        <f t="shared" si="49"/>
        <v>59.330400000000004</v>
      </c>
      <c r="L135" s="3"/>
    </row>
    <row r="136" spans="1:15" x14ac:dyDescent="0.55000000000000004">
      <c r="A136" s="131">
        <v>44541</v>
      </c>
      <c r="B136" s="132" t="s">
        <v>3</v>
      </c>
      <c r="C136" s="132" t="s">
        <v>10</v>
      </c>
      <c r="D136" s="149">
        <v>5</v>
      </c>
      <c r="E136" s="142">
        <f t="shared" ref="E136:H136" si="72">_xlfn.FORECAST.LINEAR($A$136,E132:E135,$A$132:$A$135)</f>
        <v>133435701</v>
      </c>
      <c r="F136" s="142">
        <f t="shared" si="72"/>
        <v>117175968.0625</v>
      </c>
      <c r="G136" s="132">
        <v>4</v>
      </c>
      <c r="H136" s="142">
        <f t="shared" si="72"/>
        <v>125378286.17211914</v>
      </c>
      <c r="I136" s="139">
        <v>55</v>
      </c>
      <c r="J136" s="138">
        <f t="shared" si="49"/>
        <v>55.308</v>
      </c>
      <c r="L136" s="3"/>
    </row>
    <row r="137" spans="1:15" x14ac:dyDescent="0.55000000000000004">
      <c r="A137" s="131">
        <v>44542</v>
      </c>
      <c r="B137" s="132" t="s">
        <v>3</v>
      </c>
      <c r="C137" s="132" t="s">
        <v>10</v>
      </c>
      <c r="D137" s="149">
        <v>11</v>
      </c>
      <c r="E137" s="142">
        <f t="shared" ref="E137:H137" si="73">_xlfn.FORECAST.LINEAR($A$137,E133:E136,$A$133:$A$136)</f>
        <v>167315978</v>
      </c>
      <c r="F137" s="142">
        <f t="shared" si="73"/>
        <v>140312848.625</v>
      </c>
      <c r="G137" s="132">
        <v>10</v>
      </c>
      <c r="H137" s="142">
        <f t="shared" si="73"/>
        <v>150134748.7265625</v>
      </c>
      <c r="I137" s="139">
        <v>65</v>
      </c>
      <c r="J137" s="138">
        <f t="shared" si="49"/>
        <v>65.364000000000004</v>
      </c>
      <c r="L137" s="3"/>
    </row>
    <row r="138" spans="1:15" x14ac:dyDescent="0.55000000000000004">
      <c r="A138" s="131">
        <v>44543</v>
      </c>
      <c r="B138" s="132" t="s">
        <v>3</v>
      </c>
      <c r="C138" s="132" t="s">
        <v>10</v>
      </c>
      <c r="D138" s="149">
        <v>14</v>
      </c>
      <c r="E138" s="142">
        <f>_xlfn.FORECAST.LINEAR($A$138,E134:E137,$A$134:$A137)</f>
        <v>182906993</v>
      </c>
      <c r="F138" s="142">
        <f>_xlfn.FORECAST.LINEAR($A$138,F134:F137,$A$134:$A137)</f>
        <v>159165085.65625</v>
      </c>
      <c r="G138" s="132">
        <v>13</v>
      </c>
      <c r="H138" s="142">
        <f>_xlfn.FORECAST.LINEAR($A$138,H134:H137,$A$134:$A137)</f>
        <v>170306642.31262207</v>
      </c>
      <c r="I138" s="139">
        <v>71</v>
      </c>
      <c r="J138" s="138">
        <f t="shared" si="49"/>
        <v>71.397599999999997</v>
      </c>
      <c r="L138" s="3"/>
    </row>
    <row r="139" spans="1:15" x14ac:dyDescent="0.55000000000000004">
      <c r="A139" s="131">
        <v>44544</v>
      </c>
      <c r="B139" s="132" t="s">
        <v>3</v>
      </c>
      <c r="C139" s="132" t="s">
        <v>10</v>
      </c>
      <c r="D139" s="149">
        <v>19</v>
      </c>
      <c r="E139" s="142">
        <f t="shared" ref="E139:H139" si="74">_xlfn.FORECAST.LINEAR($A$139,E135:E138,$A$135:$A$138)</f>
        <v>222086415</v>
      </c>
      <c r="F139" s="142">
        <f t="shared" si="74"/>
        <v>190262853.90625</v>
      </c>
      <c r="G139" s="132">
        <v>17</v>
      </c>
      <c r="H139" s="142">
        <f t="shared" si="74"/>
        <v>203581254.62133789</v>
      </c>
      <c r="I139" s="139">
        <v>68</v>
      </c>
      <c r="J139" s="138">
        <f t="shared" si="49"/>
        <v>68.380800000000008</v>
      </c>
      <c r="L139" s="3"/>
    </row>
    <row r="140" spans="1:15" x14ac:dyDescent="0.55000000000000004">
      <c r="A140" s="131">
        <v>44545</v>
      </c>
      <c r="B140" s="132" t="s">
        <v>3</v>
      </c>
      <c r="C140" s="132" t="s">
        <v>10</v>
      </c>
      <c r="D140" s="149">
        <v>24</v>
      </c>
      <c r="E140" s="142">
        <f t="shared" ref="E140:H140" si="75">_xlfn.FORECAST.LINEAR($A$140,E136:E139,$A$136:$A$139)</f>
        <v>246822061</v>
      </c>
      <c r="F140" s="142">
        <f t="shared" si="75"/>
        <v>211257412.703125</v>
      </c>
      <c r="G140" s="132">
        <v>22</v>
      </c>
      <c r="H140" s="142">
        <f t="shared" si="75"/>
        <v>226045432.69165039</v>
      </c>
      <c r="I140" s="139">
        <v>68</v>
      </c>
      <c r="J140" s="138">
        <f t="shared" si="49"/>
        <v>68.380800000000008</v>
      </c>
      <c r="L140" s="3"/>
    </row>
    <row r="141" spans="1:15" x14ac:dyDescent="0.55000000000000004">
      <c r="A141" s="150">
        <v>44546</v>
      </c>
      <c r="B141" s="151" t="s">
        <v>3</v>
      </c>
      <c r="C141" s="151" t="s">
        <v>10</v>
      </c>
      <c r="D141" s="152">
        <v>15.903268814086911</v>
      </c>
      <c r="E141" s="153">
        <v>58724412</v>
      </c>
      <c r="F141" s="135">
        <v>57511013</v>
      </c>
      <c r="G141" s="135">
        <f t="shared" ref="G141:G156" si="76">D141*1.07</f>
        <v>17.016497631072994</v>
      </c>
      <c r="H141" s="135">
        <f t="shared" si="46"/>
        <v>61536783.910000004</v>
      </c>
      <c r="I141" s="137">
        <v>65</v>
      </c>
      <c r="J141" s="138">
        <f t="shared" si="49"/>
        <v>65.364000000000004</v>
      </c>
    </row>
    <row r="142" spans="1:15" x14ac:dyDescent="0.55000000000000004">
      <c r="A142" s="131">
        <v>44547</v>
      </c>
      <c r="B142" s="132" t="s">
        <v>3</v>
      </c>
      <c r="C142" s="132" t="s">
        <v>10</v>
      </c>
      <c r="D142" s="133">
        <f>_xlfn.FORECAST.LINEAR($A$142,D126:D141,$A$126:$A$141)</f>
        <v>2.1707635641068919</v>
      </c>
      <c r="E142" s="142">
        <f t="shared" ref="E142:H142" si="77">_xlfn.FORECAST.LINEAR($A$142,E126:E141,$A$126:$A$141)</f>
        <v>109891761.125</v>
      </c>
      <c r="F142" s="142">
        <f t="shared" si="77"/>
        <v>92964270.802734375</v>
      </c>
      <c r="G142" s="133">
        <f>(17+7)/2</f>
        <v>12</v>
      </c>
      <c r="H142" s="142">
        <f t="shared" si="77"/>
        <v>99471770.474487305</v>
      </c>
      <c r="I142" s="139">
        <v>61</v>
      </c>
      <c r="J142" s="138">
        <f t="shared" si="49"/>
        <v>61.3416</v>
      </c>
    </row>
    <row r="143" spans="1:15" x14ac:dyDescent="0.55000000000000004">
      <c r="A143" s="131">
        <v>44548</v>
      </c>
      <c r="B143" s="132" t="s">
        <v>3</v>
      </c>
      <c r="C143" s="132" t="s">
        <v>10</v>
      </c>
      <c r="D143" s="133">
        <f>MAX(4,_xlfn.FORECAST.LINEAR($A$143,D127:D142,$A$127:$A$142))</f>
        <v>4</v>
      </c>
      <c r="E143" s="142">
        <f t="shared" ref="E143:H143" si="78">_xlfn.FORECAST.LINEAR($A$143,E127:E142,$A$127:$A$142)</f>
        <v>79344023.15625</v>
      </c>
      <c r="F143" s="142">
        <f t="shared" si="78"/>
        <v>66839904.610839844</v>
      </c>
      <c r="G143" s="133">
        <f>MAX(7,_xlfn.FORECAST.LINEAR($A$143,G127:G142,$A$127:$A$142))</f>
        <v>7</v>
      </c>
      <c r="H143" s="142">
        <f t="shared" si="78"/>
        <v>71518698.734863281</v>
      </c>
      <c r="I143" s="139">
        <v>65</v>
      </c>
      <c r="J143" s="138">
        <f t="shared" si="49"/>
        <v>65.364000000000004</v>
      </c>
    </row>
    <row r="144" spans="1:15" x14ac:dyDescent="0.55000000000000004">
      <c r="A144" s="131">
        <v>44549</v>
      </c>
      <c r="B144" s="132" t="s">
        <v>3</v>
      </c>
      <c r="C144" s="132" t="s">
        <v>10</v>
      </c>
      <c r="D144" s="133">
        <f>_xlfn.FORECAST.LINEAR($A$144,D128:D143,$A$128:$A$143)</f>
        <v>4.314018802040664</v>
      </c>
      <c r="E144" s="142">
        <f t="shared" ref="E144:H144" si="79">_xlfn.FORECAST.LINEAR($A$144,E128:E143,$A$128:$A$143)</f>
        <v>114358033.56718445</v>
      </c>
      <c r="F144" s="142">
        <f t="shared" si="79"/>
        <v>98293910.225906372</v>
      </c>
      <c r="G144" s="133">
        <f t="shared" si="79"/>
        <v>5.78638879013306</v>
      </c>
      <c r="H144" s="142">
        <f t="shared" si="79"/>
        <v>105174484.83215332</v>
      </c>
      <c r="I144" s="139">
        <v>64</v>
      </c>
      <c r="J144" s="138">
        <f t="shared" si="49"/>
        <v>64.358400000000003</v>
      </c>
    </row>
    <row r="145" spans="1:10" x14ac:dyDescent="0.55000000000000004">
      <c r="A145" s="131">
        <v>44550</v>
      </c>
      <c r="B145" s="132" t="s">
        <v>3</v>
      </c>
      <c r="C145" s="132" t="s">
        <v>10</v>
      </c>
      <c r="D145" s="133">
        <f>_xlfn.FORECAST.LINEAR($A$145,D129:D144,$A$129:$A$144)</f>
        <v>7.9975723122024647</v>
      </c>
      <c r="E145" s="142">
        <f t="shared" ref="E145:H145" si="80">_xlfn.FORECAST.LINEAR($A$145,E129:E144,$A$129:$A$144)</f>
        <v>137820604.80195618</v>
      </c>
      <c r="F145" s="142">
        <f t="shared" si="80"/>
        <v>119520868.37947083</v>
      </c>
      <c r="G145" s="133">
        <f t="shared" si="80"/>
        <v>10.042956139322996</v>
      </c>
      <c r="H145" s="142">
        <f t="shared" si="80"/>
        <v>127887330.14793396</v>
      </c>
      <c r="I145" s="140">
        <f>_xlfn.FORECAST.LINEAR(A145,I126:I144,A126:A144)</f>
        <v>67.385964912282361</v>
      </c>
      <c r="J145" s="141">
        <f t="shared" si="49"/>
        <v>67.763326315791147</v>
      </c>
    </row>
    <row r="146" spans="1:10" x14ac:dyDescent="0.55000000000000004">
      <c r="A146" s="131">
        <v>44551</v>
      </c>
      <c r="B146" s="132" t="s">
        <v>3</v>
      </c>
      <c r="C146" s="132" t="s">
        <v>10</v>
      </c>
      <c r="D146" s="133">
        <f>_xlfn.FORECAST.LINEAR($A$146,D130:D145,$A$130:$A$145)</f>
        <v>6.7444548627754557</v>
      </c>
      <c r="E146" s="142">
        <f t="shared" ref="E146:H146" si="81">_xlfn.FORECAST.LINEAR($A$146,E130:E145,$A$130:$A$145)</f>
        <v>140658342.20623779</v>
      </c>
      <c r="F146" s="142">
        <f t="shared" si="81"/>
        <v>122441858.12826538</v>
      </c>
      <c r="G146" s="133">
        <f t="shared" si="81"/>
        <v>9.0668171182951482</v>
      </c>
      <c r="H146" s="142">
        <f t="shared" si="81"/>
        <v>131012789.27122498</v>
      </c>
      <c r="I146" s="140">
        <f t="shared" ref="I146:I156" si="82">_xlfn.FORECAST.LINEAR(A146,I127:I145,A127:A145)</f>
        <v>67.642659279779764</v>
      </c>
      <c r="J146" s="141">
        <f t="shared" si="49"/>
        <v>68.021458171746531</v>
      </c>
    </row>
    <row r="147" spans="1:10" x14ac:dyDescent="0.55000000000000004">
      <c r="A147" s="65">
        <v>44552</v>
      </c>
      <c r="B147" s="66" t="s">
        <v>3</v>
      </c>
      <c r="C147" s="66" t="s">
        <v>10</v>
      </c>
      <c r="D147" s="67">
        <v>10.80376529693604</v>
      </c>
      <c r="E147" s="115">
        <v>2057036.875</v>
      </c>
      <c r="F147" s="4">
        <v>2544981</v>
      </c>
      <c r="G147" s="4">
        <f t="shared" si="76"/>
        <v>11.560028867721565</v>
      </c>
      <c r="H147" s="4">
        <f t="shared" si="46"/>
        <v>2723129.67</v>
      </c>
      <c r="I147" s="140">
        <f t="shared" si="82"/>
        <v>68.192237287588796</v>
      </c>
      <c r="J147" s="141">
        <f t="shared" si="49"/>
        <v>68.57411381639929</v>
      </c>
    </row>
    <row r="148" spans="1:10" x14ac:dyDescent="0.55000000000000004">
      <c r="A148" s="68">
        <v>44553</v>
      </c>
      <c r="B148" s="69" t="s">
        <v>3</v>
      </c>
      <c r="C148" s="69" t="s">
        <v>10</v>
      </c>
      <c r="D148" s="70">
        <v>197.60331726074219</v>
      </c>
      <c r="E148" s="116">
        <v>1705533952</v>
      </c>
      <c r="F148" s="4">
        <v>2315084673</v>
      </c>
      <c r="G148" s="4">
        <f t="shared" si="76"/>
        <v>211.43554946899414</v>
      </c>
      <c r="H148" s="4">
        <f t="shared" si="46"/>
        <v>2477140600.1100001</v>
      </c>
      <c r="I148" s="140">
        <f t="shared" si="82"/>
        <v>68.67080260792136</v>
      </c>
      <c r="J148" s="141">
        <f t="shared" si="49"/>
        <v>69.055359102525728</v>
      </c>
    </row>
    <row r="149" spans="1:10" s="132" customFormat="1" x14ac:dyDescent="0.55000000000000004">
      <c r="A149" s="131">
        <v>44554</v>
      </c>
      <c r="B149" s="132" t="s">
        <v>3</v>
      </c>
      <c r="C149" s="132" t="s">
        <v>10</v>
      </c>
      <c r="D149" s="133">
        <f>_xlfn.FORECAST.LINEAR($A$149,D126:D148,$A$126:$A$148)</f>
        <v>31.331177014297282</v>
      </c>
      <c r="E149" s="142">
        <f t="shared" ref="E149:H149" si="83">_xlfn.FORECAST.LINEAR($A$149,E126:E148,$A$126:$A$148)</f>
        <v>352873876.31506348</v>
      </c>
      <c r="F149" s="142">
        <f t="shared" si="83"/>
        <v>449713301.25439453</v>
      </c>
      <c r="G149" s="133">
        <f t="shared" si="83"/>
        <v>34.714500483190932</v>
      </c>
      <c r="H149" s="142">
        <f t="shared" si="83"/>
        <v>481193233.15368652</v>
      </c>
      <c r="I149" s="140">
        <f t="shared" si="82"/>
        <v>69.422184534505504</v>
      </c>
      <c r="J149" s="141">
        <f t="shared" si="49"/>
        <v>69.810948767898736</v>
      </c>
    </row>
    <row r="150" spans="1:10" s="132" customFormat="1" x14ac:dyDescent="0.55000000000000004">
      <c r="A150" s="131">
        <v>44555</v>
      </c>
      <c r="B150" s="132" t="s">
        <v>3</v>
      </c>
      <c r="C150" s="132" t="s">
        <v>10</v>
      </c>
      <c r="D150" s="133">
        <f>_xlfn.FORECAST.LINEAR($A$150,D127:D149,$A$127:$A$149)</f>
        <v>31.14419933647514</v>
      </c>
      <c r="E150" s="142">
        <f t="shared" ref="E150:H150" si="84">_xlfn.FORECAST.LINEAR($A$150,E127:E149,$A$127:$A$149)</f>
        <v>360744883.07659912</v>
      </c>
      <c r="F150" s="142">
        <f t="shared" si="84"/>
        <v>472324382.12646484</v>
      </c>
      <c r="G150" s="133">
        <f t="shared" si="84"/>
        <v>34.678686462433689</v>
      </c>
      <c r="H150" s="142">
        <f t="shared" si="84"/>
        <v>505387089.73071289</v>
      </c>
      <c r="I150" s="140">
        <f t="shared" si="82"/>
        <v>70.179632785846479</v>
      </c>
      <c r="J150" s="141">
        <f t="shared" si="49"/>
        <v>70.57263872944722</v>
      </c>
    </row>
    <row r="151" spans="1:10" x14ac:dyDescent="0.55000000000000004">
      <c r="A151" s="77">
        <v>44556</v>
      </c>
      <c r="B151" s="78" t="s">
        <v>3</v>
      </c>
      <c r="C151" s="78" t="s">
        <v>10</v>
      </c>
      <c r="D151" s="79">
        <v>10.73635768890381</v>
      </c>
      <c r="E151" s="119">
        <v>264043536</v>
      </c>
      <c r="F151" s="4">
        <v>273883618</v>
      </c>
      <c r="G151" s="4">
        <f t="shared" si="76"/>
        <v>11.487902727127079</v>
      </c>
      <c r="H151" s="4">
        <f t="shared" si="46"/>
        <v>293055471.25999999</v>
      </c>
      <c r="I151" s="140">
        <f t="shared" si="82"/>
        <v>70.317207256168331</v>
      </c>
      <c r="J151" s="141">
        <f t="shared" si="49"/>
        <v>70.710983616802878</v>
      </c>
    </row>
    <row r="152" spans="1:10" s="132" customFormat="1" x14ac:dyDescent="0.55000000000000004">
      <c r="A152" s="131">
        <v>44557</v>
      </c>
      <c r="B152" s="132" t="s">
        <v>3</v>
      </c>
      <c r="C152" s="132" t="s">
        <v>10</v>
      </c>
      <c r="D152" s="133">
        <f>(D151+D153)/2</f>
        <v>7.917565345764161</v>
      </c>
      <c r="E152" s="134">
        <f t="shared" ref="E152" si="85">(E151+E153)/2</f>
        <v>142522946</v>
      </c>
      <c r="F152" s="134">
        <f t="shared" ref="F152" si="86">(F151+F153)/2</f>
        <v>147428053</v>
      </c>
      <c r="G152" s="135">
        <f t="shared" si="76"/>
        <v>8.4717949199676532</v>
      </c>
      <c r="H152" s="134">
        <f t="shared" ref="H152" si="87">(H151+H153)/2</f>
        <v>157748016.71000001</v>
      </c>
      <c r="I152" s="140">
        <f t="shared" si="82"/>
        <v>71.077084548553103</v>
      </c>
      <c r="J152" s="141">
        <f t="shared" si="49"/>
        <v>71.475116222025008</v>
      </c>
    </row>
    <row r="153" spans="1:10" x14ac:dyDescent="0.55000000000000004">
      <c r="A153" s="83">
        <v>44558</v>
      </c>
      <c r="B153" s="84" t="s">
        <v>3</v>
      </c>
      <c r="C153" s="84" t="s">
        <v>10</v>
      </c>
      <c r="D153" s="85">
        <v>5.0987730026245117</v>
      </c>
      <c r="E153" s="121">
        <v>21002356</v>
      </c>
      <c r="F153" s="4">
        <v>20972488</v>
      </c>
      <c r="G153" s="4">
        <f t="shared" si="76"/>
        <v>5.4556871128082278</v>
      </c>
      <c r="H153" s="4">
        <f t="shared" si="46"/>
        <v>22440562.16</v>
      </c>
      <c r="I153" s="140">
        <f t="shared" si="82"/>
        <v>71.4825990383506</v>
      </c>
      <c r="J153" s="141">
        <f t="shared" si="49"/>
        <v>71.882901592965368</v>
      </c>
    </row>
    <row r="154" spans="1:10" s="132" customFormat="1" x14ac:dyDescent="0.55000000000000004">
      <c r="A154" s="131">
        <v>44559</v>
      </c>
      <c r="B154" s="132" t="s">
        <v>3</v>
      </c>
      <c r="C154" s="132" t="s">
        <v>10</v>
      </c>
      <c r="D154" s="133">
        <f>_xlfn.FORECAST.LINEAR($A$154,D126:D153,$A$126:$A$153)</f>
        <v>23.848811625137614</v>
      </c>
      <c r="E154" s="142">
        <f t="shared" ref="E154:H154" si="88">_xlfn.FORECAST.LINEAR($A$154,E126:E153,$A$126:$A$153)</f>
        <v>309750044.63153076</v>
      </c>
      <c r="F154" s="142">
        <f t="shared" si="88"/>
        <v>397955190.70239258</v>
      </c>
      <c r="G154" s="133">
        <f t="shared" si="88"/>
        <v>26.56061450118068</v>
      </c>
      <c r="H154" s="142">
        <f t="shared" si="88"/>
        <v>425812054.67822266</v>
      </c>
      <c r="I154" s="140">
        <f t="shared" si="82"/>
        <v>72.007220358485938</v>
      </c>
      <c r="J154" s="141">
        <f t="shared" si="49"/>
        <v>72.410460792493467</v>
      </c>
    </row>
    <row r="155" spans="1:10" s="132" customFormat="1" x14ac:dyDescent="0.55000000000000004">
      <c r="A155" s="131">
        <v>44560</v>
      </c>
      <c r="B155" s="132" t="s">
        <v>3</v>
      </c>
      <c r="C155" s="132" t="s">
        <v>10</v>
      </c>
      <c r="D155" s="133">
        <f>_xlfn.FORECAST.LINEAR($A$155,D127:D154,$A$127:$A$154)</f>
        <v>22.941288497942423</v>
      </c>
      <c r="E155" s="142">
        <f t="shared" ref="E155:H155" si="89">_xlfn.FORECAST.LINEAR($A$155,E127:E154,$A$127:$A$154)</f>
        <v>309695966.93508911</v>
      </c>
      <c r="F155" s="142">
        <f t="shared" si="89"/>
        <v>407350330.22943115</v>
      </c>
      <c r="G155" s="133">
        <f t="shared" si="89"/>
        <v>25.68968331882877</v>
      </c>
      <c r="H155" s="142">
        <f t="shared" si="89"/>
        <v>435864853.98352051</v>
      </c>
      <c r="I155" s="140">
        <f t="shared" si="82"/>
        <v>72.212768990957557</v>
      </c>
      <c r="J155" s="141">
        <f t="shared" si="49"/>
        <v>72.617160497306926</v>
      </c>
    </row>
    <row r="156" spans="1:10" x14ac:dyDescent="0.55000000000000004">
      <c r="A156" s="92">
        <v>44561</v>
      </c>
      <c r="B156" s="93" t="s">
        <v>3</v>
      </c>
      <c r="C156" s="93" t="s">
        <v>10</v>
      </c>
      <c r="D156" s="94">
        <v>54.172031402587891</v>
      </c>
      <c r="E156" s="124">
        <v>722107776</v>
      </c>
      <c r="F156" s="4">
        <v>724574423</v>
      </c>
      <c r="G156" s="4">
        <f t="shared" si="76"/>
        <v>57.964073600769048</v>
      </c>
      <c r="H156" s="4">
        <f t="shared" si="46"/>
        <v>775294632.61000001</v>
      </c>
      <c r="I156" s="140">
        <f t="shared" si="82"/>
        <v>71.742166101166731</v>
      </c>
      <c r="J156" s="141">
        <f t="shared" si="49"/>
        <v>72.143922231333264</v>
      </c>
    </row>
    <row r="157" spans="1:10" x14ac:dyDescent="0.55000000000000004">
      <c r="F157" s="4"/>
      <c r="G157" s="4"/>
      <c r="H157" s="4"/>
      <c r="I157" s="137"/>
      <c r="J157" s="138"/>
    </row>
    <row r="158" spans="1:10" x14ac:dyDescent="0.55000000000000004">
      <c r="F158" s="4"/>
      <c r="G158" s="4"/>
      <c r="H158" s="4"/>
      <c r="I158" s="137"/>
      <c r="J158" s="138"/>
    </row>
    <row r="159" spans="1:10" x14ac:dyDescent="0.55000000000000004">
      <c r="F159" s="4"/>
      <c r="G159" s="4"/>
      <c r="H159" s="4"/>
      <c r="I159" s="137"/>
      <c r="J159" s="138"/>
    </row>
    <row r="160" spans="1:10" x14ac:dyDescent="0.55000000000000004">
      <c r="F160" s="4"/>
      <c r="G160" s="4"/>
      <c r="H160" s="4"/>
      <c r="I160" s="137"/>
      <c r="J160" s="138"/>
    </row>
    <row r="161" spans="6:10" x14ac:dyDescent="0.55000000000000004">
      <c r="F161" s="4"/>
      <c r="G161" s="4"/>
      <c r="H161" s="4"/>
      <c r="I161" s="137"/>
      <c r="J161" s="138"/>
    </row>
    <row r="162" spans="6:10" x14ac:dyDescent="0.55000000000000004">
      <c r="F162" s="4"/>
      <c r="G162" s="4"/>
      <c r="H162" s="4"/>
      <c r="I162" s="137"/>
      <c r="J162" s="138"/>
    </row>
    <row r="163" spans="6:10" x14ac:dyDescent="0.55000000000000004">
      <c r="F163" s="4"/>
      <c r="G163" s="4"/>
      <c r="H163" s="4"/>
      <c r="I163" s="137"/>
      <c r="J163" s="138"/>
    </row>
    <row r="164" spans="6:10" x14ac:dyDescent="0.55000000000000004">
      <c r="F164" s="4"/>
      <c r="G164" s="4"/>
      <c r="H164" s="4"/>
      <c r="I164" s="137"/>
      <c r="J164" s="138"/>
    </row>
    <row r="165" spans="6:10" x14ac:dyDescent="0.55000000000000004">
      <c r="F165" s="4"/>
      <c r="G165" s="4"/>
      <c r="H165" s="4"/>
      <c r="I165" s="137"/>
      <c r="J165" s="138"/>
    </row>
    <row r="166" spans="6:10" x14ac:dyDescent="0.55000000000000004">
      <c r="F166" s="4"/>
      <c r="G166" s="4"/>
      <c r="H166" s="4"/>
      <c r="I166" s="137"/>
      <c r="J166" s="138"/>
    </row>
    <row r="167" spans="6:10" x14ac:dyDescent="0.55000000000000004">
      <c r="F167" s="4"/>
      <c r="G167" s="4"/>
      <c r="H167" s="4"/>
      <c r="I167" s="137"/>
      <c r="J167" s="138"/>
    </row>
    <row r="168" spans="6:10" x14ac:dyDescent="0.55000000000000004">
      <c r="F168" s="4"/>
      <c r="G168" s="4"/>
      <c r="H168" s="4"/>
      <c r="I168" s="137"/>
      <c r="J168" s="138"/>
    </row>
    <row r="169" spans="6:10" x14ac:dyDescent="0.55000000000000004">
      <c r="F169" s="4"/>
      <c r="G169" s="4"/>
      <c r="H169" s="4"/>
      <c r="I169" s="137"/>
      <c r="J169" s="138"/>
    </row>
    <row r="170" spans="6:10" x14ac:dyDescent="0.55000000000000004">
      <c r="F170" s="4"/>
      <c r="G170" s="4"/>
      <c r="H170" s="4"/>
      <c r="I170" s="137"/>
      <c r="J170" s="138"/>
    </row>
    <row r="171" spans="6:10" x14ac:dyDescent="0.55000000000000004">
      <c r="F171" s="4"/>
      <c r="G171" s="4"/>
      <c r="H171" s="4"/>
      <c r="I171" s="137"/>
      <c r="J171" s="138"/>
    </row>
    <row r="172" spans="6:10" x14ac:dyDescent="0.55000000000000004">
      <c r="F172" s="4"/>
      <c r="G172" s="4"/>
      <c r="H172" s="4"/>
      <c r="I172" s="137"/>
      <c r="J172" s="138"/>
    </row>
    <row r="173" spans="6:10" x14ac:dyDescent="0.55000000000000004">
      <c r="F173" s="4"/>
      <c r="G173" s="4"/>
      <c r="H173" s="4"/>
      <c r="I173" s="137"/>
      <c r="J173" s="138"/>
    </row>
    <row r="174" spans="6:10" x14ac:dyDescent="0.55000000000000004">
      <c r="F174" s="4"/>
      <c r="G174" s="4"/>
      <c r="H174" s="4"/>
      <c r="I174" s="137"/>
      <c r="J174" s="138"/>
    </row>
    <row r="175" spans="6:10" x14ac:dyDescent="0.55000000000000004">
      <c r="F175" s="4"/>
      <c r="G175" s="4"/>
      <c r="H175" s="4"/>
      <c r="I175" s="137"/>
      <c r="J175" s="138"/>
    </row>
    <row r="176" spans="6:10" x14ac:dyDescent="0.55000000000000004">
      <c r="F176" s="4"/>
      <c r="G176" s="4"/>
      <c r="H176" s="4"/>
      <c r="I176" s="137"/>
      <c r="J176" s="138"/>
    </row>
    <row r="177" spans="6:10" x14ac:dyDescent="0.55000000000000004">
      <c r="F177" s="4"/>
      <c r="G177" s="4"/>
      <c r="H177" s="4"/>
      <c r="I177" s="137"/>
      <c r="J177" s="138"/>
    </row>
    <row r="178" spans="6:10" x14ac:dyDescent="0.55000000000000004">
      <c r="F178" s="4"/>
      <c r="G178" s="4"/>
      <c r="H178" s="4"/>
      <c r="I178" s="137"/>
      <c r="J178" s="138"/>
    </row>
    <row r="179" spans="6:10" x14ac:dyDescent="0.55000000000000004">
      <c r="F179" s="4"/>
      <c r="G179" s="4"/>
      <c r="H179" s="4"/>
      <c r="I179" s="137"/>
      <c r="J179" s="138"/>
    </row>
    <row r="180" spans="6:10" x14ac:dyDescent="0.55000000000000004">
      <c r="F180" s="4"/>
      <c r="G180" s="4"/>
      <c r="H180" s="4"/>
      <c r="I180" s="137"/>
      <c r="J180" s="138"/>
    </row>
    <row r="181" spans="6:10" x14ac:dyDescent="0.55000000000000004">
      <c r="F181" s="4"/>
      <c r="G181" s="4"/>
      <c r="H181" s="4"/>
      <c r="I181" s="137"/>
      <c r="J181" s="138"/>
    </row>
    <row r="182" spans="6:10" x14ac:dyDescent="0.55000000000000004">
      <c r="F182" s="4"/>
      <c r="G182" s="4"/>
      <c r="H182" s="4"/>
      <c r="I182" s="137"/>
      <c r="J182" s="138"/>
    </row>
    <row r="183" spans="6:10" x14ac:dyDescent="0.55000000000000004">
      <c r="F183" s="4"/>
      <c r="G183" s="4"/>
      <c r="H183" s="4"/>
      <c r="I183" s="137"/>
      <c r="J183" s="138"/>
    </row>
    <row r="184" spans="6:10" x14ac:dyDescent="0.55000000000000004">
      <c r="F184" s="4"/>
      <c r="G184" s="4"/>
      <c r="H184" s="4"/>
      <c r="I184" s="137"/>
      <c r="J184" s="138"/>
    </row>
    <row r="185" spans="6:10" x14ac:dyDescent="0.55000000000000004">
      <c r="F185" s="4"/>
      <c r="G185" s="4"/>
      <c r="H185" s="4"/>
      <c r="I185" s="137"/>
      <c r="J185" s="138"/>
    </row>
    <row r="186" spans="6:10" x14ac:dyDescent="0.55000000000000004">
      <c r="F186" s="4"/>
      <c r="G186" s="4"/>
      <c r="H186" s="4"/>
      <c r="I186" s="137"/>
      <c r="J186" s="138"/>
    </row>
    <row r="187" spans="6:10" x14ac:dyDescent="0.55000000000000004">
      <c r="F187" s="4"/>
      <c r="G187" s="4"/>
      <c r="H187" s="4"/>
      <c r="I187" s="137"/>
      <c r="J187" s="138"/>
    </row>
    <row r="188" spans="6:10" x14ac:dyDescent="0.55000000000000004">
      <c r="F188" s="4"/>
      <c r="G188" s="4"/>
      <c r="H188" s="4"/>
      <c r="I188" s="137"/>
      <c r="J188" s="138"/>
    </row>
    <row r="189" spans="6:10" x14ac:dyDescent="0.55000000000000004">
      <c r="F189" s="4"/>
      <c r="G189" s="4"/>
      <c r="H189" s="4"/>
      <c r="I189" s="137"/>
      <c r="J189" s="138"/>
    </row>
    <row r="190" spans="6:10" x14ac:dyDescent="0.55000000000000004">
      <c r="F190" s="4"/>
      <c r="G190" s="4"/>
      <c r="H190" s="4"/>
      <c r="I190" s="137"/>
      <c r="J190" s="138"/>
    </row>
    <row r="191" spans="6:10" x14ac:dyDescent="0.55000000000000004">
      <c r="F191" s="4"/>
      <c r="G191" s="4"/>
      <c r="H191" s="4"/>
      <c r="I191" s="137"/>
      <c r="J191" s="138"/>
    </row>
    <row r="192" spans="6:10" x14ac:dyDescent="0.55000000000000004">
      <c r="F192" s="4"/>
      <c r="G192" s="4"/>
      <c r="H192" s="4"/>
      <c r="I192" s="137"/>
      <c r="J192" s="138"/>
    </row>
    <row r="193" spans="6:10" x14ac:dyDescent="0.55000000000000004">
      <c r="F193" s="4"/>
      <c r="G193" s="4"/>
      <c r="H193" s="4"/>
      <c r="I193" s="137"/>
      <c r="J193" s="138"/>
    </row>
    <row r="194" spans="6:10" x14ac:dyDescent="0.55000000000000004">
      <c r="F194" s="4"/>
      <c r="G194" s="4"/>
      <c r="H194" s="4"/>
      <c r="I194" s="137"/>
      <c r="J194" s="138"/>
    </row>
    <row r="195" spans="6:10" x14ac:dyDescent="0.55000000000000004">
      <c r="F195" s="4"/>
      <c r="G195" s="4"/>
      <c r="H195" s="4"/>
      <c r="I195" s="137"/>
      <c r="J195" s="138"/>
    </row>
    <row r="196" spans="6:10" x14ac:dyDescent="0.55000000000000004">
      <c r="F196" s="4"/>
      <c r="G196" s="4"/>
      <c r="H196" s="4"/>
      <c r="I196" s="137"/>
      <c r="J196" s="138"/>
    </row>
    <row r="197" spans="6:10" x14ac:dyDescent="0.55000000000000004">
      <c r="F197" s="4"/>
      <c r="G197" s="4"/>
      <c r="H197" s="4"/>
      <c r="I197" s="137"/>
      <c r="J197" s="138"/>
    </row>
    <row r="198" spans="6:10" x14ac:dyDescent="0.55000000000000004">
      <c r="F198" s="4"/>
      <c r="G198" s="4"/>
      <c r="H198" s="4"/>
      <c r="I198" s="137"/>
      <c r="J198" s="138"/>
    </row>
    <row r="199" spans="6:10" x14ac:dyDescent="0.55000000000000004">
      <c r="F199" s="4"/>
      <c r="G199" s="4"/>
      <c r="H199" s="4"/>
      <c r="I199" s="137"/>
      <c r="J199" s="138"/>
    </row>
    <row r="200" spans="6:10" x14ac:dyDescent="0.55000000000000004">
      <c r="F200" s="4"/>
      <c r="G200" s="4"/>
      <c r="H200" s="4"/>
      <c r="I200" s="137"/>
      <c r="J200" s="138"/>
    </row>
    <row r="201" spans="6:10" x14ac:dyDescent="0.55000000000000004">
      <c r="F201" s="4"/>
      <c r="G201" s="4"/>
      <c r="H201" s="4"/>
      <c r="I201" s="137"/>
      <c r="J201" s="138"/>
    </row>
    <row r="202" spans="6:10" x14ac:dyDescent="0.55000000000000004">
      <c r="F202" s="4"/>
      <c r="G202" s="4"/>
      <c r="H202" s="4"/>
      <c r="I202" s="137"/>
      <c r="J202" s="138"/>
    </row>
    <row r="203" spans="6:10" x14ac:dyDescent="0.55000000000000004">
      <c r="F203" s="4"/>
      <c r="G203" s="4"/>
      <c r="H203" s="4"/>
      <c r="I203" s="137"/>
      <c r="J203" s="138"/>
    </row>
    <row r="204" spans="6:10" x14ac:dyDescent="0.55000000000000004">
      <c r="F204" s="4"/>
      <c r="G204" s="4"/>
      <c r="H204" s="4"/>
      <c r="I204" s="137"/>
      <c r="J204" s="138"/>
    </row>
    <row r="205" spans="6:10" x14ac:dyDescent="0.55000000000000004">
      <c r="F205" s="4"/>
      <c r="G205" s="4"/>
      <c r="H205" s="4"/>
      <c r="I205" s="137"/>
      <c r="J205" s="138"/>
    </row>
    <row r="206" spans="6:10" x14ac:dyDescent="0.55000000000000004">
      <c r="F206" s="4"/>
      <c r="G206" s="4"/>
      <c r="H206" s="4"/>
      <c r="I206" s="137"/>
      <c r="J206" s="138"/>
    </row>
    <row r="207" spans="6:10" x14ac:dyDescent="0.55000000000000004">
      <c r="F207" s="4"/>
      <c r="G207" s="4"/>
      <c r="H207" s="4"/>
      <c r="I207" s="137"/>
      <c r="J207" s="138"/>
    </row>
    <row r="208" spans="6:10" x14ac:dyDescent="0.55000000000000004">
      <c r="F208" s="4"/>
      <c r="G208" s="4"/>
      <c r="H208" s="4"/>
      <c r="I208" s="137"/>
      <c r="J208" s="138"/>
    </row>
    <row r="209" spans="6:10" x14ac:dyDescent="0.55000000000000004">
      <c r="F209" s="4"/>
      <c r="G209" s="4"/>
      <c r="H209" s="4"/>
      <c r="I209" s="137"/>
      <c r="J209" s="138"/>
    </row>
    <row r="210" spans="6:10" x14ac:dyDescent="0.55000000000000004">
      <c r="F210" s="4"/>
      <c r="G210" s="4"/>
      <c r="H210" s="4"/>
      <c r="I210" s="137"/>
      <c r="J210" s="138"/>
    </row>
    <row r="211" spans="6:10" x14ac:dyDescent="0.55000000000000004">
      <c r="F211" s="4"/>
      <c r="G211" s="4"/>
      <c r="H211" s="4"/>
      <c r="I211" s="137"/>
      <c r="J211" s="138"/>
    </row>
    <row r="212" spans="6:10" x14ac:dyDescent="0.55000000000000004">
      <c r="F212" s="4"/>
      <c r="G212" s="4"/>
      <c r="H212" s="4"/>
      <c r="I212" s="137"/>
      <c r="J212" s="138"/>
    </row>
    <row r="213" spans="6:10" x14ac:dyDescent="0.55000000000000004">
      <c r="F213" s="4"/>
      <c r="G213" s="4"/>
      <c r="H213" s="4"/>
      <c r="I213" s="137"/>
      <c r="J213" s="138"/>
    </row>
    <row r="214" spans="6:10" x14ac:dyDescent="0.55000000000000004">
      <c r="F214" s="4"/>
      <c r="G214" s="4"/>
      <c r="H214" s="4"/>
      <c r="I214" s="137"/>
      <c r="J214" s="138"/>
    </row>
    <row r="215" spans="6:10" x14ac:dyDescent="0.55000000000000004">
      <c r="F215" s="4"/>
      <c r="G215" s="4"/>
      <c r="H215" s="4"/>
      <c r="I215" s="137"/>
      <c r="J215" s="138"/>
    </row>
    <row r="216" spans="6:10" x14ac:dyDescent="0.55000000000000004">
      <c r="F216" s="4"/>
      <c r="G216" s="4"/>
      <c r="H216" s="4"/>
      <c r="I216" s="137"/>
      <c r="J216" s="138"/>
    </row>
    <row r="217" spans="6:10" x14ac:dyDescent="0.55000000000000004">
      <c r="F217" s="4"/>
      <c r="G217" s="4"/>
      <c r="H217" s="4"/>
      <c r="I217" s="137"/>
      <c r="J217" s="138"/>
    </row>
    <row r="218" spans="6:10" x14ac:dyDescent="0.55000000000000004">
      <c r="F218" s="4"/>
      <c r="G218" s="4"/>
      <c r="H218" s="4"/>
      <c r="I218" s="137"/>
      <c r="J218" s="138"/>
    </row>
    <row r="219" spans="6:10" x14ac:dyDescent="0.55000000000000004">
      <c r="F219" s="4"/>
      <c r="G219" s="4"/>
      <c r="H219" s="4"/>
      <c r="I219" s="137"/>
      <c r="J219" s="138"/>
    </row>
    <row r="220" spans="6:10" x14ac:dyDescent="0.55000000000000004">
      <c r="F220" s="4"/>
      <c r="G220" s="4"/>
      <c r="H220" s="4"/>
      <c r="I220" s="137"/>
      <c r="J220" s="138"/>
    </row>
    <row r="221" spans="6:10" x14ac:dyDescent="0.55000000000000004">
      <c r="F221" s="4"/>
      <c r="G221" s="4"/>
      <c r="H221" s="4"/>
      <c r="I221" s="137"/>
      <c r="J221" s="138"/>
    </row>
    <row r="222" spans="6:10" x14ac:dyDescent="0.55000000000000004">
      <c r="F222" s="4"/>
      <c r="G222" s="4"/>
      <c r="H222" s="4"/>
      <c r="I222" s="137"/>
      <c r="J222" s="138"/>
    </row>
    <row r="223" spans="6:10" x14ac:dyDescent="0.55000000000000004">
      <c r="F223" s="4"/>
      <c r="G223" s="4"/>
      <c r="H223" s="4"/>
      <c r="I223" s="137"/>
      <c r="J223" s="138"/>
    </row>
    <row r="224" spans="6:10" x14ac:dyDescent="0.55000000000000004">
      <c r="F224" s="4"/>
      <c r="G224" s="4"/>
      <c r="H224" s="4"/>
      <c r="I224" s="137"/>
      <c r="J224" s="138"/>
    </row>
    <row r="225" spans="6:10" x14ac:dyDescent="0.55000000000000004">
      <c r="F225" s="4"/>
      <c r="G225" s="4"/>
      <c r="H225" s="4"/>
      <c r="I225" s="137"/>
      <c r="J225" s="138"/>
    </row>
    <row r="226" spans="6:10" x14ac:dyDescent="0.55000000000000004">
      <c r="F226" s="4"/>
      <c r="G226" s="4"/>
      <c r="H226" s="4"/>
      <c r="I226" s="137"/>
      <c r="J226" s="138"/>
    </row>
    <row r="227" spans="6:10" x14ac:dyDescent="0.55000000000000004">
      <c r="F227" s="4"/>
      <c r="G227" s="4"/>
      <c r="H227" s="4"/>
      <c r="I227" s="137"/>
      <c r="J227" s="138"/>
    </row>
    <row r="228" spans="6:10" x14ac:dyDescent="0.55000000000000004">
      <c r="F228" s="4"/>
      <c r="G228" s="4"/>
      <c r="H228" s="4"/>
      <c r="I228" s="137"/>
      <c r="J228" s="138"/>
    </row>
    <row r="229" spans="6:10" x14ac:dyDescent="0.55000000000000004">
      <c r="F229" s="4"/>
      <c r="G229" s="4"/>
      <c r="H229" s="4"/>
      <c r="I229" s="137"/>
      <c r="J229" s="138"/>
    </row>
    <row r="230" spans="6:10" x14ac:dyDescent="0.55000000000000004">
      <c r="F230" s="4"/>
      <c r="G230" s="4"/>
      <c r="H230" s="4"/>
      <c r="I230" s="137"/>
      <c r="J230" s="138"/>
    </row>
    <row r="231" spans="6:10" x14ac:dyDescent="0.55000000000000004">
      <c r="F231" s="4"/>
      <c r="G231" s="4"/>
      <c r="H231" s="4"/>
      <c r="I231" s="137"/>
      <c r="J231" s="138"/>
    </row>
    <row r="232" spans="6:10" x14ac:dyDescent="0.55000000000000004">
      <c r="F232" s="4"/>
      <c r="G232" s="4"/>
      <c r="H232" s="4"/>
      <c r="I232" s="137"/>
      <c r="J232" s="138"/>
    </row>
    <row r="233" spans="6:10" x14ac:dyDescent="0.55000000000000004">
      <c r="F233" s="4"/>
      <c r="G233" s="4"/>
      <c r="H233" s="4"/>
      <c r="I233" s="137"/>
      <c r="J233" s="138"/>
    </row>
    <row r="234" spans="6:10" x14ac:dyDescent="0.55000000000000004">
      <c r="F234" s="4"/>
      <c r="G234" s="4"/>
      <c r="H234" s="4"/>
      <c r="I234" s="137"/>
      <c r="J234" s="138"/>
    </row>
    <row r="235" spans="6:10" x14ac:dyDescent="0.55000000000000004">
      <c r="F235" s="4"/>
      <c r="G235" s="4"/>
      <c r="H235" s="4"/>
      <c r="I235" s="137"/>
      <c r="J235" s="138"/>
    </row>
    <row r="236" spans="6:10" x14ac:dyDescent="0.55000000000000004">
      <c r="F236" s="4"/>
      <c r="G236" s="4"/>
      <c r="H236" s="4"/>
      <c r="I236" s="137"/>
      <c r="J236" s="138"/>
    </row>
    <row r="237" spans="6:10" x14ac:dyDescent="0.55000000000000004">
      <c r="F237" s="4"/>
      <c r="G237" s="4"/>
      <c r="H237" s="4"/>
      <c r="I237" s="137"/>
      <c r="J237" s="138"/>
    </row>
    <row r="238" spans="6:10" x14ac:dyDescent="0.55000000000000004">
      <c r="F238" s="4"/>
      <c r="G238" s="4"/>
      <c r="H238" s="4"/>
      <c r="I238" s="137"/>
      <c r="J238" s="138"/>
    </row>
    <row r="239" spans="6:10" x14ac:dyDescent="0.55000000000000004">
      <c r="F239" s="4"/>
      <c r="G239" s="4"/>
      <c r="H239" s="4"/>
      <c r="I239" s="137"/>
      <c r="J239" s="138"/>
    </row>
    <row r="240" spans="6:10" x14ac:dyDescent="0.55000000000000004">
      <c r="F240" s="4"/>
      <c r="G240" s="4"/>
      <c r="H240" s="4"/>
      <c r="I240" s="137"/>
      <c r="J240" s="138"/>
    </row>
    <row r="241" spans="6:10" x14ac:dyDescent="0.55000000000000004">
      <c r="F241" s="4"/>
      <c r="G241" s="4"/>
      <c r="H241" s="4"/>
      <c r="I241" s="137"/>
      <c r="J241" s="138"/>
    </row>
    <row r="242" spans="6:10" x14ac:dyDescent="0.55000000000000004">
      <c r="F242" s="4"/>
      <c r="G242" s="4"/>
      <c r="H242" s="4"/>
      <c r="I242" s="137"/>
      <c r="J242" s="138"/>
    </row>
    <row r="243" spans="6:10" x14ac:dyDescent="0.55000000000000004">
      <c r="F243" s="4"/>
      <c r="G243" s="4"/>
      <c r="H243" s="4"/>
      <c r="I243" s="137"/>
      <c r="J243" s="138"/>
    </row>
    <row r="244" spans="6:10" x14ac:dyDescent="0.55000000000000004">
      <c r="F244" s="4"/>
      <c r="G244" s="4"/>
      <c r="H244" s="4"/>
      <c r="I244" s="137"/>
      <c r="J244" s="138"/>
    </row>
    <row r="245" spans="6:10" x14ac:dyDescent="0.55000000000000004">
      <c r="F245" s="4"/>
      <c r="G245" s="4"/>
      <c r="H245" s="4"/>
      <c r="I245" s="137"/>
      <c r="J245" s="138"/>
    </row>
    <row r="246" spans="6:10" x14ac:dyDescent="0.55000000000000004">
      <c r="F246" s="4"/>
      <c r="G246" s="4"/>
      <c r="H246" s="4"/>
      <c r="I246" s="137"/>
      <c r="J246" s="138"/>
    </row>
    <row r="247" spans="6:10" x14ac:dyDescent="0.55000000000000004">
      <c r="F247" s="4"/>
      <c r="G247" s="4"/>
      <c r="H247" s="4"/>
      <c r="I247" s="137"/>
      <c r="J247" s="138"/>
    </row>
    <row r="248" spans="6:10" x14ac:dyDescent="0.55000000000000004">
      <c r="F248" s="4"/>
      <c r="G248" s="4"/>
      <c r="H248" s="4"/>
      <c r="I248" s="137"/>
      <c r="J248" s="138"/>
    </row>
    <row r="249" spans="6:10" x14ac:dyDescent="0.55000000000000004">
      <c r="F249" s="4"/>
      <c r="G249" s="4"/>
      <c r="H249" s="4"/>
      <c r="I249" s="137"/>
      <c r="J249" s="138"/>
    </row>
    <row r="250" spans="6:10" x14ac:dyDescent="0.55000000000000004">
      <c r="F250" s="4"/>
      <c r="G250" s="4"/>
      <c r="H250" s="4"/>
      <c r="I250" s="137"/>
      <c r="J250" s="138"/>
    </row>
    <row r="251" spans="6:10" x14ac:dyDescent="0.55000000000000004">
      <c r="F251" s="4"/>
      <c r="G251" s="4"/>
      <c r="H251" s="4"/>
      <c r="I251" s="137"/>
      <c r="J251" s="138"/>
    </row>
    <row r="252" spans="6:10" x14ac:dyDescent="0.55000000000000004">
      <c r="F252" s="4"/>
      <c r="G252" s="4"/>
      <c r="H252" s="4"/>
      <c r="I252" s="137"/>
      <c r="J252" s="138"/>
    </row>
    <row r="253" spans="6:10" x14ac:dyDescent="0.55000000000000004">
      <c r="F253" s="4"/>
      <c r="G253" s="4"/>
      <c r="H253" s="4"/>
      <c r="I253" s="137"/>
      <c r="J253" s="138"/>
    </row>
    <row r="254" spans="6:10" x14ac:dyDescent="0.55000000000000004">
      <c r="F254" s="4"/>
      <c r="G254" s="4"/>
      <c r="H254" s="4"/>
      <c r="I254" s="137"/>
      <c r="J254" s="138"/>
    </row>
    <row r="255" spans="6:10" x14ac:dyDescent="0.55000000000000004">
      <c r="F255" s="4"/>
      <c r="G255" s="4"/>
      <c r="H255" s="4"/>
      <c r="I255" s="137"/>
      <c r="J255" s="138"/>
    </row>
    <row r="256" spans="6:10" x14ac:dyDescent="0.55000000000000004">
      <c r="F256" s="4"/>
      <c r="G256" s="4"/>
      <c r="H256" s="4"/>
      <c r="I256" s="137"/>
      <c r="J256" s="138"/>
    </row>
    <row r="257" spans="6:10" x14ac:dyDescent="0.55000000000000004">
      <c r="F257" s="4"/>
      <c r="G257" s="4"/>
      <c r="H257" s="4"/>
      <c r="I257" s="137"/>
      <c r="J257" s="138"/>
    </row>
    <row r="258" spans="6:10" x14ac:dyDescent="0.55000000000000004">
      <c r="F258" s="4"/>
      <c r="G258" s="4"/>
      <c r="H258" s="4"/>
      <c r="I258" s="137"/>
      <c r="J258" s="138"/>
    </row>
    <row r="259" spans="6:10" x14ac:dyDescent="0.55000000000000004">
      <c r="F259" s="4"/>
      <c r="G259" s="4"/>
      <c r="H259" s="4"/>
      <c r="I259" s="137"/>
      <c r="J259" s="138"/>
    </row>
    <row r="260" spans="6:10" x14ac:dyDescent="0.55000000000000004">
      <c r="F260" s="4"/>
      <c r="G260" s="4"/>
      <c r="H260" s="4"/>
      <c r="I260" s="137"/>
      <c r="J260" s="138"/>
    </row>
    <row r="261" spans="6:10" x14ac:dyDescent="0.55000000000000004">
      <c r="F261" s="4"/>
      <c r="G261" s="4"/>
      <c r="H261" s="4"/>
      <c r="I261" s="137"/>
      <c r="J261" s="138"/>
    </row>
    <row r="262" spans="6:10" x14ac:dyDescent="0.55000000000000004">
      <c r="F262" s="4"/>
      <c r="G262" s="4"/>
      <c r="H262" s="4"/>
      <c r="I262" s="137"/>
      <c r="J262" s="138"/>
    </row>
    <row r="263" spans="6:10" x14ac:dyDescent="0.55000000000000004">
      <c r="F263" s="4"/>
      <c r="G263" s="4"/>
      <c r="H263" s="4"/>
      <c r="I263" s="137"/>
      <c r="J263" s="138"/>
    </row>
    <row r="264" spans="6:10" x14ac:dyDescent="0.55000000000000004">
      <c r="F264" s="4"/>
      <c r="G264" s="4"/>
      <c r="H264" s="4"/>
      <c r="I264" s="137"/>
      <c r="J264" s="138"/>
    </row>
    <row r="265" spans="6:10" x14ac:dyDescent="0.55000000000000004">
      <c r="F265" s="4"/>
      <c r="G265" s="4"/>
      <c r="H265" s="4"/>
      <c r="I265" s="137"/>
      <c r="J265" s="138"/>
    </row>
    <row r="266" spans="6:10" x14ac:dyDescent="0.55000000000000004">
      <c r="F266" s="4"/>
      <c r="G266" s="4"/>
      <c r="H266" s="4"/>
      <c r="I266" s="137"/>
      <c r="J266" s="138"/>
    </row>
    <row r="267" spans="6:10" x14ac:dyDescent="0.55000000000000004">
      <c r="F267" s="4"/>
      <c r="G267" s="4"/>
      <c r="H267" s="4"/>
      <c r="I267" s="137"/>
      <c r="J267" s="138"/>
    </row>
    <row r="268" spans="6:10" x14ac:dyDescent="0.55000000000000004">
      <c r="F268" s="4"/>
      <c r="G268" s="4"/>
      <c r="H268" s="4"/>
      <c r="I268" s="137"/>
      <c r="J268" s="138"/>
    </row>
    <row r="269" spans="6:10" x14ac:dyDescent="0.55000000000000004">
      <c r="F269" s="4"/>
      <c r="G269" s="4"/>
      <c r="H269" s="4"/>
      <c r="I269" s="137"/>
      <c r="J269" s="138"/>
    </row>
    <row r="270" spans="6:10" x14ac:dyDescent="0.55000000000000004">
      <c r="F270" s="4"/>
      <c r="G270" s="4"/>
      <c r="H270" s="4"/>
      <c r="I270" s="137"/>
      <c r="J270" s="138"/>
    </row>
    <row r="271" spans="6:10" x14ac:dyDescent="0.55000000000000004">
      <c r="F271" s="4"/>
      <c r="G271" s="4"/>
      <c r="H271" s="4"/>
      <c r="I271" s="137"/>
      <c r="J271" s="138"/>
    </row>
    <row r="272" spans="6:10" x14ac:dyDescent="0.55000000000000004">
      <c r="F272" s="4"/>
      <c r="G272" s="4"/>
      <c r="H272" s="4"/>
      <c r="I272" s="137"/>
      <c r="J272" s="138"/>
    </row>
    <row r="273" spans="6:10" x14ac:dyDescent="0.55000000000000004">
      <c r="F273" s="4"/>
      <c r="G273" s="4"/>
      <c r="H273" s="4"/>
      <c r="I273" s="137"/>
      <c r="J273" s="138"/>
    </row>
    <row r="274" spans="6:10" x14ac:dyDescent="0.55000000000000004">
      <c r="F274" s="4"/>
      <c r="G274" s="4"/>
      <c r="H274" s="4"/>
      <c r="I274" s="137"/>
      <c r="J274" s="138"/>
    </row>
    <row r="275" spans="6:10" x14ac:dyDescent="0.55000000000000004">
      <c r="F275" s="4"/>
      <c r="G275" s="4"/>
      <c r="H275" s="4"/>
      <c r="I275" s="137"/>
      <c r="J275" s="138"/>
    </row>
    <row r="276" spans="6:10" x14ac:dyDescent="0.55000000000000004">
      <c r="F276" s="4"/>
      <c r="G276" s="4"/>
      <c r="H276" s="4"/>
      <c r="I276" s="137"/>
      <c r="J276" s="138"/>
    </row>
    <row r="277" spans="6:10" x14ac:dyDescent="0.55000000000000004">
      <c r="F277" s="4"/>
      <c r="G277" s="4"/>
      <c r="H277" s="4"/>
      <c r="I277" s="137"/>
      <c r="J277" s="138"/>
    </row>
    <row r="278" spans="6:10" x14ac:dyDescent="0.55000000000000004">
      <c r="F278" s="4"/>
      <c r="G278" s="4"/>
      <c r="H278" s="4"/>
      <c r="I278" s="137"/>
      <c r="J278" s="138"/>
    </row>
    <row r="279" spans="6:10" x14ac:dyDescent="0.55000000000000004">
      <c r="F279" s="4"/>
      <c r="G279" s="4"/>
      <c r="H279" s="4"/>
      <c r="I279" s="137"/>
      <c r="J279" s="138"/>
    </row>
    <row r="280" spans="6:10" x14ac:dyDescent="0.55000000000000004">
      <c r="F280" s="4"/>
      <c r="G280" s="4"/>
      <c r="H280" s="4"/>
      <c r="I280" s="137"/>
      <c r="J280" s="138"/>
    </row>
    <row r="281" spans="6:10" x14ac:dyDescent="0.55000000000000004">
      <c r="F281" s="4"/>
      <c r="G281" s="4"/>
      <c r="H281" s="4"/>
      <c r="I281" s="137"/>
      <c r="J281" s="138"/>
    </row>
  </sheetData>
  <autoFilter ref="A1:I283" xr:uid="{12E966EA-5998-4101-9033-41A1E3405134}">
    <sortState xmlns:xlrd2="http://schemas.microsoft.com/office/spreadsheetml/2017/richdata2" ref="A2:I281">
      <sortCondition ref="C1:C28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66EA-5998-4101-9033-41A1E3405134}">
  <dimension ref="A1:K221"/>
  <sheetViews>
    <sheetView workbookViewId="0">
      <selection activeCell="L1" sqref="L1:L1048576"/>
    </sheetView>
  </sheetViews>
  <sheetFormatPr defaultRowHeight="14.4" x14ac:dyDescent="0.55000000000000004"/>
  <cols>
    <col min="1" max="1" width="10.15625" bestFit="1" customWidth="1"/>
    <col min="2" max="2" width="11.15625" customWidth="1"/>
    <col min="3" max="3" width="14.1015625" bestFit="1" customWidth="1"/>
    <col min="4" max="4" width="6.62890625" bestFit="1" customWidth="1"/>
    <col min="5" max="5" width="14.734375" style="4" bestFit="1" customWidth="1"/>
    <col min="6" max="6" width="15.3125" bestFit="1" customWidth="1"/>
    <col min="7" max="7" width="15.3125" customWidth="1"/>
    <col min="8" max="8" width="7" bestFit="1" customWidth="1"/>
    <col min="9" max="10" width="14.734375" style="126" customWidth="1"/>
    <col min="11" max="11" width="13.3125" bestFit="1" customWidth="1"/>
    <col min="12" max="12" width="15" customWidth="1"/>
    <col min="14" max="14" width="14.05078125" bestFit="1" customWidth="1"/>
  </cols>
  <sheetData>
    <row r="1" spans="1:11" x14ac:dyDescent="0.55000000000000004">
      <c r="A1" t="s">
        <v>0</v>
      </c>
      <c r="B1" t="s">
        <v>1</v>
      </c>
      <c r="C1" t="s">
        <v>8</v>
      </c>
      <c r="D1" t="s">
        <v>16</v>
      </c>
      <c r="E1" s="4" t="s">
        <v>17</v>
      </c>
      <c r="F1" t="s">
        <v>57</v>
      </c>
      <c r="G1" t="s">
        <v>61</v>
      </c>
      <c r="H1" t="s">
        <v>60</v>
      </c>
      <c r="I1" s="4" t="s">
        <v>58</v>
      </c>
      <c r="J1" s="4" t="s">
        <v>59</v>
      </c>
      <c r="K1" t="s">
        <v>56</v>
      </c>
    </row>
    <row r="2" spans="1:11" x14ac:dyDescent="0.55000000000000004">
      <c r="A2" s="5">
        <v>44531</v>
      </c>
      <c r="B2" s="6" t="s">
        <v>2</v>
      </c>
      <c r="C2" s="6" t="s">
        <v>9</v>
      </c>
      <c r="D2" s="7">
        <v>130.36985778808591</v>
      </c>
      <c r="E2" s="95">
        <v>357317696</v>
      </c>
      <c r="F2" s="4">
        <v>443848455</v>
      </c>
      <c r="G2" s="4">
        <f>F2*1.07</f>
        <v>474917846.85000002</v>
      </c>
      <c r="H2" s="4">
        <v>81</v>
      </c>
      <c r="I2" s="125">
        <f>E2-100000000</f>
        <v>257317696</v>
      </c>
      <c r="J2" s="125">
        <f>E2+100000000</f>
        <v>457317696</v>
      </c>
      <c r="K2" s="4">
        <f ca="1">RANDBETWEEN(257417696,457417696)</f>
        <v>310963747</v>
      </c>
    </row>
    <row r="3" spans="1:11" x14ac:dyDescent="0.55000000000000004">
      <c r="A3" s="11">
        <v>44533</v>
      </c>
      <c r="B3" s="12" t="s">
        <v>2</v>
      </c>
      <c r="C3" s="12" t="s">
        <v>9</v>
      </c>
      <c r="D3" s="13">
        <v>65.5526123046875</v>
      </c>
      <c r="E3" s="97">
        <v>148714294.5</v>
      </c>
      <c r="F3" s="4">
        <v>74657746</v>
      </c>
      <c r="G3" s="4">
        <f t="shared" ref="G3:G66" si="0">F3*1.07</f>
        <v>79883788.219999999</v>
      </c>
      <c r="H3" s="4">
        <v>89</v>
      </c>
      <c r="I3" s="125">
        <f>E3-100000000</f>
        <v>48714294.5</v>
      </c>
      <c r="J3" s="125">
        <f>E3+100000000</f>
        <v>248714294.5</v>
      </c>
      <c r="K3" s="4">
        <f ca="1">RANDBETWEEN(48714294,248714294)</f>
        <v>120964221</v>
      </c>
    </row>
    <row r="4" spans="1:11" x14ac:dyDescent="0.55000000000000004">
      <c r="A4" s="14">
        <v>44534</v>
      </c>
      <c r="B4" s="15" t="s">
        <v>2</v>
      </c>
      <c r="C4" s="15" t="s">
        <v>9</v>
      </c>
      <c r="D4" s="16">
        <v>196.76289367675781</v>
      </c>
      <c r="E4" s="98">
        <v>37857180</v>
      </c>
      <c r="F4" s="4">
        <v>46428470</v>
      </c>
      <c r="G4" s="4">
        <f t="shared" si="0"/>
        <v>49678462.900000006</v>
      </c>
      <c r="H4" s="4">
        <v>93</v>
      </c>
      <c r="I4" s="125">
        <f>E4-10000000</f>
        <v>27857180</v>
      </c>
      <c r="J4" s="125">
        <f>E4+10000000</f>
        <v>47857180</v>
      </c>
      <c r="K4" s="4">
        <f t="shared" ref="K4:K24" ca="1" si="1">RANDBETWEEN(I4,J4)</f>
        <v>34636665</v>
      </c>
    </row>
    <row r="5" spans="1:11" x14ac:dyDescent="0.55000000000000004">
      <c r="A5" s="17">
        <v>44535</v>
      </c>
      <c r="B5" s="18" t="s">
        <v>2</v>
      </c>
      <c r="C5" s="18" t="s">
        <v>9</v>
      </c>
      <c r="D5" s="19">
        <v>3.8977007865905762</v>
      </c>
      <c r="E5" s="99">
        <v>10907716</v>
      </c>
      <c r="F5" s="4">
        <v>13169907</v>
      </c>
      <c r="G5" s="4">
        <f t="shared" si="0"/>
        <v>14091800.49</v>
      </c>
      <c r="H5" s="4">
        <v>83</v>
      </c>
      <c r="I5" s="125">
        <f>E5-10000000</f>
        <v>907716</v>
      </c>
      <c r="J5" s="125">
        <f>E5+10000000</f>
        <v>20907716</v>
      </c>
      <c r="K5" s="4">
        <f t="shared" ca="1" si="1"/>
        <v>13217884</v>
      </c>
    </row>
    <row r="6" spans="1:11" x14ac:dyDescent="0.55000000000000004">
      <c r="A6" s="20">
        <v>44536</v>
      </c>
      <c r="B6" s="21" t="s">
        <v>2</v>
      </c>
      <c r="C6" s="21" t="s">
        <v>9</v>
      </c>
      <c r="D6" s="22">
        <v>94.862197875976563</v>
      </c>
      <c r="E6" s="100">
        <v>18251486</v>
      </c>
      <c r="F6" s="4">
        <v>17293755</v>
      </c>
      <c r="G6" s="4">
        <f t="shared" si="0"/>
        <v>18504317.850000001</v>
      </c>
      <c r="H6" s="4">
        <v>139</v>
      </c>
      <c r="I6" s="125">
        <f>E6-10000000</f>
        <v>8251486</v>
      </c>
      <c r="J6" s="125">
        <f>E6+10000000</f>
        <v>28251486</v>
      </c>
      <c r="K6" s="4">
        <f t="shared" ca="1" si="1"/>
        <v>21025289</v>
      </c>
    </row>
    <row r="7" spans="1:11" x14ac:dyDescent="0.55000000000000004">
      <c r="A7" s="23">
        <v>44537</v>
      </c>
      <c r="B7" s="24" t="s">
        <v>2</v>
      </c>
      <c r="C7" s="24" t="s">
        <v>9</v>
      </c>
      <c r="D7" s="25">
        <v>641.0289306640625</v>
      </c>
      <c r="E7" s="101">
        <v>209808768</v>
      </c>
      <c r="F7" s="4">
        <v>282000579</v>
      </c>
      <c r="G7" s="4">
        <f t="shared" si="0"/>
        <v>301740619.53000003</v>
      </c>
      <c r="H7" s="4">
        <v>142</v>
      </c>
      <c r="I7" s="125">
        <f>E7-100000000</f>
        <v>109808768</v>
      </c>
      <c r="J7" s="125">
        <f>E7+100000000</f>
        <v>309808768</v>
      </c>
      <c r="K7" s="4">
        <f t="shared" ca="1" si="1"/>
        <v>271147085</v>
      </c>
    </row>
    <row r="8" spans="1:11" x14ac:dyDescent="0.55000000000000004">
      <c r="A8" s="32">
        <v>44540</v>
      </c>
      <c r="B8" s="33" t="s">
        <v>2</v>
      </c>
      <c r="C8" s="33" t="s">
        <v>9</v>
      </c>
      <c r="D8" s="34">
        <v>7.6688151359558114</v>
      </c>
      <c r="E8" s="104">
        <v>27708962</v>
      </c>
      <c r="F8" s="4">
        <v>26307282</v>
      </c>
      <c r="G8" s="4">
        <f t="shared" si="0"/>
        <v>28148791.740000002</v>
      </c>
      <c r="H8" s="4">
        <v>129</v>
      </c>
      <c r="I8" s="125">
        <f>E8-10000000</f>
        <v>17708962</v>
      </c>
      <c r="J8" s="125">
        <f>E8+10000000</f>
        <v>37708962</v>
      </c>
      <c r="K8" s="4">
        <f t="shared" ca="1" si="1"/>
        <v>18571311</v>
      </c>
    </row>
    <row r="9" spans="1:11" x14ac:dyDescent="0.55000000000000004">
      <c r="A9" s="35">
        <v>44541</v>
      </c>
      <c r="B9" s="36" t="s">
        <v>2</v>
      </c>
      <c r="C9" s="36" t="s">
        <v>9</v>
      </c>
      <c r="D9" s="37">
        <v>221.34512090682981</v>
      </c>
      <c r="E9" s="105">
        <v>855738255.875</v>
      </c>
      <c r="F9" s="4">
        <v>761211234</v>
      </c>
      <c r="G9" s="4">
        <f t="shared" si="0"/>
        <v>814496020.38</v>
      </c>
      <c r="H9" s="4">
        <v>110</v>
      </c>
      <c r="I9" s="125">
        <f>E9-100000000</f>
        <v>755738255.875</v>
      </c>
      <c r="J9" s="125">
        <f>E9+100000000</f>
        <v>955738255.875</v>
      </c>
      <c r="K9" s="4">
        <f t="shared" ca="1" si="1"/>
        <v>859392259</v>
      </c>
    </row>
    <row r="10" spans="1:11" x14ac:dyDescent="0.55000000000000004">
      <c r="A10" s="41">
        <v>44544</v>
      </c>
      <c r="B10" s="42" t="s">
        <v>2</v>
      </c>
      <c r="C10" s="42" t="s">
        <v>9</v>
      </c>
      <c r="D10" s="43">
        <v>101.5482940673828</v>
      </c>
      <c r="E10" s="107">
        <v>18786434</v>
      </c>
      <c r="F10" s="4">
        <v>23154362</v>
      </c>
      <c r="G10" s="4">
        <f t="shared" si="0"/>
        <v>24775167.34</v>
      </c>
      <c r="H10" s="4">
        <v>109</v>
      </c>
      <c r="I10" s="125">
        <f>E10-10000000</f>
        <v>8786434</v>
      </c>
      <c r="J10" s="125">
        <f>E10+10000000</f>
        <v>28786434</v>
      </c>
      <c r="K10" s="4">
        <f t="shared" ca="1" si="1"/>
        <v>12250425</v>
      </c>
    </row>
    <row r="11" spans="1:11" x14ac:dyDescent="0.55000000000000004">
      <c r="A11" s="44">
        <v>44545</v>
      </c>
      <c r="B11" s="45" t="s">
        <v>2</v>
      </c>
      <c r="C11" s="45" t="s">
        <v>9</v>
      </c>
      <c r="D11" s="46">
        <v>101.5482940673828</v>
      </c>
      <c r="E11" s="108">
        <v>38293860</v>
      </c>
      <c r="F11" s="4">
        <v>43014005</v>
      </c>
      <c r="G11" s="4">
        <f t="shared" si="0"/>
        <v>46024985.350000001</v>
      </c>
      <c r="H11" s="4">
        <v>152</v>
      </c>
      <c r="I11" s="125">
        <f>E11-10000000</f>
        <v>28293860</v>
      </c>
      <c r="J11" s="125">
        <f>E11+10000000</f>
        <v>48293860</v>
      </c>
      <c r="K11" s="4">
        <f t="shared" ca="1" si="1"/>
        <v>47484516</v>
      </c>
    </row>
    <row r="12" spans="1:11" x14ac:dyDescent="0.55000000000000004">
      <c r="A12" s="47">
        <v>44546</v>
      </c>
      <c r="B12" s="48" t="s">
        <v>2</v>
      </c>
      <c r="C12" s="48" t="s">
        <v>9</v>
      </c>
      <c r="D12" s="49">
        <v>179.83604860305789</v>
      </c>
      <c r="E12" s="109">
        <v>893590718.5</v>
      </c>
      <c r="F12" s="4">
        <v>960062942</v>
      </c>
      <c r="G12" s="4">
        <f t="shared" si="0"/>
        <v>1027267347.9400001</v>
      </c>
      <c r="H12" s="4">
        <v>152</v>
      </c>
      <c r="I12" s="125">
        <f>E12-100000000</f>
        <v>793590718.5</v>
      </c>
      <c r="J12" s="125">
        <f>E12+100000000</f>
        <v>993590718.5</v>
      </c>
      <c r="K12" s="4">
        <f t="shared" ca="1" si="1"/>
        <v>826912442</v>
      </c>
    </row>
    <row r="13" spans="1:11" x14ac:dyDescent="0.55000000000000004">
      <c r="A13" s="53">
        <v>44548</v>
      </c>
      <c r="B13" s="54" t="s">
        <v>2</v>
      </c>
      <c r="C13" s="54" t="s">
        <v>9</v>
      </c>
      <c r="D13" s="55">
        <v>104.52700042724609</v>
      </c>
      <c r="E13" s="111">
        <v>19159800</v>
      </c>
      <c r="F13" s="4">
        <v>16133186</v>
      </c>
      <c r="G13" s="4">
        <f t="shared" si="0"/>
        <v>17262509.02</v>
      </c>
      <c r="H13" s="4">
        <v>151</v>
      </c>
      <c r="I13" s="125">
        <f>E13-10000000</f>
        <v>9159800</v>
      </c>
      <c r="J13" s="125">
        <f>E13+10000000</f>
        <v>29159800</v>
      </c>
      <c r="K13" s="4">
        <f t="shared" ca="1" si="1"/>
        <v>20403495</v>
      </c>
    </row>
    <row r="14" spans="1:11" x14ac:dyDescent="0.55000000000000004">
      <c r="A14" s="56">
        <v>44549</v>
      </c>
      <c r="B14" s="57" t="s">
        <v>2</v>
      </c>
      <c r="C14" s="57" t="s">
        <v>9</v>
      </c>
      <c r="D14" s="58">
        <v>36.768291473388672</v>
      </c>
      <c r="E14" s="112">
        <v>135630880</v>
      </c>
      <c r="F14" s="4">
        <v>78165679</v>
      </c>
      <c r="G14" s="4">
        <f t="shared" si="0"/>
        <v>83637276.530000001</v>
      </c>
      <c r="H14" s="4">
        <v>122</v>
      </c>
      <c r="I14" s="125">
        <f>E14-100000000</f>
        <v>35630880</v>
      </c>
      <c r="J14" s="125">
        <f>E14+100000000</f>
        <v>235630880</v>
      </c>
      <c r="K14" s="4">
        <f t="shared" ca="1" si="1"/>
        <v>122684444</v>
      </c>
    </row>
    <row r="15" spans="1:11" x14ac:dyDescent="0.55000000000000004">
      <c r="A15" s="62">
        <v>44551</v>
      </c>
      <c r="B15" s="63" t="s">
        <v>2</v>
      </c>
      <c r="C15" s="63" t="s">
        <v>9</v>
      </c>
      <c r="D15" s="64">
        <v>29.704229354858398</v>
      </c>
      <c r="E15" s="114">
        <v>128794568</v>
      </c>
      <c r="F15" s="4">
        <v>162991314</v>
      </c>
      <c r="G15" s="4">
        <f t="shared" si="0"/>
        <v>174400705.98000002</v>
      </c>
      <c r="H15" s="4"/>
      <c r="I15" s="125">
        <f>E15-100000000</f>
        <v>28794568</v>
      </c>
      <c r="J15" s="125">
        <f>E15+100000000</f>
        <v>228794568</v>
      </c>
      <c r="K15" s="4">
        <f t="shared" ca="1" si="1"/>
        <v>218086237</v>
      </c>
    </row>
    <row r="16" spans="1:11" x14ac:dyDescent="0.55000000000000004">
      <c r="A16" s="65">
        <v>44552</v>
      </c>
      <c r="B16" s="66" t="s">
        <v>2</v>
      </c>
      <c r="C16" s="66" t="s">
        <v>9</v>
      </c>
      <c r="D16" s="67">
        <v>104.52700042724609</v>
      </c>
      <c r="E16" s="115">
        <v>385976416</v>
      </c>
      <c r="F16" s="4">
        <v>293336866</v>
      </c>
      <c r="G16" s="4">
        <f t="shared" si="0"/>
        <v>313870446.62</v>
      </c>
      <c r="H16" s="4"/>
      <c r="I16" s="125">
        <f>E16-100000000</f>
        <v>285976416</v>
      </c>
      <c r="J16" s="125">
        <f>E16+100000000</f>
        <v>485976416</v>
      </c>
      <c r="K16" s="4">
        <f t="shared" ca="1" si="1"/>
        <v>477221600</v>
      </c>
    </row>
    <row r="17" spans="1:11" x14ac:dyDescent="0.55000000000000004">
      <c r="A17" s="68">
        <v>44553</v>
      </c>
      <c r="B17" s="69" t="s">
        <v>2</v>
      </c>
      <c r="C17" s="69" t="s">
        <v>9</v>
      </c>
      <c r="D17" s="70">
        <v>139.0892028808594</v>
      </c>
      <c r="E17" s="116">
        <v>3934444032</v>
      </c>
      <c r="F17" s="4">
        <v>4009140653</v>
      </c>
      <c r="G17" s="4">
        <f t="shared" si="0"/>
        <v>4289780498.71</v>
      </c>
      <c r="H17" s="4"/>
      <c r="I17" s="125">
        <f>E17-1000000000</f>
        <v>2934444032</v>
      </c>
      <c r="J17" s="125">
        <f>E17+1000000000</f>
        <v>4934444032</v>
      </c>
      <c r="K17" s="4">
        <f t="shared" ca="1" si="1"/>
        <v>3413103358</v>
      </c>
    </row>
    <row r="18" spans="1:11" x14ac:dyDescent="0.55000000000000004">
      <c r="A18" s="71">
        <v>44554</v>
      </c>
      <c r="B18" s="72" t="s">
        <v>2</v>
      </c>
      <c r="C18" s="72" t="s">
        <v>9</v>
      </c>
      <c r="D18" s="73">
        <v>91.500526428222656</v>
      </c>
      <c r="E18" s="117">
        <v>405036224</v>
      </c>
      <c r="F18" s="4">
        <v>327483570</v>
      </c>
      <c r="G18" s="4">
        <f t="shared" si="0"/>
        <v>350407419.90000004</v>
      </c>
      <c r="H18" s="4"/>
      <c r="I18" s="125">
        <f>E18-100000000</f>
        <v>305036224</v>
      </c>
      <c r="J18" s="125">
        <f>E18+100000000</f>
        <v>505036224</v>
      </c>
      <c r="K18" s="4">
        <f t="shared" ca="1" si="1"/>
        <v>387869598</v>
      </c>
    </row>
    <row r="19" spans="1:11" x14ac:dyDescent="0.55000000000000004">
      <c r="A19" s="77">
        <v>44556</v>
      </c>
      <c r="B19" s="78" t="s">
        <v>2</v>
      </c>
      <c r="C19" s="78" t="s">
        <v>9</v>
      </c>
      <c r="D19" s="79">
        <v>201.49024963378909</v>
      </c>
      <c r="E19" s="119">
        <v>563870464</v>
      </c>
      <c r="F19" s="4">
        <v>590209823</v>
      </c>
      <c r="G19" s="4">
        <f t="shared" si="0"/>
        <v>631524510.61000001</v>
      </c>
      <c r="H19" s="4"/>
      <c r="I19" s="125">
        <f>E19-100000000</f>
        <v>463870464</v>
      </c>
      <c r="J19" s="125">
        <f>E19+100000000</f>
        <v>663870464</v>
      </c>
      <c r="K19" s="4">
        <f t="shared" ca="1" si="1"/>
        <v>630427893</v>
      </c>
    </row>
    <row r="20" spans="1:11" x14ac:dyDescent="0.55000000000000004">
      <c r="A20" s="80">
        <v>44557</v>
      </c>
      <c r="B20" s="81" t="s">
        <v>2</v>
      </c>
      <c r="C20" s="81" t="s">
        <v>9</v>
      </c>
      <c r="D20" s="82">
        <v>114.95172214508059</v>
      </c>
      <c r="E20" s="120">
        <v>220874635</v>
      </c>
      <c r="F20" s="4">
        <v>229568743</v>
      </c>
      <c r="G20" s="4">
        <f t="shared" si="0"/>
        <v>245638555.01000002</v>
      </c>
      <c r="H20" s="4"/>
      <c r="I20" s="125">
        <f>E20-100000000</f>
        <v>120874635</v>
      </c>
      <c r="J20" s="125">
        <f>E20+100000000</f>
        <v>320874635</v>
      </c>
      <c r="K20" s="4">
        <f t="shared" ca="1" si="1"/>
        <v>269375157</v>
      </c>
    </row>
    <row r="21" spans="1:11" x14ac:dyDescent="0.55000000000000004">
      <c r="A21" s="83">
        <v>44558</v>
      </c>
      <c r="B21" s="84" t="s">
        <v>2</v>
      </c>
      <c r="C21" s="84" t="s">
        <v>9</v>
      </c>
      <c r="D21" s="85">
        <v>1.953472971916199</v>
      </c>
      <c r="E21" s="121">
        <v>486024.0625</v>
      </c>
      <c r="F21" s="4">
        <v>490883</v>
      </c>
      <c r="G21" s="4">
        <f t="shared" si="0"/>
        <v>525244.81000000006</v>
      </c>
      <c r="H21" s="4"/>
      <c r="I21" s="125">
        <f>E21-100000</f>
        <v>386024.0625</v>
      </c>
      <c r="J21" s="125">
        <f>E21+100000</f>
        <v>586024.0625</v>
      </c>
      <c r="K21" s="4">
        <f t="shared" ca="1" si="1"/>
        <v>505268</v>
      </c>
    </row>
    <row r="22" spans="1:11" x14ac:dyDescent="0.55000000000000004">
      <c r="A22" s="86">
        <v>44559</v>
      </c>
      <c r="B22" s="87" t="s">
        <v>2</v>
      </c>
      <c r="C22" s="87" t="s">
        <v>9</v>
      </c>
      <c r="D22" s="88">
        <v>201.55277526378629</v>
      </c>
      <c r="E22" s="122">
        <v>897518281.9375</v>
      </c>
      <c r="F22" s="4">
        <v>955465140</v>
      </c>
      <c r="G22" s="4">
        <f t="shared" si="0"/>
        <v>1022347699.8000001</v>
      </c>
      <c r="H22" s="4"/>
      <c r="I22" s="125">
        <f>E22-100000000</f>
        <v>797518281.9375</v>
      </c>
      <c r="J22" s="125">
        <f>E22+100000000</f>
        <v>997518281.9375</v>
      </c>
      <c r="K22" s="4">
        <f t="shared" ca="1" si="1"/>
        <v>908817546</v>
      </c>
    </row>
    <row r="23" spans="1:11" x14ac:dyDescent="0.55000000000000004">
      <c r="A23" s="89">
        <v>44560</v>
      </c>
      <c r="B23" s="90" t="s">
        <v>2</v>
      </c>
      <c r="C23" s="90" t="s">
        <v>9</v>
      </c>
      <c r="D23" s="91">
        <v>430.66260528564447</v>
      </c>
      <c r="E23" s="123">
        <v>1285230357</v>
      </c>
      <c r="F23" s="4">
        <v>891416849</v>
      </c>
      <c r="G23" s="4">
        <f t="shared" si="0"/>
        <v>953816028.43000007</v>
      </c>
      <c r="H23" s="4"/>
      <c r="I23" s="125">
        <f>E23-1000000000</f>
        <v>285230357</v>
      </c>
      <c r="J23" s="125">
        <f>E23+1000000000</f>
        <v>2285230357</v>
      </c>
      <c r="K23" s="4">
        <f t="shared" ca="1" si="1"/>
        <v>787432021</v>
      </c>
    </row>
    <row r="24" spans="1:11" x14ac:dyDescent="0.55000000000000004">
      <c r="A24" s="92">
        <v>44561</v>
      </c>
      <c r="B24" s="93" t="s">
        <v>2</v>
      </c>
      <c r="C24" s="93" t="s">
        <v>9</v>
      </c>
      <c r="D24" s="94">
        <v>94.75714635848999</v>
      </c>
      <c r="E24" s="124">
        <v>66710686</v>
      </c>
      <c r="F24" s="4">
        <v>66880530</v>
      </c>
      <c r="G24" s="4">
        <f t="shared" si="0"/>
        <v>71562167.100000009</v>
      </c>
      <c r="H24" s="4"/>
      <c r="I24" s="125">
        <f>E24-10000000</f>
        <v>56710686</v>
      </c>
      <c r="J24" s="125">
        <f>E24+10000000</f>
        <v>76710686</v>
      </c>
      <c r="K24" s="4">
        <f t="shared" ca="1" si="1"/>
        <v>73311865</v>
      </c>
    </row>
    <row r="25" spans="1:11" x14ac:dyDescent="0.55000000000000004">
      <c r="A25" s="5">
        <v>44531</v>
      </c>
      <c r="B25" s="6" t="s">
        <v>7</v>
      </c>
      <c r="C25" s="6" t="s">
        <v>15</v>
      </c>
      <c r="D25" s="7">
        <v>21.952644348144531</v>
      </c>
      <c r="E25" s="95">
        <v>4032918.375</v>
      </c>
      <c r="F25" s="4">
        <v>4612131</v>
      </c>
      <c r="G25" s="4">
        <f t="shared" si="0"/>
        <v>4934980.17</v>
      </c>
      <c r="H25" s="4">
        <v>150</v>
      </c>
      <c r="I25" s="125">
        <f>E25-1000000</f>
        <v>3032918.375</v>
      </c>
      <c r="J25" s="125">
        <f>E25+1000000</f>
        <v>5032918.375</v>
      </c>
      <c r="K25" s="4">
        <f ca="1">RANDBETWEEN(3132918,5132918)</f>
        <v>4872658</v>
      </c>
    </row>
    <row r="26" spans="1:11" x14ac:dyDescent="0.55000000000000004">
      <c r="A26" s="8">
        <v>44532</v>
      </c>
      <c r="B26" s="9" t="s">
        <v>7</v>
      </c>
      <c r="C26" s="9" t="s">
        <v>15</v>
      </c>
      <c r="D26" s="10">
        <v>244.50102281570429</v>
      </c>
      <c r="E26" s="96">
        <v>310255279.25</v>
      </c>
      <c r="F26" s="4">
        <v>351490491</v>
      </c>
      <c r="G26" s="4">
        <f t="shared" si="0"/>
        <v>376094825.37</v>
      </c>
      <c r="H26" s="4">
        <v>113</v>
      </c>
      <c r="I26" s="125">
        <f>E26-100000000</f>
        <v>210255279.25</v>
      </c>
      <c r="J26" s="125">
        <f>E26+100000000</f>
        <v>410255279.25</v>
      </c>
      <c r="K26" s="4">
        <f ca="1">RANDBETWEEN(210255279,410255279)</f>
        <v>300604103</v>
      </c>
    </row>
    <row r="27" spans="1:11" x14ac:dyDescent="0.55000000000000004">
      <c r="A27" s="11">
        <v>44533</v>
      </c>
      <c r="B27" s="12" t="s">
        <v>7</v>
      </c>
      <c r="C27" s="12" t="s">
        <v>15</v>
      </c>
      <c r="D27" s="13">
        <v>29.09744668006897</v>
      </c>
      <c r="E27" s="97">
        <v>5580890.0625</v>
      </c>
      <c r="F27" s="4">
        <v>6339380</v>
      </c>
      <c r="G27" s="4">
        <f t="shared" si="0"/>
        <v>6783136.6000000006</v>
      </c>
      <c r="H27" s="4">
        <v>79</v>
      </c>
      <c r="I27" s="125">
        <f>E27-1000000</f>
        <v>4580890.0625</v>
      </c>
      <c r="J27" s="125">
        <f>E27+1000000</f>
        <v>6580890.0625</v>
      </c>
      <c r="K27" s="4">
        <f ca="1">RANDBETWEEN(4580890,6580890)</f>
        <v>4720668</v>
      </c>
    </row>
    <row r="28" spans="1:11" x14ac:dyDescent="0.55000000000000004">
      <c r="A28" s="14">
        <v>44534</v>
      </c>
      <c r="B28" s="15" t="s">
        <v>7</v>
      </c>
      <c r="C28" s="15" t="s">
        <v>15</v>
      </c>
      <c r="D28" s="16">
        <v>19.793291091918949</v>
      </c>
      <c r="E28" s="98">
        <v>55391524</v>
      </c>
      <c r="F28" s="4">
        <v>54941947</v>
      </c>
      <c r="G28" s="4">
        <f t="shared" si="0"/>
        <v>58787883.290000007</v>
      </c>
      <c r="H28" s="4">
        <v>153</v>
      </c>
      <c r="I28" s="125">
        <f>E28-10000000</f>
        <v>45391524</v>
      </c>
      <c r="J28" s="125">
        <f>E28+10000000</f>
        <v>65391524</v>
      </c>
      <c r="K28" s="4">
        <f t="shared" ref="K28:K51" ca="1" si="2">RANDBETWEEN(I28,J28)</f>
        <v>53619939</v>
      </c>
    </row>
    <row r="29" spans="1:11" x14ac:dyDescent="0.55000000000000004">
      <c r="A29" s="17">
        <v>44535</v>
      </c>
      <c r="B29" s="18" t="s">
        <v>7</v>
      </c>
      <c r="C29" s="18" t="s">
        <v>15</v>
      </c>
      <c r="D29" s="19">
        <v>127.3746271133423</v>
      </c>
      <c r="E29" s="99">
        <v>912653974</v>
      </c>
      <c r="F29" s="4">
        <v>977797884</v>
      </c>
      <c r="G29" s="4">
        <f t="shared" si="0"/>
        <v>1046243735.8800001</v>
      </c>
      <c r="H29" s="4">
        <v>126</v>
      </c>
      <c r="I29" s="125">
        <f>E29-100000000</f>
        <v>812653974</v>
      </c>
      <c r="J29" s="125">
        <f>E29+100000000</f>
        <v>1012653974</v>
      </c>
      <c r="K29" s="4">
        <f t="shared" ca="1" si="2"/>
        <v>818597035</v>
      </c>
    </row>
    <row r="30" spans="1:11" x14ac:dyDescent="0.55000000000000004">
      <c r="A30" s="20">
        <v>44536</v>
      </c>
      <c r="B30" s="21" t="s">
        <v>7</v>
      </c>
      <c r="C30" s="21" t="s">
        <v>15</v>
      </c>
      <c r="D30" s="22">
        <v>33.501455307006843</v>
      </c>
      <c r="E30" s="100">
        <v>91296762.375</v>
      </c>
      <c r="F30" s="4">
        <v>84850706</v>
      </c>
      <c r="G30" s="4">
        <f t="shared" si="0"/>
        <v>90790255.420000002</v>
      </c>
      <c r="H30" s="4">
        <v>117</v>
      </c>
      <c r="I30" s="125">
        <f>E30-10000000</f>
        <v>81296762.375</v>
      </c>
      <c r="J30" s="125">
        <f>E30+10000000</f>
        <v>101296762.375</v>
      </c>
      <c r="K30" s="4">
        <f t="shared" ca="1" si="2"/>
        <v>97344834</v>
      </c>
    </row>
    <row r="31" spans="1:11" x14ac:dyDescent="0.55000000000000004">
      <c r="A31" s="23">
        <v>44537</v>
      </c>
      <c r="B31" s="24" t="s">
        <v>7</v>
      </c>
      <c r="C31" s="24" t="s">
        <v>15</v>
      </c>
      <c r="D31" s="25">
        <v>38.279990673065193</v>
      </c>
      <c r="E31" s="101">
        <v>11607739</v>
      </c>
      <c r="F31" s="4">
        <v>14983372</v>
      </c>
      <c r="G31" s="4">
        <f t="shared" si="0"/>
        <v>16032208.040000001</v>
      </c>
      <c r="H31" s="4">
        <v>126</v>
      </c>
      <c r="I31" s="125">
        <f>E31-10000000</f>
        <v>1607739</v>
      </c>
      <c r="J31" s="125">
        <f>E31+10000000</f>
        <v>21607739</v>
      </c>
      <c r="K31" s="4">
        <f t="shared" ca="1" si="2"/>
        <v>12120903</v>
      </c>
    </row>
    <row r="32" spans="1:11" x14ac:dyDescent="0.55000000000000004">
      <c r="A32" s="26">
        <v>44538</v>
      </c>
      <c r="B32" s="27" t="s">
        <v>7</v>
      </c>
      <c r="C32" s="27" t="s">
        <v>15</v>
      </c>
      <c r="D32" s="28">
        <v>6.3179888725280762</v>
      </c>
      <c r="E32" s="102">
        <v>38137276</v>
      </c>
      <c r="F32" s="4">
        <v>43637384</v>
      </c>
      <c r="G32" s="4">
        <f t="shared" si="0"/>
        <v>46692000.880000003</v>
      </c>
      <c r="H32" s="4">
        <v>141</v>
      </c>
      <c r="I32" s="125">
        <f>E32-10000000</f>
        <v>28137276</v>
      </c>
      <c r="J32" s="125">
        <f>E32+10000000</f>
        <v>48137276</v>
      </c>
      <c r="K32" s="4">
        <f t="shared" ca="1" si="2"/>
        <v>44080607</v>
      </c>
    </row>
    <row r="33" spans="1:11" x14ac:dyDescent="0.55000000000000004">
      <c r="A33" s="29">
        <v>44539</v>
      </c>
      <c r="B33" s="30" t="s">
        <v>7</v>
      </c>
      <c r="C33" s="30" t="s">
        <v>15</v>
      </c>
      <c r="D33" s="31">
        <v>503.93571472167969</v>
      </c>
      <c r="E33" s="103">
        <v>2224608416</v>
      </c>
      <c r="F33" s="4">
        <v>2123383164</v>
      </c>
      <c r="G33" s="4">
        <f t="shared" si="0"/>
        <v>2272019985.48</v>
      </c>
      <c r="H33" s="4">
        <v>126</v>
      </c>
      <c r="I33" s="125">
        <f>E33-1000000000</f>
        <v>1224608416</v>
      </c>
      <c r="J33" s="125">
        <f>E33+1000000000</f>
        <v>3224608416</v>
      </c>
      <c r="K33" s="4">
        <f t="shared" ca="1" si="2"/>
        <v>2443323927</v>
      </c>
    </row>
    <row r="34" spans="1:11" x14ac:dyDescent="0.55000000000000004">
      <c r="A34" s="32">
        <v>44540</v>
      </c>
      <c r="B34" s="33" t="s">
        <v>7</v>
      </c>
      <c r="C34" s="33" t="s">
        <v>15</v>
      </c>
      <c r="D34" s="34">
        <v>232.01766777038571</v>
      </c>
      <c r="E34" s="104">
        <v>537824574.5</v>
      </c>
      <c r="F34" s="4">
        <v>464352045</v>
      </c>
      <c r="G34" s="4">
        <f t="shared" si="0"/>
        <v>496856688.15000004</v>
      </c>
      <c r="H34" s="4">
        <v>145</v>
      </c>
      <c r="I34" s="125">
        <f>E34-100000000</f>
        <v>437824574.5</v>
      </c>
      <c r="J34" s="125">
        <f>E34+100000000</f>
        <v>637824574.5</v>
      </c>
      <c r="K34" s="4">
        <f t="shared" ca="1" si="2"/>
        <v>515207037</v>
      </c>
    </row>
    <row r="35" spans="1:11" x14ac:dyDescent="0.55000000000000004">
      <c r="A35" s="35">
        <v>44541</v>
      </c>
      <c r="B35" s="36" t="s">
        <v>7</v>
      </c>
      <c r="C35" s="36" t="s">
        <v>15</v>
      </c>
      <c r="D35" s="37">
        <v>71.654512524604797</v>
      </c>
      <c r="E35" s="105">
        <v>169287597.375</v>
      </c>
      <c r="F35" s="4">
        <v>144741579</v>
      </c>
      <c r="G35" s="4">
        <f t="shared" si="0"/>
        <v>154873489.53</v>
      </c>
      <c r="H35" s="4">
        <v>126</v>
      </c>
      <c r="I35" s="125">
        <f>E35-100000000</f>
        <v>69287597.375</v>
      </c>
      <c r="J35" s="125">
        <f>E35+100000000</f>
        <v>269287597.375</v>
      </c>
      <c r="K35" s="4">
        <f t="shared" ca="1" si="2"/>
        <v>251624003</v>
      </c>
    </row>
    <row r="36" spans="1:11" x14ac:dyDescent="0.55000000000000004">
      <c r="A36" s="41">
        <v>44544</v>
      </c>
      <c r="B36" s="42" t="s">
        <v>7</v>
      </c>
      <c r="C36" s="42" t="s">
        <v>15</v>
      </c>
      <c r="D36" s="43">
        <v>0.99947261810302734</v>
      </c>
      <c r="E36" s="107">
        <v>257963.875</v>
      </c>
      <c r="F36" s="4">
        <v>294126</v>
      </c>
      <c r="G36" s="4">
        <f t="shared" si="0"/>
        <v>314714.82</v>
      </c>
      <c r="H36" s="4">
        <v>96</v>
      </c>
      <c r="I36" s="125">
        <f>E36-100000</f>
        <v>157963.875</v>
      </c>
      <c r="J36" s="125">
        <f>E36+100000</f>
        <v>357963.875</v>
      </c>
      <c r="K36" s="4">
        <f t="shared" ca="1" si="2"/>
        <v>340071</v>
      </c>
    </row>
    <row r="37" spans="1:11" x14ac:dyDescent="0.55000000000000004">
      <c r="A37" s="44">
        <v>44545</v>
      </c>
      <c r="B37" s="45" t="s">
        <v>7</v>
      </c>
      <c r="C37" s="45" t="s">
        <v>15</v>
      </c>
      <c r="D37" s="46">
        <v>12.635977745056151</v>
      </c>
      <c r="E37" s="108">
        <v>5002583.5</v>
      </c>
      <c r="F37" s="4">
        <v>4959287</v>
      </c>
      <c r="G37" s="4">
        <f t="shared" si="0"/>
        <v>5306437.09</v>
      </c>
      <c r="H37" s="4">
        <v>90</v>
      </c>
      <c r="I37" s="125">
        <f>E37-1000000</f>
        <v>4002583.5</v>
      </c>
      <c r="J37" s="125">
        <f>E37+1000000</f>
        <v>6002583.5</v>
      </c>
      <c r="K37" s="4">
        <f t="shared" ca="1" si="2"/>
        <v>4579187</v>
      </c>
    </row>
    <row r="38" spans="1:11" x14ac:dyDescent="0.55000000000000004">
      <c r="A38" s="47">
        <v>44546</v>
      </c>
      <c r="B38" s="48" t="s">
        <v>7</v>
      </c>
      <c r="C38" s="48" t="s">
        <v>15</v>
      </c>
      <c r="D38" s="49">
        <v>19.119512557983398</v>
      </c>
      <c r="E38" s="109">
        <v>159259808</v>
      </c>
      <c r="F38" s="4">
        <v>61030901</v>
      </c>
      <c r="G38" s="4">
        <f t="shared" si="0"/>
        <v>65303064.07</v>
      </c>
      <c r="H38" s="4">
        <v>89</v>
      </c>
      <c r="I38" s="125">
        <f>E38-100000000</f>
        <v>59259808</v>
      </c>
      <c r="J38" s="125">
        <f>E38+100000000</f>
        <v>259259808</v>
      </c>
      <c r="K38" s="4">
        <f t="shared" ca="1" si="2"/>
        <v>221840604</v>
      </c>
    </row>
    <row r="39" spans="1:11" x14ac:dyDescent="0.55000000000000004">
      <c r="A39" s="50">
        <v>44547</v>
      </c>
      <c r="B39" s="51" t="s">
        <v>7</v>
      </c>
      <c r="C39" s="51" t="s">
        <v>15</v>
      </c>
      <c r="D39" s="52">
        <v>180.47978973388669</v>
      </c>
      <c r="E39" s="110">
        <v>455283456</v>
      </c>
      <c r="F39" s="4">
        <v>512431891</v>
      </c>
      <c r="G39" s="4">
        <f t="shared" si="0"/>
        <v>548302123.37</v>
      </c>
      <c r="H39" s="4">
        <v>91</v>
      </c>
      <c r="I39" s="125">
        <f>E39-100000000</f>
        <v>355283456</v>
      </c>
      <c r="J39" s="125">
        <f>E39+100000000</f>
        <v>555283456</v>
      </c>
      <c r="K39" s="4">
        <f t="shared" ca="1" si="2"/>
        <v>450576733</v>
      </c>
    </row>
    <row r="40" spans="1:11" x14ac:dyDescent="0.55000000000000004">
      <c r="A40" s="53">
        <v>44548</v>
      </c>
      <c r="B40" s="54" t="s">
        <v>7</v>
      </c>
      <c r="C40" s="54" t="s">
        <v>15</v>
      </c>
      <c r="D40" s="55">
        <v>95.279503345489502</v>
      </c>
      <c r="E40" s="111">
        <v>492226611</v>
      </c>
      <c r="F40" s="4">
        <v>585049057</v>
      </c>
      <c r="G40" s="4">
        <f t="shared" si="0"/>
        <v>626002490.99000001</v>
      </c>
      <c r="H40" s="4">
        <v>94</v>
      </c>
      <c r="I40" s="125">
        <f>E40-100000000</f>
        <v>392226611</v>
      </c>
      <c r="J40" s="125">
        <f>E40+100000000</f>
        <v>592226611</v>
      </c>
      <c r="K40" s="4">
        <f t="shared" ca="1" si="2"/>
        <v>399287518</v>
      </c>
    </row>
    <row r="41" spans="1:11" x14ac:dyDescent="0.55000000000000004">
      <c r="A41" s="56">
        <v>44549</v>
      </c>
      <c r="B41" s="57" t="s">
        <v>7</v>
      </c>
      <c r="C41" s="57" t="s">
        <v>15</v>
      </c>
      <c r="D41" s="58">
        <v>480.65370178222662</v>
      </c>
      <c r="E41" s="112">
        <v>149819756</v>
      </c>
      <c r="F41" s="4">
        <v>76931494</v>
      </c>
      <c r="G41" s="4">
        <f t="shared" si="0"/>
        <v>82316698.579999998</v>
      </c>
      <c r="H41" s="4">
        <v>84</v>
      </c>
      <c r="I41" s="125">
        <f>E41-100000000</f>
        <v>49819756</v>
      </c>
      <c r="J41" s="125">
        <f>E41+100000000</f>
        <v>249819756</v>
      </c>
      <c r="K41" s="4">
        <f t="shared" ca="1" si="2"/>
        <v>219327868</v>
      </c>
    </row>
    <row r="42" spans="1:11" x14ac:dyDescent="0.55000000000000004">
      <c r="A42" s="59">
        <v>44550</v>
      </c>
      <c r="B42" s="60" t="s">
        <v>7</v>
      </c>
      <c r="C42" s="60" t="s">
        <v>15</v>
      </c>
      <c r="D42" s="61">
        <v>9.2445993423461914</v>
      </c>
      <c r="E42" s="113">
        <v>40970216</v>
      </c>
      <c r="F42" s="4">
        <v>39464558</v>
      </c>
      <c r="G42" s="4">
        <f t="shared" si="0"/>
        <v>42227077.060000002</v>
      </c>
      <c r="H42" s="4"/>
      <c r="I42" s="125">
        <f>E42-10000000</f>
        <v>30970216</v>
      </c>
      <c r="J42" s="125">
        <f>E42+10000000</f>
        <v>50970216</v>
      </c>
      <c r="K42" s="4">
        <f t="shared" ca="1" si="2"/>
        <v>41484849</v>
      </c>
    </row>
    <row r="43" spans="1:11" x14ac:dyDescent="0.55000000000000004">
      <c r="A43" s="62">
        <v>44551</v>
      </c>
      <c r="B43" s="63" t="s">
        <v>7</v>
      </c>
      <c r="C43" s="63" t="s">
        <v>15</v>
      </c>
      <c r="D43" s="64">
        <v>168.89175224304199</v>
      </c>
      <c r="E43" s="114">
        <v>112287220</v>
      </c>
      <c r="F43" s="4">
        <v>113796557</v>
      </c>
      <c r="G43" s="4">
        <f t="shared" si="0"/>
        <v>121762315.99000001</v>
      </c>
      <c r="H43" s="4"/>
      <c r="I43" s="125">
        <f>E43-100000000</f>
        <v>12287220</v>
      </c>
      <c r="J43" s="125">
        <f>E43+100000000</f>
        <v>212287220</v>
      </c>
      <c r="K43" s="4">
        <f t="shared" ca="1" si="2"/>
        <v>122813416</v>
      </c>
    </row>
    <row r="44" spans="1:11" x14ac:dyDescent="0.55000000000000004">
      <c r="A44" s="65">
        <v>44552</v>
      </c>
      <c r="B44" s="66" t="s">
        <v>7</v>
      </c>
      <c r="C44" s="66" t="s">
        <v>15</v>
      </c>
      <c r="D44" s="67">
        <v>285.7878098487854</v>
      </c>
      <c r="E44" s="115">
        <v>165079630.84375</v>
      </c>
      <c r="F44" s="4">
        <v>184217691</v>
      </c>
      <c r="G44" s="4">
        <f t="shared" si="0"/>
        <v>197112929.37</v>
      </c>
      <c r="H44" s="4"/>
      <c r="I44" s="125">
        <f>E44-100000000</f>
        <v>65079630.84375</v>
      </c>
      <c r="J44" s="125">
        <f>E44+100000000</f>
        <v>265079630.84375</v>
      </c>
      <c r="K44" s="4">
        <f t="shared" ca="1" si="2"/>
        <v>82837147</v>
      </c>
    </row>
    <row r="45" spans="1:11" x14ac:dyDescent="0.55000000000000004">
      <c r="A45" s="68">
        <v>44553</v>
      </c>
      <c r="B45" s="69" t="s">
        <v>7</v>
      </c>
      <c r="C45" s="69" t="s">
        <v>15</v>
      </c>
      <c r="D45" s="70">
        <v>214.6972846984863</v>
      </c>
      <c r="E45" s="116">
        <v>177946164</v>
      </c>
      <c r="F45" s="4">
        <v>246340483</v>
      </c>
      <c r="G45" s="4">
        <f t="shared" si="0"/>
        <v>263584316.81</v>
      </c>
      <c r="H45" s="4"/>
      <c r="I45" s="125">
        <f>E45-100000000</f>
        <v>77946164</v>
      </c>
      <c r="J45" s="125">
        <f>E45+100000000</f>
        <v>277946164</v>
      </c>
      <c r="K45" s="4">
        <f t="shared" ca="1" si="2"/>
        <v>146508913</v>
      </c>
    </row>
    <row r="46" spans="1:11" x14ac:dyDescent="0.55000000000000004">
      <c r="A46" s="71">
        <v>44554</v>
      </c>
      <c r="B46" s="72" t="s">
        <v>7</v>
      </c>
      <c r="C46" s="72" t="s">
        <v>15</v>
      </c>
      <c r="D46" s="73">
        <v>744.92559051513672</v>
      </c>
      <c r="E46" s="117">
        <v>253494828</v>
      </c>
      <c r="F46" s="4">
        <v>210693771</v>
      </c>
      <c r="G46" s="4">
        <f t="shared" si="0"/>
        <v>225442334.97</v>
      </c>
      <c r="H46" s="4"/>
      <c r="I46" s="125">
        <f>E46-100000000</f>
        <v>153494828</v>
      </c>
      <c r="J46" s="125">
        <f>E46+100000000</f>
        <v>353494828</v>
      </c>
      <c r="K46" s="4">
        <f t="shared" ca="1" si="2"/>
        <v>260557336</v>
      </c>
    </row>
    <row r="47" spans="1:11" x14ac:dyDescent="0.55000000000000004">
      <c r="A47" s="74">
        <v>44555</v>
      </c>
      <c r="B47" s="75" t="s">
        <v>7</v>
      </c>
      <c r="C47" s="75" t="s">
        <v>15</v>
      </c>
      <c r="D47" s="76">
        <v>337.72329521179199</v>
      </c>
      <c r="E47" s="118">
        <v>2299063504</v>
      </c>
      <c r="F47" s="4">
        <v>2540038410</v>
      </c>
      <c r="G47" s="4">
        <f t="shared" si="0"/>
        <v>2717841098.7000003</v>
      </c>
      <c r="H47" s="4"/>
      <c r="I47" s="125">
        <f>E47-1000000000</f>
        <v>1299063504</v>
      </c>
      <c r="J47" s="125">
        <f>E47+1000000000</f>
        <v>3299063504</v>
      </c>
      <c r="K47" s="4">
        <f t="shared" ca="1" si="2"/>
        <v>2437455823</v>
      </c>
    </row>
    <row r="48" spans="1:11" x14ac:dyDescent="0.55000000000000004">
      <c r="A48" s="80">
        <v>44557</v>
      </c>
      <c r="B48" s="81" t="s">
        <v>7</v>
      </c>
      <c r="C48" s="81" t="s">
        <v>15</v>
      </c>
      <c r="D48" s="82">
        <v>677.79721164703369</v>
      </c>
      <c r="E48" s="120">
        <v>1432727330.5</v>
      </c>
      <c r="F48" s="4">
        <v>978617589</v>
      </c>
      <c r="G48" s="4">
        <f t="shared" si="0"/>
        <v>1047120820.23</v>
      </c>
      <c r="H48" s="4"/>
      <c r="I48" s="125">
        <f>E48-1000000000</f>
        <v>432727330.5</v>
      </c>
      <c r="J48" s="125">
        <f>E48+1000000000</f>
        <v>2432727330.5</v>
      </c>
      <c r="K48" s="4">
        <f t="shared" ca="1" si="2"/>
        <v>1377155647</v>
      </c>
    </row>
    <row r="49" spans="1:11" x14ac:dyDescent="0.55000000000000004">
      <c r="A49" s="86">
        <v>44559</v>
      </c>
      <c r="B49" s="87" t="s">
        <v>7</v>
      </c>
      <c r="C49" s="87" t="s">
        <v>15</v>
      </c>
      <c r="D49" s="88">
        <v>26.40361046791077</v>
      </c>
      <c r="E49" s="122">
        <v>5219626.5</v>
      </c>
      <c r="F49" s="4">
        <v>4488321</v>
      </c>
      <c r="G49" s="4">
        <f t="shared" si="0"/>
        <v>4802503.4700000007</v>
      </c>
      <c r="H49" s="4"/>
      <c r="I49" s="125">
        <f>E49-1000000</f>
        <v>4219626.5</v>
      </c>
      <c r="J49" s="125">
        <f>E49+1000000</f>
        <v>6219626.5</v>
      </c>
      <c r="K49" s="4">
        <f t="shared" ca="1" si="2"/>
        <v>6118391</v>
      </c>
    </row>
    <row r="50" spans="1:11" x14ac:dyDescent="0.55000000000000004">
      <c r="A50" s="89">
        <v>44560</v>
      </c>
      <c r="B50" s="90" t="s">
        <v>7</v>
      </c>
      <c r="C50" s="90" t="s">
        <v>15</v>
      </c>
      <c r="D50" s="91">
        <v>400.87734985351563</v>
      </c>
      <c r="E50" s="123">
        <v>231852656</v>
      </c>
      <c r="F50" s="4">
        <v>321351689</v>
      </c>
      <c r="G50" s="4">
        <f t="shared" si="0"/>
        <v>343846307.23000002</v>
      </c>
      <c r="H50" s="4"/>
      <c r="I50" s="125">
        <f>E50-100000000</f>
        <v>131852656</v>
      </c>
      <c r="J50" s="125">
        <f>E50+100000000</f>
        <v>331852656</v>
      </c>
      <c r="K50" s="4">
        <f t="shared" ca="1" si="2"/>
        <v>261198721</v>
      </c>
    </row>
    <row r="51" spans="1:11" x14ac:dyDescent="0.55000000000000004">
      <c r="A51" s="92">
        <v>44561</v>
      </c>
      <c r="B51" s="93" t="s">
        <v>7</v>
      </c>
      <c r="C51" s="93" t="s">
        <v>15</v>
      </c>
      <c r="D51" s="94">
        <v>6.7479572296142578</v>
      </c>
      <c r="E51" s="124">
        <v>1294258.25</v>
      </c>
      <c r="F51" s="4">
        <v>763858</v>
      </c>
      <c r="G51" s="4">
        <f t="shared" si="0"/>
        <v>817328.06</v>
      </c>
      <c r="H51" s="4"/>
      <c r="I51" s="125">
        <f>E51-1000000</f>
        <v>294258.25</v>
      </c>
      <c r="J51" s="125">
        <f>E51+1000000</f>
        <v>2294258.25</v>
      </c>
      <c r="K51" s="4">
        <f t="shared" ca="1" si="2"/>
        <v>2257717</v>
      </c>
    </row>
    <row r="52" spans="1:11" x14ac:dyDescent="0.55000000000000004">
      <c r="A52" s="8">
        <v>44532</v>
      </c>
      <c r="B52" s="9" t="s">
        <v>6</v>
      </c>
      <c r="C52" s="9" t="s">
        <v>13</v>
      </c>
      <c r="D52" s="10">
        <v>267.78076648712158</v>
      </c>
      <c r="E52" s="96">
        <v>1131169969.25</v>
      </c>
      <c r="F52" s="4">
        <v>1195263956</v>
      </c>
      <c r="G52" s="4">
        <f t="shared" si="0"/>
        <v>1278932432.9200001</v>
      </c>
      <c r="H52" s="4">
        <v>64</v>
      </c>
      <c r="I52" s="125">
        <f>E52-1000000000</f>
        <v>131169969.25</v>
      </c>
      <c r="J52" s="125">
        <f>E52+1000000000</f>
        <v>2131169969.25</v>
      </c>
      <c r="K52" s="4">
        <f ca="1">RANDBETWEEN(1031169969,1531169969)</f>
        <v>1358465965</v>
      </c>
    </row>
    <row r="53" spans="1:11" x14ac:dyDescent="0.55000000000000004">
      <c r="A53" s="20">
        <v>44536</v>
      </c>
      <c r="B53" s="21" t="s">
        <v>6</v>
      </c>
      <c r="C53" s="21" t="s">
        <v>13</v>
      </c>
      <c r="D53" s="22">
        <v>1.953472971916199</v>
      </c>
      <c r="E53" s="100">
        <v>6501939.5</v>
      </c>
      <c r="F53" s="4">
        <v>6046704</v>
      </c>
      <c r="G53" s="4">
        <f t="shared" si="0"/>
        <v>6469973.2800000003</v>
      </c>
      <c r="H53" s="4">
        <v>114</v>
      </c>
      <c r="I53" s="125">
        <f>E53-1000000</f>
        <v>5501939.5</v>
      </c>
      <c r="J53" s="125">
        <f>E53+1000000</f>
        <v>7501939.5</v>
      </c>
      <c r="K53" s="4">
        <f t="shared" ref="K53:K67" ca="1" si="3">RANDBETWEEN(I53,J53)</f>
        <v>6873040</v>
      </c>
    </row>
    <row r="54" spans="1:11" x14ac:dyDescent="0.55000000000000004">
      <c r="A54" s="26">
        <v>44538</v>
      </c>
      <c r="B54" s="27" t="s">
        <v>6</v>
      </c>
      <c r="C54" s="27" t="s">
        <v>13</v>
      </c>
      <c r="D54" s="28">
        <v>30.870737075805661</v>
      </c>
      <c r="E54" s="102">
        <v>122269728</v>
      </c>
      <c r="F54" s="4">
        <v>84372636</v>
      </c>
      <c r="G54" s="4">
        <f t="shared" si="0"/>
        <v>90278720.520000011</v>
      </c>
      <c r="H54" s="4">
        <v>103</v>
      </c>
      <c r="I54" s="125">
        <f>E54-100000000</f>
        <v>22269728</v>
      </c>
      <c r="J54" s="125">
        <f>E54+100000000</f>
        <v>222269728</v>
      </c>
      <c r="K54" s="4">
        <f t="shared" ca="1" si="3"/>
        <v>121869833</v>
      </c>
    </row>
    <row r="55" spans="1:11" x14ac:dyDescent="0.55000000000000004">
      <c r="A55" s="32">
        <v>44540</v>
      </c>
      <c r="B55" s="33" t="s">
        <v>6</v>
      </c>
      <c r="C55" s="33" t="s">
        <v>13</v>
      </c>
      <c r="D55" s="34">
        <v>45.27752685546875</v>
      </c>
      <c r="E55" s="104">
        <v>14995917</v>
      </c>
      <c r="F55" s="4">
        <v>7700251</v>
      </c>
      <c r="G55" s="4">
        <f t="shared" si="0"/>
        <v>8239268.5700000003</v>
      </c>
      <c r="H55" s="4">
        <v>101</v>
      </c>
      <c r="I55" s="125">
        <f>E55-10000000</f>
        <v>4995917</v>
      </c>
      <c r="J55" s="125">
        <f>E55+10000000</f>
        <v>24995917</v>
      </c>
      <c r="K55" s="4">
        <f t="shared" ca="1" si="3"/>
        <v>15714875</v>
      </c>
    </row>
    <row r="56" spans="1:11" x14ac:dyDescent="0.55000000000000004">
      <c r="A56" s="38">
        <v>44543</v>
      </c>
      <c r="B56" s="39" t="s">
        <v>6</v>
      </c>
      <c r="C56" s="39" t="s">
        <v>13</v>
      </c>
      <c r="D56" s="40">
        <v>2.81670069694519</v>
      </c>
      <c r="E56" s="106">
        <v>735722.25</v>
      </c>
      <c r="F56" s="4">
        <v>704362</v>
      </c>
      <c r="G56" s="4">
        <f t="shared" si="0"/>
        <v>753667.34000000008</v>
      </c>
      <c r="H56" s="4">
        <v>81</v>
      </c>
      <c r="I56" s="125">
        <f>E56-100000</f>
        <v>635722.25</v>
      </c>
      <c r="J56" s="125">
        <f>E56+100000</f>
        <v>835722.25</v>
      </c>
      <c r="K56" s="4">
        <f t="shared" ca="1" si="3"/>
        <v>752500</v>
      </c>
    </row>
    <row r="57" spans="1:11" x14ac:dyDescent="0.55000000000000004">
      <c r="A57" s="47">
        <v>44546</v>
      </c>
      <c r="B57" s="48" t="s">
        <v>6</v>
      </c>
      <c r="C57" s="48" t="s">
        <v>13</v>
      </c>
      <c r="D57" s="49">
        <v>12.41835880279541</v>
      </c>
      <c r="E57" s="109">
        <v>61854604</v>
      </c>
      <c r="F57" s="4">
        <v>59539219</v>
      </c>
      <c r="G57" s="4">
        <f t="shared" si="0"/>
        <v>63706964.330000006</v>
      </c>
      <c r="H57" s="4">
        <v>64</v>
      </c>
      <c r="I57" s="125">
        <f>E57-10000000</f>
        <v>51854604</v>
      </c>
      <c r="J57" s="125">
        <f>E57+10000000</f>
        <v>71854604</v>
      </c>
      <c r="K57" s="4">
        <f t="shared" ca="1" si="3"/>
        <v>61727339</v>
      </c>
    </row>
    <row r="58" spans="1:11" x14ac:dyDescent="0.55000000000000004">
      <c r="A58" s="53">
        <v>44548</v>
      </c>
      <c r="B58" s="54" t="s">
        <v>6</v>
      </c>
      <c r="C58" s="54" t="s">
        <v>13</v>
      </c>
      <c r="D58" s="55">
        <v>10.593343734741209</v>
      </c>
      <c r="E58" s="111">
        <v>2056168</v>
      </c>
      <c r="F58" s="4">
        <v>2310306</v>
      </c>
      <c r="G58" s="4">
        <f t="shared" si="0"/>
        <v>2472027.42</v>
      </c>
      <c r="H58" s="4">
        <v>88</v>
      </c>
      <c r="I58" s="125">
        <f>E58-1000000</f>
        <v>1056168</v>
      </c>
      <c r="J58" s="125">
        <f>E58+1000000</f>
        <v>3056168</v>
      </c>
      <c r="K58" s="4">
        <f t="shared" ca="1" si="3"/>
        <v>1787317</v>
      </c>
    </row>
    <row r="59" spans="1:11" x14ac:dyDescent="0.55000000000000004">
      <c r="A59" s="56">
        <v>44549</v>
      </c>
      <c r="B59" s="57" t="s">
        <v>6</v>
      </c>
      <c r="C59" s="57" t="s">
        <v>13</v>
      </c>
      <c r="D59" s="58">
        <v>11.9759578704834</v>
      </c>
      <c r="E59" s="112">
        <v>257812432</v>
      </c>
      <c r="F59" s="4">
        <v>167664229</v>
      </c>
      <c r="G59" s="4">
        <f t="shared" si="0"/>
        <v>179400725.03</v>
      </c>
      <c r="H59" s="4">
        <v>85</v>
      </c>
      <c r="I59" s="125">
        <f>E59-100000000</f>
        <v>157812432</v>
      </c>
      <c r="J59" s="125">
        <f>E59+100000000</f>
        <v>357812432</v>
      </c>
      <c r="K59" s="4">
        <f t="shared" ca="1" si="3"/>
        <v>160107293</v>
      </c>
    </row>
    <row r="60" spans="1:11" x14ac:dyDescent="0.55000000000000004">
      <c r="A60" s="59">
        <v>44550</v>
      </c>
      <c r="B60" s="60" t="s">
        <v>6</v>
      </c>
      <c r="C60" s="60" t="s">
        <v>13</v>
      </c>
      <c r="D60" s="61">
        <v>234.1614990234375</v>
      </c>
      <c r="E60" s="113">
        <v>45942488</v>
      </c>
      <c r="F60" s="4">
        <v>48419416</v>
      </c>
      <c r="G60" s="4">
        <f t="shared" si="0"/>
        <v>51808775.120000005</v>
      </c>
      <c r="H60" s="4"/>
      <c r="I60" s="125">
        <f>E60-10000000</f>
        <v>35942488</v>
      </c>
      <c r="J60" s="125">
        <f>E60+10000000</f>
        <v>55942488</v>
      </c>
      <c r="K60" s="4">
        <f t="shared" ca="1" si="3"/>
        <v>46841683</v>
      </c>
    </row>
    <row r="61" spans="1:11" x14ac:dyDescent="0.55000000000000004">
      <c r="A61" s="62">
        <v>44551</v>
      </c>
      <c r="B61" s="63" t="s">
        <v>6</v>
      </c>
      <c r="C61" s="63" t="s">
        <v>13</v>
      </c>
      <c r="D61" s="64">
        <v>70.595123291015625</v>
      </c>
      <c r="E61" s="114">
        <v>1347999744</v>
      </c>
      <c r="F61" s="4">
        <v>985503571</v>
      </c>
      <c r="G61" s="4">
        <f t="shared" si="0"/>
        <v>1054488820.97</v>
      </c>
      <c r="H61" s="4"/>
      <c r="I61" s="125">
        <f>E61-1000000000</f>
        <v>347999744</v>
      </c>
      <c r="J61" s="125">
        <f>E61+1000000000</f>
        <v>2347999744</v>
      </c>
      <c r="K61" s="4">
        <f t="shared" ca="1" si="3"/>
        <v>1478361232</v>
      </c>
    </row>
    <row r="62" spans="1:11" x14ac:dyDescent="0.55000000000000004">
      <c r="A62" s="65">
        <v>44552</v>
      </c>
      <c r="B62" s="66" t="s">
        <v>6</v>
      </c>
      <c r="C62" s="66" t="s">
        <v>13</v>
      </c>
      <c r="D62" s="67">
        <v>1.8994970321655269</v>
      </c>
      <c r="E62" s="115">
        <v>354826.03125</v>
      </c>
      <c r="F62" s="4">
        <v>414686</v>
      </c>
      <c r="G62" s="4">
        <f t="shared" si="0"/>
        <v>443714.02</v>
      </c>
      <c r="H62" s="4"/>
      <c r="I62" s="125">
        <f>E62-100000</f>
        <v>254826.03125</v>
      </c>
      <c r="J62" s="125">
        <f>E62+100000</f>
        <v>454826.03125</v>
      </c>
      <c r="K62" s="4">
        <f t="shared" ca="1" si="3"/>
        <v>335070</v>
      </c>
    </row>
    <row r="63" spans="1:11" x14ac:dyDescent="0.55000000000000004">
      <c r="A63" s="68">
        <v>44553</v>
      </c>
      <c r="B63" s="69" t="s">
        <v>6</v>
      </c>
      <c r="C63" s="69" t="s">
        <v>13</v>
      </c>
      <c r="D63" s="70">
        <v>195.0820617675781</v>
      </c>
      <c r="E63" s="116">
        <v>2957502464</v>
      </c>
      <c r="F63" s="4">
        <v>2195250918</v>
      </c>
      <c r="G63" s="4">
        <f t="shared" si="0"/>
        <v>2348918482.2600002</v>
      </c>
      <c r="H63" s="4"/>
      <c r="I63" s="125">
        <f>E63-1000000000</f>
        <v>1957502464</v>
      </c>
      <c r="J63" s="125">
        <f>E63+1000000000</f>
        <v>3957502464</v>
      </c>
      <c r="K63" s="4">
        <f t="shared" ca="1" si="3"/>
        <v>2937075136</v>
      </c>
    </row>
    <row r="64" spans="1:11" x14ac:dyDescent="0.55000000000000004">
      <c r="A64" s="71">
        <v>44554</v>
      </c>
      <c r="B64" s="72" t="s">
        <v>6</v>
      </c>
      <c r="C64" s="72" t="s">
        <v>13</v>
      </c>
      <c r="D64" s="73">
        <v>40.865329742431641</v>
      </c>
      <c r="E64" s="117">
        <v>8017777.5</v>
      </c>
      <c r="F64" s="4">
        <v>8190803</v>
      </c>
      <c r="G64" s="4">
        <f t="shared" si="0"/>
        <v>8764159.2100000009</v>
      </c>
      <c r="H64" s="4"/>
      <c r="I64" s="125">
        <f>E64-1000000</f>
        <v>7017777.5</v>
      </c>
      <c r="J64" s="125">
        <f>E64+1000000</f>
        <v>9017777.5</v>
      </c>
      <c r="K64" s="4">
        <f t="shared" ca="1" si="3"/>
        <v>8903830</v>
      </c>
    </row>
    <row r="65" spans="1:11" x14ac:dyDescent="0.55000000000000004">
      <c r="A65" s="80">
        <v>44557</v>
      </c>
      <c r="B65" s="81" t="s">
        <v>6</v>
      </c>
      <c r="C65" s="81" t="s">
        <v>13</v>
      </c>
      <c r="D65" s="82">
        <v>40.668262481689453</v>
      </c>
      <c r="E65" s="120">
        <v>958099520</v>
      </c>
      <c r="F65" s="4">
        <v>1003774535</v>
      </c>
      <c r="G65" s="4">
        <f t="shared" si="0"/>
        <v>1074038752.45</v>
      </c>
      <c r="H65" s="4"/>
      <c r="I65" s="125">
        <f>E65-100000000</f>
        <v>858099520</v>
      </c>
      <c r="J65" s="125">
        <f>E65+100000000</f>
        <v>1058099520</v>
      </c>
      <c r="K65" s="4">
        <f t="shared" ca="1" si="3"/>
        <v>864543395</v>
      </c>
    </row>
    <row r="66" spans="1:11" x14ac:dyDescent="0.55000000000000004">
      <c r="A66" s="83">
        <v>44558</v>
      </c>
      <c r="B66" s="84" t="s">
        <v>6</v>
      </c>
      <c r="C66" s="84" t="s">
        <v>13</v>
      </c>
      <c r="D66" s="85">
        <v>44.437107086181641</v>
      </c>
      <c r="E66" s="121">
        <v>8563031</v>
      </c>
      <c r="F66" s="4">
        <v>9359900</v>
      </c>
      <c r="G66" s="4">
        <f t="shared" si="0"/>
        <v>10015093</v>
      </c>
      <c r="H66" s="4"/>
      <c r="I66" s="125">
        <f>E66-1000000</f>
        <v>7563031</v>
      </c>
      <c r="J66" s="125">
        <f>E66+1000000</f>
        <v>9563031</v>
      </c>
      <c r="K66" s="4">
        <f t="shared" ca="1" si="3"/>
        <v>9251543</v>
      </c>
    </row>
    <row r="67" spans="1:11" x14ac:dyDescent="0.55000000000000004">
      <c r="A67" s="86">
        <v>44559</v>
      </c>
      <c r="B67" s="87" t="s">
        <v>6</v>
      </c>
      <c r="C67" s="87" t="s">
        <v>13</v>
      </c>
      <c r="D67" s="88">
        <v>281.82143807411188</v>
      </c>
      <c r="E67" s="122">
        <v>54109688.4375</v>
      </c>
      <c r="F67" s="4">
        <v>53159340</v>
      </c>
      <c r="G67" s="4">
        <f t="shared" ref="G67:G96" si="4">F67*1.07</f>
        <v>56880493.800000004</v>
      </c>
      <c r="H67" s="4"/>
      <c r="I67" s="125">
        <f>E67-10000000</f>
        <v>44109688.4375</v>
      </c>
      <c r="J67" s="125">
        <f>E67+10000000</f>
        <v>64109688.4375</v>
      </c>
      <c r="K67" s="4">
        <f t="shared" ca="1" si="3"/>
        <v>58650047</v>
      </c>
    </row>
    <row r="68" spans="1:11" x14ac:dyDescent="0.55000000000000004">
      <c r="A68" s="5">
        <v>44531</v>
      </c>
      <c r="B68" s="6" t="s">
        <v>4</v>
      </c>
      <c r="C68" s="6" t="s">
        <v>11</v>
      </c>
      <c r="D68" s="7">
        <v>392.68536376953131</v>
      </c>
      <c r="E68" s="95">
        <v>76102424</v>
      </c>
      <c r="F68" s="4">
        <v>79567681</v>
      </c>
      <c r="G68" s="4">
        <f t="shared" si="4"/>
        <v>85137418.670000002</v>
      </c>
      <c r="H68" s="4">
        <v>92</v>
      </c>
      <c r="I68" s="125">
        <f>E68-10000000</f>
        <v>66102424</v>
      </c>
      <c r="J68" s="125">
        <f>E68+10000000</f>
        <v>86102424</v>
      </c>
      <c r="K68" s="4">
        <f ca="1">RANDBETWEEN(66102424,86102424)</f>
        <v>80060985</v>
      </c>
    </row>
    <row r="69" spans="1:11" x14ac:dyDescent="0.55000000000000004">
      <c r="A69" s="8">
        <v>44532</v>
      </c>
      <c r="B69" s="9" t="s">
        <v>4</v>
      </c>
      <c r="C69" s="9" t="s">
        <v>11</v>
      </c>
      <c r="D69" s="10">
        <v>7.2124490737915039</v>
      </c>
      <c r="E69" s="96">
        <v>1331418.125</v>
      </c>
      <c r="F69" s="4">
        <v>1160955</v>
      </c>
      <c r="G69" s="4">
        <f t="shared" si="4"/>
        <v>1242221.8500000001</v>
      </c>
      <c r="H69" s="4">
        <v>93</v>
      </c>
      <c r="I69" s="125">
        <f>E69-1000000</f>
        <v>331418.125</v>
      </c>
      <c r="J69" s="125">
        <f>E69+1000000</f>
        <v>2331418.125</v>
      </c>
      <c r="K69" s="4">
        <f ca="1">RANDBETWEEN(331418,2331418)</f>
        <v>1037771</v>
      </c>
    </row>
    <row r="70" spans="1:11" x14ac:dyDescent="0.55000000000000004">
      <c r="A70" s="11">
        <v>44533</v>
      </c>
      <c r="B70" s="12" t="s">
        <v>4</v>
      </c>
      <c r="C70" s="12" t="s">
        <v>11</v>
      </c>
      <c r="D70" s="13">
        <v>1227.09521484375</v>
      </c>
      <c r="E70" s="97">
        <v>3434025984</v>
      </c>
      <c r="F70" s="4">
        <v>3262928871</v>
      </c>
      <c r="G70" s="4">
        <f t="shared" si="4"/>
        <v>3491333891.9700003</v>
      </c>
      <c r="H70" s="4">
        <v>77</v>
      </c>
      <c r="I70" s="125">
        <f>E70-1000000000</f>
        <v>2434025984</v>
      </c>
      <c r="J70" s="125">
        <f>E70+1000000000</f>
        <v>4434025984</v>
      </c>
      <c r="K70" s="4">
        <f ca="1">RANDBETWEEN(2434025984,4434025984)</f>
        <v>4266594221</v>
      </c>
    </row>
    <row r="71" spans="1:11" x14ac:dyDescent="0.55000000000000004">
      <c r="A71" s="14">
        <v>44534</v>
      </c>
      <c r="B71" s="15" t="s">
        <v>4</v>
      </c>
      <c r="C71" s="15" t="s">
        <v>11</v>
      </c>
      <c r="D71" s="16">
        <v>8.1429281234741211</v>
      </c>
      <c r="E71" s="98">
        <v>30974070</v>
      </c>
      <c r="F71" s="4">
        <v>36403477</v>
      </c>
      <c r="G71" s="4">
        <f t="shared" si="4"/>
        <v>38951720.390000001</v>
      </c>
      <c r="H71" s="4">
        <v>116</v>
      </c>
      <c r="I71" s="125">
        <f>E71-10000000</f>
        <v>20974070</v>
      </c>
      <c r="J71" s="125">
        <f>E71+10000000</f>
        <v>40974070</v>
      </c>
      <c r="K71" s="4">
        <f t="shared" ref="K71:K87" ca="1" si="5">RANDBETWEEN(I71,J71)</f>
        <v>29139118</v>
      </c>
    </row>
    <row r="72" spans="1:11" x14ac:dyDescent="0.55000000000000004">
      <c r="A72" s="17">
        <v>44535</v>
      </c>
      <c r="B72" s="18" t="s">
        <v>4</v>
      </c>
      <c r="C72" s="18" t="s">
        <v>11</v>
      </c>
      <c r="D72" s="19">
        <v>73.798110961914063</v>
      </c>
      <c r="E72" s="99">
        <v>499421344</v>
      </c>
      <c r="F72" s="4">
        <v>586608654</v>
      </c>
      <c r="G72" s="4">
        <f t="shared" si="4"/>
        <v>627671259.78000009</v>
      </c>
      <c r="H72" s="4">
        <v>110</v>
      </c>
      <c r="I72" s="125">
        <f>E72-100000000</f>
        <v>399421344</v>
      </c>
      <c r="J72" s="125">
        <f>E72+100000000</f>
        <v>599421344</v>
      </c>
      <c r="K72" s="4">
        <f t="shared" ca="1" si="5"/>
        <v>457705352</v>
      </c>
    </row>
    <row r="73" spans="1:11" x14ac:dyDescent="0.55000000000000004">
      <c r="A73" s="20">
        <v>44536</v>
      </c>
      <c r="B73" s="21" t="s">
        <v>4</v>
      </c>
      <c r="C73" s="21" t="s">
        <v>11</v>
      </c>
      <c r="D73" s="22">
        <v>72.004283905029297</v>
      </c>
      <c r="E73" s="100">
        <v>112078835</v>
      </c>
      <c r="F73" s="4">
        <v>117680517</v>
      </c>
      <c r="G73" s="4">
        <f t="shared" si="4"/>
        <v>125918153.19000001</v>
      </c>
      <c r="H73" s="4">
        <v>119</v>
      </c>
      <c r="I73" s="125">
        <f>E73-100000000</f>
        <v>12078835</v>
      </c>
      <c r="J73" s="125">
        <f>E73+100000000</f>
        <v>212078835</v>
      </c>
      <c r="K73" s="4">
        <f t="shared" ca="1" si="5"/>
        <v>115674409</v>
      </c>
    </row>
    <row r="74" spans="1:11" x14ac:dyDescent="0.55000000000000004">
      <c r="A74" s="26">
        <v>44538</v>
      </c>
      <c r="B74" s="27" t="s">
        <v>4</v>
      </c>
      <c r="C74" s="27" t="s">
        <v>11</v>
      </c>
      <c r="D74" s="28">
        <v>9.5597562789916992</v>
      </c>
      <c r="E74" s="102">
        <v>38230420</v>
      </c>
      <c r="F74" s="4">
        <v>45749665</v>
      </c>
      <c r="G74" s="4">
        <f t="shared" si="4"/>
        <v>48952141.550000004</v>
      </c>
      <c r="H74" s="4">
        <v>129</v>
      </c>
      <c r="I74" s="125">
        <f>E74-10000000</f>
        <v>28230420</v>
      </c>
      <c r="J74" s="125">
        <f>E74+10000000</f>
        <v>48230420</v>
      </c>
      <c r="K74" s="4">
        <f t="shared" ca="1" si="5"/>
        <v>36635756</v>
      </c>
    </row>
    <row r="75" spans="1:11" x14ac:dyDescent="0.55000000000000004">
      <c r="A75" s="35">
        <v>44541</v>
      </c>
      <c r="B75" s="36" t="s">
        <v>4</v>
      </c>
      <c r="C75" s="36" t="s">
        <v>11</v>
      </c>
      <c r="D75" s="37">
        <v>168.4422588348389</v>
      </c>
      <c r="E75" s="105">
        <v>32269366.5</v>
      </c>
      <c r="F75" s="4">
        <v>26554496</v>
      </c>
      <c r="G75" s="4">
        <f t="shared" si="4"/>
        <v>28413310.720000003</v>
      </c>
      <c r="H75" s="4">
        <v>97</v>
      </c>
      <c r="I75" s="125">
        <f>E75-10000000</f>
        <v>22269366.5</v>
      </c>
      <c r="J75" s="125">
        <f>E75+10000000</f>
        <v>42269366.5</v>
      </c>
      <c r="K75" s="4">
        <f t="shared" ca="1" si="5"/>
        <v>28742096</v>
      </c>
    </row>
    <row r="76" spans="1:11" x14ac:dyDescent="0.55000000000000004">
      <c r="A76" s="38">
        <v>44543</v>
      </c>
      <c r="B76" s="39" t="s">
        <v>4</v>
      </c>
      <c r="C76" s="39" t="s">
        <v>11</v>
      </c>
      <c r="D76" s="40">
        <v>187.9385070800781</v>
      </c>
      <c r="E76" s="106">
        <v>36422484</v>
      </c>
      <c r="F76" s="4">
        <v>38915953</v>
      </c>
      <c r="G76" s="4">
        <f t="shared" si="4"/>
        <v>41640069.710000001</v>
      </c>
      <c r="H76" s="4">
        <v>132</v>
      </c>
      <c r="I76" s="125">
        <f>E76-10000000</f>
        <v>26422484</v>
      </c>
      <c r="J76" s="125">
        <f>E76+10000000</f>
        <v>46422484</v>
      </c>
      <c r="K76" s="4">
        <f t="shared" ca="1" si="5"/>
        <v>44429589</v>
      </c>
    </row>
    <row r="77" spans="1:11" x14ac:dyDescent="0.55000000000000004">
      <c r="A77" s="47">
        <v>44546</v>
      </c>
      <c r="B77" s="48" t="s">
        <v>4</v>
      </c>
      <c r="C77" s="48" t="s">
        <v>11</v>
      </c>
      <c r="D77" s="49">
        <v>116.5380730628967</v>
      </c>
      <c r="E77" s="109">
        <v>329690808.25</v>
      </c>
      <c r="F77" s="4">
        <v>393808199</v>
      </c>
      <c r="G77" s="4">
        <f t="shared" si="4"/>
        <v>421374772.93000001</v>
      </c>
      <c r="H77" s="4">
        <v>109</v>
      </c>
      <c r="I77" s="125">
        <f>E77-100000000</f>
        <v>229690808.25</v>
      </c>
      <c r="J77" s="125">
        <f>E77+100000000</f>
        <v>429690808.25</v>
      </c>
      <c r="K77" s="4">
        <f t="shared" ca="1" si="5"/>
        <v>427777830</v>
      </c>
    </row>
    <row r="78" spans="1:11" x14ac:dyDescent="0.55000000000000004">
      <c r="A78" s="50">
        <v>44547</v>
      </c>
      <c r="B78" s="51" t="s">
        <v>4</v>
      </c>
      <c r="C78" s="51" t="s">
        <v>11</v>
      </c>
      <c r="D78" s="52">
        <v>251.3777303695679</v>
      </c>
      <c r="E78" s="110">
        <v>1373410066.5</v>
      </c>
      <c r="F78" s="4">
        <v>2360946210</v>
      </c>
      <c r="G78" s="4">
        <f t="shared" si="4"/>
        <v>2526212444.7000003</v>
      </c>
      <c r="H78" s="4">
        <v>101</v>
      </c>
      <c r="I78" s="125">
        <f>E78-1000000000</f>
        <v>373410066.5</v>
      </c>
      <c r="J78" s="125">
        <f>E78+1000000000</f>
        <v>2373410066.5</v>
      </c>
      <c r="K78" s="4">
        <f t="shared" ca="1" si="5"/>
        <v>393845236</v>
      </c>
    </row>
    <row r="79" spans="1:11" x14ac:dyDescent="0.55000000000000004">
      <c r="A79" s="53">
        <v>44548</v>
      </c>
      <c r="B79" s="54" t="s">
        <v>4</v>
      </c>
      <c r="C79" s="54" t="s">
        <v>11</v>
      </c>
      <c r="D79" s="55">
        <v>13.85530376434326</v>
      </c>
      <c r="E79" s="111">
        <v>2657447.25</v>
      </c>
      <c r="F79" s="4">
        <v>2042372</v>
      </c>
      <c r="G79" s="4">
        <f t="shared" si="4"/>
        <v>2185338.04</v>
      </c>
      <c r="H79" s="4">
        <v>108</v>
      </c>
      <c r="I79" s="125">
        <f>E79-1000000</f>
        <v>1657447.25</v>
      </c>
      <c r="J79" s="125">
        <f>E79+1000000</f>
        <v>3657447.25</v>
      </c>
      <c r="K79" s="4">
        <f t="shared" ca="1" si="5"/>
        <v>3479013</v>
      </c>
    </row>
    <row r="80" spans="1:11" x14ac:dyDescent="0.55000000000000004">
      <c r="A80" s="56">
        <v>44549</v>
      </c>
      <c r="B80" s="57" t="s">
        <v>4</v>
      </c>
      <c r="C80" s="57" t="s">
        <v>11</v>
      </c>
      <c r="D80" s="58">
        <v>157.3682861328125</v>
      </c>
      <c r="E80" s="112">
        <v>756249024</v>
      </c>
      <c r="F80" s="4">
        <v>793600977</v>
      </c>
      <c r="G80" s="4">
        <f t="shared" si="4"/>
        <v>849153045.3900001</v>
      </c>
      <c r="H80" s="4">
        <v>104</v>
      </c>
      <c r="I80" s="125">
        <f>E80-100000000</f>
        <v>656249024</v>
      </c>
      <c r="J80" s="125">
        <f>E80+100000000</f>
        <v>856249024</v>
      </c>
      <c r="K80" s="4">
        <f t="shared" ca="1" si="5"/>
        <v>764032201</v>
      </c>
    </row>
    <row r="81" spans="1:11" x14ac:dyDescent="0.55000000000000004">
      <c r="A81" s="59">
        <v>44550</v>
      </c>
      <c r="B81" s="60" t="s">
        <v>4</v>
      </c>
      <c r="C81" s="60" t="s">
        <v>11</v>
      </c>
      <c r="D81" s="61">
        <v>134.9070129394531</v>
      </c>
      <c r="E81" s="113">
        <v>42752349</v>
      </c>
      <c r="F81" s="4">
        <v>40425233</v>
      </c>
      <c r="G81" s="4">
        <f t="shared" si="4"/>
        <v>43254999.310000002</v>
      </c>
      <c r="H81" s="4"/>
      <c r="I81" s="125">
        <f>E81-10000000</f>
        <v>32752349</v>
      </c>
      <c r="J81" s="125">
        <f>E81+10000000</f>
        <v>52752349</v>
      </c>
      <c r="K81" s="4">
        <f t="shared" ca="1" si="5"/>
        <v>33794464</v>
      </c>
    </row>
    <row r="82" spans="1:11" x14ac:dyDescent="0.55000000000000004">
      <c r="A82" s="68">
        <v>44553</v>
      </c>
      <c r="B82" s="69" t="s">
        <v>4</v>
      </c>
      <c r="C82" s="69" t="s">
        <v>11</v>
      </c>
      <c r="D82" s="70">
        <v>23.61784744262695</v>
      </c>
      <c r="E82" s="116">
        <v>8906290</v>
      </c>
      <c r="F82" s="4">
        <v>8210657</v>
      </c>
      <c r="G82" s="4">
        <f t="shared" si="4"/>
        <v>8785402.9900000002</v>
      </c>
      <c r="H82" s="4"/>
      <c r="I82" s="125">
        <f>E82-1000000</f>
        <v>7906290</v>
      </c>
      <c r="J82" s="125">
        <f>E82+1000000</f>
        <v>9906290</v>
      </c>
      <c r="K82" s="4">
        <f t="shared" ca="1" si="5"/>
        <v>9889245</v>
      </c>
    </row>
    <row r="83" spans="1:11" x14ac:dyDescent="0.55000000000000004">
      <c r="A83" s="71">
        <v>44554</v>
      </c>
      <c r="B83" s="72" t="s">
        <v>4</v>
      </c>
      <c r="C83" s="72" t="s">
        <v>11</v>
      </c>
      <c r="D83" s="73">
        <v>123.1212501525879</v>
      </c>
      <c r="E83" s="117">
        <v>22676076.25</v>
      </c>
      <c r="F83" s="4">
        <v>23904704</v>
      </c>
      <c r="G83" s="4">
        <f t="shared" si="4"/>
        <v>25578033.280000001</v>
      </c>
      <c r="H83" s="4"/>
      <c r="I83" s="125">
        <f>E83-10000000</f>
        <v>12676076.25</v>
      </c>
      <c r="J83" s="125">
        <f>E83+10000000</f>
        <v>32676076.25</v>
      </c>
      <c r="K83" s="4">
        <f t="shared" ca="1" si="5"/>
        <v>13406907</v>
      </c>
    </row>
    <row r="84" spans="1:11" x14ac:dyDescent="0.55000000000000004">
      <c r="A84" s="74">
        <v>44555</v>
      </c>
      <c r="B84" s="75" t="s">
        <v>4</v>
      </c>
      <c r="C84" s="75" t="s">
        <v>11</v>
      </c>
      <c r="D84" s="76">
        <v>69.439544677734375</v>
      </c>
      <c r="E84" s="118">
        <v>32865736</v>
      </c>
      <c r="F84" s="4">
        <v>41843742</v>
      </c>
      <c r="G84" s="4">
        <f t="shared" si="4"/>
        <v>44772803.940000005</v>
      </c>
      <c r="H84" s="4"/>
      <c r="I84" s="125">
        <f>E84-10000000</f>
        <v>22865736</v>
      </c>
      <c r="J84" s="125">
        <f>E84+10000000</f>
        <v>42865736</v>
      </c>
      <c r="K84" s="4">
        <f t="shared" ca="1" si="5"/>
        <v>23385696</v>
      </c>
    </row>
    <row r="85" spans="1:11" x14ac:dyDescent="0.55000000000000004">
      <c r="A85" s="77">
        <v>44556</v>
      </c>
      <c r="B85" s="78" t="s">
        <v>4</v>
      </c>
      <c r="C85" s="78" t="s">
        <v>11</v>
      </c>
      <c r="D85" s="79">
        <v>5.1521081924438477</v>
      </c>
      <c r="E85" s="119">
        <v>26061940</v>
      </c>
      <c r="F85" s="4">
        <v>33516867</v>
      </c>
      <c r="G85" s="4">
        <f t="shared" si="4"/>
        <v>35863047.690000005</v>
      </c>
      <c r="H85" s="4"/>
      <c r="I85" s="125">
        <f>E85-10000000</f>
        <v>16061940</v>
      </c>
      <c r="J85" s="125">
        <f>E85+10000000</f>
        <v>36061940</v>
      </c>
      <c r="K85" s="4">
        <f t="shared" ca="1" si="5"/>
        <v>23959262</v>
      </c>
    </row>
    <row r="86" spans="1:11" x14ac:dyDescent="0.55000000000000004">
      <c r="A86" s="80">
        <v>44557</v>
      </c>
      <c r="B86" s="81" t="s">
        <v>4</v>
      </c>
      <c r="C86" s="81" t="s">
        <v>11</v>
      </c>
      <c r="D86" s="82">
        <v>26.052961349487301</v>
      </c>
      <c r="E86" s="120">
        <v>4996958</v>
      </c>
      <c r="F86" s="4">
        <v>5291293</v>
      </c>
      <c r="G86" s="4">
        <f t="shared" si="4"/>
        <v>5661683.5100000007</v>
      </c>
      <c r="H86" s="4"/>
      <c r="I86" s="125">
        <f>E86-1000000</f>
        <v>3996958</v>
      </c>
      <c r="J86" s="125">
        <f>E86+1000000</f>
        <v>5996958</v>
      </c>
      <c r="K86" s="4">
        <f t="shared" ca="1" si="5"/>
        <v>5777725</v>
      </c>
    </row>
    <row r="87" spans="1:11" x14ac:dyDescent="0.55000000000000004">
      <c r="A87" s="92">
        <v>44561</v>
      </c>
      <c r="B87" s="93" t="s">
        <v>4</v>
      </c>
      <c r="C87" s="93" t="s">
        <v>11</v>
      </c>
      <c r="D87" s="94">
        <v>70.35565185546875</v>
      </c>
      <c r="E87" s="124">
        <v>17293420</v>
      </c>
      <c r="F87" s="4">
        <v>7795902</v>
      </c>
      <c r="G87" s="4">
        <f t="shared" si="4"/>
        <v>8341615.1400000006</v>
      </c>
      <c r="H87" s="4"/>
      <c r="I87" s="125">
        <f>E87-10000000</f>
        <v>7293420</v>
      </c>
      <c r="J87" s="125">
        <f>E87+10000000</f>
        <v>27293420</v>
      </c>
      <c r="K87" s="4">
        <f t="shared" ca="1" si="5"/>
        <v>24596122</v>
      </c>
    </row>
    <row r="88" spans="1:11" x14ac:dyDescent="0.55000000000000004">
      <c r="A88" s="5">
        <v>44531</v>
      </c>
      <c r="B88" s="6" t="s">
        <v>3</v>
      </c>
      <c r="C88" s="6" t="s">
        <v>10</v>
      </c>
      <c r="D88" s="7">
        <v>10.73635768890381</v>
      </c>
      <c r="E88" s="95">
        <v>42340972</v>
      </c>
      <c r="F88" s="4">
        <v>44305953</v>
      </c>
      <c r="G88" s="4">
        <f t="shared" si="4"/>
        <v>47407369.710000001</v>
      </c>
      <c r="H88" s="4">
        <v>53</v>
      </c>
      <c r="I88" s="125">
        <f>E88-10000000</f>
        <v>32340972</v>
      </c>
      <c r="J88" s="125">
        <f>E88+10000000</f>
        <v>52340972</v>
      </c>
      <c r="K88" s="4">
        <f ca="1">RANDBETWEEN(32340972,52340972)</f>
        <v>38377835</v>
      </c>
    </row>
    <row r="89" spans="1:11" x14ac:dyDescent="0.55000000000000004">
      <c r="A89" s="8">
        <v>44532</v>
      </c>
      <c r="B89" s="9" t="s">
        <v>3</v>
      </c>
      <c r="C89" s="9" t="s">
        <v>10</v>
      </c>
      <c r="D89" s="10">
        <v>102.2158508300781</v>
      </c>
      <c r="E89" s="96">
        <v>541590656</v>
      </c>
      <c r="F89" s="4">
        <v>479812095</v>
      </c>
      <c r="G89" s="4">
        <f t="shared" si="4"/>
        <v>513398941.65000004</v>
      </c>
      <c r="H89" s="4">
        <v>57</v>
      </c>
      <c r="I89" s="125">
        <f>E89-100000000</f>
        <v>441590656</v>
      </c>
      <c r="J89" s="125">
        <f>E89+100000000</f>
        <v>641590656</v>
      </c>
      <c r="K89" s="4">
        <f ca="1">RANDBETWEEN(441590656,641590656)</f>
        <v>540763791</v>
      </c>
    </row>
    <row r="90" spans="1:11" x14ac:dyDescent="0.55000000000000004">
      <c r="A90" s="14">
        <v>44534</v>
      </c>
      <c r="B90" s="15" t="s">
        <v>3</v>
      </c>
      <c r="C90" s="15" t="s">
        <v>10</v>
      </c>
      <c r="D90" s="16">
        <v>7.3003635406494141</v>
      </c>
      <c r="E90" s="98">
        <v>116775888</v>
      </c>
      <c r="F90" s="4">
        <v>100947380</v>
      </c>
      <c r="G90" s="4">
        <f t="shared" si="4"/>
        <v>108013696.60000001</v>
      </c>
      <c r="H90" s="4">
        <v>60</v>
      </c>
      <c r="I90" s="125">
        <f>E90-100000000</f>
        <v>16775888</v>
      </c>
      <c r="J90" s="125">
        <f>E90+100000000</f>
        <v>216775888</v>
      </c>
      <c r="K90" s="4">
        <f t="shared" ref="K90:K96" ca="1" si="6">RANDBETWEEN(I90,J90)</f>
        <v>73983225</v>
      </c>
    </row>
    <row r="91" spans="1:11" x14ac:dyDescent="0.55000000000000004">
      <c r="A91" s="47">
        <v>44546</v>
      </c>
      <c r="B91" s="48" t="s">
        <v>3</v>
      </c>
      <c r="C91" s="48" t="s">
        <v>10</v>
      </c>
      <c r="D91" s="49">
        <v>15.903268814086911</v>
      </c>
      <c r="E91" s="109">
        <v>58724412</v>
      </c>
      <c r="F91" s="4">
        <v>57511013</v>
      </c>
      <c r="G91" s="4">
        <f t="shared" si="4"/>
        <v>61536783.910000004</v>
      </c>
      <c r="H91" s="4">
        <v>65</v>
      </c>
      <c r="I91" s="125">
        <f>E91-10000000</f>
        <v>48724412</v>
      </c>
      <c r="J91" s="125">
        <f>E91+10000000</f>
        <v>68724412</v>
      </c>
      <c r="K91" s="4">
        <f t="shared" ca="1" si="6"/>
        <v>58655977</v>
      </c>
    </row>
    <row r="92" spans="1:11" x14ac:dyDescent="0.55000000000000004">
      <c r="A92" s="65">
        <v>44552</v>
      </c>
      <c r="B92" s="66" t="s">
        <v>3</v>
      </c>
      <c r="C92" s="66" t="s">
        <v>10</v>
      </c>
      <c r="D92" s="67">
        <v>10.80376529693604</v>
      </c>
      <c r="E92" s="115">
        <v>2057036.875</v>
      </c>
      <c r="F92" s="4">
        <v>2544981</v>
      </c>
      <c r="G92" s="4">
        <f t="shared" si="4"/>
        <v>2723129.67</v>
      </c>
      <c r="H92" s="4"/>
      <c r="I92" s="125">
        <f>E92-1000000</f>
        <v>1057036.875</v>
      </c>
      <c r="J92" s="125">
        <f>E92+1000000</f>
        <v>3057036.875</v>
      </c>
      <c r="K92" s="4">
        <f t="shared" ca="1" si="6"/>
        <v>1280278</v>
      </c>
    </row>
    <row r="93" spans="1:11" x14ac:dyDescent="0.55000000000000004">
      <c r="A93" s="68">
        <v>44553</v>
      </c>
      <c r="B93" s="69" t="s">
        <v>3</v>
      </c>
      <c r="C93" s="69" t="s">
        <v>10</v>
      </c>
      <c r="D93" s="70">
        <v>197.60331726074219</v>
      </c>
      <c r="E93" s="116">
        <v>1705533952</v>
      </c>
      <c r="F93" s="4">
        <v>2315084673</v>
      </c>
      <c r="G93" s="4">
        <f t="shared" si="4"/>
        <v>2477140600.1100001</v>
      </c>
      <c r="H93" s="4"/>
      <c r="I93" s="125">
        <f>E93-1000000000</f>
        <v>705533952</v>
      </c>
      <c r="J93" s="125">
        <f>E93+1000000000</f>
        <v>2705533952</v>
      </c>
      <c r="K93" s="4">
        <f t="shared" ca="1" si="6"/>
        <v>2619730387</v>
      </c>
    </row>
    <row r="94" spans="1:11" x14ac:dyDescent="0.55000000000000004">
      <c r="A94" s="77">
        <v>44556</v>
      </c>
      <c r="B94" s="78" t="s">
        <v>3</v>
      </c>
      <c r="C94" s="78" t="s">
        <v>10</v>
      </c>
      <c r="D94" s="79">
        <v>10.73635768890381</v>
      </c>
      <c r="E94" s="119">
        <v>264043536</v>
      </c>
      <c r="F94" s="4">
        <v>273883618</v>
      </c>
      <c r="G94" s="4">
        <f t="shared" si="4"/>
        <v>293055471.25999999</v>
      </c>
      <c r="H94" s="4"/>
      <c r="I94" s="125">
        <f>E94-100000000</f>
        <v>164043536</v>
      </c>
      <c r="J94" s="125">
        <f>E94+100000000</f>
        <v>364043536</v>
      </c>
      <c r="K94" s="4">
        <f t="shared" ca="1" si="6"/>
        <v>190119860</v>
      </c>
    </row>
    <row r="95" spans="1:11" x14ac:dyDescent="0.55000000000000004">
      <c r="A95" s="83">
        <v>44558</v>
      </c>
      <c r="B95" s="84" t="s">
        <v>3</v>
      </c>
      <c r="C95" s="84" t="s">
        <v>10</v>
      </c>
      <c r="D95" s="85">
        <v>5.0987730026245117</v>
      </c>
      <c r="E95" s="121">
        <v>21002356</v>
      </c>
      <c r="F95" s="4">
        <v>20972488</v>
      </c>
      <c r="G95" s="4">
        <f t="shared" si="4"/>
        <v>22440562.16</v>
      </c>
      <c r="H95" s="4"/>
      <c r="I95" s="125">
        <f>E95-10000000</f>
        <v>11002356</v>
      </c>
      <c r="J95" s="125">
        <f>E95+10000000</f>
        <v>31002356</v>
      </c>
      <c r="K95" s="4">
        <f t="shared" ca="1" si="6"/>
        <v>27241289</v>
      </c>
    </row>
    <row r="96" spans="1:11" x14ac:dyDescent="0.55000000000000004">
      <c r="A96" s="92">
        <v>44561</v>
      </c>
      <c r="B96" s="93" t="s">
        <v>3</v>
      </c>
      <c r="C96" s="93" t="s">
        <v>10</v>
      </c>
      <c r="D96" s="94">
        <v>54.172031402587891</v>
      </c>
      <c r="E96" s="124">
        <v>722107776</v>
      </c>
      <c r="F96" s="4">
        <v>724574423</v>
      </c>
      <c r="G96" s="4">
        <f t="shared" si="4"/>
        <v>775294632.61000001</v>
      </c>
      <c r="H96" s="4"/>
      <c r="I96" s="125">
        <f>E96-100000000</f>
        <v>622107776</v>
      </c>
      <c r="J96" s="125">
        <f>E96+100000000</f>
        <v>822107776</v>
      </c>
      <c r="K96" s="4">
        <f t="shared" ca="1" si="6"/>
        <v>745841441</v>
      </c>
    </row>
    <row r="97" spans="6:11" x14ac:dyDescent="0.55000000000000004">
      <c r="F97" s="4"/>
      <c r="G97" s="4"/>
      <c r="H97" s="4"/>
      <c r="K97" s="4"/>
    </row>
    <row r="98" spans="6:11" x14ac:dyDescent="0.55000000000000004">
      <c r="F98" s="4"/>
      <c r="G98" s="4"/>
      <c r="H98" s="4"/>
      <c r="K98" s="4"/>
    </row>
    <row r="99" spans="6:11" x14ac:dyDescent="0.55000000000000004">
      <c r="F99" s="4"/>
      <c r="G99" s="4"/>
      <c r="H99" s="4"/>
      <c r="K99" s="4"/>
    </row>
    <row r="100" spans="6:11" x14ac:dyDescent="0.55000000000000004">
      <c r="F100" s="4"/>
      <c r="G100" s="4"/>
      <c r="H100" s="4"/>
      <c r="K100" s="4"/>
    </row>
    <row r="101" spans="6:11" x14ac:dyDescent="0.55000000000000004">
      <c r="F101" s="4"/>
      <c r="G101" s="4"/>
      <c r="H101" s="4"/>
      <c r="K101" s="4"/>
    </row>
    <row r="102" spans="6:11" x14ac:dyDescent="0.55000000000000004">
      <c r="F102" s="4"/>
      <c r="G102" s="4"/>
      <c r="H102" s="4"/>
      <c r="K102" s="4"/>
    </row>
    <row r="103" spans="6:11" x14ac:dyDescent="0.55000000000000004">
      <c r="F103" s="4"/>
      <c r="G103" s="4"/>
      <c r="H103" s="4"/>
      <c r="K103" s="4"/>
    </row>
    <row r="104" spans="6:11" x14ac:dyDescent="0.55000000000000004">
      <c r="F104" s="4"/>
      <c r="G104" s="4"/>
      <c r="H104" s="4"/>
      <c r="K104" s="4"/>
    </row>
    <row r="105" spans="6:11" x14ac:dyDescent="0.55000000000000004">
      <c r="F105" s="4"/>
      <c r="G105" s="4"/>
      <c r="H105" s="4"/>
      <c r="K105" s="4"/>
    </row>
    <row r="106" spans="6:11" x14ac:dyDescent="0.55000000000000004">
      <c r="F106" s="4"/>
      <c r="G106" s="4"/>
      <c r="H106" s="4"/>
      <c r="K106" s="4"/>
    </row>
    <row r="107" spans="6:11" x14ac:dyDescent="0.55000000000000004">
      <c r="F107" s="4"/>
      <c r="G107" s="4"/>
      <c r="H107" s="4"/>
      <c r="K107" s="4"/>
    </row>
    <row r="108" spans="6:11" x14ac:dyDescent="0.55000000000000004">
      <c r="F108" s="4"/>
      <c r="G108" s="4"/>
      <c r="H108" s="4"/>
      <c r="K108" s="4"/>
    </row>
    <row r="109" spans="6:11" x14ac:dyDescent="0.55000000000000004">
      <c r="F109" s="4"/>
      <c r="G109" s="4"/>
      <c r="H109" s="4"/>
      <c r="K109" s="4"/>
    </row>
    <row r="110" spans="6:11" x14ac:dyDescent="0.55000000000000004">
      <c r="F110" s="4"/>
      <c r="G110" s="4"/>
      <c r="H110" s="4"/>
      <c r="K110" s="4"/>
    </row>
    <row r="111" spans="6:11" x14ac:dyDescent="0.55000000000000004">
      <c r="F111" s="4"/>
      <c r="G111" s="4"/>
      <c r="H111" s="4"/>
      <c r="K111" s="4"/>
    </row>
    <row r="112" spans="6:11" x14ac:dyDescent="0.55000000000000004">
      <c r="F112" s="4"/>
      <c r="G112" s="4"/>
      <c r="H112" s="4"/>
      <c r="K112" s="4"/>
    </row>
    <row r="113" spans="6:11" x14ac:dyDescent="0.55000000000000004">
      <c r="F113" s="4"/>
      <c r="G113" s="4"/>
      <c r="H113" s="4"/>
      <c r="K113" s="4"/>
    </row>
    <row r="114" spans="6:11" x14ac:dyDescent="0.55000000000000004">
      <c r="F114" s="4"/>
      <c r="G114" s="4"/>
      <c r="H114" s="4"/>
      <c r="K114" s="4"/>
    </row>
    <row r="115" spans="6:11" x14ac:dyDescent="0.55000000000000004">
      <c r="F115" s="4"/>
      <c r="G115" s="4"/>
      <c r="H115" s="4"/>
      <c r="K115" s="4"/>
    </row>
    <row r="116" spans="6:11" x14ac:dyDescent="0.55000000000000004">
      <c r="F116" s="4"/>
      <c r="G116" s="4"/>
      <c r="H116" s="4"/>
      <c r="K116" s="4"/>
    </row>
    <row r="117" spans="6:11" x14ac:dyDescent="0.55000000000000004">
      <c r="F117" s="4"/>
      <c r="G117" s="4"/>
      <c r="H117" s="4"/>
      <c r="K117" s="4"/>
    </row>
    <row r="118" spans="6:11" x14ac:dyDescent="0.55000000000000004">
      <c r="F118" s="4"/>
      <c r="G118" s="4"/>
      <c r="H118" s="4"/>
      <c r="K118" s="4"/>
    </row>
    <row r="119" spans="6:11" x14ac:dyDescent="0.55000000000000004">
      <c r="F119" s="4"/>
      <c r="G119" s="4"/>
      <c r="H119" s="4"/>
      <c r="K119" s="4"/>
    </row>
    <row r="120" spans="6:11" x14ac:dyDescent="0.55000000000000004">
      <c r="F120" s="4"/>
      <c r="G120" s="4"/>
      <c r="H120" s="4"/>
      <c r="K120" s="4"/>
    </row>
    <row r="121" spans="6:11" x14ac:dyDescent="0.55000000000000004">
      <c r="F121" s="4"/>
      <c r="G121" s="4"/>
      <c r="H121" s="4"/>
      <c r="K121" s="4"/>
    </row>
    <row r="122" spans="6:11" x14ac:dyDescent="0.55000000000000004">
      <c r="F122" s="4"/>
      <c r="G122" s="4"/>
      <c r="H122" s="4"/>
      <c r="K122" s="4"/>
    </row>
    <row r="123" spans="6:11" x14ac:dyDescent="0.55000000000000004">
      <c r="F123" s="4"/>
      <c r="G123" s="4"/>
      <c r="H123" s="4"/>
      <c r="K123" s="4"/>
    </row>
    <row r="124" spans="6:11" x14ac:dyDescent="0.55000000000000004">
      <c r="F124" s="4"/>
      <c r="G124" s="4"/>
      <c r="H124" s="4"/>
      <c r="K124" s="4"/>
    </row>
    <row r="125" spans="6:11" x14ac:dyDescent="0.55000000000000004">
      <c r="F125" s="4"/>
      <c r="G125" s="4"/>
      <c r="H125" s="4"/>
      <c r="K125" s="4"/>
    </row>
    <row r="126" spans="6:11" x14ac:dyDescent="0.55000000000000004">
      <c r="F126" s="4"/>
      <c r="G126" s="4"/>
      <c r="H126" s="4"/>
      <c r="K126" s="4"/>
    </row>
    <row r="127" spans="6:11" x14ac:dyDescent="0.55000000000000004">
      <c r="F127" s="4"/>
      <c r="G127" s="4"/>
      <c r="H127" s="4"/>
      <c r="K127" s="4"/>
    </row>
    <row r="128" spans="6:11" x14ac:dyDescent="0.55000000000000004">
      <c r="F128" s="4"/>
      <c r="G128" s="4"/>
      <c r="H128" s="4"/>
      <c r="K128" s="4"/>
    </row>
    <row r="129" spans="6:11" x14ac:dyDescent="0.55000000000000004">
      <c r="F129" s="4"/>
      <c r="G129" s="4"/>
      <c r="H129" s="4"/>
      <c r="K129" s="4"/>
    </row>
    <row r="130" spans="6:11" x14ac:dyDescent="0.55000000000000004">
      <c r="F130" s="4"/>
      <c r="G130" s="4"/>
      <c r="H130" s="4"/>
      <c r="K130" s="4"/>
    </row>
    <row r="131" spans="6:11" x14ac:dyDescent="0.55000000000000004">
      <c r="F131" s="4"/>
      <c r="G131" s="4"/>
      <c r="H131" s="4"/>
      <c r="K131" s="4"/>
    </row>
    <row r="132" spans="6:11" x14ac:dyDescent="0.55000000000000004">
      <c r="F132" s="4"/>
      <c r="G132" s="4"/>
      <c r="H132" s="4"/>
      <c r="K132" s="4"/>
    </row>
    <row r="133" spans="6:11" x14ac:dyDescent="0.55000000000000004">
      <c r="F133" s="4"/>
      <c r="G133" s="4"/>
      <c r="H133" s="4"/>
      <c r="K133" s="4"/>
    </row>
    <row r="134" spans="6:11" x14ac:dyDescent="0.55000000000000004">
      <c r="F134" s="4"/>
      <c r="G134" s="4"/>
      <c r="H134" s="4"/>
      <c r="K134" s="4"/>
    </row>
    <row r="135" spans="6:11" x14ac:dyDescent="0.55000000000000004">
      <c r="F135" s="4"/>
      <c r="G135" s="4"/>
      <c r="H135" s="4"/>
      <c r="K135" s="4"/>
    </row>
    <row r="136" spans="6:11" x14ac:dyDescent="0.55000000000000004">
      <c r="F136" s="4"/>
      <c r="G136" s="4"/>
      <c r="H136" s="4"/>
      <c r="K136" s="4"/>
    </row>
    <row r="137" spans="6:11" x14ac:dyDescent="0.55000000000000004">
      <c r="F137" s="4"/>
      <c r="G137" s="4"/>
      <c r="H137" s="4"/>
      <c r="K137" s="4"/>
    </row>
    <row r="138" spans="6:11" x14ac:dyDescent="0.55000000000000004">
      <c r="F138" s="4"/>
      <c r="G138" s="4"/>
      <c r="H138" s="4"/>
      <c r="K138" s="4"/>
    </row>
    <row r="139" spans="6:11" x14ac:dyDescent="0.55000000000000004">
      <c r="F139" s="4"/>
      <c r="G139" s="4"/>
      <c r="H139" s="4"/>
      <c r="K139" s="4"/>
    </row>
    <row r="140" spans="6:11" x14ac:dyDescent="0.55000000000000004">
      <c r="F140" s="4"/>
      <c r="G140" s="4"/>
      <c r="H140" s="4"/>
      <c r="K140" s="4"/>
    </row>
    <row r="141" spans="6:11" x14ac:dyDescent="0.55000000000000004">
      <c r="F141" s="4"/>
      <c r="G141" s="4"/>
      <c r="H141" s="4"/>
      <c r="K141" s="4"/>
    </row>
    <row r="142" spans="6:11" x14ac:dyDescent="0.55000000000000004">
      <c r="F142" s="4"/>
      <c r="G142" s="4"/>
      <c r="H142" s="4"/>
      <c r="K142" s="4"/>
    </row>
    <row r="143" spans="6:11" x14ac:dyDescent="0.55000000000000004">
      <c r="F143" s="4"/>
      <c r="G143" s="4"/>
      <c r="H143" s="4"/>
      <c r="K143" s="4"/>
    </row>
    <row r="144" spans="6:11" x14ac:dyDescent="0.55000000000000004">
      <c r="F144" s="4"/>
      <c r="G144" s="4"/>
      <c r="H144" s="4"/>
      <c r="K144" s="4"/>
    </row>
    <row r="145" spans="6:11" x14ac:dyDescent="0.55000000000000004">
      <c r="F145" s="4"/>
      <c r="G145" s="4"/>
      <c r="H145" s="4"/>
      <c r="K145" s="4"/>
    </row>
    <row r="146" spans="6:11" x14ac:dyDescent="0.55000000000000004">
      <c r="F146" s="4"/>
      <c r="G146" s="4"/>
      <c r="H146" s="4"/>
      <c r="K146" s="4"/>
    </row>
    <row r="147" spans="6:11" x14ac:dyDescent="0.55000000000000004">
      <c r="F147" s="4"/>
      <c r="G147" s="4"/>
      <c r="H147" s="4"/>
      <c r="K147" s="4"/>
    </row>
    <row r="148" spans="6:11" x14ac:dyDescent="0.55000000000000004">
      <c r="F148" s="4"/>
      <c r="G148" s="4"/>
      <c r="H148" s="4"/>
      <c r="K148" s="4"/>
    </row>
    <row r="149" spans="6:11" x14ac:dyDescent="0.55000000000000004">
      <c r="F149" s="4"/>
      <c r="G149" s="4"/>
      <c r="H149" s="4"/>
      <c r="K149" s="4"/>
    </row>
    <row r="150" spans="6:11" x14ac:dyDescent="0.55000000000000004">
      <c r="F150" s="4"/>
      <c r="G150" s="4"/>
      <c r="H150" s="4"/>
      <c r="K150" s="4"/>
    </row>
    <row r="151" spans="6:11" x14ac:dyDescent="0.55000000000000004">
      <c r="F151" s="4"/>
      <c r="G151" s="4"/>
      <c r="H151" s="4"/>
      <c r="K151" s="4"/>
    </row>
    <row r="152" spans="6:11" x14ac:dyDescent="0.55000000000000004">
      <c r="F152" s="4"/>
      <c r="G152" s="4"/>
      <c r="H152" s="4"/>
      <c r="K152" s="4"/>
    </row>
    <row r="153" spans="6:11" x14ac:dyDescent="0.55000000000000004">
      <c r="F153" s="4"/>
      <c r="G153" s="4"/>
      <c r="H153" s="4"/>
      <c r="K153" s="4"/>
    </row>
    <row r="154" spans="6:11" x14ac:dyDescent="0.55000000000000004">
      <c r="F154" s="4"/>
      <c r="G154" s="4"/>
      <c r="H154" s="4"/>
      <c r="K154" s="4"/>
    </row>
    <row r="155" spans="6:11" x14ac:dyDescent="0.55000000000000004">
      <c r="F155" s="4"/>
      <c r="G155" s="4"/>
      <c r="H155" s="4"/>
      <c r="K155" s="4"/>
    </row>
    <row r="156" spans="6:11" x14ac:dyDescent="0.55000000000000004">
      <c r="F156" s="4"/>
      <c r="G156" s="4"/>
      <c r="H156" s="4"/>
      <c r="K156" s="4"/>
    </row>
    <row r="157" spans="6:11" x14ac:dyDescent="0.55000000000000004">
      <c r="F157" s="4"/>
      <c r="G157" s="4"/>
      <c r="H157" s="4"/>
      <c r="K157" s="4"/>
    </row>
    <row r="158" spans="6:11" x14ac:dyDescent="0.55000000000000004">
      <c r="F158" s="4"/>
      <c r="G158" s="4"/>
      <c r="H158" s="4"/>
      <c r="K158" s="4"/>
    </row>
    <row r="159" spans="6:11" x14ac:dyDescent="0.55000000000000004">
      <c r="F159" s="4"/>
      <c r="G159" s="4"/>
      <c r="H159" s="4"/>
      <c r="K159" s="4"/>
    </row>
    <row r="160" spans="6:11" x14ac:dyDescent="0.55000000000000004">
      <c r="F160" s="4"/>
      <c r="G160" s="4"/>
      <c r="H160" s="4"/>
      <c r="K160" s="4"/>
    </row>
    <row r="161" spans="6:11" x14ac:dyDescent="0.55000000000000004">
      <c r="F161" s="4"/>
      <c r="G161" s="4"/>
      <c r="H161" s="4"/>
      <c r="K161" s="4"/>
    </row>
    <row r="162" spans="6:11" x14ac:dyDescent="0.55000000000000004">
      <c r="F162" s="4"/>
      <c r="G162" s="4"/>
      <c r="H162" s="4"/>
      <c r="K162" s="4"/>
    </row>
    <row r="163" spans="6:11" x14ac:dyDescent="0.55000000000000004">
      <c r="F163" s="4"/>
      <c r="G163" s="4"/>
      <c r="H163" s="4"/>
      <c r="K163" s="4"/>
    </row>
    <row r="164" spans="6:11" x14ac:dyDescent="0.55000000000000004">
      <c r="F164" s="4"/>
      <c r="G164" s="4"/>
      <c r="H164" s="4"/>
      <c r="K164" s="4"/>
    </row>
    <row r="165" spans="6:11" x14ac:dyDescent="0.55000000000000004">
      <c r="F165" s="4"/>
      <c r="G165" s="4"/>
      <c r="H165" s="4"/>
      <c r="K165" s="4"/>
    </row>
    <row r="166" spans="6:11" x14ac:dyDescent="0.55000000000000004">
      <c r="F166" s="4"/>
      <c r="G166" s="4"/>
      <c r="H166" s="4"/>
      <c r="K166" s="4"/>
    </row>
    <row r="167" spans="6:11" x14ac:dyDescent="0.55000000000000004">
      <c r="F167" s="4"/>
      <c r="G167" s="4"/>
      <c r="H167" s="4"/>
      <c r="K167" s="4"/>
    </row>
    <row r="168" spans="6:11" x14ac:dyDescent="0.55000000000000004">
      <c r="F168" s="4"/>
      <c r="G168" s="4"/>
      <c r="H168" s="4"/>
      <c r="K168" s="4"/>
    </row>
    <row r="169" spans="6:11" x14ac:dyDescent="0.55000000000000004">
      <c r="F169" s="4"/>
      <c r="G169" s="4"/>
      <c r="H169" s="4"/>
      <c r="K169" s="4"/>
    </row>
    <row r="170" spans="6:11" x14ac:dyDescent="0.55000000000000004">
      <c r="F170" s="4"/>
      <c r="G170" s="4"/>
      <c r="H170" s="4"/>
      <c r="K170" s="4"/>
    </row>
    <row r="171" spans="6:11" x14ac:dyDescent="0.55000000000000004">
      <c r="F171" s="4"/>
      <c r="G171" s="4"/>
      <c r="H171" s="4"/>
      <c r="K171" s="4"/>
    </row>
    <row r="172" spans="6:11" x14ac:dyDescent="0.55000000000000004">
      <c r="F172" s="4"/>
      <c r="G172" s="4"/>
      <c r="H172" s="4"/>
      <c r="K172" s="4"/>
    </row>
    <row r="173" spans="6:11" x14ac:dyDescent="0.55000000000000004">
      <c r="F173" s="4"/>
      <c r="G173" s="4"/>
      <c r="H173" s="4"/>
      <c r="K173" s="4"/>
    </row>
    <row r="174" spans="6:11" x14ac:dyDescent="0.55000000000000004">
      <c r="F174" s="4"/>
      <c r="G174" s="4"/>
      <c r="H174" s="4"/>
      <c r="K174" s="4"/>
    </row>
    <row r="175" spans="6:11" x14ac:dyDescent="0.55000000000000004">
      <c r="F175" s="4"/>
      <c r="G175" s="4"/>
      <c r="H175" s="4"/>
      <c r="K175" s="4"/>
    </row>
    <row r="176" spans="6:11" x14ac:dyDescent="0.55000000000000004">
      <c r="F176" s="4"/>
      <c r="G176" s="4"/>
      <c r="H176" s="4"/>
      <c r="K176" s="4"/>
    </row>
    <row r="177" spans="6:11" x14ac:dyDescent="0.55000000000000004">
      <c r="F177" s="4"/>
      <c r="G177" s="4"/>
      <c r="H177" s="4"/>
      <c r="K177" s="4"/>
    </row>
    <row r="178" spans="6:11" x14ac:dyDescent="0.55000000000000004">
      <c r="F178" s="4"/>
      <c r="G178" s="4"/>
      <c r="H178" s="4"/>
      <c r="K178" s="4"/>
    </row>
    <row r="179" spans="6:11" x14ac:dyDescent="0.55000000000000004">
      <c r="F179" s="4"/>
      <c r="G179" s="4"/>
      <c r="H179" s="4"/>
      <c r="K179" s="4"/>
    </row>
    <row r="180" spans="6:11" x14ac:dyDescent="0.55000000000000004">
      <c r="F180" s="4"/>
      <c r="G180" s="4"/>
      <c r="H180" s="4"/>
      <c r="K180" s="4"/>
    </row>
    <row r="181" spans="6:11" x14ac:dyDescent="0.55000000000000004">
      <c r="F181" s="4"/>
      <c r="G181" s="4"/>
      <c r="H181" s="4"/>
      <c r="K181" s="4"/>
    </row>
    <row r="182" spans="6:11" x14ac:dyDescent="0.55000000000000004">
      <c r="F182" s="4"/>
      <c r="G182" s="4"/>
      <c r="H182" s="4"/>
      <c r="K182" s="4"/>
    </row>
    <row r="183" spans="6:11" x14ac:dyDescent="0.55000000000000004">
      <c r="F183" s="4"/>
      <c r="G183" s="4"/>
      <c r="H183" s="4"/>
      <c r="K183" s="4"/>
    </row>
    <row r="184" spans="6:11" x14ac:dyDescent="0.55000000000000004">
      <c r="F184" s="4"/>
      <c r="G184" s="4"/>
      <c r="H184" s="4"/>
      <c r="K184" s="4"/>
    </row>
    <row r="185" spans="6:11" x14ac:dyDescent="0.55000000000000004">
      <c r="F185" s="4"/>
      <c r="G185" s="4"/>
      <c r="H185" s="4"/>
      <c r="K185" s="4"/>
    </row>
    <row r="186" spans="6:11" x14ac:dyDescent="0.55000000000000004">
      <c r="F186" s="4"/>
      <c r="G186" s="4"/>
      <c r="H186" s="4"/>
      <c r="K186" s="4"/>
    </row>
    <row r="187" spans="6:11" x14ac:dyDescent="0.55000000000000004">
      <c r="F187" s="4"/>
      <c r="G187" s="4"/>
      <c r="H187" s="4"/>
      <c r="K187" s="4"/>
    </row>
    <row r="188" spans="6:11" x14ac:dyDescent="0.55000000000000004">
      <c r="F188" s="4"/>
      <c r="G188" s="4"/>
      <c r="H188" s="4"/>
      <c r="K188" s="4"/>
    </row>
    <row r="189" spans="6:11" x14ac:dyDescent="0.55000000000000004">
      <c r="F189" s="4"/>
      <c r="G189" s="4"/>
      <c r="H189" s="4"/>
      <c r="K189" s="4"/>
    </row>
    <row r="190" spans="6:11" x14ac:dyDescent="0.55000000000000004">
      <c r="F190" s="4"/>
      <c r="G190" s="4"/>
      <c r="H190" s="4"/>
      <c r="K190" s="4"/>
    </row>
    <row r="191" spans="6:11" x14ac:dyDescent="0.55000000000000004">
      <c r="F191" s="4"/>
      <c r="G191" s="4"/>
      <c r="H191" s="4"/>
      <c r="K191" s="4"/>
    </row>
    <row r="192" spans="6:11" x14ac:dyDescent="0.55000000000000004">
      <c r="F192" s="4"/>
      <c r="G192" s="4"/>
      <c r="H192" s="4"/>
      <c r="K192" s="4"/>
    </row>
    <row r="193" spans="6:11" x14ac:dyDescent="0.55000000000000004">
      <c r="F193" s="4"/>
      <c r="G193" s="4"/>
      <c r="H193" s="4"/>
      <c r="K193" s="4"/>
    </row>
    <row r="194" spans="6:11" x14ac:dyDescent="0.55000000000000004">
      <c r="F194" s="4"/>
      <c r="G194" s="4"/>
      <c r="H194" s="4"/>
      <c r="K194" s="4"/>
    </row>
    <row r="195" spans="6:11" x14ac:dyDescent="0.55000000000000004">
      <c r="F195" s="4"/>
      <c r="G195" s="4"/>
      <c r="H195" s="4"/>
      <c r="K195" s="4"/>
    </row>
    <row r="196" spans="6:11" x14ac:dyDescent="0.55000000000000004">
      <c r="F196" s="4"/>
      <c r="G196" s="4"/>
      <c r="H196" s="4"/>
      <c r="K196" s="4"/>
    </row>
    <row r="197" spans="6:11" x14ac:dyDescent="0.55000000000000004">
      <c r="F197" s="4"/>
      <c r="G197" s="4"/>
      <c r="H197" s="4"/>
      <c r="K197" s="4"/>
    </row>
    <row r="198" spans="6:11" x14ac:dyDescent="0.55000000000000004">
      <c r="F198" s="4"/>
      <c r="G198" s="4"/>
      <c r="H198" s="4"/>
      <c r="K198" s="4"/>
    </row>
    <row r="199" spans="6:11" x14ac:dyDescent="0.55000000000000004">
      <c r="F199" s="4"/>
      <c r="G199" s="4"/>
      <c r="H199" s="4"/>
      <c r="K199" s="4"/>
    </row>
    <row r="200" spans="6:11" x14ac:dyDescent="0.55000000000000004">
      <c r="F200" s="4"/>
      <c r="G200" s="4"/>
      <c r="H200" s="4"/>
      <c r="K200" s="4"/>
    </row>
    <row r="201" spans="6:11" x14ac:dyDescent="0.55000000000000004">
      <c r="F201" s="4"/>
      <c r="G201" s="4"/>
      <c r="H201" s="4"/>
      <c r="K201" s="4"/>
    </row>
    <row r="202" spans="6:11" x14ac:dyDescent="0.55000000000000004">
      <c r="F202" s="4"/>
      <c r="G202" s="4"/>
      <c r="H202" s="4"/>
      <c r="K202" s="4"/>
    </row>
    <row r="203" spans="6:11" x14ac:dyDescent="0.55000000000000004">
      <c r="F203" s="4"/>
      <c r="G203" s="4"/>
      <c r="H203" s="4"/>
      <c r="K203" s="4"/>
    </row>
    <row r="204" spans="6:11" x14ac:dyDescent="0.55000000000000004">
      <c r="F204" s="4"/>
      <c r="G204" s="4"/>
      <c r="H204" s="4"/>
      <c r="K204" s="4"/>
    </row>
    <row r="205" spans="6:11" x14ac:dyDescent="0.55000000000000004">
      <c r="F205" s="4"/>
      <c r="G205" s="4"/>
      <c r="H205" s="4"/>
      <c r="K205" s="4"/>
    </row>
    <row r="206" spans="6:11" x14ac:dyDescent="0.55000000000000004">
      <c r="F206" s="4"/>
      <c r="G206" s="4"/>
      <c r="H206" s="4"/>
      <c r="K206" s="4"/>
    </row>
    <row r="207" spans="6:11" x14ac:dyDescent="0.55000000000000004">
      <c r="F207" s="4"/>
      <c r="G207" s="4"/>
      <c r="H207" s="4"/>
      <c r="K207" s="4"/>
    </row>
    <row r="208" spans="6:11" x14ac:dyDescent="0.55000000000000004">
      <c r="F208" s="4"/>
      <c r="G208" s="4"/>
      <c r="H208" s="4"/>
      <c r="K208" s="4"/>
    </row>
    <row r="209" spans="6:11" x14ac:dyDescent="0.55000000000000004">
      <c r="F209" s="4"/>
      <c r="G209" s="4"/>
      <c r="H209" s="4"/>
      <c r="K209" s="4"/>
    </row>
    <row r="210" spans="6:11" x14ac:dyDescent="0.55000000000000004">
      <c r="F210" s="4"/>
      <c r="G210" s="4"/>
      <c r="H210" s="4"/>
      <c r="K210" s="4"/>
    </row>
    <row r="211" spans="6:11" x14ac:dyDescent="0.55000000000000004">
      <c r="F211" s="4"/>
      <c r="G211" s="4"/>
      <c r="H211" s="4"/>
      <c r="K211" s="4"/>
    </row>
    <row r="212" spans="6:11" x14ac:dyDescent="0.55000000000000004">
      <c r="F212" s="4"/>
      <c r="G212" s="4"/>
      <c r="H212" s="4"/>
      <c r="K212" s="4"/>
    </row>
    <row r="213" spans="6:11" x14ac:dyDescent="0.55000000000000004">
      <c r="F213" s="4"/>
      <c r="G213" s="4"/>
      <c r="H213" s="4"/>
      <c r="K213" s="4"/>
    </row>
    <row r="214" spans="6:11" x14ac:dyDescent="0.55000000000000004">
      <c r="F214" s="4"/>
      <c r="G214" s="4"/>
      <c r="H214" s="4"/>
      <c r="K214" s="4"/>
    </row>
    <row r="215" spans="6:11" x14ac:dyDescent="0.55000000000000004">
      <c r="F215" s="4"/>
      <c r="G215" s="4"/>
      <c r="H215" s="4"/>
      <c r="K215" s="4"/>
    </row>
    <row r="216" spans="6:11" x14ac:dyDescent="0.55000000000000004">
      <c r="F216" s="4"/>
      <c r="G216" s="4"/>
      <c r="H216" s="4"/>
      <c r="K216" s="4"/>
    </row>
    <row r="217" spans="6:11" x14ac:dyDescent="0.55000000000000004">
      <c r="F217" s="4"/>
      <c r="G217" s="4"/>
      <c r="H217" s="4"/>
      <c r="K217" s="4"/>
    </row>
    <row r="218" spans="6:11" x14ac:dyDescent="0.55000000000000004">
      <c r="F218" s="4"/>
      <c r="G218" s="4"/>
      <c r="H218" s="4"/>
      <c r="K218" s="4"/>
    </row>
    <row r="219" spans="6:11" x14ac:dyDescent="0.55000000000000004">
      <c r="F219" s="4"/>
      <c r="G219" s="4"/>
      <c r="H219" s="4"/>
      <c r="K219" s="4"/>
    </row>
    <row r="220" spans="6:11" x14ac:dyDescent="0.55000000000000004">
      <c r="F220" s="4"/>
      <c r="G220" s="4"/>
      <c r="H220" s="4"/>
      <c r="K220" s="4"/>
    </row>
    <row r="221" spans="6:11" x14ac:dyDescent="0.55000000000000004">
      <c r="F221" s="4"/>
      <c r="G221" s="4"/>
      <c r="H221" s="4"/>
      <c r="K221" s="4"/>
    </row>
  </sheetData>
  <autoFilter ref="A1:K223" xr:uid="{12E966EA-5998-4101-9033-41A1E3405134}">
    <sortState xmlns:xlrd2="http://schemas.microsoft.com/office/spreadsheetml/2017/richdata2" ref="A2:K221">
      <sortCondition ref="C1:C2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 cities foricsv miss+u22nd (8)</vt:lpstr>
      <vt:lpstr>5 cities forinput 23rd only (7)</vt:lpstr>
      <vt:lpstr>5 cities concat miss+u22nd(6.1)</vt:lpstr>
      <vt:lpstr>5 cities ori miss+u22nd (6)</vt:lpstr>
      <vt:lpstr>polution_row bpjskabkot (5.1)</vt:lpstr>
      <vt:lpstr>5 cities foricsv full tgl (5)</vt:lpstr>
      <vt:lpstr>5 cities Sum Stat(4)</vt:lpstr>
      <vt:lpstr>5 cities miss tgl (3)</vt:lpstr>
      <vt:lpstr>5 cities bt (2)</vt:lpstr>
      <vt:lpstr>5 cities Sum Stat (1)</vt:lpstr>
      <vt:lpstr>data rs frktl (0)</vt:lpstr>
      <vt:lpstr>AQI Indonesia 15-22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Andalan</dc:creator>
  <cp:lastModifiedBy>Aldi Andalan</cp:lastModifiedBy>
  <dcterms:created xsi:type="dcterms:W3CDTF">2023-12-20T08:50:30Z</dcterms:created>
  <dcterms:modified xsi:type="dcterms:W3CDTF">2023-12-20T22:00:02Z</dcterms:modified>
</cp:coreProperties>
</file>