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defaultThemeVersion="166925"/>
  <mc:AlternateContent xmlns:mc="http://schemas.openxmlformats.org/markup-compatibility/2006">
    <mc:Choice Requires="x15">
      <x15ac:absPath xmlns:x15ac="http://schemas.microsoft.com/office/spreadsheetml/2010/11/ac" url="/Users/Dalton/Documents/USF/Fall-2021/QMB-6304 Fall 2021/ Module 10 Math Optimization/"/>
    </mc:Choice>
  </mc:AlternateContent>
  <xr:revisionPtr revIDLastSave="0" documentId="13_ncr:1_{9D6A6C58-F259-9E45-9A57-79755F0D4BD4}" xr6:coauthVersionLast="47" xr6:coauthVersionMax="47" xr10:uidLastSave="{00000000-0000-0000-0000-000000000000}"/>
  <bookViews>
    <workbookView xWindow="280" yWindow="500" windowWidth="28040" windowHeight="16940" xr2:uid="{65EB4A64-1573-D840-BE49-2AD1737F68E4}"/>
  </bookViews>
  <sheets>
    <sheet name="Module 10" sheetId="1" r:id="rId1"/>
    <sheet name="1. Maggies Mugs" sheetId="2" r:id="rId2"/>
    <sheet name="2. BP Computer Services" sheetId="3" r:id="rId3"/>
    <sheet name="3. Al Forno" sheetId="4" r:id="rId4"/>
  </sheets>
  <definedNames>
    <definedName name="solver_adj" localSheetId="1" hidden="1">'1. Maggies Mugs'!$C$29:$C$35</definedName>
    <definedName name="solver_adj" localSheetId="2" hidden="1">'2. BP Computer Services'!$B$24:$D$29</definedName>
    <definedName name="solver_adj" localSheetId="3" hidden="1">'3. Al Forno'!$B$16:$B$19</definedName>
    <definedName name="solver_cvg" localSheetId="1" hidden="1">0.0001</definedName>
    <definedName name="solver_cvg" localSheetId="2" hidden="1">0.0001</definedName>
    <definedName name="solver_cvg" localSheetId="3" hidden="1">0.0001</definedName>
    <definedName name="solver_drv" localSheetId="1" hidden="1">1</definedName>
    <definedName name="solver_drv" localSheetId="2" hidden="1">1</definedName>
    <definedName name="solver_drv" localSheetId="3" hidden="1">1</definedName>
    <definedName name="solver_eng" localSheetId="1" hidden="1">2</definedName>
    <definedName name="solver_eng" localSheetId="2" hidden="1">2</definedName>
    <definedName name="solver_eng" localSheetId="3" hidden="1">2</definedName>
    <definedName name="solver_itr" localSheetId="1" hidden="1">2147483647</definedName>
    <definedName name="solver_itr" localSheetId="2" hidden="1">2147483647</definedName>
    <definedName name="solver_itr" localSheetId="3" hidden="1">2147483647</definedName>
    <definedName name="solver_lhs1" localSheetId="1" hidden="1">'1. Maggies Mugs'!$C$29:$C$35</definedName>
    <definedName name="solver_lhs1" localSheetId="2" hidden="1">'2. BP Computer Services'!$B$24:$B$29</definedName>
    <definedName name="solver_lhs1" localSheetId="3" hidden="1">'3. Al Forno'!$B$16:$B$19</definedName>
    <definedName name="solver_lhs2" localSheetId="1" hidden="1">'1. Maggies Mugs'!$G$29</definedName>
    <definedName name="solver_lhs2" localSheetId="2" hidden="1">'2. BP Computer Services'!$C$24:$C$29</definedName>
    <definedName name="solver_lhs2" localSheetId="3" hidden="1">'3. Al Forno'!$D$16</definedName>
    <definedName name="solver_lhs3" localSheetId="1" hidden="1">'1. Maggies Mugs'!$G$30</definedName>
    <definedName name="solver_lhs3" localSheetId="2" hidden="1">'2. BP Computer Services'!$D$24:$D$29</definedName>
    <definedName name="solver_lhs3" localSheetId="3" hidden="1">'3. Al Forno'!$D$17</definedName>
    <definedName name="solver_lhs4" localSheetId="1" hidden="1">'1. Maggies Mugs'!$G$33</definedName>
    <definedName name="solver_lhs4" localSheetId="2" hidden="1">'2. BP Computer Services'!$I$24:$I$29</definedName>
    <definedName name="solver_lhs4" localSheetId="3" hidden="1">'3. Al Forno'!$D$18</definedName>
    <definedName name="solver_lhs5" localSheetId="1" hidden="1">'1. Maggies Mugs'!$G$34</definedName>
    <definedName name="solver_lhs5" localSheetId="2" hidden="1">'2. BP Computer Services'!$J$24:$J$29</definedName>
    <definedName name="solver_lhs5" localSheetId="3" hidden="1">'3. Al Forno'!$D$19</definedName>
    <definedName name="solver_lhs6" localSheetId="1" hidden="1">'1. Maggies Mugs'!$G$35</definedName>
    <definedName name="solver_lhs6" localSheetId="2" hidden="1">'2. BP Computer Services'!$K$24:$K$29</definedName>
    <definedName name="solver_lhs6" localSheetId="3" hidden="1">'3. Al Forno'!$H$16:$H$20</definedName>
    <definedName name="solver_lhs7" localSheetId="1" hidden="1">'1. Maggies Mugs'!$G$36</definedName>
    <definedName name="solver_lhs7" localSheetId="2" hidden="1">'2. BP Computer Services'!$P$24:$P$29</definedName>
    <definedName name="solver_lhs7" localSheetId="3" hidden="1">'3. Al Forno'!$H$21</definedName>
    <definedName name="solver_lhs8" localSheetId="1" hidden="1">'1. Maggies Mugs'!$G$37</definedName>
    <definedName name="solver_lhs8" localSheetId="2" hidden="1">'2. BP Computer Services'!$P$30</definedName>
    <definedName name="solver_lhs9" localSheetId="1" hidden="1">'1. Maggies Mugs'!$G$38</definedName>
    <definedName name="solver_lin" localSheetId="1" hidden="1">1</definedName>
    <definedName name="solver_lin" localSheetId="2" hidden="1">1</definedName>
    <definedName name="solver_lin" localSheetId="3" hidden="1">1</definedName>
    <definedName name="solver_mip" localSheetId="1" hidden="1">2147483647</definedName>
    <definedName name="solver_mip" localSheetId="2" hidden="1">2147483647</definedName>
    <definedName name="solver_mip" localSheetId="3" hidden="1">2147483647</definedName>
    <definedName name="solver_mni" localSheetId="1" hidden="1">30</definedName>
    <definedName name="solver_mni" localSheetId="2" hidden="1">30</definedName>
    <definedName name="solver_mni" localSheetId="3" hidden="1">30</definedName>
    <definedName name="solver_mrt" localSheetId="1" hidden="1">0.075</definedName>
    <definedName name="solver_mrt" localSheetId="2" hidden="1">0.075</definedName>
    <definedName name="solver_mrt" localSheetId="3" hidden="1">0.075</definedName>
    <definedName name="solver_msl" localSheetId="1" hidden="1">2</definedName>
    <definedName name="solver_msl" localSheetId="2" hidden="1">2</definedName>
    <definedName name="solver_msl" localSheetId="3" hidden="1">2</definedName>
    <definedName name="solver_neg" localSheetId="1" hidden="1">1</definedName>
    <definedName name="solver_neg" localSheetId="2" hidden="1">1</definedName>
    <definedName name="solver_neg" localSheetId="3" hidden="1">1</definedName>
    <definedName name="solver_nod" localSheetId="1" hidden="1">2147483647</definedName>
    <definedName name="solver_nod" localSheetId="2" hidden="1">2147483647</definedName>
    <definedName name="solver_nod" localSheetId="3" hidden="1">2147483647</definedName>
    <definedName name="solver_num" localSheetId="1" hidden="1">9</definedName>
    <definedName name="solver_num" localSheetId="2" hidden="1">8</definedName>
    <definedName name="solver_num" localSheetId="3" hidden="1">7</definedName>
    <definedName name="solver_opt" localSheetId="1" hidden="1">'1. Maggies Mugs'!$K$29</definedName>
    <definedName name="solver_opt" localSheetId="2" hidden="1">'2. BP Computer Services'!$H$24</definedName>
    <definedName name="solver_opt" localSheetId="3" hidden="1">'3. Al Forno'!$F$16</definedName>
    <definedName name="solver_pre" localSheetId="1" hidden="1">0.000001</definedName>
    <definedName name="solver_pre" localSheetId="2" hidden="1">0.000001</definedName>
    <definedName name="solver_pre" localSheetId="3" hidden="1">0.000001</definedName>
    <definedName name="solver_rbv" localSheetId="1" hidden="1">1</definedName>
    <definedName name="solver_rbv" localSheetId="2" hidden="1">1</definedName>
    <definedName name="solver_rbv" localSheetId="3" hidden="1">1</definedName>
    <definedName name="solver_rel1" localSheetId="1" hidden="1">4</definedName>
    <definedName name="solver_rel1" localSheetId="2" hidden="1">4</definedName>
    <definedName name="solver_rel1" localSheetId="3" hidden="1">4</definedName>
    <definedName name="solver_rel2" localSheetId="1" hidden="1">1</definedName>
    <definedName name="solver_rel2" localSheetId="2" hidden="1">4</definedName>
    <definedName name="solver_rel2" localSheetId="3" hidden="1">3</definedName>
    <definedName name="solver_rel3" localSheetId="1" hidden="1">1</definedName>
    <definedName name="solver_rel3" localSheetId="2" hidden="1">4</definedName>
    <definedName name="solver_rel3" localSheetId="3" hidden="1">3</definedName>
    <definedName name="solver_rel4" localSheetId="1" hidden="1">3</definedName>
    <definedName name="solver_rel4" localSheetId="2" hidden="1">1</definedName>
    <definedName name="solver_rel4" localSheetId="3" hidden="1">3</definedName>
    <definedName name="solver_rel5" localSheetId="1" hidden="1">1</definedName>
    <definedName name="solver_rel5" localSheetId="2" hidden="1">1</definedName>
    <definedName name="solver_rel5" localSheetId="3" hidden="1">3</definedName>
    <definedName name="solver_rel6" localSheetId="1" hidden="1">3</definedName>
    <definedName name="solver_rel6" localSheetId="2" hidden="1">1</definedName>
    <definedName name="solver_rel6" localSheetId="3" hidden="1">1</definedName>
    <definedName name="solver_rel7" localSheetId="1" hidden="1">1</definedName>
    <definedName name="solver_rel7" localSheetId="2" hidden="1">3</definedName>
    <definedName name="solver_rel7" localSheetId="3" hidden="1">3</definedName>
    <definedName name="solver_rel8" localSheetId="1" hidden="1">1</definedName>
    <definedName name="solver_rel8" localSheetId="2" hidden="1">1</definedName>
    <definedName name="solver_rel9" localSheetId="1" hidden="1">1</definedName>
    <definedName name="solver_rhs1" localSheetId="1" hidden="1">"integer"</definedName>
    <definedName name="solver_rhs1" localSheetId="2" hidden="1">"integer"</definedName>
    <definedName name="solver_rhs1" localSheetId="3" hidden="1">"integer"</definedName>
    <definedName name="solver_rhs2" localSheetId="1" hidden="1">'1. Maggies Mugs'!$I$29</definedName>
    <definedName name="solver_rhs2" localSheetId="2" hidden="1">"integer"</definedName>
    <definedName name="solver_rhs2" localSheetId="3" hidden="1">'3. Al Forno'!$E$16</definedName>
    <definedName name="solver_rhs3" localSheetId="1" hidden="1">'1. Maggies Mugs'!$I$30</definedName>
    <definedName name="solver_rhs3" localSheetId="2" hidden="1">"integer"</definedName>
    <definedName name="solver_rhs3" localSheetId="3" hidden="1">'3. Al Forno'!$E$17</definedName>
    <definedName name="solver_rhs4" localSheetId="1" hidden="1">'1. Maggies Mugs'!$I$33</definedName>
    <definedName name="solver_rhs4" localSheetId="2" hidden="1">'2. BP Computer Services'!$L$24:$L$29</definedName>
    <definedName name="solver_rhs4" localSheetId="3" hidden="1">'3. Al Forno'!$E$18</definedName>
    <definedName name="solver_rhs5" localSheetId="1" hidden="1">'1. Maggies Mugs'!$I$34</definedName>
    <definedName name="solver_rhs5" localSheetId="2" hidden="1">'2. BP Computer Services'!$M$24:$M$29</definedName>
    <definedName name="solver_rhs5" localSheetId="3" hidden="1">'3. Al Forno'!$E$19</definedName>
    <definedName name="solver_rhs6" localSheetId="1" hidden="1">'1. Maggies Mugs'!$I$35</definedName>
    <definedName name="solver_rhs6" localSheetId="2" hidden="1">'2. BP Computer Services'!$N$24:$N$29</definedName>
    <definedName name="solver_rhs6" localSheetId="3" hidden="1">'3. Al Forno'!$J$16:$J$20</definedName>
    <definedName name="solver_rhs7" localSheetId="1" hidden="1">'1. Maggies Mugs'!$I$36</definedName>
    <definedName name="solver_rhs7" localSheetId="2" hidden="1">'2. BP Computer Services'!$R$24:$R$29</definedName>
    <definedName name="solver_rhs7" localSheetId="3" hidden="1">'3. Al Forno'!$J$21</definedName>
    <definedName name="solver_rhs8" localSheetId="1" hidden="1">'1. Maggies Mugs'!$I$37</definedName>
    <definedName name="solver_rhs8" localSheetId="2" hidden="1">'2. BP Computer Services'!$R$30</definedName>
    <definedName name="solver_rhs9" localSheetId="1" hidden="1">'1. Maggies Mugs'!$I$38</definedName>
    <definedName name="solver_rlx" localSheetId="1" hidden="1">2</definedName>
    <definedName name="solver_rlx" localSheetId="2" hidden="1">1</definedName>
    <definedName name="solver_rlx" localSheetId="3" hidden="1">1</definedName>
    <definedName name="solver_rsd" localSheetId="1" hidden="1">0</definedName>
    <definedName name="solver_rsd" localSheetId="2" hidden="1">0</definedName>
    <definedName name="solver_rsd" localSheetId="3" hidden="1">0</definedName>
    <definedName name="solver_scl" localSheetId="1" hidden="1">1</definedName>
    <definedName name="solver_scl" localSheetId="2" hidden="1">2</definedName>
    <definedName name="solver_scl" localSheetId="3" hidden="1">2</definedName>
    <definedName name="solver_sho" localSheetId="1" hidden="1">2</definedName>
    <definedName name="solver_sho" localSheetId="2" hidden="1">2</definedName>
    <definedName name="solver_sho" localSheetId="3" hidden="1">2</definedName>
    <definedName name="solver_ssz" localSheetId="1" hidden="1">100</definedName>
    <definedName name="solver_ssz" localSheetId="2" hidden="1">100</definedName>
    <definedName name="solver_ssz" localSheetId="3" hidden="1">100</definedName>
    <definedName name="solver_tim" localSheetId="1" hidden="1">2147483647</definedName>
    <definedName name="solver_tim" localSheetId="2" hidden="1">2147483647</definedName>
    <definedName name="solver_tim" localSheetId="3" hidden="1">2147483647</definedName>
    <definedName name="solver_tol" localSheetId="1" hidden="1">0.01</definedName>
    <definedName name="solver_tol" localSheetId="2" hidden="1">0.01</definedName>
    <definedName name="solver_tol" localSheetId="3" hidden="1">0.01</definedName>
    <definedName name="solver_typ" localSheetId="1" hidden="1">1</definedName>
    <definedName name="solver_typ" localSheetId="2" hidden="1">2</definedName>
    <definedName name="solver_typ" localSheetId="3" hidden="1">1</definedName>
    <definedName name="solver_val" localSheetId="1" hidden="1">0</definedName>
    <definedName name="solver_val" localSheetId="2" hidden="1">0</definedName>
    <definedName name="solver_val" localSheetId="3" hidden="1">0</definedName>
    <definedName name="solver_ver" localSheetId="1" hidden="1">2</definedName>
    <definedName name="solver_ver" localSheetId="2" hidden="1">2</definedName>
    <definedName name="solver_ver" localSheetId="3" hidden="1">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2" l="1"/>
  <c r="I30" i="2"/>
  <c r="G26" i="3"/>
  <c r="G24" i="3"/>
  <c r="H38" i="3"/>
  <c r="H37" i="3"/>
  <c r="H36" i="3"/>
  <c r="G36" i="3"/>
  <c r="F36" i="3"/>
  <c r="F38" i="3"/>
  <c r="F37" i="3"/>
  <c r="E38" i="3"/>
  <c r="E37" i="3"/>
  <c r="E36" i="3"/>
  <c r="D38" i="3"/>
  <c r="D37" i="3"/>
  <c r="D36" i="3"/>
  <c r="C36" i="3"/>
  <c r="B25" i="4"/>
  <c r="J21" i="4"/>
  <c r="D19" i="4"/>
  <c r="D18" i="4"/>
  <c r="D17" i="4"/>
  <c r="D16" i="4"/>
  <c r="C17" i="4"/>
  <c r="C19" i="4"/>
  <c r="C18" i="4"/>
  <c r="C16" i="4"/>
  <c r="H21" i="4"/>
  <c r="E28" i="4"/>
  <c r="D28" i="4"/>
  <c r="C28" i="4"/>
  <c r="C25" i="4"/>
  <c r="D25" i="4"/>
  <c r="E25" i="4"/>
  <c r="B26" i="4"/>
  <c r="C26" i="4"/>
  <c r="D26" i="4"/>
  <c r="E26" i="4"/>
  <c r="B27" i="4"/>
  <c r="C27" i="4"/>
  <c r="D27" i="4"/>
  <c r="E27" i="4"/>
  <c r="B28" i="4"/>
  <c r="E24" i="4"/>
  <c r="D24" i="4"/>
  <c r="C24" i="4"/>
  <c r="B24" i="4"/>
  <c r="E24" i="3"/>
  <c r="F24" i="3" s="1"/>
  <c r="E30" i="3"/>
  <c r="F30" i="3" s="1"/>
  <c r="I25" i="3"/>
  <c r="J25" i="3"/>
  <c r="K25" i="3"/>
  <c r="I26" i="3"/>
  <c r="J26" i="3"/>
  <c r="K26" i="3"/>
  <c r="I27" i="3"/>
  <c r="J27" i="3"/>
  <c r="K27" i="3"/>
  <c r="I28" i="3"/>
  <c r="J28" i="3"/>
  <c r="K28" i="3"/>
  <c r="I29" i="3"/>
  <c r="J29" i="3"/>
  <c r="K29" i="3"/>
  <c r="J24" i="3"/>
  <c r="K24" i="3"/>
  <c r="I24" i="3"/>
  <c r="E26" i="3"/>
  <c r="F26" i="3" s="1"/>
  <c r="E27" i="3"/>
  <c r="F27" i="3" s="1"/>
  <c r="E28" i="3"/>
  <c r="F28" i="3" s="1"/>
  <c r="E29" i="3"/>
  <c r="F29" i="3" s="1"/>
  <c r="G38" i="3"/>
  <c r="C38" i="3"/>
  <c r="G37" i="3"/>
  <c r="C37" i="3"/>
  <c r="P25" i="3"/>
  <c r="P26" i="3"/>
  <c r="P27" i="3"/>
  <c r="P28" i="3"/>
  <c r="P29" i="3"/>
  <c r="P24" i="3"/>
  <c r="I34" i="2"/>
  <c r="G34" i="2"/>
  <c r="G33" i="2"/>
  <c r="C38" i="2"/>
  <c r="G38" i="2" s="1"/>
  <c r="C37" i="2"/>
  <c r="G37" i="2" s="1"/>
  <c r="C36" i="2"/>
  <c r="G36" i="2" s="1"/>
  <c r="I35" i="2"/>
  <c r="G35" i="2"/>
  <c r="G29" i="2"/>
  <c r="XFD1048550" i="2" a="1"/>
  <c r="XFD1048550" i="2" s="1"/>
  <c r="XFD1048551" i="2" a="1"/>
  <c r="XFD1048551" i="2" s="1"/>
  <c r="XFD1048552" i="2" a="1"/>
  <c r="XFD1048552" i="2" s="1"/>
  <c r="XFD1048553" i="2" a="1"/>
  <c r="XFD1048553" i="2" s="1"/>
  <c r="XFD1048554" i="2" a="1"/>
  <c r="XFD1048554" i="2" s="1"/>
  <c r="XFD1048555" i="2" a="1"/>
  <c r="XFD1048555" i="2" s="1"/>
  <c r="XFD1048556" i="2" a="1"/>
  <c r="XFD1048556" i="2" s="1"/>
  <c r="XFD1048557" i="2" a="1"/>
  <c r="XFD1048557" i="2" s="1"/>
  <c r="XFD1048558" i="2" a="1"/>
  <c r="XFD1048558" i="2" s="1"/>
  <c r="XFD1048559" i="2" a="1"/>
  <c r="XFD1048559" i="2" s="1"/>
  <c r="XFD1048560" i="2" a="1"/>
  <c r="XFD1048560" i="2" s="1"/>
  <c r="XFD1048561" i="2" a="1"/>
  <c r="XFD1048561" i="2" s="1"/>
  <c r="XFD1048562" i="2" a="1"/>
  <c r="XFD1048562" i="2"/>
  <c r="XFD1048563" i="2" a="1"/>
  <c r="XFD1048563" i="2" s="1"/>
  <c r="XFD1048564" i="2" a="1"/>
  <c r="XFD1048564" i="2"/>
  <c r="XFD1048565" i="2" a="1"/>
  <c r="XFD1048565" i="2" s="1"/>
  <c r="XFD1048566" i="2" a="1"/>
  <c r="XFD1048566" i="2"/>
  <c r="XFD1048567" i="2" a="1"/>
  <c r="XFD1048567" i="2"/>
  <c r="XFD1048568" i="2" a="1"/>
  <c r="XFD1048568" i="2"/>
  <c r="XFD1048569" i="2" a="1"/>
  <c r="XFD1048569" i="2" s="1"/>
  <c r="XFD1048570" i="2" a="1"/>
  <c r="XFD1048570" i="2"/>
  <c r="XFD1048571" i="2" a="1"/>
  <c r="XFD1048571" i="2"/>
  <c r="XFD1048572" i="2" a="1"/>
  <c r="XFD1048572" i="2"/>
  <c r="XFD1048573" i="2" a="1"/>
  <c r="XFD1048573" i="2" s="1"/>
  <c r="XFD1048574" i="2" a="1"/>
  <c r="XFD1048574" i="2"/>
  <c r="XFD1048575" i="2" a="1"/>
  <c r="XFD1048575" i="2"/>
  <c r="D35" i="2"/>
  <c r="I37" i="2"/>
  <c r="I33" i="2"/>
  <c r="D33" i="2"/>
  <c r="D20" i="2"/>
  <c r="D25" i="2" s="1"/>
  <c r="E20" i="2"/>
  <c r="E25" i="2" s="1"/>
  <c r="F20" i="2"/>
  <c r="F25" i="2" s="1"/>
  <c r="G20" i="2"/>
  <c r="G25" i="2" s="1"/>
  <c r="H20" i="2"/>
  <c r="H25" i="2" s="1"/>
  <c r="I20" i="2"/>
  <c r="I25" i="2" s="1"/>
  <c r="C20" i="2"/>
  <c r="D29" i="2" s="1"/>
  <c r="N31" i="2"/>
  <c r="N32" i="2" s="1"/>
  <c r="I36" i="2" s="1"/>
  <c r="F16" i="4" l="1"/>
  <c r="F26" i="4"/>
  <c r="H18" i="4" s="1"/>
  <c r="F24" i="4"/>
  <c r="H16" i="4" s="1"/>
  <c r="F27" i="4"/>
  <c r="H19" i="4" s="1"/>
  <c r="F25" i="4"/>
  <c r="H17" i="4" s="1"/>
  <c r="F28" i="4"/>
  <c r="H20" i="4" s="1"/>
  <c r="G28" i="3"/>
  <c r="G27" i="3"/>
  <c r="E25" i="3"/>
  <c r="F25" i="3" s="1"/>
  <c r="G25" i="3" s="1"/>
  <c r="G29" i="3"/>
  <c r="D32" i="2"/>
  <c r="D30" i="2"/>
  <c r="D31" i="2"/>
  <c r="D34" i="2"/>
  <c r="C25" i="2"/>
  <c r="K19" i="2" s="1"/>
  <c r="H24" i="3" l="1"/>
  <c r="P30" i="3"/>
  <c r="K29"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<sst xmlns="http://schemas.openxmlformats.org/spreadsheetml/2006/main" count="154" uniqueCount="88">
  <si>
    <t>Retail</t>
  </si>
  <si>
    <t>Dalton Anderson</t>
  </si>
  <si>
    <t>10-in. Bowl</t>
  </si>
  <si>
    <t>Standard Mug</t>
  </si>
  <si>
    <t>Wolf Mug</t>
  </si>
  <si>
    <t>RH Warmer</t>
  </si>
  <si>
    <t>LH Warmer</t>
  </si>
  <si>
    <t>Serving Tray</t>
  </si>
  <si>
    <t>Price/Unit</t>
  </si>
  <si>
    <t>Clay lbs. Needed</t>
  </si>
  <si>
    <t>Labor Hrs.</t>
  </si>
  <si>
    <t>Needed</t>
  </si>
  <si>
    <t>Overhead Cost/Unit</t>
  </si>
  <si>
    <t>Week</t>
  </si>
  <si>
    <t>Cheese</t>
  </si>
  <si>
    <t>Meat</t>
  </si>
  <si>
    <t>Vegetable</t>
  </si>
  <si>
    <t>Supreme</t>
  </si>
  <si>
    <t>Available</t>
  </si>
  <si>
    <t>Dough (oz.)</t>
  </si>
  <si>
    <t>300 lbs.</t>
  </si>
  <si>
    <t>Sauce (fl. oz.)</t>
  </si>
  <si>
    <t>20 gallons</t>
  </si>
  <si>
    <t>Cheese (oz.)</t>
  </si>
  <si>
    <t>250 lbs.</t>
  </si>
  <si>
    <t>Meat (oz.)</t>
  </si>
  <si>
    <t>90 lbs.</t>
  </si>
  <si>
    <t>Vegetables (oz.)</t>
  </si>
  <si>
    <t>75 lbs.</t>
  </si>
  <si>
    <t>Price/Slice</t>
  </si>
  <si>
    <t>max mugs</t>
  </si>
  <si>
    <t>Cat Mug</t>
  </si>
  <si>
    <t>&gt;=</t>
  </si>
  <si>
    <t>lh hw mugs</t>
  </si>
  <si>
    <t>rh hw mugs</t>
  </si>
  <si>
    <t>&lt;=</t>
  </si>
  <si>
    <t>hw mugs</t>
  </si>
  <si>
    <t>????</t>
  </si>
  <si>
    <t>wolf mug total</t>
  </si>
  <si>
    <t>cat mug total</t>
  </si>
  <si>
    <t>bowls total</t>
  </si>
  <si>
    <t>serving tray mug total</t>
  </si>
  <si>
    <t>Solution</t>
  </si>
  <si>
    <t>workers</t>
  </si>
  <si>
    <t>hours working</t>
  </si>
  <si>
    <t>days pre month</t>
  </si>
  <si>
    <t>wage</t>
  </si>
  <si>
    <t>clay cost</t>
  </si>
  <si>
    <t>clay amount</t>
  </si>
  <si>
    <t>labor</t>
  </si>
  <si>
    <t>labor per day (hrs)</t>
  </si>
  <si>
    <t>profit</t>
  </si>
  <si>
    <t>constrains</t>
  </si>
  <si>
    <t>labor per month (hrs)</t>
  </si>
  <si>
    <t>Profit</t>
  </si>
  <si>
    <t>overtime</t>
  </si>
  <si>
    <t>subcontractor</t>
  </si>
  <si>
    <t>holding cost</t>
  </si>
  <si>
    <t>units</t>
  </si>
  <si>
    <t>costs</t>
  </si>
  <si>
    <t>clay</t>
  </si>
  <si>
    <t>total profit</t>
  </si>
  <si>
    <t>regular</t>
  </si>
  <si>
    <t>subcontract</t>
  </si>
  <si>
    <t>inspection/other costs</t>
  </si>
  <si>
    <t>constraints</t>
  </si>
  <si>
    <t>total cost</t>
  </si>
  <si>
    <t xml:space="preserve">total cost </t>
  </si>
  <si>
    <t>inventory</t>
  </si>
  <si>
    <t>cost per week</t>
  </si>
  <si>
    <t>regular units</t>
  </si>
  <si>
    <t>overtime units</t>
  </si>
  <si>
    <t>subcontract units</t>
  </si>
  <si>
    <t>max subcontract units</t>
  </si>
  <si>
    <t>max regular units</t>
  </si>
  <si>
    <t>max overtime units</t>
  </si>
  <si>
    <t>pizzas</t>
  </si>
  <si>
    <t>Dough</t>
  </si>
  <si>
    <t>Sauce</t>
  </si>
  <si>
    <t>Vegetables</t>
  </si>
  <si>
    <t>revenues</t>
  </si>
  <si>
    <t>total pizza</t>
  </si>
  <si>
    <t>min pizza</t>
  </si>
  <si>
    <t>toal revenue</t>
  </si>
  <si>
    <t>Sauce will be need to be increased to meet our needs</t>
  </si>
  <si>
    <t>3.)</t>
  </si>
  <si>
    <t>2.)</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</si>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</sst>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_(&quot;$&quot;* #,##0_);_(&quot;$&quot;* \(#,##0\);_(&quot;$&quot;* &quot;-&quot;??_);_(@_)"/>
  </numFmts>
  <fonts count="4" x14ac:knownFonts="1">
    <font>
      <sz val="12"/>
      <color theme="1"/>
      <name val="Calibri"/>
      <family val="2"/>
      <scheme val="minor"/>
    </font>
    <font>
      <sz val="12"/>
      <color theme="1"/>
      <name val="Calibri"/>
      <family val="2"/>
      <scheme val="minor"/>
    </font>
    <font>
      <sz val="12"/>
      <color theme="1"/>
      <name val="Times New Roman"/>
      <family val="1"/>
    </font>
    <font>
      <sz val="48"/>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theme="3"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0" fontId="2" fillId="0" borderId="4" xfId="0" applyFont="1" applyBorder="1" applyAlignment="1">
      <alignment horizontal="center" vertical="center" wrapText="1"/>
    </xf>
    <xf numFmtId="0" fontId="2" fillId="0" borderId="2" xfId="0" applyFont="1" applyBorder="1" applyAlignment="1">
      <alignment vertical="center" wrapText="1"/>
    </xf>
    <xf numFmtId="6" fontId="2" fillId="0" borderId="4" xfId="0" applyNumberFormat="1" applyFont="1" applyBorder="1" applyAlignment="1">
      <alignment horizontal="center" vertical="center" wrapText="1"/>
    </xf>
    <xf numFmtId="0" fontId="2" fillId="0" borderId="1" xfId="0" applyFont="1" applyBorder="1" applyAlignment="1">
      <alignment vertical="center" wrapText="1"/>
    </xf>
    <xf numFmtId="0" fontId="2" fillId="0" borderId="3" xfId="0" applyFont="1" applyBorder="1" applyAlignment="1">
      <alignment vertical="center" wrapText="1"/>
    </xf>
    <xf numFmtId="0" fontId="0" fillId="2" borderId="0" xfId="0" applyFill="1"/>
    <xf numFmtId="44" fontId="0" fillId="0" borderId="0" xfId="1" applyFont="1"/>
    <xf numFmtId="44" fontId="0" fillId="0" borderId="0" xfId="0" applyNumberFormat="1"/>
    <xf numFmtId="2" fontId="0" fillId="2" borderId="0" xfId="0" applyNumberFormat="1" applyFill="1"/>
    <xf numFmtId="2" fontId="0" fillId="0" borderId="0" xfId="0" applyNumberFormat="1"/>
    <xf numFmtId="44" fontId="0" fillId="3" borderId="0" xfId="0" applyNumberFormat="1" applyFill="1"/>
    <xf numFmtId="44" fontId="0" fillId="2" borderId="0" xfId="0" applyNumberFormat="1" applyFill="1"/>
    <xf numFmtId="0" fontId="0" fillId="0" borderId="0" xfId="0" applyAlignment="1">
      <alignment horizontal="center"/>
    </xf>
    <xf numFmtId="6" fontId="0" fillId="0" borderId="0" xfId="0" applyNumberFormat="1"/>
    <xf numFmtId="0" fontId="0" fillId="4" borderId="0" xfId="0" applyFill="1"/>
    <xf numFmtId="0" fontId="0" fillId="0" borderId="5" xfId="0" applyBorder="1"/>
    <xf numFmtId="0" fontId="0" fillId="2" borderId="0" xfId="0" applyFill="1" applyBorder="1"/>
    <xf numFmtId="0" fontId="0" fillId="2" borderId="6" xfId="0" applyFill="1" applyBorder="1"/>
    <xf numFmtId="0" fontId="0" fillId="0" borderId="7" xfId="0" applyBorder="1"/>
    <xf numFmtId="0" fontId="0" fillId="0" borderId="9" xfId="0" applyBorder="1"/>
    <xf numFmtId="0" fontId="0" fillId="0" borderId="10" xfId="0" applyBorder="1"/>
    <xf numFmtId="0" fontId="0" fillId="0" borderId="3" xfId="0" applyBorder="1"/>
    <xf numFmtId="164" fontId="0" fillId="5" borderId="0" xfId="1" applyNumberFormat="1" applyFont="1" applyFill="1" applyBorder="1"/>
    <xf numFmtId="0" fontId="0" fillId="0" borderId="0" xfId="0" applyFill="1"/>
    <xf numFmtId="0" fontId="0" fillId="0" borderId="0" xfId="0" applyFill="1" applyBorder="1"/>
    <xf numFmtId="164" fontId="0" fillId="2" borderId="0" xfId="0" applyNumberFormat="1" applyFill="1"/>
    <xf numFmtId="0" fontId="0" fillId="0" borderId="0" xfId="0" applyAlignment="1">
      <alignment wrapText="1"/>
    </xf>
    <xf numFmtId="0" fontId="0" fillId="0" borderId="1" xfId="0" applyBorder="1"/>
    <xf numFmtId="0" fontId="2" fillId="0" borderId="1" xfId="0" applyFont="1" applyBorder="1" applyAlignment="1">
      <alignment horizontal="center" vertical="center" wrapText="1"/>
    </xf>
    <xf numFmtId="0" fontId="0" fillId="2" borderId="8" xfId="0" applyFill="1" applyBorder="1"/>
    <xf numFmtId="0" fontId="0" fillId="2" borderId="4" xfId="0" applyFill="1" applyBorder="1"/>
    <xf numFmtId="164" fontId="0" fillId="5" borderId="6" xfId="1" applyNumberFormat="1" applyFont="1" applyFill="1" applyBorder="1"/>
    <xf numFmtId="164" fontId="0" fillId="5" borderId="8" xfId="1" applyNumberFormat="1" applyFont="1" applyFill="1" applyBorder="1"/>
    <xf numFmtId="164" fontId="0" fillId="5" borderId="4" xfId="1" applyNumberFormat="1" applyFont="1" applyFill="1" applyBorder="1"/>
    <xf numFmtId="164" fontId="0" fillId="0" borderId="0" xfId="0" applyNumberFormat="1"/>
    <xf numFmtId="0" fontId="0" fillId="0" borderId="0" xfId="0" applyFill="1" applyAlignment="1"/>
    <xf numFmtId="164" fontId="0" fillId="0" borderId="0" xfId="1" applyNumberFormat="1" applyFont="1" applyFill="1" applyBorder="1"/>
    <xf numFmtId="164" fontId="0" fillId="0" borderId="0" xfId="0" applyNumberFormat="1" applyFill="1"/>
    <xf numFmtId="0" fontId="0" fillId="0" borderId="0" xfId="0" applyFill="1" applyBorder="1" applyAlignment="1"/>
    <xf numFmtId="0" fontId="2" fillId="0" borderId="2" xfId="0" applyFont="1" applyBorder="1" applyAlignment="1">
      <alignment horizontal="center" vertical="center" wrapText="1"/>
    </xf>
    <xf numFmtId="0" fontId="0" fillId="0" borderId="1" xfId="0" applyFill="1" applyBorder="1"/>
    <xf numFmtId="0" fontId="2" fillId="0" borderId="6" xfId="0" applyFont="1" applyFill="1" applyBorder="1" applyAlignment="1">
      <alignment horizontal="center" vertical="center" wrapText="1"/>
    </xf>
    <xf numFmtId="0" fontId="2" fillId="0" borderId="0" xfId="0" applyFont="1" applyFill="1" applyBorder="1" applyAlignment="1">
      <alignment vertical="center" wrapText="1"/>
    </xf>
    <xf numFmtId="6" fontId="0" fillId="2" borderId="0" xfId="0" applyNumberFormat="1" applyFill="1"/>
    <xf numFmtId="0" fontId="0" fillId="0" borderId="0" xfId="0" applyFill="1" applyAlignment="1">
      <alignment horizontal="center"/>
    </xf>
    <xf numFmtId="44" fontId="0" fillId="0" borderId="0" xfId="0" applyNumberFormat="1" applyFill="1"/>
    <xf numFmtId="0" fontId="3"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12700</xdr:rowOff>
    </xdr:from>
    <xdr:to>
      <xdr:col>20</xdr:col>
      <xdr:colOff>114300</xdr:colOff>
      <xdr:row>38</xdr:row>
      <xdr:rowOff>0</xdr:rowOff>
    </xdr:to>
    <xdr:pic>
      <xdr:nvPicPr>
        <xdr:cNvPr id="2" name="Picture 1">
          <a:extLst>
            <a:ext uri="{FF2B5EF4-FFF2-40B4-BE49-F238E27FC236}">
              <a16:creationId xmlns:a16="http://schemas.microsoft.com/office/drawing/2014/main" id="{B4A88A02-7965-514C-8E37-DC2479F0D76B}"/>
            </a:ext>
          </a:extLst>
        </xdr:cNvPr>
        <xdr:cNvPicPr>
          <a:picLocks noChangeAspect="1"/>
        </xdr:cNvPicPr>
      </xdr:nvPicPr>
      <xdr:blipFill>
        <a:blip xmlns:r="http://schemas.openxmlformats.org/officeDocument/2006/relationships" r:embed="rId1"/>
        <a:stretch>
          <a:fillRect/>
        </a:stretch>
      </xdr:blipFill>
      <xdr:spPr>
        <a:xfrm>
          <a:off x="11557000" y="1028700"/>
          <a:ext cx="5067300" cy="6692900"/>
        </a:xfrm>
        <a:prstGeom prst="rect">
          <a:avLst/>
        </a:prstGeom>
      </xdr:spPr>
    </xdr:pic>
    <xdr:clientData/>
  </xdr:twoCellAnchor>
  <xdr:twoCellAnchor>
    <xdr:from>
      <xdr:col>14</xdr:col>
      <xdr:colOff>787400</xdr:colOff>
      <xdr:row>0</xdr:row>
      <xdr:rowOff>190500</xdr:rowOff>
    </xdr:from>
    <xdr:to>
      <xdr:col>20</xdr:col>
      <xdr:colOff>762000</xdr:colOff>
      <xdr:row>5</xdr:row>
      <xdr:rowOff>0</xdr:rowOff>
    </xdr:to>
    <xdr:sp macro="" textlink="">
      <xdr:nvSpPr>
        <xdr:cNvPr id="3" name="TextBox 2">
          <a:extLst>
            <a:ext uri="{FF2B5EF4-FFF2-40B4-BE49-F238E27FC236}">
              <a16:creationId xmlns:a16="http://schemas.microsoft.com/office/drawing/2014/main" id="{6CF60375-807A-8743-9098-0CB954CA6152}"/>
            </a:ext>
          </a:extLst>
        </xdr:cNvPr>
        <xdr:cNvSpPr txBox="1"/>
      </xdr:nvSpPr>
      <xdr:spPr>
        <a:xfrm>
          <a:off x="12344400" y="190500"/>
          <a:ext cx="4927600" cy="82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a:t>
          </a:r>
        </a:p>
        <a:p>
          <a:r>
            <a:rPr lang="en-US" sz="1100"/>
            <a:t>Al</a:t>
          </a:r>
          <a:r>
            <a:rPr lang="en-US" sz="1100" baseline="0"/>
            <a:t> Forno Pizza needs to increase the amount of sauce supplies to meet their production goals.</a:t>
          </a:r>
        </a:p>
        <a:p>
          <a:endParaRPr lang="en-US" sz="1100"/>
        </a:p>
      </xdr:txBody>
    </xdr:sp>
    <xdr:clientData/>
  </xdr:twoCellAnchor>
  <xdr:twoCellAnchor editAs="oneCell">
    <xdr:from>
      <xdr:col>7</xdr:col>
      <xdr:colOff>1</xdr:colOff>
      <xdr:row>5</xdr:row>
      <xdr:rowOff>12700</xdr:rowOff>
    </xdr:from>
    <xdr:to>
      <xdr:col>13</xdr:col>
      <xdr:colOff>150080</xdr:colOff>
      <xdr:row>38</xdr:row>
      <xdr:rowOff>9652</xdr:rowOff>
    </xdr:to>
    <xdr:pic>
      <xdr:nvPicPr>
        <xdr:cNvPr id="4" name="Picture 3">
          <a:extLst>
            <a:ext uri="{FF2B5EF4-FFF2-40B4-BE49-F238E27FC236}">
              <a16:creationId xmlns:a16="http://schemas.microsoft.com/office/drawing/2014/main" id="{6DE71D49-9CEC-5244-8179-37D7408658E5}"/>
            </a:ext>
          </a:extLst>
        </xdr:cNvPr>
        <xdr:cNvPicPr>
          <a:picLocks noChangeAspect="1"/>
        </xdr:cNvPicPr>
      </xdr:nvPicPr>
      <xdr:blipFill>
        <a:blip xmlns:r="http://schemas.openxmlformats.org/officeDocument/2006/relationships" r:embed="rId2"/>
        <a:stretch>
          <a:fillRect/>
        </a:stretch>
      </xdr:blipFill>
      <xdr:spPr>
        <a:xfrm>
          <a:off x="5778501" y="1028700"/>
          <a:ext cx="5103079" cy="6702552"/>
        </a:xfrm>
        <a:prstGeom prst="rect">
          <a:avLst/>
        </a:prstGeom>
      </xdr:spPr>
    </xdr:pic>
    <xdr:clientData/>
  </xdr:twoCellAnchor>
  <xdr:twoCellAnchor editAs="oneCell">
    <xdr:from>
      <xdr:col>0</xdr:col>
      <xdr:colOff>0</xdr:colOff>
      <xdr:row>5</xdr:row>
      <xdr:rowOff>25400</xdr:rowOff>
    </xdr:from>
    <xdr:to>
      <xdr:col>6</xdr:col>
      <xdr:colOff>76200</xdr:colOff>
      <xdr:row>38</xdr:row>
      <xdr:rowOff>25400</xdr:rowOff>
    </xdr:to>
    <xdr:pic>
      <xdr:nvPicPr>
        <xdr:cNvPr id="5" name="Picture 4">
          <a:extLst>
            <a:ext uri="{FF2B5EF4-FFF2-40B4-BE49-F238E27FC236}">
              <a16:creationId xmlns:a16="http://schemas.microsoft.com/office/drawing/2014/main" id="{038AAFEC-DA3F-3A44-B8F2-E5D976EC3AFE}"/>
            </a:ext>
          </a:extLst>
        </xdr:cNvPr>
        <xdr:cNvPicPr>
          <a:picLocks noChangeAspect="1"/>
        </xdr:cNvPicPr>
      </xdr:nvPicPr>
      <xdr:blipFill>
        <a:blip xmlns:r="http://schemas.openxmlformats.org/officeDocument/2006/relationships" r:embed="rId3"/>
        <a:stretch>
          <a:fillRect/>
        </a:stretch>
      </xdr:blipFill>
      <xdr:spPr>
        <a:xfrm>
          <a:off x="0" y="1041400"/>
          <a:ext cx="5029200" cy="6705600"/>
        </a:xfrm>
        <a:prstGeom prst="rect">
          <a:avLst/>
        </a:prstGeom>
      </xdr:spPr>
    </xdr:pic>
    <xdr:clientData/>
  </xdr:twoCellAnchor>
  <xdr:twoCellAnchor>
    <xdr:from>
      <xdr:col>1</xdr:col>
      <xdr:colOff>38100</xdr:colOff>
      <xdr:row>40</xdr:row>
      <xdr:rowOff>0</xdr:rowOff>
    </xdr:from>
    <xdr:to>
      <xdr:col>11</xdr:col>
      <xdr:colOff>12700</xdr:colOff>
      <xdr:row>53</xdr:row>
      <xdr:rowOff>190500</xdr:rowOff>
    </xdr:to>
    <xdr:sp macro="" textlink="">
      <xdr:nvSpPr>
        <xdr:cNvPr id="6" name="TextBox 5">
          <a:extLst>
            <a:ext uri="{FF2B5EF4-FFF2-40B4-BE49-F238E27FC236}">
              <a16:creationId xmlns:a16="http://schemas.microsoft.com/office/drawing/2014/main" id="{1FD2E0DE-AD52-6549-A6B8-8711CAD0B144}"/>
            </a:ext>
          </a:extLst>
        </xdr:cNvPr>
        <xdr:cNvSpPr txBox="1"/>
      </xdr:nvSpPr>
      <xdr:spPr>
        <a:xfrm>
          <a:off x="863600" y="8128000"/>
          <a:ext cx="8229600" cy="283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  Your deliverable will be a functioning Excel spreadsheet with each problem on a separate worksheet page.  The opening worksheet page of your Excel file will be a cover page with your name.  For each problem a fully populated Solver dialog box will be available and your model should solve in a test by the instructor. The deliverable will be uploaded to Canvas by the assignment deadline.</a:t>
          </a:r>
        </a:p>
        <a:p>
          <a:endParaRPr lang="en-US" sz="1100"/>
        </a:p>
        <a:p>
          <a:endParaRPr lang="en-US" sz="1100"/>
        </a:p>
        <a:p>
          <a:r>
            <a:rPr lang="en-US" sz="1100">
              <a:solidFill>
                <a:schemeClr val="dk1"/>
              </a:solidFill>
              <a:effectLst/>
              <a:latin typeface="+mn-lt"/>
              <a:ea typeface="+mn-ea"/>
              <a:cs typeface="+mn-cs"/>
            </a:rPr>
            <a:t>Your deliverable will be a functioning Excel spreadsheet with each problem on a separate worksheet page.   Check</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opening worksheet page of your Excel file will be a cover page with your name.   Check</a:t>
          </a: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each problem a fully populated Solver dialog box will be available and your model should solve in a test by the instructor. The deliverable will be uploaded to Canvas by the assignment deadline. Check</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4231</xdr:colOff>
      <xdr:row>0</xdr:row>
      <xdr:rowOff>0</xdr:rowOff>
    </xdr:from>
    <xdr:to>
      <xdr:col>8</xdr:col>
      <xdr:colOff>821265</xdr:colOff>
      <xdr:row>16</xdr:row>
      <xdr:rowOff>0</xdr:rowOff>
    </xdr:to>
    <xdr:sp macro="" textlink="">
      <xdr:nvSpPr>
        <xdr:cNvPr id="2" name="TextBox 1">
          <a:extLst>
            <a:ext uri="{FF2B5EF4-FFF2-40B4-BE49-F238E27FC236}">
              <a16:creationId xmlns:a16="http://schemas.microsoft.com/office/drawing/2014/main" id="{0E1A3649-C1A1-3842-98F4-8353B9AC044E}"/>
            </a:ext>
          </a:extLst>
        </xdr:cNvPr>
        <xdr:cNvSpPr txBox="1"/>
      </xdr:nvSpPr>
      <xdr:spPr>
        <a:xfrm>
          <a:off x="4231" y="0"/>
          <a:ext cx="7454901" cy="325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dk1"/>
              </a:solidFill>
              <a:effectLst/>
              <a:latin typeface="+mn-lt"/>
              <a:ea typeface="+mn-ea"/>
              <a:cs typeface="+mn-cs"/>
            </a:rPr>
            <a:t>Maggie’s Pottery Barn is a mid-sized pottery shop selling handmade pottery to tourists in Cherokee, North Carolina.  Seven products of interest are 1) standard clay mugs, 2) wolf mugs, 3) cat mugs, 4) right-handed hand warmer mugs, 5) left-handed hand warmer mugs, 6) clay serving trays, and 7) 10-inch clay bowls.  (Some of these products are shown in the embedded document below.)  The products are made and fired in Maggie’s shop where tourists can watch, and then sold to tourists in a showroom.  Maggie’s currently has 27 full-time employees working 8 hours each day for 22 days per month.  Employees are paid $12 per hour.  For the current month Maggie’s has 6 tons of clay, costing $0.80 per pound.  Revenue and other details for each product are given in the table below.  </a:t>
          </a:r>
          <a:endParaRPr lang="en-US" sz="1800"/>
        </a:p>
      </xdr:txBody>
    </xdr:sp>
    <xdr:clientData/>
  </xdr:twoCellAnchor>
  <xdr:twoCellAnchor>
    <xdr:from>
      <xdr:col>9</xdr:col>
      <xdr:colOff>0</xdr:colOff>
      <xdr:row>0</xdr:row>
      <xdr:rowOff>0</xdr:rowOff>
    </xdr:from>
    <xdr:to>
      <xdr:col>17</xdr:col>
      <xdr:colOff>757767</xdr:colOff>
      <xdr:row>16</xdr:row>
      <xdr:rowOff>16932</xdr:rowOff>
    </xdr:to>
    <xdr:sp macro="" textlink="">
      <xdr:nvSpPr>
        <xdr:cNvPr id="3" name="TextBox 2">
          <a:extLst>
            <a:ext uri="{FF2B5EF4-FFF2-40B4-BE49-F238E27FC236}">
              <a16:creationId xmlns:a16="http://schemas.microsoft.com/office/drawing/2014/main" id="{3028E7F8-912F-694D-BC8C-7B8157984D1B}"/>
            </a:ext>
          </a:extLst>
        </xdr:cNvPr>
        <xdr:cNvSpPr txBox="1"/>
      </xdr:nvSpPr>
      <xdr:spPr>
        <a:xfrm>
          <a:off x="7467600" y="0"/>
          <a:ext cx="7395634" cy="32681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rtl="0"/>
          <a:r>
            <a:rPr lang="en-US" sz="1800">
              <a:solidFill>
                <a:schemeClr val="dk1"/>
              </a:solidFill>
              <a:effectLst/>
              <a:latin typeface="+mn-lt"/>
              <a:ea typeface="+mn-ea"/>
              <a:cs typeface="+mn-cs"/>
            </a:rPr>
            <a:t>At most 2000 mugs in total (combined for all types of mugs) can be sold.</a:t>
          </a:r>
        </a:p>
        <a:p>
          <a:pPr lvl="0"/>
          <a:r>
            <a:rPr lang="en-US" sz="1800">
              <a:solidFill>
                <a:schemeClr val="dk1"/>
              </a:solidFill>
              <a:effectLst/>
              <a:latin typeface="+mn-lt"/>
              <a:ea typeface="+mn-ea"/>
              <a:cs typeface="+mn-cs"/>
            </a:rPr>
            <a:t>At least 5% of all hand warming mugs produced must be left-handed mugs.</a:t>
          </a:r>
        </a:p>
        <a:p>
          <a:pPr lvl="0"/>
          <a:r>
            <a:rPr lang="en-US" sz="1800">
              <a:solidFill>
                <a:schemeClr val="dk1"/>
              </a:solidFill>
              <a:effectLst/>
              <a:latin typeface="+mn-lt"/>
              <a:ea typeface="+mn-ea"/>
              <a:cs typeface="+mn-cs"/>
            </a:rPr>
            <a:t>At most 15% of all hand warming mugs produced can be left-handed mugs.</a:t>
          </a:r>
        </a:p>
        <a:p>
          <a:pPr lvl="0"/>
          <a:r>
            <a:rPr lang="en-US" sz="1800">
              <a:solidFill>
                <a:schemeClr val="dk1"/>
              </a:solidFill>
              <a:effectLst/>
              <a:latin typeface="+mn-lt"/>
              <a:ea typeface="+mn-ea"/>
              <a:cs typeface="+mn-cs"/>
            </a:rPr>
            <a:t>At least 350 hand warming mugs of both types should be produced. </a:t>
          </a:r>
        </a:p>
        <a:p>
          <a:pPr lvl="0"/>
          <a:r>
            <a:rPr lang="en-US" sz="1800">
              <a:solidFill>
                <a:schemeClr val="dk1"/>
              </a:solidFill>
              <a:effectLst/>
              <a:latin typeface="+mn-lt"/>
              <a:ea typeface="+mn-ea"/>
              <a:cs typeface="+mn-cs"/>
            </a:rPr>
            <a:t>The number of wolf mugs produced must be greater than or equal to the number of cat mugs produced.</a:t>
          </a:r>
        </a:p>
        <a:p>
          <a:pPr lvl="0"/>
          <a:r>
            <a:rPr lang="en-US" sz="1800">
              <a:solidFill>
                <a:schemeClr val="dk1"/>
              </a:solidFill>
              <a:effectLst/>
              <a:latin typeface="+mn-lt"/>
              <a:ea typeface="+mn-ea"/>
              <a:cs typeface="+mn-cs"/>
            </a:rPr>
            <a:t>The number of standard mugs produced must be equal to or greater than the total number of wolf mugs and cat mugs combined.</a:t>
          </a:r>
        </a:p>
        <a:p>
          <a:pPr lvl="0"/>
          <a:r>
            <a:rPr lang="en-US" sz="1800">
              <a:solidFill>
                <a:schemeClr val="dk1"/>
              </a:solidFill>
              <a:effectLst/>
              <a:latin typeface="+mn-lt"/>
              <a:ea typeface="+mn-ea"/>
              <a:cs typeface="+mn-cs"/>
            </a:rPr>
            <a:t>The number of bowls produced must be equal to or greater than the number of serving trays</a:t>
          </a:r>
        </a:p>
        <a:p>
          <a:pPr lvl="0"/>
          <a:r>
            <a:rPr lang="en-US" sz="1800">
              <a:solidFill>
                <a:schemeClr val="dk1"/>
              </a:solidFill>
              <a:effectLst/>
              <a:latin typeface="+mn-lt"/>
              <a:ea typeface="+mn-ea"/>
              <a:cs typeface="+mn-cs"/>
            </a:rPr>
            <a:t>The number of bowls cannot exceed 400.</a:t>
          </a:r>
        </a:p>
        <a:p>
          <a:endParaRPr lang="en-US" sz="1100"/>
        </a:p>
      </xdr:txBody>
    </xdr:sp>
    <xdr:clientData/>
  </xdr:twoCellAnchor>
  <xdr:twoCellAnchor>
    <xdr:from>
      <xdr:col>11</xdr:col>
      <xdr:colOff>838197</xdr:colOff>
      <xdr:row>23</xdr:row>
      <xdr:rowOff>160866</xdr:rowOff>
    </xdr:from>
    <xdr:to>
      <xdr:col>20</xdr:col>
      <xdr:colOff>516464</xdr:colOff>
      <xdr:row>28</xdr:row>
      <xdr:rowOff>110067</xdr:rowOff>
    </xdr:to>
    <xdr:sp macro="" textlink="">
      <xdr:nvSpPr>
        <xdr:cNvPr id="4" name="TextBox 3">
          <a:extLst>
            <a:ext uri="{FF2B5EF4-FFF2-40B4-BE49-F238E27FC236}">
              <a16:creationId xmlns:a16="http://schemas.microsoft.com/office/drawing/2014/main" id="{5274BC1A-B288-8942-8B0B-42C8CD285889}"/>
            </a:ext>
          </a:extLst>
        </xdr:cNvPr>
        <xdr:cNvSpPr txBox="1"/>
      </xdr:nvSpPr>
      <xdr:spPr>
        <a:xfrm>
          <a:off x="11743264" y="4842933"/>
          <a:ext cx="7958667" cy="965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a:t>
          </a:r>
          <a:r>
            <a:rPr lang="en-US" sz="1100" baseline="0"/>
            <a:t> z = 61.80x1 + 25x2 + 32x3 + 37x4 + 32x5 + 32x6 + 87x6</a:t>
          </a:r>
        </a:p>
        <a:p>
          <a:endParaRPr lang="en-US" sz="1100" baseline="0"/>
        </a:p>
        <a:p>
          <a:r>
            <a:rPr lang="en-US" sz="1100" baseline="0"/>
            <a:t>labor 4752 =&lt; 1x1 + 1x2 + 1.7x3 + 2.3x4 + 2.3x5 + 2x6 + 2x7 + 1x8</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mats 12000 &lt;= 4x1 + 1x2 + 1x3 + 1x4 + 1x5 + 1x6 + 1x7 + 3x8</a:t>
          </a:r>
        </a:p>
        <a:p>
          <a:endParaRPr lang="en-US" sz="1100" baseline="0"/>
        </a:p>
        <a:p>
          <a:endParaRPr lang="en-US" sz="1100" baseline="0"/>
        </a:p>
        <a:p>
          <a:endParaRPr lang="en-US" sz="1100" baseline="0"/>
        </a:p>
        <a:p>
          <a:r>
            <a:rPr lang="en-US" sz="1100" baseline="0"/>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12700</xdr:colOff>
      <xdr:row>17</xdr:row>
      <xdr:rowOff>38100</xdr:rowOff>
    </xdr:to>
    <xdr:sp macro="" textlink="">
      <xdr:nvSpPr>
        <xdr:cNvPr id="2" name="TextBox 1">
          <a:extLst>
            <a:ext uri="{FF2B5EF4-FFF2-40B4-BE49-F238E27FC236}">
              <a16:creationId xmlns:a16="http://schemas.microsoft.com/office/drawing/2014/main" id="{BD4E1C56-ED1E-A746-9473-3F72647F3985}"/>
            </a:ext>
          </a:extLst>
        </xdr:cNvPr>
        <xdr:cNvSpPr txBox="1"/>
      </xdr:nvSpPr>
      <xdr:spPr>
        <a:xfrm>
          <a:off x="0" y="0"/>
          <a:ext cx="7442200" cy="349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rtl="0"/>
          <a:r>
            <a:rPr lang="en-US" sz="1800">
              <a:solidFill>
                <a:schemeClr val="dk1"/>
              </a:solidFill>
              <a:effectLst/>
              <a:latin typeface="+mn-lt"/>
              <a:ea typeface="+mn-ea"/>
              <a:cs typeface="+mn-cs"/>
            </a:rPr>
            <a:t>BP Computer Services assembles its own brand of personal computers from component parts it purchases overseas and domestically.  BP has enough regular production capacity to produce up to 2000 computers per week.  It can produce an additional 300 computers with overtime.  Also, an additional 500 computers per week can be sourced through a subcontractor. The cost of assembling, inspecting, and packaging a computer during regular time is $190.  Overtime production of a computer costs $220, and subcontracting has a unit cost of $230. Further, it costs $40 per computer per week to hold a computer in inventory for future delivery, but BP’s storage facility can store a maximum of only 1500 computers.  BP wants to meet all customer orders with no shortages to provide quality service.  BP’s confirmed orders for the next six weeks are given below.</a:t>
          </a:r>
        </a:p>
      </xdr:txBody>
    </xdr:sp>
    <xdr:clientData/>
  </xdr:twoCellAnchor>
  <xdr:twoCellAnchor>
    <xdr:from>
      <xdr:col>9</xdr:col>
      <xdr:colOff>0</xdr:colOff>
      <xdr:row>0</xdr:row>
      <xdr:rowOff>0</xdr:rowOff>
    </xdr:from>
    <xdr:to>
      <xdr:col>17</xdr:col>
      <xdr:colOff>736600</xdr:colOff>
      <xdr:row>17</xdr:row>
      <xdr:rowOff>38100</xdr:rowOff>
    </xdr:to>
    <xdr:sp macro="" textlink="">
      <xdr:nvSpPr>
        <xdr:cNvPr id="3" name="TextBox 2">
          <a:extLst>
            <a:ext uri="{FF2B5EF4-FFF2-40B4-BE49-F238E27FC236}">
              <a16:creationId xmlns:a16="http://schemas.microsoft.com/office/drawing/2014/main" id="{EFE75D2A-15BC-C447-AFE6-ABD2672278C7}"/>
            </a:ext>
          </a:extLst>
        </xdr:cNvPr>
        <xdr:cNvSpPr txBox="1"/>
      </xdr:nvSpPr>
      <xdr:spPr>
        <a:xfrm>
          <a:off x="7429500" y="0"/>
          <a:ext cx="7340600" cy="349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rtl="0"/>
          <a:r>
            <a:rPr lang="en-US" sz="2000">
              <a:solidFill>
                <a:schemeClr val="dk1"/>
              </a:solidFill>
              <a:effectLst/>
              <a:latin typeface="+mn-lt"/>
              <a:ea typeface="+mn-ea"/>
              <a:cs typeface="+mn-cs"/>
            </a:rPr>
            <a:t>Determine the least cost master production schedule and inventory plan for BP given the availability of regular and overtime production and inventory storage.</a:t>
          </a:r>
        </a:p>
        <a:p>
          <a:r>
            <a:rPr lang="en-US" sz="2000">
              <a:solidFill>
                <a:schemeClr val="dk1"/>
              </a:solidFill>
              <a:effectLst/>
              <a:latin typeface="+mn-lt"/>
              <a:ea typeface="+mn-ea"/>
              <a:cs typeface="+mn-cs"/>
            </a:rPr>
            <a:t> </a:t>
          </a:r>
        </a:p>
        <a:p>
          <a:pPr lvl="0"/>
          <a:r>
            <a:rPr lang="en-US" sz="2000">
              <a:solidFill>
                <a:schemeClr val="dk1"/>
              </a:solidFill>
              <a:effectLst/>
              <a:latin typeface="+mn-lt"/>
              <a:ea typeface="+mn-ea"/>
              <a:cs typeface="+mn-cs"/>
            </a:rPr>
            <a:t>During the six-week planning horizon, what is the maximum and minimum inventory levels your model plans for BP’s storage facility?</a:t>
          </a:r>
        </a:p>
        <a:p>
          <a:br>
            <a:rPr lang="en-US">
              <a:effectLst/>
            </a:rPr>
          </a:br>
          <a:r>
            <a:rPr lang="en-US" sz="1100">
              <a:solidFill>
                <a:schemeClr val="dk1"/>
              </a:solidFill>
              <a:effectLst/>
              <a:latin typeface="+mn-lt"/>
              <a:ea typeface="+mn-ea"/>
              <a:cs typeface="+mn-cs"/>
            </a:rPr>
            <a:t> </a:t>
          </a:r>
        </a:p>
        <a:p>
          <a:pPr lvl="0" rtl="0"/>
          <a:endParaRPr lang="en-US" sz="110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0</xdr:row>
      <xdr:rowOff>0</xdr:rowOff>
    </xdr:from>
    <xdr:to>
      <xdr:col>9</xdr:col>
      <xdr:colOff>0</xdr:colOff>
      <xdr:row>13</xdr:row>
      <xdr:rowOff>0</xdr:rowOff>
    </xdr:to>
    <xdr:sp macro="" textlink="">
      <xdr:nvSpPr>
        <xdr:cNvPr id="2" name="TextBox 1">
          <a:extLst>
            <a:ext uri="{FF2B5EF4-FFF2-40B4-BE49-F238E27FC236}">
              <a16:creationId xmlns:a16="http://schemas.microsoft.com/office/drawing/2014/main" id="{DFE9AED1-283A-614F-B6F4-D69434432A41}"/>
            </a:ext>
          </a:extLst>
        </xdr:cNvPr>
        <xdr:cNvSpPr txBox="1"/>
      </xdr:nvSpPr>
      <xdr:spPr>
        <a:xfrm>
          <a:off x="25400" y="0"/>
          <a:ext cx="7404100" cy="264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rtl="0"/>
          <a:r>
            <a:rPr lang="en-US" sz="1600">
              <a:solidFill>
                <a:schemeClr val="dk1"/>
              </a:solidFill>
              <a:effectLst/>
              <a:latin typeface="+mn-lt"/>
              <a:ea typeface="+mn-ea"/>
              <a:cs typeface="+mn-cs"/>
            </a:rPr>
            <a:t>Al Forno is a local pizza restaurant that is participating in an upcoming Italian Heritage festival this Saturday.  At the festival Al Forno will have a small tent and be selling slices of pizza to festival attendees. Al Forno will donate all revenues to the charitable organization putting on the festival.  On this occasion Al Forno’s owners know that any kind of pizza offered will sell.  Al Forno will offer plain, meat, vegetable, and supreme pizzas for sale by the slice at the festival. Each variety has its own requirement for sauce, cheese, dough, and topings as shown in the table below.  Each variety has its own selling price per slice.  To maximize its charitable donation Al Forno wishes to maximize revenues from sales of slices of pizza.</a:t>
          </a:r>
        </a:p>
      </xdr:txBody>
    </xdr:sp>
    <xdr:clientData/>
  </xdr:twoCellAnchor>
  <xdr:twoCellAnchor>
    <xdr:from>
      <xdr:col>9</xdr:col>
      <xdr:colOff>12700</xdr:colOff>
      <xdr:row>0</xdr:row>
      <xdr:rowOff>0</xdr:rowOff>
    </xdr:from>
    <xdr:to>
      <xdr:col>18</xdr:col>
      <xdr:colOff>165100</xdr:colOff>
      <xdr:row>13</xdr:row>
      <xdr:rowOff>12700</xdr:rowOff>
    </xdr:to>
    <xdr:sp macro="" textlink="">
      <xdr:nvSpPr>
        <xdr:cNvPr id="3" name="TextBox 2">
          <a:extLst>
            <a:ext uri="{FF2B5EF4-FFF2-40B4-BE49-F238E27FC236}">
              <a16:creationId xmlns:a16="http://schemas.microsoft.com/office/drawing/2014/main" id="{8147C44A-EFFE-694F-8CB2-BE8F015A865E}"/>
            </a:ext>
          </a:extLst>
        </xdr:cNvPr>
        <xdr:cNvSpPr txBox="1"/>
      </xdr:nvSpPr>
      <xdr:spPr>
        <a:xfrm>
          <a:off x="7442200" y="0"/>
          <a:ext cx="7581900" cy="265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rtl="0"/>
          <a:r>
            <a:rPr lang="en-US" sz="1600">
              <a:solidFill>
                <a:schemeClr val="dk1"/>
              </a:solidFill>
              <a:effectLst/>
              <a:latin typeface="+mn-lt"/>
              <a:ea typeface="+mn-ea"/>
              <a:cs typeface="+mn-cs"/>
            </a:rPr>
            <a:t>Formulate and solve the linear programming model which will determine the mix of pizza types to maximize revenue.  Make sure your model produces at least 100 slices of each type of pizza.  Also make sure that the combined number of slices of Cheese, Meat, and Vegetable pizza is at least 75% of the total number of pizza slices produced of all flavors.</a:t>
          </a:r>
        </a:p>
        <a:p>
          <a:r>
            <a:rPr lang="en-US" sz="1600">
              <a:solidFill>
                <a:schemeClr val="dk1"/>
              </a:solidFill>
              <a:effectLst/>
              <a:latin typeface="+mn-lt"/>
              <a:ea typeface="+mn-ea"/>
              <a:cs typeface="+mn-cs"/>
            </a:rPr>
            <a:t> </a:t>
          </a:r>
        </a:p>
        <a:p>
          <a:r>
            <a:rPr lang="en-US" sz="1600">
              <a:solidFill>
                <a:schemeClr val="dk1"/>
              </a:solidFill>
              <a:effectLst/>
              <a:latin typeface="+mn-lt"/>
              <a:ea typeface="+mn-ea"/>
              <a:cs typeface="+mn-cs"/>
            </a:rPr>
            <a:t>Buster Bocelli on a delivery in the Fornomobile.</a:t>
          </a:r>
        </a:p>
        <a:p>
          <a:pPr lvl="0"/>
          <a:r>
            <a:rPr lang="en-US" sz="1600">
              <a:solidFill>
                <a:schemeClr val="dk1"/>
              </a:solidFill>
              <a:effectLst/>
              <a:latin typeface="+mn-lt"/>
              <a:ea typeface="+mn-ea"/>
              <a:cs typeface="+mn-cs"/>
            </a:rPr>
            <a:t>Al Forno employee Buster Bocelli can be ready at main restaurant to bring more of any ingredients required to make more pizza slices and increase revenue.  He’ll deliver them to the festival quickly in the restaurant’s delivery vehicle, the Fornomobile.  According to your model which ingredient(s) would be immediately required to increase revenue?</a:t>
          </a:r>
        </a:p>
        <a:p>
          <a:pPr lvl="0" rtl="0"/>
          <a:endParaRPr lang="en-US" sz="1400">
            <a:solidFill>
              <a:schemeClr val="dk1"/>
            </a:solidFill>
            <a:effectLst/>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42D340F5-7F37-984F-BC7C-51A455B36082}">
  <we:reference id="wa104100404" version="3.0.0.1" store="en-US" storeType="OMEX"/>
  <we:alternateReferences>
    <we:reference id="wa104100404" version="3.0.0.1" store="WA104100404" storeType="OMEX"/>
  </we:alternateReferences>
  <we:properties>
    <we:property name="EClbHzwfEANQBg==" value="&quot;Ug==&quot;"/>
    <we:property name="EClbHzwfEAhbBg==" value="&quot;JBRw&quot;"/>
    <we:property name="IihEHjwfbz9QEQcKLHQ/FQ8wUhsGACEE" value="&quot;UHY=&quot;"/>
    <we:property name="IihEHjwfbz9QEQcKLHQ/FQ8wUhsGACoZ" value="&quot;UQ==&quot;"/>
    <we:property name="IihEHjwfbz9QEQcKLHQ/FQ8wUhsGAD0Z" value="&quot;U2gHXmw=&quot;"/>
    <we:property name="IihEHjwfbz9QEQcKLHQ/FQ8wUhsGADwB" value="&quot;Uw==&quot;"/>
    <we:property name="IihEHjwfbz9QEQcKLHQ/FQ8wUhsGAT8Z" value="&quot;Uw==&quot;"/>
    <we:property name="IihEHjwfbz9QEQcKLHQ/FQ8wUhsGAT8d" value="&quot;Uw==&quot;"/>
    <we:property name="IihEHjwfbz9QEQcKLHQ/FQ8wUhsGAyoK" value="&quot;Ug==&quot;"/>
    <we:property name="IihEHjwfbz9QEQcKLHQ/FQ8wUhsGAzsf" value="&quot;UQ==&quot;"/>
    <we:property name="IihEHjwfbz9QEQcKLHQ/FQ8wUhsGBD8E" value="&quot;Ug==&quot;"/>
    <we:property name="IihEHjwfbz9QEQcKLHQ/FQ8wUhsGBD8J" value="&quot;UA==&quot;"/>
    <we:property name="IihEHjwfbz9QEQcKLHQ/FQ8wUhsGBD8e" value="&quot;U2gOUA==&quot;"/>
    <we:property name="IihEHjwfbz9QEQcKLHQ/FQ8wUhsGCCEK" value="&quot;JBRw&quot;"/>
    <we:property name="IihEHjwfbz9QEQcKLHQ/FQ8wUhsGCi4d" value="&quot;U2gHWWldf1w=&quot;"/>
    <we:property name="IihEHjwfbz9QEQcKLHQ/FQ8wUhsGCyoM" value="&quot;U2gHWWldf1w=&quot;"/>
    <we:property name="IihEHjwfbz9QEQcKLHQ/FQ8wUhsGDCwO" value="&quot;U2gHWWg=&quot;"/>
    <we:property name="IihEHjwfbz9QEQcKLHQ/FQ8wUhsGDD0e" value="&quot;Ug==&quot;"/>
    <we:property name="IihEHjwfbz9QEQcKLHQ/FQ8wUhsGDjkK" value="&quot;U2gHWWlc&quot;"/>
    <we:property name="IihEHjwfbz9QEQcKLHQ/FQ8wUhsGGSAB" value="&quot;U2gHWA==&quot;"/>
    <we:property name="IihEHjwfbz9QEQcKLHQ/FQ8wUhsGHT0I" value="&quot;U2gHWWldf1w=&quot;"/>
    <we:property name="IihEHjwfbz9QEQcKLHQ/FQ8wUhsGHiAO" value="&quot;Uw==&quot;"/>
    <we:property name="IihEHjwfbz9QEQcKLHQ/FQ8wUhsGHiwB" value="&quot;Ug==&quot;"/>
    <we:property name="IihEHjwfbz9QEQcKLHQ/FQ8wUhsGHjsM" value="&quot;Uw==&quot;"/>
    <we:property name="IihEHjwfbz9QEQcKLHQ/FQ8wUhsGHjwX" value="&quot;UnYH&quot;"/>
    <we:property name="IihEHjwfbz9QEQcKLHQ/FQ8wUhsGHy0b" value="&quot;Ug==&quot;"/>
    <we:property name="IihEHjwfbz9QEQcKLHQ/FQ8wUhsGHyMV" value="&quot;Uw==&quot;"/>
    <we:property name="IihEHjwfbz9QEQcKLHQ/FQ8wUhsGHyoe" value="&quot;Vg==&quot;"/>
    <we:property name="IihEHjwfbz9QEQcKLHQ/FQ8wUhsGHzwJ" value="&quot;Uw==&quot;"/>
    <we:property name="IihEHjwfbz9QEQcKLHQBGxsLXgc=" value="&quot;Ug==&quot;"/>
    <we:property name="IihEHjwfbz9QEQcKLHQDGAk=" value="&quot;&quot;"/>
    <we:property name="LCRd" value="&quot;&quot;"/>
    <we:property name="MzRYDSwOO014CBBYaXQ/FQ8wUhsGADwB" value="&quot;Uw==&quot;"/>
    <we:property name="MzRYDSwOO014CBBYaXQ/FQ8wUhsGASceBA==" value="&quot;RwUTWGhXay4RUF0=&quot;"/>
    <we:property name="MzRYDSwOO014CBBYaXQ/FQ8wUhsGASceBw==" value="&quot;RwITUGNJCUkM&quot;"/>
    <we:property name="MzRYDSwOO014CBBYaXQ/FQ8wUhsGAyoK" value="&quot;Ug==&quot;"/>
    <we:property name="MzRYDSwOO014CBBYaXQ/FQ8wUhsGAzgZ" value="&quot;Ug==&quot;"/>
    <we:property name="MzRYDSwOO014CBBYaXQ/FQ8wUhsGAzoA" value="&quot;UQ==&quot;"/>
    <we:property name="MzRYDSwOO014CBBYaXQ/FQ8wUhsGBiYb" value="&quot;&quot;"/>
    <we:property name="MzRYDSwOO014CBBYaXQ/FQ8wUhsGCCEK" value="&quot;Uw==&quot;"/>
    <we:property name="MzRYDSwOO014CBBYaXQ/FQ8wUhsGCDwZ" value="&quot;Ug==&quot;"/>
    <we:property name="MzRYDSwOO014CBBYaXQ/FQ8wUhsGDjkK" value="&quot;U2gHWWlc&quot;"/>
    <we:property name="MzRYDSwOO014CBBYaXQ/FQ8wUhsGGSAB" value="&quot;Uw==&quot;"/>
    <we:property name="MzRYDSwOO014CBBYaXQ/FQ8wUhsGGSIe" value="&quot;Uw==&quot;"/>
    <we:property name="MzRYDSwOO014CBBYaXQ/FQ8wUhsGHT0I" value="&quot;U2gHWWldf1w=&quot;"/>
    <we:property name="MzRYDSwOO014CBBYaXQ/FQ8wUhsGHiwB" value="&quot;Uw==&quot;"/>
    <we:property name="MzRYDSwOO014CBBYaXQ/FQ8wUhsGHjwX" value="&quot;Uw==&quot;"/>
    <we:property name="MzRYDSwOO014CBBYaXQ/FQ8wUhsGHy0b" value="&quot;Ug==&quot;"/>
    <we:property name="MzRYDSwOO014CBBYaXQ/FQ8wUhsGHyMV" value="&quot;Uw==&quot;"/>
    <we:property name="MzRYDSwOO014CBBYaXQ/FQ8wUhsGHyceBA==" value="&quot;RwQTWGhXay8RUF0=&quot;"/>
    <we:property name="MzRYDSwOO014CBBYaXQ/FQ8wUhsGHyceBw==" value="&quot;Uw==&quot;"/>
    <we:property name="MzRYDSwOO014CBBYaXQ/FQ8wUhsGHyoBBA==" value="&quot;Q3oKSQ==&quot;"/>
    <we:property name="MzRYDSwOO014CBBYaXQ/FQ8wUhsGHyoBBw==" value="&quot;Q3gKSQ==&quot;"/>
    <we:property name="MzRYDSwOO014CBBYaXQ/FQ8wUhsGHzwJ" value="&quot;&quot;"/>
    <we:property name="MzRYDSwOO014CBBYaXQBGxsLXgc=" value="&quot;Ug==&quot;"/>
    <we:property name="MzRYDSwOO014CBBYaXQDGAk=" value="&quot;RwITWGE=&quot;"/>
    <we:property name="MzRYDSwOO014CBBYaXQaGxEvVgs1CDw=" value="&quot;RwITUGNJCUkM&quot;"/>
    <we:property name="MzRYDSwOO014CBBYanQ/FQ8wUhsGASceBA==" value="&quot;RwUTWGhXay4RUF0=&quot;"/>
    <we:property name="MzRYDSwOO014CBBYanQ/FQ8wUhsGASceBw==" value="&quot;RwITUGNJCUkM&quot;"/>
    <we:property name="MzRYDSwOO014CBBYanQ/FQ8wUhsGAyoK" value="&quot;Ug==&quot;"/>
    <we:property name="MzRYDSwOO014CBBYanQ/FQ8wUhsGAzoA" value="&quot;UQ==&quot;"/>
    <we:property name="MzRYDSwOO014CBBYanQ/FQ8wUhsGCCEK" value="&quot;Uw==&quot;"/>
    <we:property name="MzRYDSwOO014CBBYanQ/FQ8wUhsGHyceBA==" value="&quot;RwQTWGhXay8RUF0=&quot;"/>
    <we:property name="MzRYDSwOO014CBBYanQ/FQ8wUhsGHyceBw==" value="&quot;Uw==&quot;"/>
    <we:property name="MzRYDSwOO014CBBYanQ/FQ8wUhsGHyoBBA==" value="&quot;Q3oKSQ==&quot;"/>
    <we:property name="MzRYDSwOO014CBBYanQ/FQ8wUhsGHyoBBw==" value="&quot;Q3gKSQ==&quot;"/>
    <we:property name="MzRYDSwOO014CBBYanQBGxsLXgc=" value="&quot;Ug==&quot;"/>
    <we:property name="MzRYDSwOO014CBBYanQDGAk=" value="&quot;RwITWGE=&quot;"/>
    <we:property name="MzRYDSwOO014CBBYanQaGxEvVgs1CDw=" value="&quot;RwITUGNJCUkM&quot;"/>
    <we:property name="MzRYDSwOO014CBBZDjQ+EwIkWwwq" value="&quot;RwITUGNJCUkM&quot;"/>
    <we:property name="MzRYDSwOO014CBBZFTQ0Nwoo" value="&quot;Ug==&quot;"/>
    <we:property name="MzRYDSwOO014CBBZFzcm" value="&quot;RwITWGE=&quot;"/>
    <we:property name="MzRYDSwOO014CBBZKzogDAY0aAUxHn0=" value="&quot;RwITUGNJCUkM&quot;"/>
    <we:property name="MzRYDSwOO014CBBZKzogDAY0aAUxHn4=" value="&quot;RwUTWGhXay4RUF0=&quot;"/>
    <we:property name="MzRYDSwOO014CBBZKzogDAY0aAc8Cg==" value="&quot;Ug==&quot;"/>
    <we:property name="MzRYDSwOO014CBBZKzogDAY0aAcsAA==" value="&quot;UQ==&quot;"/>
    <we:property name="MzRYDSwOO014CBBZKzogDAY0aAw3Cg==" value="&quot;Uw==&quot;"/>
    <we:property name="MzRYDSwOO014CBBZKzogDAY0aBs8AX0=" value="&quot;Q3gKSQ==&quot;"/>
    <we:property name="MzRYDSwOO014CBBZKzogDAY0aBs8AX4=" value="&quot;Q3oKSQ==&quot;"/>
    <we:property name="MzRYDSwOO014CBBZKzogDAY0aBsxHn0=" value="&quot;Uw==&quot;"/>
    <we:property name="MzRYDSwOO014CBBZKzogDAY0aBsxHn4=" value="&quot;RwQTWGhXay8RUF0=&quot;"/>
    <we:property name="UmgXJDgKKARQEkg1LTI/WwApXgcGBCEZUAYNCignKQkMKkEM" value="&quot;Ug==&quot;"/>
    <we:property name="UmgXJDgKKARQEkg1LTI/WwApXgcGBSoYRxI=" value="&quot;Ug==&quot;"/>
    <we:property name="UmgXJDgKKARQEkg1LTI/WwApXgcGCToMWRUHFA==" value="&quot;U2gHWWldf10E&quot;"/>
    <we:property name="UmgXJDgKKARQEkg1LTI/WwApXgcGDjoZQRgYHQ==" value="&quot;Ug==&quot;"/>
    <we:property name="UmgXJDgKKARQEkg1LTI/WwApXgcGHT0EWAAEDDc5" value="&quot;U2gHWWldf10E&quot;"/>
    <we:property name="UmgXJDgKKARQEkg1LTI/WwApXgcGHT0IRg4EDj1k" value="&quot;Ug==&quot;"/>
    <we:property name="UmgXJDgKKARQEkg1LTI/WxApWx88HxAARg0=" value="&quot;Uw==&quot;"/>
    <we:property name="UmgXJDgKKARQEkg1LTI/WxApWx88HxAARxU=" value="&quot;U2gHXmw=&quot;"/>
    <we:property name="UmgXJDgKKARQEkg1LTI/WxApWx88HxAAUBU=" value="&quot;Ug==&quot;"/>
    <we:property name="UmgXJDgKKARQEkg1LTI/WxApWx88HxAAWwg=" value="&quot;UHY=&quot;"/>
    <we:property name="UmgXJDgKKARQEkg1LTI/WxApWx88HxABRRE=" value="&quot;Uw==&quot;"/>
    <we:property name="UmgXJDgKKARQEkg1LTI/WxApWx88HxABRRU=" value="&quot;Uw==&quot;"/>
    <we:property name="UmgXJDgKKARQEkg1LTI/WxApWx88HxABXRJZ" value="&quot;RwUTW2A=&quot;"/>
    <we:property name="UmgXJDgKKARQEkg1LTI/WxApWx88HxABXRJa" value="&quot;RwUTWmk=&quot;"/>
    <we:property name="UmgXJDgKKARQEkg1LTI/WxApWx88HxABXRJb" value="&quot;RwUTWmo=&quot;"/>
    <we:property name="UmgXJDgKKARQEkg1LTI/WxApWx88HxABXRJc" value="&quot;RwUTWm8=&quot;"/>
    <we:property name="UmgXJDgKKARQEkg1LTI/WxApWx88HxABXRJd" value="&quot;RwUTWm4=&quot;"/>
    <we:property name="UmgXJDgKKARQEkg1LTI/WxApWx88HxABXRJe" value="&quot;RwUTWmE=&quot;"/>
    <we:property name="UmgXJDgKKARQEkg1LTI/WxApWx88HxABXRJf" value="&quot;&quot;"/>
    <we:property name="UmgXJDgKKARQEkg1LTI/WxApWx88HxADQAw=" value="&quot;VQ==&quot;"/>
    <we:property name="UmgXJDgKKARQEkg1LTI/WxApWx88HxADUAY=" value="&quot;Ug==&quot;"/>
    <we:property name="UmgXJDgKKARQEkg1LTI/WxApWx88HxAERQU=" value="&quot;UA==&quot;"/>
    <we:property name="UmgXJDgKKARQEkg1LTI/WxApWx88HxAERQg=" value="&quot;Ug==&quot;"/>
    <we:property name="UmgXJDgKKARQEkg1LTI/WxApWx88HxAERRI=" value="&quot;U2gOUA==&quot;"/>
    <we:property name="UmgXJDgKKARQEkg1LTI/WxApWx88HxAIWwY=" value="&quot;LxY=&quot;"/>
    <we:property name="UmgXJDgKKARQEkg1LTI/WxApWx88HxAKVBE=" value="&quot;U2gHWWldf1w=&quot;"/>
    <we:property name="UmgXJDgKKARQEkg1LTI/WxApWx88HxALUAA=" value="&quot;U2gHWWldf1w=&quot;"/>
    <we:property name="UmgXJDgKKARQEkg1LTI/WxApWx88HxAMRxI=" value="&quot;Ug==&quot;"/>
    <we:property name="UmgXJDgKKARQEkg1LTI/WxApWx88HxAMVgI=" value="&quot;U2gHWWg=&quot;"/>
    <we:property name="UmgXJDgKKARQEkg1LTI/WxApWx88HxAOQwY=" value="&quot;U2gHWWlc&quot;"/>
    <we:property name="UmgXJDgKKARQEkg1LTI/WxApWx88HxAZWg0=" value="&quot;U2gHWA==&quot;"/>
    <we:property name="UmgXJDgKKARQEkg1LTI/WxApWx88HxAbVA0=" value="&quot;Uw==&quot;"/>
    <we:property name="UmgXJDgKKARQEkg1LTI/WxApWx88HxAdRwQ=" value="&quot;U2gHWWldf1w=&quot;"/>
    <we:property name="UmgXJDgKKARQEkg1LTI/WxApWx88HxAeQQA=" value="&quot;Uw==&quot;"/>
    <we:property name="UmgXJDgKKARQEkg1LTI/WxApWx88HxAeRhs=" value="&quot;UnYH&quot;"/>
    <we:property name="UmgXJDgKKARQEkg1LTI/WxApWx88HxAeVg0=" value="&quot;Ug==&quot;"/>
    <we:property name="UmgXJDgKKARQEkg1LTI/WxApWx88HxAeWgI=" value="&quot;Uw==&quot;"/>
    <we:property name="UmgXJDgKKARQEkg1LTI/WxApWx88HxAfRgU=" value="&quot;Uw==&quot;"/>
    <we:property name="UmgXJDgKKARQEkg1LTI/WxApWx88HxAfUA1Z" value="&quot;Q3oKSQ==&quot;"/>
    <we:property name="UmgXJDgKKARQEkg1LTI/WxApWx88HxAfUA1a" value="&quot;Q3oKSQ==&quot;"/>
    <we:property name="UmgXJDgKKARQEkg1LTI/WxApWx88HxAfUA1b" value="&quot;Q3gKSQ==&quot;"/>
    <we:property name="UmgXJDgKKARQEkg1LTI/WxApWx88HxAfUA1c" value="&quot;Q3oKSQ==&quot;"/>
    <we:property name="UmgXJDgKKARQEkg1LTI/WxApWx88HxAfUA1d" value="&quot;Q3oKSQ==&quot;"/>
    <we:property name="UmgXJDgKKARQEkg1LTI/WxApWx88HxAfUA1e" value="&quot;Q3oKSQ==&quot;"/>
    <we:property name="UmgXJDgKKARQEkg1LTI/WxApWx88HxAfUA1f" value="&quot;Q3oKSQ==&quot;"/>
    <we:property name="UmgXJDgKKARQEkg1LTI/WxApWx88HxAfUBI=" value="&quot;Vg==&quot;"/>
    <we:property name="UmgXJDgKKARQEkg1LTI/WxApWx88HxAfVxc=" value="&quot;Ug==&quot;"/>
    <we:property name="UmgXJDgKKARQEkg1LTI/WxApWx88HxAfWRk=" value="&quot;Uw==&quot;"/>
    <we:property name="UmgXJDgKKARQEkg1LTI/WxApWx88HxAfXRJZ" value="&quot;Rw8TW2A=&quot;"/>
    <we:property name="UmgXJDgKKARQEkg1LTI/WxApWx88HxAfXRJa" value="&quot;Rw8TWmk=&quot;"/>
    <we:property name="UmgXJDgKKARQEkg1LTI/WxApWx88HxAfXRJb" value="&quot;Rw8TWmo=&quot;"/>
    <we:property name="UmgXJDgKKARQEkg1LTI/WxApWx88HxAfXRJc" value="&quot;Rw8TWm8=&quot;"/>
    <we:property name="UmgXJDgKKARQEkg1LTI/WxApWx88HxAfXRJd" value="&quot;Rw8TWm4=&quot;"/>
    <we:property name="UmgXJDgKKARQEkg1LTI/WxApWx88HxAfXRJe" value="&quot;Rw8TWmE=&quot;"/>
    <we:property name="UmgXJDgKKARQEkg1LTI/WxApWx88HxAfXRJf" value="&quot;&quot;"/>
    <we:property name="UmgXJDgKKARQEkg1LTI/Wy4nTyQwAw==" value="&quot;Ug==&quot;"/>
    <we:property name="UmgXJDgKKARQEkg1LTI/WywkXQ==" value="&quot;Rw0TW2A=&quot;"/>
    <we:property name="UmgXJDgKKARQEkg1LTI/WzUnRQA4DyMIRg==" value="&quot;RwUTW2BXay4RUl0=&quot;"/>
    <we:property name="UmgXJDgKKARQEkg1LTI/WzUnRQA4DyMIRlA=" value="&quot;&quot;"/>
    <we:property name="UmgXJDgKKARQEkg1LTI/WzUnRQA4DyMIRlE=" value="&quot;&quot;"/>
    <we:property name="UmgXJDgKKARQEkg1LTI/WzUnRQA4DyMIRlM=" value="&quot;&quot;"/>
    <we:property name="UniqueID" value="&quot;20211061636227532609&quot;"/>
    <we:property name="UWgXKwlNDAJYER0MPSdsKQY0QQA6CDxMegMC" value="&quot;&quot;"/>
  </we:properties>
  <we:bindings>
    <we:binding id="1. Maggies MugsrefEdit" type="matrix" appref="{B131BD61-E423-D742-A015-F537AAD9F72A}"/>
    <we:binding id="1. Maggies MugsWorker" type="matrix" appref="{FB6855D3-3BFB-A348-801F-94CE8AF894E3}"/>
    <we:binding id="1Var0" type="matrix" appref="{3F7FBA03-D22B-874E-B3F0-093C8B8B3731}"/>
    <we:binding id="2Var0" type="matrix" appref="{143C8CA5-DFDF-6649-B5BA-7D53BDF28BAB}"/>
    <we:binding id="Answer ReportrefEdit" type="matrix" appref="{8CD6DFEA-1648-004A-84BC-D34F95D228AA}"/>
    <we:binding id="Answer ReportWorker" type="matrix" appref="{F2ECC04A-2959-9442-A720-47A201231312}"/>
    <we:binding id="Var0" type="matrix" appref="{581A3E16-27CB-CB43-A9BF-1F2DE11D3390}"/>
    <we:binding id="refEdit" type="matrix" appref="{06B5B678-4FF3-8043-8F23-9A4F81145962}"/>
    <we:binding id="Worker" type="matrix" appref="{600FE99D-75F3-BD48-AF11-92473EDA719B}"/>
  </we:bindings>
  <we:snapshot xmlns:r="http://schemas.openxmlformats.org/officeDocument/2006/relationships"/>
</we:webextension>
</file>

<file path=xl/webextensions/webextension2.xml><?xml version="1.0" encoding="utf-8"?>
<we:webextension xmlns:we="http://schemas.microsoft.com/office/webextensions/webextension/2010/11" id="{71821C18-17D7-2E48-9227-33B13C3FF83D}">
  <we:reference id="wa200000018" version="21.5.1.1" store="en-US" storeType="OMEX"/>
  <we:alternateReferences>
    <we:reference id="wa200000018" version="21.5.1.1" store="WA200000018"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PsiOptStatus</we:customFunctionIds>
        <we:customFunctionIds>PsiPivotCube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9E604-6F3C-9F40-8307-62D4B63CB7CF}">
  <sheetPr codeName="Sheet1"/>
  <dimension ref="A1:O5"/>
  <sheetViews>
    <sheetView tabSelected="1" workbookViewId="0">
      <selection sqref="A1:M3"/>
    </sheetView>
  </sheetViews>
  <sheetFormatPr baseColWidth="10" defaultRowHeight="16" x14ac:dyDescent="0.2"/>
  <sheetData>
    <row r="1" spans="1:15" x14ac:dyDescent="0.2">
      <c r="A1" s="47" t="s">
        <v>1</v>
      </c>
      <c r="B1" s="47"/>
      <c r="C1" s="47"/>
      <c r="D1" s="47"/>
      <c r="E1" s="47"/>
      <c r="F1" s="47"/>
      <c r="G1" s="47"/>
      <c r="H1" s="47"/>
      <c r="I1" s="47"/>
      <c r="J1" s="47"/>
      <c r="K1" s="47"/>
      <c r="L1" s="47"/>
      <c r="M1" s="47"/>
    </row>
    <row r="2" spans="1:15" x14ac:dyDescent="0.2">
      <c r="A2" s="47"/>
      <c r="B2" s="47"/>
      <c r="C2" s="47"/>
      <c r="D2" s="47"/>
      <c r="E2" s="47"/>
      <c r="F2" s="47"/>
      <c r="G2" s="47"/>
      <c r="H2" s="47"/>
      <c r="I2" s="47"/>
      <c r="J2" s="47"/>
      <c r="K2" s="47"/>
      <c r="L2" s="47"/>
      <c r="M2" s="47"/>
    </row>
    <row r="3" spans="1:15" x14ac:dyDescent="0.2">
      <c r="A3" s="47"/>
      <c r="B3" s="47"/>
      <c r="C3" s="47"/>
      <c r="D3" s="47"/>
      <c r="E3" s="47"/>
      <c r="F3" s="47"/>
      <c r="G3" s="47"/>
      <c r="H3" s="47"/>
      <c r="I3" s="47"/>
      <c r="J3" s="47"/>
      <c r="K3" s="47"/>
      <c r="L3" s="47"/>
      <c r="M3" s="47"/>
    </row>
    <row r="4" spans="1:15" x14ac:dyDescent="0.2">
      <c r="A4" t="s">
        <v>87</v>
      </c>
      <c r="B4" t="s">
        <v>61</v>
      </c>
      <c r="H4" t="s">
        <v>86</v>
      </c>
      <c r="I4" t="s">
        <v>66</v>
      </c>
      <c r="O4" t="s">
        <v>85</v>
      </c>
    </row>
    <row r="5" spans="1:15" x14ac:dyDescent="0.2">
      <c r="B5" s="6">
        <v>69201.8</v>
      </c>
      <c r="I5" s="6">
        <v>2721400</v>
      </c>
    </row>
  </sheetData>
  <mergeCells count="1">
    <mergeCell ref="A1:M3"/>
  </mergeCells>
  <pageMargins left="0.7" right="0.7" top="0.75" bottom="0.75" header="0.3" footer="0.3"/>
  <drawing r:id="rId1"/>
  <extLst>
    <ext xmlns:x15="http://schemas.microsoft.com/office/spreadsheetml/2010/11/main" uri="{F7C9EE02-42E1-4005-9D12-6889AFFD525C}">
      <x15:webExtensions xmlns:xm="http://schemas.microsoft.com/office/excel/2006/main">
        <x15:webExtension appRef="{8CD6DFEA-1648-004A-84BC-D34F95D228AA}">
          <xm:f>#REF!</xm:f>
        </x15:webExtension>
        <x15:webExtension appRef="{F2ECC04A-2959-9442-A720-47A201231312}">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70C82-B5F1-F247-A727-5105B9982D75}">
  <sheetPr codeName="Sheet2"/>
  <dimension ref="B18:XFD1048575"/>
  <sheetViews>
    <sheetView topLeftCell="A23" zoomScale="150" zoomScaleNormal="150" workbookViewId="0">
      <selection activeCell="K28" sqref="K28:K29"/>
    </sheetView>
  </sheetViews>
  <sheetFormatPr baseColWidth="10" defaultRowHeight="16" x14ac:dyDescent="0.2"/>
  <cols>
    <col min="2" max="2" width="17" customWidth="1"/>
    <col min="3" max="3" width="10.5" bestFit="1" customWidth="1"/>
    <col min="4" max="4" width="12.6640625" bestFit="1" customWidth="1"/>
    <col min="6" max="6" width="8" bestFit="1" customWidth="1"/>
    <col min="8" max="8" width="12.6640625" bestFit="1" customWidth="1"/>
    <col min="9" max="9" width="13" customWidth="1"/>
    <col min="11" max="11" width="25.6640625" customWidth="1"/>
    <col min="12" max="12" width="18.5" customWidth="1"/>
    <col min="13" max="13" width="13.83203125" bestFit="1" customWidth="1"/>
  </cols>
  <sheetData>
    <row r="18" spans="2:21" ht="17" customHeight="1" x14ac:dyDescent="0.2">
      <c r="C18" t="s">
        <v>2</v>
      </c>
      <c r="D18" t="s">
        <v>3</v>
      </c>
      <c r="E18" t="s">
        <v>4</v>
      </c>
      <c r="F18" t="s">
        <v>31</v>
      </c>
      <c r="G18" t="s">
        <v>5</v>
      </c>
      <c r="H18" t="s">
        <v>6</v>
      </c>
      <c r="I18" t="s">
        <v>7</v>
      </c>
      <c r="K18" t="s">
        <v>51</v>
      </c>
      <c r="M18" t="s">
        <v>43</v>
      </c>
      <c r="N18">
        <v>27</v>
      </c>
    </row>
    <row r="19" spans="2:21" x14ac:dyDescent="0.2">
      <c r="B19" t="s">
        <v>0</v>
      </c>
      <c r="C19">
        <v>80</v>
      </c>
      <c r="D19">
        <v>28</v>
      </c>
      <c r="E19">
        <v>35</v>
      </c>
      <c r="F19">
        <v>40</v>
      </c>
      <c r="G19">
        <v>35</v>
      </c>
      <c r="H19">
        <v>35</v>
      </c>
      <c r="I19">
        <v>90</v>
      </c>
      <c r="K19" s="9">
        <f>SUM(C25*C26,D25*D26,E25*E26,F25*F26,G25*G26,H25*H26,I25*II26)</f>
        <v>72</v>
      </c>
      <c r="L19" s="10"/>
      <c r="M19" t="s">
        <v>44</v>
      </c>
      <c r="N19">
        <v>8</v>
      </c>
      <c r="P19" s="8"/>
    </row>
    <row r="20" spans="2:21" x14ac:dyDescent="0.2">
      <c r="B20" t="s">
        <v>8</v>
      </c>
      <c r="C20" s="8">
        <f>SUM(C21*$N$23,C22*$N$21,C24)</f>
        <v>18.2</v>
      </c>
      <c r="D20" s="8">
        <f t="shared" ref="D20:I20" si="0">SUM(D21*$N$23,D22*$N$21,D24)</f>
        <v>15.8</v>
      </c>
      <c r="E20" s="8">
        <f t="shared" si="0"/>
        <v>24.2</v>
      </c>
      <c r="F20" s="8">
        <f t="shared" si="0"/>
        <v>31.4</v>
      </c>
      <c r="G20" s="8">
        <f t="shared" si="0"/>
        <v>27.8</v>
      </c>
      <c r="H20" s="8">
        <f t="shared" si="0"/>
        <v>27.8</v>
      </c>
      <c r="I20" s="8">
        <f t="shared" si="0"/>
        <v>17.399999999999999</v>
      </c>
      <c r="M20" t="s">
        <v>45</v>
      </c>
      <c r="N20">
        <v>22</v>
      </c>
      <c r="P20" s="8"/>
    </row>
    <row r="21" spans="2:21" x14ac:dyDescent="0.2">
      <c r="B21" t="s">
        <v>9</v>
      </c>
      <c r="C21">
        <v>4</v>
      </c>
      <c r="D21">
        <v>1</v>
      </c>
      <c r="E21">
        <v>1</v>
      </c>
      <c r="F21">
        <v>1</v>
      </c>
      <c r="G21">
        <v>1</v>
      </c>
      <c r="H21">
        <v>1</v>
      </c>
      <c r="I21">
        <v>3</v>
      </c>
      <c r="M21" t="s">
        <v>46</v>
      </c>
      <c r="N21" s="7">
        <v>12</v>
      </c>
      <c r="P21" s="8"/>
    </row>
    <row r="22" spans="2:21" ht="15" customHeight="1" x14ac:dyDescent="0.2">
      <c r="B22" t="s">
        <v>10</v>
      </c>
      <c r="C22">
        <v>1</v>
      </c>
      <c r="D22">
        <v>1</v>
      </c>
      <c r="E22">
        <v>1.7</v>
      </c>
      <c r="F22">
        <v>2.2999999999999998</v>
      </c>
      <c r="G22">
        <v>2</v>
      </c>
      <c r="H22">
        <v>2</v>
      </c>
      <c r="I22">
        <v>1</v>
      </c>
      <c r="M22" t="s">
        <v>48</v>
      </c>
      <c r="N22">
        <v>12000</v>
      </c>
      <c r="P22" s="7"/>
    </row>
    <row r="23" spans="2:21" x14ac:dyDescent="0.2">
      <c r="B23" t="s">
        <v>11</v>
      </c>
      <c r="M23" t="s">
        <v>47</v>
      </c>
      <c r="N23" s="7">
        <v>0.8</v>
      </c>
      <c r="P23" s="8"/>
    </row>
    <row r="24" spans="2:21" x14ac:dyDescent="0.2">
      <c r="B24" t="s">
        <v>12</v>
      </c>
      <c r="C24">
        <v>3</v>
      </c>
      <c r="D24">
        <v>3</v>
      </c>
      <c r="E24">
        <v>3</v>
      </c>
      <c r="F24">
        <v>3</v>
      </c>
      <c r="G24">
        <v>3</v>
      </c>
      <c r="H24">
        <v>3</v>
      </c>
      <c r="I24">
        <v>3</v>
      </c>
      <c r="P24" s="8"/>
    </row>
    <row r="25" spans="2:21" x14ac:dyDescent="0.2">
      <c r="B25" t="s">
        <v>54</v>
      </c>
      <c r="C25" s="8">
        <f>C19-C20</f>
        <v>61.8</v>
      </c>
      <c r="D25" s="8">
        <f t="shared" ref="D25:I25" si="1">D19-D20</f>
        <v>12.2</v>
      </c>
      <c r="E25" s="8">
        <f t="shared" si="1"/>
        <v>10.8</v>
      </c>
      <c r="F25" s="8">
        <f t="shared" si="1"/>
        <v>8.6000000000000014</v>
      </c>
      <c r="G25" s="8">
        <f t="shared" si="1"/>
        <v>7.1999999999999993</v>
      </c>
      <c r="H25" s="8">
        <f t="shared" si="1"/>
        <v>7.1999999999999993</v>
      </c>
      <c r="I25" s="8">
        <f t="shared" si="1"/>
        <v>72.599999999999994</v>
      </c>
      <c r="P25" s="8"/>
    </row>
    <row r="26" spans="2:21" x14ac:dyDescent="0.2">
      <c r="B26" t="s">
        <v>42</v>
      </c>
      <c r="C26" s="6">
        <v>0</v>
      </c>
      <c r="D26" s="6">
        <v>0</v>
      </c>
      <c r="E26" s="6">
        <v>0</v>
      </c>
      <c r="F26" s="6">
        <v>0</v>
      </c>
      <c r="G26" s="6">
        <v>0</v>
      </c>
      <c r="H26" s="6">
        <v>10</v>
      </c>
      <c r="I26" s="6">
        <v>0</v>
      </c>
    </row>
    <row r="28" spans="2:21" x14ac:dyDescent="0.2">
      <c r="C28" t="s">
        <v>58</v>
      </c>
      <c r="D28" t="s">
        <v>51</v>
      </c>
      <c r="E28" t="s">
        <v>49</v>
      </c>
      <c r="F28" t="s">
        <v>60</v>
      </c>
      <c r="G28" s="13" t="s">
        <v>65</v>
      </c>
      <c r="H28" s="13"/>
      <c r="I28" s="13"/>
      <c r="K28" t="s">
        <v>61</v>
      </c>
    </row>
    <row r="29" spans="2:21" x14ac:dyDescent="0.2">
      <c r="B29" t="s">
        <v>2</v>
      </c>
      <c r="C29" s="6">
        <v>400</v>
      </c>
      <c r="D29" s="8">
        <f>$C29*C20</f>
        <v>7280</v>
      </c>
      <c r="E29">
        <v>1</v>
      </c>
      <c r="F29">
        <v>4</v>
      </c>
      <c r="G29">
        <f>C29</f>
        <v>400</v>
      </c>
      <c r="H29" t="s">
        <v>35</v>
      </c>
      <c r="I29">
        <v>400</v>
      </c>
      <c r="K29" s="12">
        <f>SUM(D29:D35)</f>
        <v>69201.8</v>
      </c>
    </row>
    <row r="30" spans="2:21" x14ac:dyDescent="0.2">
      <c r="B30" t="s">
        <v>7</v>
      </c>
      <c r="C30" s="6">
        <v>400</v>
      </c>
      <c r="D30" s="8">
        <f>$I20*C30</f>
        <v>6959.9999999999991</v>
      </c>
      <c r="E30">
        <v>1</v>
      </c>
      <c r="F30">
        <v>3</v>
      </c>
      <c r="G30">
        <f>C30</f>
        <v>400</v>
      </c>
      <c r="H30" t="s">
        <v>35</v>
      </c>
      <c r="I30">
        <f>C29</f>
        <v>400</v>
      </c>
      <c r="M30" t="s">
        <v>52</v>
      </c>
    </row>
    <row r="31" spans="2:21" x14ac:dyDescent="0.2">
      <c r="B31" t="s">
        <v>3</v>
      </c>
      <c r="C31" s="6">
        <v>41</v>
      </c>
      <c r="D31" s="8">
        <f>$C31*D20</f>
        <v>647.80000000000007</v>
      </c>
      <c r="E31">
        <v>1</v>
      </c>
      <c r="F31">
        <v>1</v>
      </c>
      <c r="M31" t="s">
        <v>50</v>
      </c>
      <c r="N31">
        <f>N18*N19</f>
        <v>216</v>
      </c>
      <c r="U31" s="8"/>
    </row>
    <row r="32" spans="2:21" x14ac:dyDescent="0.2">
      <c r="B32" t="s">
        <v>31</v>
      </c>
      <c r="C32" s="6">
        <v>928</v>
      </c>
      <c r="D32" s="8">
        <f>$C32*F20</f>
        <v>29139.199999999997</v>
      </c>
      <c r="E32">
        <v>2.2999999999999998</v>
      </c>
      <c r="F32">
        <v>1</v>
      </c>
      <c r="M32" t="s">
        <v>53</v>
      </c>
      <c r="N32">
        <f>N31*N20</f>
        <v>4752</v>
      </c>
    </row>
    <row r="33" spans="2:15" x14ac:dyDescent="0.2">
      <c r="B33" t="s">
        <v>4</v>
      </c>
      <c r="C33" s="6">
        <v>930</v>
      </c>
      <c r="D33" s="8">
        <f>$C33*E20</f>
        <v>22506</v>
      </c>
      <c r="E33">
        <v>1.7</v>
      </c>
      <c r="F33">
        <v>1</v>
      </c>
      <c r="G33">
        <f>C33</f>
        <v>930</v>
      </c>
      <c r="H33" t="s">
        <v>32</v>
      </c>
      <c r="I33">
        <f>C32</f>
        <v>928</v>
      </c>
      <c r="M33" t="s">
        <v>30</v>
      </c>
      <c r="N33">
        <v>2000</v>
      </c>
    </row>
    <row r="34" spans="2:15" ht="17" customHeight="1" x14ac:dyDescent="0.2">
      <c r="B34" t="s">
        <v>5</v>
      </c>
      <c r="C34" s="6">
        <v>1</v>
      </c>
      <c r="D34" s="8">
        <f>$C34*G20</f>
        <v>27.8</v>
      </c>
      <c r="E34">
        <v>2</v>
      </c>
      <c r="F34">
        <v>1</v>
      </c>
      <c r="G34">
        <f>C34</f>
        <v>1</v>
      </c>
      <c r="H34" t="s">
        <v>35</v>
      </c>
      <c r="I34">
        <f>SUM(C31:C33)*0.15</f>
        <v>284.84999999999997</v>
      </c>
      <c r="M34" t="s">
        <v>33</v>
      </c>
      <c r="N34" t="s">
        <v>32</v>
      </c>
      <c r="O34">
        <v>0.05</v>
      </c>
    </row>
    <row r="35" spans="2:15" x14ac:dyDescent="0.2">
      <c r="B35" t="s">
        <v>6</v>
      </c>
      <c r="C35" s="6">
        <v>95</v>
      </c>
      <c r="D35" s="8">
        <f>$C35*H20</f>
        <v>2641</v>
      </c>
      <c r="E35">
        <v>2</v>
      </c>
      <c r="F35">
        <v>1</v>
      </c>
      <c r="G35">
        <f>C35</f>
        <v>95</v>
      </c>
      <c r="H35" t="s">
        <v>32</v>
      </c>
      <c r="I35">
        <f>SUM(C31:C34)*0.05</f>
        <v>95</v>
      </c>
      <c r="M35" t="s">
        <v>34</v>
      </c>
      <c r="N35" t="s">
        <v>35</v>
      </c>
      <c r="O35">
        <v>0.15</v>
      </c>
    </row>
    <row r="36" spans="2:15" x14ac:dyDescent="0.2">
      <c r="B36" t="s">
        <v>49</v>
      </c>
      <c r="C36" s="15">
        <f>SUMPRODUCT(C29:C35,E29:E35)</f>
        <v>4748.3999999999996</v>
      </c>
      <c r="D36" s="11"/>
      <c r="G36">
        <f>C36</f>
        <v>4748.3999999999996</v>
      </c>
      <c r="H36" t="s">
        <v>35</v>
      </c>
      <c r="I36">
        <f>N32</f>
        <v>4752</v>
      </c>
      <c r="M36" t="s">
        <v>36</v>
      </c>
      <c r="N36" t="s">
        <v>32</v>
      </c>
      <c r="O36">
        <v>350</v>
      </c>
    </row>
    <row r="37" spans="2:15" x14ac:dyDescent="0.2">
      <c r="B37" t="s">
        <v>60</v>
      </c>
      <c r="C37" s="15">
        <f>SUMPRODUCT(C29:C35,F29:F35)</f>
        <v>4795</v>
      </c>
      <c r="D37" s="11"/>
      <c r="G37">
        <f>C37</f>
        <v>4795</v>
      </c>
      <c r="H37" t="s">
        <v>35</v>
      </c>
      <c r="I37">
        <f>12000</f>
        <v>12000</v>
      </c>
      <c r="M37" t="s">
        <v>38</v>
      </c>
      <c r="O37" t="s">
        <v>39</v>
      </c>
    </row>
    <row r="38" spans="2:15" x14ac:dyDescent="0.2">
      <c r="B38" t="s">
        <v>30</v>
      </c>
      <c r="C38" s="15">
        <f>SUM(C31:C35)</f>
        <v>1995</v>
      </c>
      <c r="D38" s="11"/>
      <c r="G38">
        <f>C38</f>
        <v>1995</v>
      </c>
      <c r="H38" t="s">
        <v>35</v>
      </c>
      <c r="I38">
        <v>2000</v>
      </c>
      <c r="M38" t="s">
        <v>37</v>
      </c>
      <c r="N38" t="s">
        <v>32</v>
      </c>
      <c r="O38" t="s">
        <v>37</v>
      </c>
    </row>
    <row r="39" spans="2:15" x14ac:dyDescent="0.2">
      <c r="M39" t="s">
        <v>40</v>
      </c>
      <c r="O39" t="s">
        <v>41</v>
      </c>
    </row>
    <row r="40" spans="2:15" x14ac:dyDescent="0.2">
      <c r="M40" t="s">
        <v>37</v>
      </c>
      <c r="N40" t="s">
        <v>32</v>
      </c>
      <c r="O40" t="s">
        <v>37</v>
      </c>
    </row>
    <row r="41" spans="2:15" x14ac:dyDescent="0.2">
      <c r="M41" t="s">
        <v>40</v>
      </c>
      <c r="N41" t="s">
        <v>35</v>
      </c>
      <c r="O41">
        <v>400</v>
      </c>
    </row>
    <row r="42" spans="2:15" x14ac:dyDescent="0.2">
      <c r="C42" s="24"/>
      <c r="D42" s="24"/>
      <c r="E42" s="24"/>
      <c r="F42" s="24"/>
      <c r="G42" s="24"/>
      <c r="H42" s="24"/>
      <c r="I42" s="24"/>
      <c r="J42" s="24"/>
      <c r="K42" s="24"/>
    </row>
    <row r="43" spans="2:15" x14ac:dyDescent="0.2">
      <c r="C43" s="24"/>
      <c r="D43" s="24"/>
      <c r="E43" s="24"/>
      <c r="F43" s="24"/>
      <c r="G43" s="45"/>
      <c r="H43" s="45"/>
      <c r="I43" s="45"/>
      <c r="J43" s="24"/>
      <c r="K43" s="24"/>
    </row>
    <row r="44" spans="2:15" x14ac:dyDescent="0.2">
      <c r="C44" s="24"/>
      <c r="D44" s="46"/>
      <c r="E44" s="24"/>
      <c r="F44" s="24"/>
      <c r="G44" s="24"/>
      <c r="H44" s="24"/>
      <c r="I44" s="24"/>
      <c r="J44" s="24"/>
      <c r="K44" s="46"/>
    </row>
    <row r="45" spans="2:15" x14ac:dyDescent="0.2">
      <c r="C45" s="24"/>
      <c r="D45" s="46"/>
      <c r="E45" s="24"/>
      <c r="F45" s="24"/>
      <c r="G45" s="24"/>
      <c r="H45" s="24"/>
      <c r="I45" s="24"/>
      <c r="J45" s="24"/>
      <c r="K45" s="24"/>
    </row>
    <row r="46" spans="2:15" x14ac:dyDescent="0.2">
      <c r="C46" s="24"/>
      <c r="D46" s="46"/>
      <c r="E46" s="24"/>
      <c r="F46" s="24"/>
      <c r="G46" s="24"/>
      <c r="H46" s="24"/>
      <c r="I46" s="24"/>
      <c r="J46" s="24"/>
      <c r="K46" s="24"/>
    </row>
    <row r="47" spans="2:15" x14ac:dyDescent="0.2">
      <c r="C47" s="24"/>
      <c r="D47" s="46"/>
      <c r="E47" s="24"/>
      <c r="F47" s="24"/>
      <c r="G47" s="24"/>
      <c r="H47" s="24"/>
      <c r="I47" s="24"/>
      <c r="J47" s="24"/>
      <c r="K47" s="24"/>
    </row>
    <row r="48" spans="2:15" x14ac:dyDescent="0.2">
      <c r="C48" s="24"/>
      <c r="D48" s="46"/>
      <c r="E48" s="24"/>
      <c r="F48" s="24"/>
      <c r="G48" s="24"/>
      <c r="H48" s="24"/>
      <c r="I48" s="24"/>
      <c r="J48" s="24"/>
      <c r="K48" s="24"/>
    </row>
    <row r="49" spans="3:11" x14ac:dyDescent="0.2">
      <c r="C49" s="24"/>
      <c r="D49" s="46"/>
      <c r="E49" s="24"/>
      <c r="F49" s="24"/>
      <c r="G49" s="24"/>
      <c r="H49" s="24"/>
      <c r="I49" s="24"/>
      <c r="J49" s="24"/>
      <c r="K49" s="24"/>
    </row>
    <row r="50" spans="3:11" x14ac:dyDescent="0.2">
      <c r="C50" s="24"/>
      <c r="D50" s="46"/>
      <c r="E50" s="24"/>
      <c r="F50" s="24"/>
      <c r="G50" s="24"/>
      <c r="H50" s="24"/>
      <c r="I50" s="24"/>
      <c r="J50" s="24"/>
      <c r="K50" s="24"/>
    </row>
    <row r="51" spans="3:11" x14ac:dyDescent="0.2">
      <c r="C51" s="24"/>
      <c r="D51" s="46"/>
      <c r="E51" s="24"/>
      <c r="F51" s="24"/>
      <c r="G51" s="24"/>
      <c r="H51" s="24"/>
      <c r="I51" s="24"/>
      <c r="J51" s="24"/>
      <c r="K51" s="24"/>
    </row>
    <row r="52" spans="3:11" x14ac:dyDescent="0.2">
      <c r="C52" s="24"/>
      <c r="D52" s="46"/>
      <c r="E52" s="24"/>
      <c r="F52" s="24"/>
      <c r="G52" s="24"/>
      <c r="H52" s="24"/>
      <c r="I52" s="24"/>
      <c r="J52" s="24"/>
      <c r="K52" s="24"/>
    </row>
    <row r="53" spans="3:11" x14ac:dyDescent="0.2">
      <c r="C53" s="24"/>
      <c r="D53" s="46"/>
      <c r="E53" s="24"/>
      <c r="F53" s="24"/>
      <c r="G53" s="24"/>
      <c r="H53" s="24"/>
      <c r="I53" s="24"/>
      <c r="J53" s="24"/>
      <c r="K53" s="24"/>
    </row>
    <row r="54" spans="3:11" x14ac:dyDescent="0.2">
      <c r="C54" s="24"/>
      <c r="D54" s="24"/>
      <c r="E54" s="24"/>
      <c r="F54" s="24"/>
      <c r="G54" s="24"/>
      <c r="H54" s="24"/>
      <c r="I54" s="24"/>
      <c r="J54" s="24"/>
      <c r="K54" s="24"/>
    </row>
    <row r="1048550" spans="16384:16384" x14ac:dyDescent="0.2">
      <c r="XFD1048550" cm="1">
        <f t="array" ref="XFD1048550">solver_pre</f>
        <v>9.9999999999999995E-7</v>
      </c>
    </row>
    <row r="1048551" spans="16384:16384" x14ac:dyDescent="0.2">
      <c r="XFD1048551" cm="1">
        <f t="array" ref="XFD1048551">solver_scl</f>
        <v>1</v>
      </c>
    </row>
    <row r="1048552" spans="16384:16384" x14ac:dyDescent="0.2">
      <c r="XFD1048552" cm="1">
        <f t="array" ref="XFD1048552">solver_rlx</f>
        <v>2</v>
      </c>
    </row>
    <row r="1048553" spans="16384:16384" x14ac:dyDescent="0.2">
      <c r="XFD1048553" cm="1">
        <f t="array" ref="XFD1048553">solver_tol</f>
        <v>0.01</v>
      </c>
    </row>
    <row r="1048554" spans="16384:16384" x14ac:dyDescent="0.2">
      <c r="XFD1048554" cm="1">
        <f t="array" ref="XFD1048554">solver_cvg</f>
        <v>1E-4</v>
      </c>
    </row>
    <row r="1048555" spans="16384:16384" x14ac:dyDescent="0.2">
      <c r="XFD1048555" t="e" cm="1">
        <f t="array" ref="XFD1048555">AREAS(solver_adj1)</f>
        <v>#NAME?</v>
      </c>
    </row>
    <row r="1048556" spans="16384:16384" x14ac:dyDescent="0.2">
      <c r="XFD1048556" cm="1">
        <f t="array" ref="XFD1048556">solver_ssz</f>
        <v>100</v>
      </c>
    </row>
    <row r="1048557" spans="16384:16384" x14ac:dyDescent="0.2">
      <c r="XFD1048557" cm="1">
        <f t="array" ref="XFD1048557">solver_rsd</f>
        <v>0</v>
      </c>
    </row>
    <row r="1048558" spans="16384:16384" x14ac:dyDescent="0.2">
      <c r="XFD1048558" cm="1">
        <f t="array" ref="XFD1048558">solver_mrt</f>
        <v>7.4999999999999997E-2</v>
      </c>
    </row>
    <row r="1048559" spans="16384:16384" x14ac:dyDescent="0.2">
      <c r="XFD1048559" cm="1">
        <f t="array" ref="XFD1048559">solver_mni</f>
        <v>30</v>
      </c>
    </row>
    <row r="1048560" spans="16384:16384" x14ac:dyDescent="0.2">
      <c r="XFD1048560" cm="1">
        <f t="array" ref="XFD1048560">solver_rbv</f>
        <v>1</v>
      </c>
    </row>
    <row r="1048561" spans="16384:16384" x14ac:dyDescent="0.2">
      <c r="XFD1048561" cm="1">
        <f t="array" ref="XFD1048561">solver_neg</f>
        <v>1</v>
      </c>
    </row>
    <row r="1048562" spans="16384:16384" x14ac:dyDescent="0.2">
      <c r="XFD1048562" t="e" cm="1">
        <f t="array" ref="XFD1048562">solver_ntr</f>
        <v>#NAME?</v>
      </c>
    </row>
    <row r="1048563" spans="16384:16384" x14ac:dyDescent="0.2">
      <c r="XFD1048563" t="e" cm="1">
        <f t="array" ref="XFD1048563">solver_acc</f>
        <v>#NAME?</v>
      </c>
    </row>
    <row r="1048564" spans="16384:16384" x14ac:dyDescent="0.2">
      <c r="XFD1048564" t="e" cm="1">
        <f t="array" ref="XFD1048564">solver_res</f>
        <v>#NAME?</v>
      </c>
    </row>
    <row r="1048565" spans="16384:16384" x14ac:dyDescent="0.2">
      <c r="XFD1048565" t="e" cm="1">
        <f t="array" ref="XFD1048565">solver_ars</f>
        <v>#NAME?</v>
      </c>
    </row>
    <row r="1048566" spans="16384:16384" x14ac:dyDescent="0.2">
      <c r="XFD1048566" t="e" cm="1">
        <f t="array" ref="XFD1048566">solver_sta</f>
        <v>#NAME?</v>
      </c>
    </row>
    <row r="1048567" spans="16384:16384" x14ac:dyDescent="0.2">
      <c r="XFD1048567" t="e" cm="1">
        <f t="array" ref="XFD1048567">solver_met</f>
        <v>#NAME?</v>
      </c>
    </row>
    <row r="1048568" spans="16384:16384" x14ac:dyDescent="0.2">
      <c r="XFD1048568" t="e" cm="1">
        <f t="array" ref="XFD1048568">solver_soc</f>
        <v>#NAME?</v>
      </c>
    </row>
    <row r="1048569" spans="16384:16384" x14ac:dyDescent="0.2">
      <c r="XFD1048569" t="e" cm="1">
        <f t="array" ref="XFD1048569">solver_lpt</f>
        <v>#NAME?</v>
      </c>
    </row>
    <row r="1048570" spans="16384:16384" x14ac:dyDescent="0.2">
      <c r="XFD1048570" t="e" cm="1">
        <f t="array" ref="XFD1048570">solver_lpp</f>
        <v>#NAME?</v>
      </c>
    </row>
    <row r="1048571" spans="16384:16384" x14ac:dyDescent="0.2">
      <c r="XFD1048571" t="e" cm="1">
        <f t="array" ref="XFD1048571">solver_gap</f>
        <v>#NAME?</v>
      </c>
    </row>
    <row r="1048572" spans="16384:16384" x14ac:dyDescent="0.2">
      <c r="XFD1048572" t="e" cm="1">
        <f t="array" ref="XFD1048572">solver_ips</f>
        <v>#NAME?</v>
      </c>
    </row>
    <row r="1048573" spans="16384:16384" x14ac:dyDescent="0.2">
      <c r="XFD1048573" t="e" cm="1">
        <f t="array" ref="XFD1048573">solver_fea</f>
        <v>#NAME?</v>
      </c>
    </row>
    <row r="1048574" spans="16384:16384" x14ac:dyDescent="0.2">
      <c r="XFD1048574" t="e" cm="1">
        <f t="array" ref="XFD1048574">solver_ipi</f>
        <v>#NAME?</v>
      </c>
    </row>
    <row r="1048575" spans="16384:16384" x14ac:dyDescent="0.2">
      <c r="XFD1048575" t="e" cm="1">
        <f t="array" ref="XFD1048575">solver_ipd</f>
        <v>#NAME?</v>
      </c>
    </row>
  </sheetData>
  <scenarios current="0">
    <scenario name="test #1" count="7" user="Anderson, Dalton" comment="Created by Anderson, Dalton on 11/7/2021">
      <inputCells r="C29" val="400"/>
      <inputCells r="C30" val="400"/>
      <inputCells r="C31" val="3592.72727272727"/>
      <inputCells r="C32" val="0"/>
      <inputCells r="C33" val="0"/>
      <inputCells r="C34" val="0"/>
      <inputCells r="C35" val="179.636363636364"/>
    </scenario>
  </scenarios>
  <mergeCells count="2">
    <mergeCell ref="G28:I28"/>
    <mergeCell ref="G43:I43"/>
  </mergeCells>
  <pageMargins left="0.7" right="0.7" top="0.75" bottom="0.75" header="0.3" footer="0.3"/>
  <drawing r:id="rId1"/>
  <extLst>
    <ext xmlns:x15="http://schemas.microsoft.com/office/spreadsheetml/2010/11/main" uri="{F7C9EE02-42E1-4005-9D12-6889AFFD525C}">
      <x15:webExtensions xmlns:xm="http://schemas.microsoft.com/office/excel/2006/main">
        <x15:webExtension appRef="{B131BD61-E423-D742-A015-F537AAD9F72A}">
          <xm:f>'1. Maggies Mugs'!1:1048576</xm:f>
        </x15:webExtension>
        <x15:webExtension appRef="{FB6855D3-3BFB-A348-801F-94CE8AF894E3}">
          <xm:f>'1. Maggies Mugs'!XFD1048550:XFD1048575</xm:f>
        </x15:webExtension>
        <x15:webExtension appRef="{3F7FBA03-D22B-874E-B3F0-093C8B8B3731}">
          <xm:f>'1. Maggies Mugs'!$C$29:$C$37</xm:f>
        </x15:webExtension>
        <x15:webExtension appRef="{143C8CA5-DFDF-6649-B5BA-7D53BDF28BAB}">
          <xm:f>'1. Maggies Mugs'!$C$36:$C$38</xm:f>
        </x15:webExtension>
        <x15:webExtension appRef="{581A3E16-27CB-CB43-A9BF-1F2DE11D3390}">
          <xm:f>'1. Maggies Mugs'!$C$29:$C$35</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BD13-1903-F64D-A7FD-AD6DE41634D7}">
  <sheetPr codeName="Sheet3"/>
  <dimension ref="A20:Y42"/>
  <sheetViews>
    <sheetView topLeftCell="A11" workbookViewId="0">
      <selection activeCell="H24" sqref="H23:H24"/>
    </sheetView>
  </sheetViews>
  <sheetFormatPr baseColWidth="10" defaultRowHeight="16" x14ac:dyDescent="0.2"/>
  <cols>
    <col min="2" max="2" width="18.6640625" customWidth="1"/>
    <col min="3" max="3" width="12" customWidth="1"/>
    <col min="4" max="4" width="12.5" bestFit="1" customWidth="1"/>
    <col min="5" max="5" width="12.6640625" bestFit="1" customWidth="1"/>
    <col min="6" max="6" width="12.5" bestFit="1" customWidth="1"/>
    <col min="7" max="7" width="11.5" bestFit="1" customWidth="1"/>
    <col min="8" max="8" width="12.5" bestFit="1" customWidth="1"/>
    <col min="9" max="9" width="12.1640625" bestFit="1" customWidth="1"/>
    <col min="10" max="10" width="17.6640625" bestFit="1" customWidth="1"/>
    <col min="11" max="11" width="15.1640625" bestFit="1" customWidth="1"/>
    <col min="12" max="12" width="15.5" bestFit="1" customWidth="1"/>
    <col min="13" max="13" width="17.1640625" bestFit="1" customWidth="1"/>
    <col min="14" max="14" width="19.33203125" bestFit="1" customWidth="1"/>
  </cols>
  <sheetData>
    <row r="20" spans="1:25" x14ac:dyDescent="0.2">
      <c r="P20" s="24"/>
      <c r="Q20" s="24"/>
      <c r="R20" s="24"/>
      <c r="S20" s="24"/>
      <c r="T20" s="24"/>
      <c r="U20" s="24"/>
      <c r="V20" s="24"/>
      <c r="W20" s="24"/>
      <c r="X20" s="24"/>
      <c r="Y20" s="24"/>
    </row>
    <row r="21" spans="1:25" x14ac:dyDescent="0.2">
      <c r="P21" s="25"/>
      <c r="Q21" s="25"/>
      <c r="R21" s="25"/>
      <c r="S21" s="25"/>
      <c r="T21" s="25"/>
      <c r="U21" s="25"/>
      <c r="V21" s="25"/>
      <c r="W21" s="25"/>
      <c r="X21" s="24"/>
      <c r="Y21" s="24"/>
    </row>
    <row r="22" spans="1:25" ht="17" thickBot="1" x14ac:dyDescent="0.25">
      <c r="P22" s="39"/>
      <c r="Q22" s="25"/>
      <c r="R22" s="25"/>
      <c r="S22" s="25"/>
      <c r="T22" s="25"/>
      <c r="U22" s="25"/>
      <c r="V22" s="25"/>
      <c r="W22" s="39"/>
      <c r="X22" s="36"/>
      <c r="Y22" s="36"/>
    </row>
    <row r="23" spans="1:25" ht="17" thickBot="1" x14ac:dyDescent="0.25">
      <c r="A23" s="20"/>
      <c r="B23" s="20" t="s">
        <v>62</v>
      </c>
      <c r="C23" s="20" t="s">
        <v>55</v>
      </c>
      <c r="D23" s="28" t="s">
        <v>63</v>
      </c>
      <c r="E23" s="41" t="s">
        <v>68</v>
      </c>
      <c r="F23" s="41" t="s">
        <v>57</v>
      </c>
      <c r="G23" s="41" t="s">
        <v>69</v>
      </c>
      <c r="H23" s="41" t="s">
        <v>66</v>
      </c>
      <c r="I23" s="20" t="s">
        <v>70</v>
      </c>
      <c r="J23" s="20" t="s">
        <v>71</v>
      </c>
      <c r="K23" s="28" t="s">
        <v>72</v>
      </c>
      <c r="L23" s="20" t="s">
        <v>74</v>
      </c>
      <c r="M23" s="20" t="s">
        <v>75</v>
      </c>
      <c r="N23" s="28" t="s">
        <v>73</v>
      </c>
      <c r="P23" s="39"/>
      <c r="Q23" s="25"/>
      <c r="R23" s="25"/>
      <c r="S23" s="25"/>
      <c r="T23" s="25"/>
      <c r="U23" s="25"/>
      <c r="V23" s="25"/>
      <c r="W23" s="25"/>
      <c r="X23" s="24"/>
      <c r="Y23" s="24"/>
    </row>
    <row r="24" spans="1:25" ht="17" thickBot="1" x14ac:dyDescent="0.25">
      <c r="A24" s="40">
        <v>1</v>
      </c>
      <c r="B24" s="17">
        <v>1800</v>
      </c>
      <c r="C24" s="17">
        <v>0</v>
      </c>
      <c r="D24" s="18">
        <v>0</v>
      </c>
      <c r="E24">
        <f>SUM(B24:D24)-R24</f>
        <v>0</v>
      </c>
      <c r="F24">
        <f>E24</f>
        <v>0</v>
      </c>
      <c r="G24" s="35">
        <f>SUM(C$36:C$38,$F24)</f>
        <v>342000</v>
      </c>
      <c r="H24" s="26">
        <f>SUM(G24:G29)</f>
        <v>2721400</v>
      </c>
      <c r="I24">
        <f>B24</f>
        <v>1800</v>
      </c>
      <c r="J24">
        <f t="shared" ref="J24:K24" si="0">C24</f>
        <v>0</v>
      </c>
      <c r="K24">
        <f t="shared" si="0"/>
        <v>0</v>
      </c>
      <c r="L24">
        <v>2000</v>
      </c>
      <c r="M24">
        <v>300</v>
      </c>
      <c r="N24">
        <v>500</v>
      </c>
      <c r="P24">
        <f>SUM(B24:D24)</f>
        <v>1800</v>
      </c>
      <c r="Q24" t="s">
        <v>32</v>
      </c>
      <c r="R24" s="1">
        <v>1800</v>
      </c>
      <c r="S24" s="37"/>
      <c r="T24" s="37"/>
      <c r="U24" s="37"/>
      <c r="V24" s="37"/>
      <c r="W24" s="25"/>
      <c r="X24" s="24"/>
      <c r="Y24" s="24"/>
    </row>
    <row r="25" spans="1:25" ht="17" thickBot="1" x14ac:dyDescent="0.25">
      <c r="A25" s="29">
        <v>2</v>
      </c>
      <c r="B25" s="17">
        <v>2000</v>
      </c>
      <c r="C25" s="17">
        <v>300</v>
      </c>
      <c r="D25" s="18">
        <v>300</v>
      </c>
      <c r="E25">
        <f>SUM(B25:D25,E24)-R25</f>
        <v>0</v>
      </c>
      <c r="F25">
        <f t="shared" ref="F25:F30" si="1">E25</f>
        <v>0</v>
      </c>
      <c r="G25" s="35">
        <f>SUM(D$36:D$38,$F25)</f>
        <v>515000</v>
      </c>
      <c r="I25">
        <f t="shared" ref="I25:I29" si="2">B25</f>
        <v>2000</v>
      </c>
      <c r="J25">
        <f t="shared" ref="J25:J29" si="3">C25</f>
        <v>300</v>
      </c>
      <c r="K25">
        <f t="shared" ref="K25:K29" si="4">D25</f>
        <v>300</v>
      </c>
      <c r="L25">
        <v>2000</v>
      </c>
      <c r="M25">
        <v>300</v>
      </c>
      <c r="N25">
        <v>500</v>
      </c>
      <c r="P25">
        <f>SUM(B25:D25)</f>
        <v>2600</v>
      </c>
      <c r="Q25" t="s">
        <v>32</v>
      </c>
      <c r="R25" s="1">
        <v>2600</v>
      </c>
      <c r="S25" s="37"/>
      <c r="T25" s="37"/>
      <c r="U25" s="37"/>
      <c r="V25" s="37"/>
      <c r="W25" s="25"/>
      <c r="X25" s="24"/>
      <c r="Y25" s="24"/>
    </row>
    <row r="26" spans="1:25" ht="17" thickBot="1" x14ac:dyDescent="0.25">
      <c r="A26" s="29">
        <v>3</v>
      </c>
      <c r="B26" s="17">
        <v>2000</v>
      </c>
      <c r="C26" s="17">
        <v>300</v>
      </c>
      <c r="D26" s="18">
        <v>500</v>
      </c>
      <c r="E26">
        <f>SUM(B26:D26)-R26</f>
        <v>0</v>
      </c>
      <c r="F26">
        <f t="shared" si="1"/>
        <v>0</v>
      </c>
      <c r="G26" s="35">
        <f>SUM(D$36:D$38,$F26)</f>
        <v>515000</v>
      </c>
      <c r="I26">
        <f t="shared" si="2"/>
        <v>2000</v>
      </c>
      <c r="J26">
        <f t="shared" si="3"/>
        <v>300</v>
      </c>
      <c r="K26">
        <f t="shared" si="4"/>
        <v>500</v>
      </c>
      <c r="L26">
        <v>2000</v>
      </c>
      <c r="M26">
        <v>300</v>
      </c>
      <c r="N26">
        <v>500</v>
      </c>
      <c r="P26">
        <f>SUM(B26:D26)</f>
        <v>2800</v>
      </c>
      <c r="Q26" t="s">
        <v>32</v>
      </c>
      <c r="R26" s="1">
        <v>2800</v>
      </c>
      <c r="S26" s="37"/>
      <c r="T26" s="37"/>
      <c r="U26" s="37"/>
      <c r="V26" s="37"/>
      <c r="W26" s="25"/>
      <c r="X26" s="24"/>
      <c r="Y26" s="24"/>
    </row>
    <row r="27" spans="1:25" ht="17" thickBot="1" x14ac:dyDescent="0.25">
      <c r="A27" s="29">
        <v>4</v>
      </c>
      <c r="B27" s="17">
        <v>2000</v>
      </c>
      <c r="C27" s="17">
        <v>300</v>
      </c>
      <c r="D27" s="18">
        <v>500</v>
      </c>
      <c r="E27">
        <f>SUM(B27:D27)-R27</f>
        <v>-100</v>
      </c>
      <c r="F27">
        <f t="shared" si="1"/>
        <v>-100</v>
      </c>
      <c r="G27" s="35">
        <f>SUM(F$36:F$38,$F27)</f>
        <v>560900</v>
      </c>
      <c r="I27">
        <f t="shared" si="2"/>
        <v>2000</v>
      </c>
      <c r="J27">
        <f t="shared" si="3"/>
        <v>300</v>
      </c>
      <c r="K27">
        <f t="shared" si="4"/>
        <v>500</v>
      </c>
      <c r="L27">
        <v>2000</v>
      </c>
      <c r="M27">
        <v>300</v>
      </c>
      <c r="N27">
        <v>500</v>
      </c>
      <c r="P27">
        <f>SUM(B27:D27)</f>
        <v>2800</v>
      </c>
      <c r="Q27" t="s">
        <v>32</v>
      </c>
      <c r="R27" s="1">
        <v>2900</v>
      </c>
      <c r="S27" s="25"/>
      <c r="T27" s="25"/>
      <c r="U27" s="25"/>
      <c r="V27" s="25"/>
      <c r="W27" s="25"/>
      <c r="X27" s="24"/>
      <c r="Y27" s="24"/>
    </row>
    <row r="28" spans="1:25" ht="17" thickBot="1" x14ac:dyDescent="0.25">
      <c r="A28" s="29">
        <v>5</v>
      </c>
      <c r="B28" s="17">
        <v>1200</v>
      </c>
      <c r="C28" s="17">
        <v>0</v>
      </c>
      <c r="D28" s="18">
        <v>0</v>
      </c>
      <c r="E28">
        <f>SUM(B28:D28)-R28</f>
        <v>0</v>
      </c>
      <c r="F28">
        <f t="shared" si="1"/>
        <v>0</v>
      </c>
      <c r="G28" s="35">
        <f>SUM(G$36:G$38,$F28)</f>
        <v>228000</v>
      </c>
      <c r="I28">
        <f t="shared" si="2"/>
        <v>1200</v>
      </c>
      <c r="J28">
        <f t="shared" si="3"/>
        <v>0</v>
      </c>
      <c r="K28">
        <f t="shared" si="4"/>
        <v>0</v>
      </c>
      <c r="L28">
        <v>2000</v>
      </c>
      <c r="M28">
        <v>300</v>
      </c>
      <c r="N28">
        <v>500</v>
      </c>
      <c r="P28">
        <f>SUM(B28:D28)</f>
        <v>1200</v>
      </c>
      <c r="Q28" t="s">
        <v>32</v>
      </c>
      <c r="R28" s="1">
        <v>1200</v>
      </c>
      <c r="S28" s="25"/>
      <c r="T28" s="25"/>
      <c r="U28" s="25"/>
      <c r="V28" s="25"/>
      <c r="W28" s="25"/>
      <c r="X28" s="24"/>
      <c r="Y28" s="24"/>
    </row>
    <row r="29" spans="1:25" ht="17" thickBot="1" x14ac:dyDescent="0.25">
      <c r="A29" s="29">
        <v>6</v>
      </c>
      <c r="B29" s="30">
        <v>2000</v>
      </c>
      <c r="C29" s="30">
        <v>300</v>
      </c>
      <c r="D29" s="31">
        <v>500</v>
      </c>
      <c r="E29">
        <f>SUM(B29:D29)-R29</f>
        <v>-500</v>
      </c>
      <c r="F29">
        <f t="shared" si="1"/>
        <v>-500</v>
      </c>
      <c r="G29" s="35">
        <f>SUM(H$36:H$38,$F29)</f>
        <v>560500</v>
      </c>
      <c r="I29">
        <f t="shared" si="2"/>
        <v>2000</v>
      </c>
      <c r="J29">
        <f t="shared" si="3"/>
        <v>300</v>
      </c>
      <c r="K29">
        <f t="shared" si="4"/>
        <v>500</v>
      </c>
      <c r="L29">
        <v>2000</v>
      </c>
      <c r="M29">
        <v>300</v>
      </c>
      <c r="N29">
        <v>500</v>
      </c>
      <c r="P29">
        <f>SUM(B29:D29)</f>
        <v>2800</v>
      </c>
      <c r="Q29" t="s">
        <v>32</v>
      </c>
      <c r="R29" s="1">
        <v>3300</v>
      </c>
      <c r="S29" s="25"/>
      <c r="T29" s="25"/>
      <c r="U29" s="25"/>
      <c r="V29" s="25"/>
      <c r="W29" s="25"/>
      <c r="X29" s="24"/>
      <c r="Y29" s="24"/>
    </row>
    <row r="30" spans="1:25" x14ac:dyDescent="0.2">
      <c r="E30">
        <f>SUM(B30:D30)-R30</f>
        <v>-1500</v>
      </c>
      <c r="F30">
        <f t="shared" si="1"/>
        <v>-1500</v>
      </c>
      <c r="P30" s="24">
        <f>SUM(E24:E29)</f>
        <v>-600</v>
      </c>
      <c r="Q30" s="24" t="s">
        <v>35</v>
      </c>
      <c r="R30" s="42">
        <v>1500</v>
      </c>
      <c r="S30" s="24"/>
      <c r="T30" s="24"/>
      <c r="U30" s="24"/>
      <c r="V30" s="24"/>
      <c r="W30" s="24"/>
      <c r="X30" s="24"/>
      <c r="Y30" s="24"/>
    </row>
    <row r="31" spans="1:25" x14ac:dyDescent="0.2">
      <c r="P31" s="24"/>
      <c r="Q31" s="24"/>
      <c r="R31" s="24"/>
      <c r="S31" s="24"/>
      <c r="T31" s="24"/>
      <c r="U31" s="24"/>
      <c r="V31" s="24"/>
      <c r="W31" s="24"/>
      <c r="X31" s="24"/>
      <c r="Y31" s="24"/>
    </row>
    <row r="32" spans="1:25" x14ac:dyDescent="0.2">
      <c r="P32" s="24"/>
      <c r="Q32" s="24"/>
      <c r="R32" s="24"/>
      <c r="S32" s="24"/>
      <c r="T32" s="24"/>
      <c r="U32" s="24"/>
      <c r="V32" s="38"/>
      <c r="W32" s="24"/>
      <c r="X32" s="24"/>
      <c r="Y32" s="24"/>
    </row>
    <row r="33" spans="1:25" x14ac:dyDescent="0.2">
      <c r="B33" t="s">
        <v>59</v>
      </c>
      <c r="P33" s="24"/>
      <c r="Q33" s="24"/>
      <c r="R33" s="24"/>
      <c r="S33" s="24"/>
      <c r="T33" s="24"/>
      <c r="U33" s="24"/>
      <c r="V33" s="24"/>
      <c r="W33" s="24"/>
      <c r="X33" s="24"/>
      <c r="Y33" s="24"/>
    </row>
    <row r="34" spans="1:25" ht="17" thickBot="1" x14ac:dyDescent="0.25"/>
    <row r="35" spans="1:25" ht="17" thickBot="1" x14ac:dyDescent="0.25">
      <c r="B35" s="20" t="s">
        <v>13</v>
      </c>
      <c r="C35" s="21">
        <v>1</v>
      </c>
      <c r="D35" s="21">
        <v>2</v>
      </c>
      <c r="E35" s="21">
        <v>3</v>
      </c>
      <c r="F35" s="21">
        <v>4</v>
      </c>
      <c r="G35" s="21">
        <v>5</v>
      </c>
      <c r="H35" s="22">
        <v>6</v>
      </c>
    </row>
    <row r="36" spans="1:25" ht="34" x14ac:dyDescent="0.2">
      <c r="A36" s="27" t="s">
        <v>64</v>
      </c>
      <c r="B36" s="16" t="s">
        <v>62</v>
      </c>
      <c r="C36" s="23">
        <f>$B24*$C$41</f>
        <v>342000</v>
      </c>
      <c r="D36" s="23">
        <f>$B25*$C$41</f>
        <v>380000</v>
      </c>
      <c r="E36" s="23">
        <f>$B26*$C$41</f>
        <v>380000</v>
      </c>
      <c r="F36" s="23">
        <f>$B27*$C$41</f>
        <v>380000</v>
      </c>
      <c r="G36" s="23">
        <f>$B28*$C$41</f>
        <v>228000</v>
      </c>
      <c r="H36" s="32">
        <f>$B29*$C$41</f>
        <v>380000</v>
      </c>
    </row>
    <row r="37" spans="1:25" x14ac:dyDescent="0.2">
      <c r="A37" s="27"/>
      <c r="B37" s="16" t="s">
        <v>55</v>
      </c>
      <c r="C37" s="23">
        <f>$C24*$D$41</f>
        <v>0</v>
      </c>
      <c r="D37" s="23">
        <f>$C25*$D$41</f>
        <v>66000</v>
      </c>
      <c r="E37" s="23">
        <f>$C26*$D$41</f>
        <v>66000</v>
      </c>
      <c r="F37" s="23">
        <f>$C27*$D$41</f>
        <v>66000</v>
      </c>
      <c r="G37" s="23">
        <f>$C28*$D$41</f>
        <v>0</v>
      </c>
      <c r="H37" s="32">
        <f>$C29*$D$41</f>
        <v>66000</v>
      </c>
    </row>
    <row r="38" spans="1:25" ht="17" thickBot="1" x14ac:dyDescent="0.25">
      <c r="A38" s="27"/>
      <c r="B38" s="19" t="s">
        <v>63</v>
      </c>
      <c r="C38" s="33">
        <f>$D24*$E$41</f>
        <v>0</v>
      </c>
      <c r="D38" s="33">
        <f>$D25*$E$41</f>
        <v>69000</v>
      </c>
      <c r="E38" s="33">
        <f>$D26*$E$41</f>
        <v>115000</v>
      </c>
      <c r="F38" s="33">
        <f>$D27*$E$41</f>
        <v>115000</v>
      </c>
      <c r="G38" s="33">
        <f>$D28*$E$41</f>
        <v>0</v>
      </c>
      <c r="H38" s="34">
        <f>$D29*$E$41</f>
        <v>115000</v>
      </c>
    </row>
    <row r="40" spans="1:25" x14ac:dyDescent="0.2">
      <c r="C40" t="s">
        <v>62</v>
      </c>
      <c r="D40" t="s">
        <v>55</v>
      </c>
      <c r="E40" t="s">
        <v>56</v>
      </c>
    </row>
    <row r="41" spans="1:25" ht="16" customHeight="1" x14ac:dyDescent="0.2">
      <c r="B41" t="s">
        <v>67</v>
      </c>
      <c r="C41">
        <v>190</v>
      </c>
      <c r="D41">
        <v>220</v>
      </c>
      <c r="E41">
        <v>230</v>
      </c>
    </row>
    <row r="42" spans="1:25" x14ac:dyDescent="0.2">
      <c r="B42" t="s">
        <v>57</v>
      </c>
      <c r="C42">
        <v>40</v>
      </c>
      <c r="D42">
        <v>40</v>
      </c>
      <c r="E42">
        <v>40</v>
      </c>
    </row>
  </sheetData>
  <scenarios current="0">
    <scenario name="computer test1" count="18" user="Anderson, Dalton" comment="Created by Anderson, Dalton on 11/7/2021">
      <inputCells r="B24" val="1916.66666733333"/>
      <inputCells r="C24" val="300"/>
      <inputCells r="D24" val="500"/>
      <inputCells r="B25" val="1966.66666433333"/>
      <inputCells r="C25" val="300"/>
      <inputCells r="D25" val="500"/>
      <inputCells r="B26" val="2000"/>
      <inputCells r="C26" val="300"/>
      <inputCells r="D26" val="500"/>
      <inputCells r="B27" val="2000"/>
      <inputCells r="C27" val="300"/>
      <inputCells r="D27" val="500"/>
      <inputCells r="B28" val="500.000001"/>
      <inputCells r="C28" val="300"/>
      <inputCells r="D28" val="500"/>
      <inputCells r="B29" val="2000"/>
      <inputCells r="C29" val="300"/>
      <inputCells r="D29" val="500"/>
    </scenario>
  </scenarios>
  <pageMargins left="0.7" right="0.7" top="0.75" bottom="0.75" header="0.3" footer="0.3"/>
  <drawing r:id="rId1"/>
  <extLst>
    <ext xmlns:x15="http://schemas.microsoft.com/office/spreadsheetml/2010/11/main" uri="{F7C9EE02-42E1-4005-9D12-6889AFFD525C}">
      <x15:webExtensions xmlns:xm="http://schemas.microsoft.com/office/excel/2006/main">
        <x15:webExtension appRef="{06B5B678-4FF3-8043-8F23-9A4F81145962}">
          <xm:f>'2. BP Computer Services'!1:1048576</xm:f>
        </x15:webExtension>
        <x15:webExtension appRef="{600FE99D-75F3-BD48-AF11-92473EDA719B}">
          <xm:f>'2. BP Computer Services'!XFD1048550:XFD1048575</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FDDA0-A731-BF4F-ACFF-E426DD02AC18}">
  <sheetPr codeName="Sheet4"/>
  <dimension ref="A14:S29"/>
  <sheetViews>
    <sheetView workbookViewId="0">
      <selection activeCell="F16" sqref="F16"/>
    </sheetView>
  </sheetViews>
  <sheetFormatPr baseColWidth="10" defaultRowHeight="16" x14ac:dyDescent="0.2"/>
  <sheetData>
    <row r="14" spans="1:19" ht="17" thickBot="1" x14ac:dyDescent="0.25"/>
    <row r="15" spans="1:19" ht="18" thickBot="1" x14ac:dyDescent="0.25">
      <c r="B15" t="s">
        <v>76</v>
      </c>
      <c r="C15" t="s">
        <v>80</v>
      </c>
      <c r="D15" t="s">
        <v>81</v>
      </c>
      <c r="E15" t="s">
        <v>82</v>
      </c>
      <c r="F15" t="s">
        <v>83</v>
      </c>
      <c r="N15" s="4"/>
      <c r="O15" s="5" t="s">
        <v>14</v>
      </c>
      <c r="P15" s="5" t="s">
        <v>15</v>
      </c>
      <c r="Q15" s="5" t="s">
        <v>16</v>
      </c>
      <c r="R15" s="5" t="s">
        <v>17</v>
      </c>
      <c r="S15" s="5" t="s">
        <v>18</v>
      </c>
    </row>
    <row r="16" spans="1:19" ht="18" thickBot="1" x14ac:dyDescent="0.25">
      <c r="A16" s="5" t="s">
        <v>14</v>
      </c>
      <c r="B16" s="6">
        <v>6.6666666666666661</v>
      </c>
      <c r="C16" s="14">
        <f>$B$16*O$21</f>
        <v>33.333333333333329</v>
      </c>
      <c r="D16">
        <f>B16</f>
        <v>6.6666666666666661</v>
      </c>
      <c r="E16">
        <v>100</v>
      </c>
      <c r="F16" s="44">
        <f>SUM(C16:C19)</f>
        <v>33.333333333333329</v>
      </c>
      <c r="G16" s="14"/>
      <c r="H16">
        <f>F24</f>
        <v>33.333333333333329</v>
      </c>
      <c r="I16" t="s">
        <v>35</v>
      </c>
      <c r="J16">
        <v>300</v>
      </c>
      <c r="K16" t="s">
        <v>77</v>
      </c>
      <c r="N16" s="2" t="s">
        <v>19</v>
      </c>
      <c r="O16" s="1">
        <v>5</v>
      </c>
      <c r="P16" s="1">
        <v>5</v>
      </c>
      <c r="Q16" s="1">
        <v>5</v>
      </c>
      <c r="R16" s="1">
        <v>5</v>
      </c>
      <c r="S16" s="1" t="s">
        <v>20</v>
      </c>
    </row>
    <row r="17" spans="1:19" ht="35" thickBot="1" x14ac:dyDescent="0.25">
      <c r="A17" s="5" t="s">
        <v>15</v>
      </c>
      <c r="B17" s="6">
        <v>0</v>
      </c>
      <c r="C17" s="14">
        <f>$B$17*P$21</f>
        <v>0</v>
      </c>
      <c r="D17">
        <f>B17</f>
        <v>0</v>
      </c>
      <c r="E17">
        <v>100</v>
      </c>
      <c r="H17">
        <f>F25</f>
        <v>20</v>
      </c>
      <c r="I17" t="s">
        <v>35</v>
      </c>
      <c r="J17">
        <v>20</v>
      </c>
      <c r="K17" t="s">
        <v>78</v>
      </c>
      <c r="N17" s="2" t="s">
        <v>21</v>
      </c>
      <c r="O17" s="1">
        <v>3</v>
      </c>
      <c r="P17" s="1">
        <v>3</v>
      </c>
      <c r="Q17" s="1">
        <v>3</v>
      </c>
      <c r="R17" s="1">
        <v>3</v>
      </c>
      <c r="S17" s="1" t="s">
        <v>22</v>
      </c>
    </row>
    <row r="18" spans="1:19" ht="35" thickBot="1" x14ac:dyDescent="0.25">
      <c r="A18" s="5" t="s">
        <v>16</v>
      </c>
      <c r="B18" s="6">
        <v>0</v>
      </c>
      <c r="C18" s="14">
        <f>$B$18*Q$21</f>
        <v>0</v>
      </c>
      <c r="D18">
        <f>B18</f>
        <v>0</v>
      </c>
      <c r="E18">
        <v>100</v>
      </c>
      <c r="H18">
        <f>F26</f>
        <v>26.666666666666664</v>
      </c>
      <c r="I18" t="s">
        <v>35</v>
      </c>
      <c r="J18">
        <v>250</v>
      </c>
      <c r="K18" t="s">
        <v>14</v>
      </c>
      <c r="N18" s="2" t="s">
        <v>23</v>
      </c>
      <c r="O18" s="1">
        <v>4</v>
      </c>
      <c r="P18" s="1">
        <v>3</v>
      </c>
      <c r="Q18" s="1">
        <v>3</v>
      </c>
      <c r="R18" s="1">
        <v>4</v>
      </c>
      <c r="S18" s="1" t="s">
        <v>24</v>
      </c>
    </row>
    <row r="19" spans="1:19" ht="18" thickBot="1" x14ac:dyDescent="0.25">
      <c r="A19" s="5" t="s">
        <v>17</v>
      </c>
      <c r="B19" s="6">
        <v>0</v>
      </c>
      <c r="C19" s="14">
        <f>$B$19*R$21</f>
        <v>0</v>
      </c>
      <c r="D19">
        <f>B19</f>
        <v>0</v>
      </c>
      <c r="E19">
        <v>100</v>
      </c>
      <c r="H19">
        <f>F27</f>
        <v>0</v>
      </c>
      <c r="I19" t="s">
        <v>35</v>
      </c>
      <c r="J19">
        <v>90</v>
      </c>
      <c r="K19" t="s">
        <v>15</v>
      </c>
      <c r="N19" s="2" t="s">
        <v>25</v>
      </c>
      <c r="O19" s="1">
        <v>0</v>
      </c>
      <c r="P19" s="1">
        <v>3</v>
      </c>
      <c r="Q19" s="1">
        <v>0</v>
      </c>
      <c r="R19" s="1">
        <v>2</v>
      </c>
      <c r="S19" s="1" t="s">
        <v>26</v>
      </c>
    </row>
    <row r="20" spans="1:19" ht="35" thickBot="1" x14ac:dyDescent="0.25">
      <c r="H20">
        <f>F28</f>
        <v>0</v>
      </c>
      <c r="I20" t="s">
        <v>35</v>
      </c>
      <c r="J20">
        <v>75</v>
      </c>
      <c r="K20" t="s">
        <v>79</v>
      </c>
      <c r="N20" s="2" t="s">
        <v>27</v>
      </c>
      <c r="O20" s="1">
        <v>0</v>
      </c>
      <c r="P20" s="1">
        <v>0</v>
      </c>
      <c r="Q20" s="1">
        <v>3</v>
      </c>
      <c r="R20" s="1">
        <v>2</v>
      </c>
      <c r="S20" s="1" t="s">
        <v>28</v>
      </c>
    </row>
    <row r="21" spans="1:19" ht="18" thickBot="1" x14ac:dyDescent="0.25">
      <c r="H21">
        <f>SUM(B16:B18)</f>
        <v>6.6666666666666661</v>
      </c>
      <c r="I21" t="s">
        <v>32</v>
      </c>
      <c r="J21">
        <f>ROUND(SUM(B16:B18)*0.75,0)</f>
        <v>5</v>
      </c>
      <c r="N21" s="2" t="s">
        <v>29</v>
      </c>
      <c r="O21" s="3">
        <v>5</v>
      </c>
      <c r="P21" s="3">
        <v>8</v>
      </c>
      <c r="Q21" s="3">
        <v>6</v>
      </c>
      <c r="R21" s="3">
        <v>9</v>
      </c>
      <c r="S21" s="1"/>
    </row>
    <row r="22" spans="1:19" ht="17" x14ac:dyDescent="0.2">
      <c r="A22" s="43" t="s">
        <v>59</v>
      </c>
    </row>
    <row r="23" spans="1:19" x14ac:dyDescent="0.2">
      <c r="B23" t="s">
        <v>14</v>
      </c>
      <c r="C23" t="s">
        <v>15</v>
      </c>
      <c r="D23" t="s">
        <v>16</v>
      </c>
      <c r="E23" t="s">
        <v>17</v>
      </c>
      <c r="F23" t="s">
        <v>18</v>
      </c>
    </row>
    <row r="24" spans="1:19" x14ac:dyDescent="0.2">
      <c r="A24" t="s">
        <v>77</v>
      </c>
      <c r="B24">
        <f>$B$16*O16</f>
        <v>33.333333333333329</v>
      </c>
      <c r="C24">
        <f>$B$17*P16</f>
        <v>0</v>
      </c>
      <c r="D24">
        <f>$B$18*Q16</f>
        <v>0</v>
      </c>
      <c r="E24">
        <f>$B$19*R16</f>
        <v>0</v>
      </c>
      <c r="F24">
        <f>SUM(B24:E24)</f>
        <v>33.333333333333329</v>
      </c>
    </row>
    <row r="25" spans="1:19" x14ac:dyDescent="0.2">
      <c r="A25" t="s">
        <v>78</v>
      </c>
      <c r="B25">
        <f>$B$16*O17</f>
        <v>20</v>
      </c>
      <c r="C25">
        <f t="shared" ref="C25:C28" si="0">$B$17*P17</f>
        <v>0</v>
      </c>
      <c r="D25">
        <f t="shared" ref="D25:D28" si="1">$B$18*Q17</f>
        <v>0</v>
      </c>
      <c r="E25">
        <f t="shared" ref="E25:E28" si="2">$B$19*R17</f>
        <v>0</v>
      </c>
      <c r="F25">
        <f t="shared" ref="F25:F28" si="3">SUM(B25:E25)</f>
        <v>20</v>
      </c>
      <c r="K25" t="s">
        <v>84</v>
      </c>
    </row>
    <row r="26" spans="1:19" x14ac:dyDescent="0.2">
      <c r="A26" t="s">
        <v>14</v>
      </c>
      <c r="B26">
        <f t="shared" ref="B25:B28" si="4">$B$16*O18</f>
        <v>26.666666666666664</v>
      </c>
      <c r="C26">
        <f t="shared" si="0"/>
        <v>0</v>
      </c>
      <c r="D26">
        <f t="shared" si="1"/>
        <v>0</v>
      </c>
      <c r="E26">
        <f t="shared" si="2"/>
        <v>0</v>
      </c>
      <c r="F26">
        <f t="shared" si="3"/>
        <v>26.666666666666664</v>
      </c>
    </row>
    <row r="27" spans="1:19" x14ac:dyDescent="0.2">
      <c r="A27" t="s">
        <v>15</v>
      </c>
      <c r="B27">
        <f t="shared" si="4"/>
        <v>0</v>
      </c>
      <c r="C27">
        <f t="shared" si="0"/>
        <v>0</v>
      </c>
      <c r="D27">
        <f t="shared" si="1"/>
        <v>0</v>
      </c>
      <c r="E27">
        <f t="shared" si="2"/>
        <v>0</v>
      </c>
      <c r="F27">
        <f t="shared" si="3"/>
        <v>0</v>
      </c>
    </row>
    <row r="28" spans="1:19" x14ac:dyDescent="0.2">
      <c r="A28" t="s">
        <v>79</v>
      </c>
      <c r="B28">
        <f t="shared" si="4"/>
        <v>0</v>
      </c>
      <c r="C28">
        <f>$B$18*P20</f>
        <v>0</v>
      </c>
      <c r="D28">
        <f>$B$18*Q20</f>
        <v>0</v>
      </c>
      <c r="E28">
        <f>$B$19*R20</f>
        <v>0</v>
      </c>
      <c r="F28">
        <f t="shared" si="3"/>
        <v>0</v>
      </c>
    </row>
    <row r="29" spans="1:19" x14ac:dyDescent="0.2">
      <c r="A29" t="s">
        <v>29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Module 10</vt:lpstr>
      <vt:lpstr>1. Maggies Mugs</vt:lpstr>
      <vt:lpstr>2. BP Computer Services</vt:lpstr>
      <vt:lpstr>3. Al Forno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Anderson, Dalton</dc:creator>
  <cp:keywords/>
  <dc:description/>
  <cp:lastModifiedBy>Anderson, Dalton</cp:lastModifiedBy>
  <dcterms:created xsi:type="dcterms:W3CDTF">2021-11-06T17:17:58Z</dcterms:created>
  <dcterms:modified xsi:type="dcterms:W3CDTF">2021-11-07T20:53:39Z</dcterms:modified>
  <cp:category/>
</cp:coreProperties>
</file>