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 sheetId="1" r:id="rId4"/>
    <sheet state="visible" name="Resumo" sheetId="2" r:id="rId5"/>
    <sheet state="visible" name="Plano de capacitação - 2024" sheetId="3" r:id="rId6"/>
    <sheet state="visible" name="Mudanças" sheetId="4" r:id="rId7"/>
    <sheet state="hidden" name="Ascom_Plano de capacitação_2024" sheetId="5" r:id="rId8"/>
    <sheet state="visible" name="Calendário dos Cursos" sheetId="6" r:id="rId9"/>
    <sheet state="visible" name="Mobilizações" sheetId="7" r:id="rId10"/>
    <sheet state="visible" name="Execução financeira" sheetId="8" r:id="rId11"/>
    <sheet state="visible" name="Consolidado GEDUC 2024" sheetId="9" r:id="rId12"/>
    <sheet state="visible" name="Agendamentos PV e GEM" sheetId="10" r:id="rId13"/>
    <sheet state="visible" name="Convocação - Edital 022024" sheetId="11" r:id="rId14"/>
    <sheet state="visible" name="Entregas PPA" sheetId="12" r:id="rId15"/>
  </sheets>
  <definedNames>
    <definedName hidden="1" localSheetId="2" name="_xlnm._FilterDatabase">'Plano de capacitação - 2024'!$A$5:$AE$160</definedName>
    <definedName hidden="1" localSheetId="3" name="_xlnm._FilterDatabase">'Mudanças'!$A$4:$F$57</definedName>
    <definedName hidden="1" localSheetId="4" name="_xlnm._FilterDatabase">'Ascom_Plano de capacitação_2024'!$A$5:$AE$159</definedName>
    <definedName hidden="1" localSheetId="6" name="_xlnm._FilterDatabase">'Mobilizações'!$A$5:$M$145</definedName>
    <definedName hidden="1" localSheetId="9" name="_xlnm._FilterDatabase">'Agendamentos PV e GEM'!$A$5:$J$186</definedName>
    <definedName name="EVASÃO_INSCRITOS">LAMBDA(IF((('Plano de capacitação - 2024'!$O$23-'Plano de capacitação - 2024'!$P$23)/'Plano de capacitação - 2024'!$O$23)=100%, 0, ('Plano de capacitação - 2024'!$O$23-'Plano de capacitação - 2024'!$P$23)/'Plano de capacitação - 2024'!$O$23))</definedName>
    <definedName name="EVASÃO_VAGAS">LAMBDA(IF((('Plano de capacitação - 2024'!$N$23-'Plano de capacitação - 2024'!$P$23)/'Plano de capacitação - 2024'!$N$23)=100%,0, ('Plano de capacitação - 2024'!$N$23-'Plano de capacitação - 2024'!$P$23)/'Plano de capacitação - 2024'!$N$23))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O5">
      <text>
        <t xml:space="preserve">Os campos com asterisco (*) devem ser inseridos manualmente (por ex.: Orçamento inicial);
Os demais são exportados diretamente dos painéis.</t>
      </text>
    </comment>
    <comment authorId="0" ref="J7">
      <text>
        <t xml:space="preserve">Os dados de execução e evasão quanto ao total de vagas só devem ser considerados fidedignos ao fim do percurso formativo; antes disso, os resultados podem ser subdimensionados.</t>
      </text>
    </comment>
    <comment authorId="0" ref="K7">
      <text>
        <t xml:space="preserve">Os dados de execução e evasão quanto ao total de vagas só devem ser considerados fidedignos ao fim do percurso formativo; antes disso, os resultados podem ser subdimensionados.</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X5">
      <text>
        <t xml:space="preserve">Para preenchimento da/o CDE:
- Descrever o status de desenvolvimento educacional.
Ex.: Matriz de competências construída</t>
      </text>
    </comment>
    <comment authorId="0" ref="Y5">
      <text>
        <t xml:space="preserve">Descreva como os alunos serão avaliados:
- Houve avaliação de desempenho? Qual (atividade extraclasse, quiz pós-teste, etc)?
- Foi realizada avaliação do processo educacional?</t>
      </text>
    </comment>
    <comment authorId="0" ref="AA5">
      <text>
        <t xml:space="preserve">Que informações importantes a Ascom precisa saber? Por ex.: Atores envolvidos (SESA, Ministério da Saúde, etc)</t>
      </text>
    </comment>
    <comment authorId="0" ref="AB5">
      <text>
        <t xml:space="preserve">Citar pontos que facilitaram a realização do curso</t>
      </text>
    </comment>
    <comment authorId="0" ref="AC5">
      <text>
        <t xml:space="preserve">Citar pontos que dificultaram a realização do curso</t>
      </text>
    </comment>
    <comment authorId="0" ref="AD5">
      <text>
        <t xml:space="preserve">Sugerir melhorias para os próximos cursos ou turmas</t>
      </text>
    </comment>
    <comment authorId="0" ref="AE5">
      <text>
        <t xml:space="preserve">Inserir link das respostas do instrumento de avaliação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X5">
      <text>
        <t xml:space="preserve">Para preenchimento da/o CDE:
- Descrever o status de desenvolvimento educacional.
Ex.: Matriz de competências construída</t>
      </text>
    </comment>
    <comment authorId="0" ref="Y5">
      <text>
        <t xml:space="preserve">Descreva como os alunos serão avaliados:
- Houve avaliação de desempenho? Qual (atividade extraclasse, quiz pós-teste, etc)?
- Foi realizada avaliação do processo educacional?</t>
      </text>
    </comment>
    <comment authorId="0" ref="AA5">
      <text>
        <t xml:space="preserve">Que informações importantes a Ascom precisa saber? Por ex.: Atores envolvidos (SESA, Ministério da Saúde, etc)</t>
      </text>
    </comment>
    <comment authorId="0" ref="AB5">
      <text>
        <t xml:space="preserve">Citar pontos que facilitaram a realização do curso</t>
      </text>
    </comment>
    <comment authorId="0" ref="AC5">
      <text>
        <t xml:space="preserve">Citar pontos que dificultaram a realização do curso</t>
      </text>
    </comment>
    <comment authorId="0" ref="AD5">
      <text>
        <t xml:space="preserve">Sugerir melhorias para os próximos cursos ou turmas</t>
      </text>
    </comment>
    <comment authorId="0" ref="AE5">
      <text>
        <t xml:space="preserve">Inserir link das respostas do instrumento de avaliação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P5">
      <text>
        <t xml:space="preserve">Citar pontos que facilitaram a realização do curso</t>
      </text>
    </comment>
    <comment authorId="0" ref="Q5">
      <text>
        <t xml:space="preserve">Citar pontos que dificultaram a realização do curso</t>
      </text>
    </comment>
    <comment authorId="0" ref="R5">
      <text>
        <t xml:space="preserve">Sugerir melhorias para os próximos cursos ou turmas</t>
      </text>
    </comment>
    <comment authorId="0" ref="S5">
      <text>
        <t xml:space="preserve">Inserir link das respostas do instrumento de avaliação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O5">
      <text>
        <t xml:space="preserve">Valor disponibilizado para cada curso (no caso da SEVIG) ou para o projeto no ano de 2023.</t>
      </text>
    </comment>
    <comment authorId="0" ref="P5">
      <text>
        <t xml:space="preserve">Quanto espera-se ser gasto no curso após as reuniões de planejamento.</t>
      </text>
    </comment>
    <comment authorId="0" ref="Q5">
      <text>
        <t xml:space="preserve">Valor já executado (empenhado) em cada curso (no caso da SEVIG) ou para o projeto no ano de 2023.</t>
      </text>
    </comment>
    <comment authorId="0" ref="R5">
      <text>
        <t xml:space="preserve">Previsão do que resta a ser executado  para cada curso (no caso da SEVIG) ou para o projeto no ano de 2023.</t>
      </text>
    </comment>
    <comment authorId="0" ref="S5">
      <text>
        <t xml:space="preserve">Valor planejado para pagamento de bolsas em cada curso (no caso da COVAT) ou para o projeto no ano de 2023.</t>
      </text>
    </comment>
    <comment authorId="0" ref="T5">
      <text>
        <t xml:space="preserve">Valor já executado (empenhado) para pagamento de bolsas em cada curso (no caso da COVAT) ou para o projeto no ano de 2023.</t>
      </text>
    </comment>
    <comment authorId="0" ref="U5">
      <text>
        <t xml:space="preserve">Porcentagem de execução em relação ao valor total do projeto.</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O5">
      <text>
        <t xml:space="preserve">Citar pontos que facilitaram a realização do curso</t>
      </text>
    </comment>
    <comment authorId="0" ref="P5">
      <text>
        <t xml:space="preserve">Citar pontos que dificultaram a realização do curso</t>
      </text>
    </comment>
    <comment authorId="0" ref="Q5">
      <text>
        <t xml:space="preserve">Sugerir melhorias para os próximos cursos ou turmas</t>
      </text>
    </comment>
    <comment authorId="0" ref="R5">
      <text>
        <t xml:space="preserve">Inserir link das respostas do instrumento de avaliação
</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PREVISÃO</t>
      </text>
    </comment>
  </commentList>
</comments>
</file>

<file path=xl/sharedStrings.xml><?xml version="1.0" encoding="utf-8"?>
<sst xmlns="http://schemas.openxmlformats.org/spreadsheetml/2006/main" count="5297" uniqueCount="1303">
  <si>
    <t>Vigilância e Controle das  Endemias</t>
  </si>
  <si>
    <t>Epidemiologia em Serviço</t>
  </si>
  <si>
    <t>IST/HIV/AIDS e Hepatites Virais</t>
  </si>
  <si>
    <t>Capacitação em Vigilância em Saúde do(a) Trabalhador(a)</t>
  </si>
  <si>
    <t>Qualificação em Sala de Vacina</t>
  </si>
  <si>
    <t>Qualificação e resposta às emergências em saúde</t>
  </si>
  <si>
    <t>Qualificação em Vigilância Sanitária</t>
  </si>
  <si>
    <t>RESE - Projeto de Apoio à Implementação da Educação Permanente em Saúde no Ceará</t>
  </si>
  <si>
    <t>PERFORSM - Percursos Formativos no Campo da Saúde Mental</t>
  </si>
  <si>
    <t>Instituto de Prevenção do Câncer (IPC)</t>
  </si>
  <si>
    <t>Projeto de Educação Permanente em Infectologia</t>
  </si>
  <si>
    <t>Projeto de Educação Permanente em Urgência e Emergência</t>
  </si>
  <si>
    <t>REGULAÇÃO</t>
  </si>
  <si>
    <t>Pé Diabético</t>
  </si>
  <si>
    <t>Transplante</t>
  </si>
  <si>
    <t>Movimenta Assitência Farmacêutica</t>
  </si>
  <si>
    <t>Materno Infantil</t>
  </si>
  <si>
    <t>Hemovigilância e Biovigilância</t>
  </si>
  <si>
    <t>Ciclo de Atualização em Manejo Clínico e Diagnóstico Laboratorial das Arboviroses</t>
  </si>
  <si>
    <t>Tipos de curso</t>
  </si>
  <si>
    <t>Status</t>
  </si>
  <si>
    <t>Mês</t>
  </si>
  <si>
    <t>Modalidade</t>
  </si>
  <si>
    <t>Diagnóstico laboratorial da esquistossomose mansoni e Geo helmintos</t>
  </si>
  <si>
    <t>Curso de Vigilância e Manejo Clínico da Tuberculose</t>
  </si>
  <si>
    <t>Curso Básico de Vigilância das IST/HIV/AIDS, Sífilis e Hepatites Virais</t>
  </si>
  <si>
    <t>Curso Básico de Vigilância em Saúde do Trabalhador na Atenção Primária à Saúde</t>
  </si>
  <si>
    <t>Curso básico de imunização para profissionais de vacinação da saúde indígena</t>
  </si>
  <si>
    <t>Curso de Codificação de Causa Básica de Óbito</t>
  </si>
  <si>
    <t>Curso de Atualização em Vigilância Sanitária de Produtos e de Serviços de Saúde</t>
  </si>
  <si>
    <t>Curso Apoiador Institucional em EPS</t>
  </si>
  <si>
    <t>Curso Crises em Saúde Mental: Urgências e Emergências</t>
  </si>
  <si>
    <t>Curso de Atualização em Rastreamento de Câncer de Colo do Útero</t>
  </si>
  <si>
    <t>Curso de Aperfeiçoamento em Infectologia</t>
  </si>
  <si>
    <t>Curso de Aperfeiçoamento para Construção de Protocolos de Regulação de Urgência</t>
  </si>
  <si>
    <t>Programa de Aperfeiçoamento para Construção de Protocolos de Regulação Ambulatorial</t>
  </si>
  <si>
    <t xml:space="preserve">Curso Básico de Cuidados e Avaliação do Pé Diabético </t>
  </si>
  <si>
    <t>Curso sobre o Financiamento do Processo de Doação e Transplante</t>
  </si>
  <si>
    <t>Comunicação Efetiva e Liderança</t>
  </si>
  <si>
    <t>Curso de Atenção ao Pré-natal na Atenção Primária</t>
  </si>
  <si>
    <t>Curso de Capacitação em Hemovigilância</t>
  </si>
  <si>
    <t>Básico (Até 79h)</t>
  </si>
  <si>
    <t>Planejamento</t>
  </si>
  <si>
    <t>Janeiro</t>
  </si>
  <si>
    <r>
      <rPr>
        <rFont val="Arial"/>
        <b/>
        <color theme="1"/>
      </rPr>
      <t>Presencial</t>
    </r>
    <r>
      <rPr>
        <rFont val="Arial"/>
        <color theme="1"/>
      </rPr>
      <t xml:space="preserve"> (máximo 20% EaD)</t>
    </r>
  </si>
  <si>
    <t>Curso Básico de Controle Químico Residual para vetores da Doença de Chagas e Leishmaniose</t>
  </si>
  <si>
    <t>Curso básico de vigilância da hanseniase e prevençao de incapacidades</t>
  </si>
  <si>
    <t>Curso de Vigilância em Saúde Ambiental</t>
  </si>
  <si>
    <t>Curso Básico de Atualização em Imunização para Profissionais de Vacinação da Saúde Quilombola</t>
  </si>
  <si>
    <t>Curso de Investigação de Surto</t>
  </si>
  <si>
    <t>Curso de EPS para Unidades da Rede SESA</t>
  </si>
  <si>
    <t>Curso de Manejo da Autolesão, Prevenção e Posvenção ao Suicídio</t>
  </si>
  <si>
    <t>Oficina de formação para os tutores</t>
  </si>
  <si>
    <t>Curso de Formação de Reguladores de Filas Virtuais para Profissioanis de Saúde</t>
  </si>
  <si>
    <t>Curso de Capacitação para Determinação de Morte Encefálica</t>
  </si>
  <si>
    <t>Políticas Públicas de Saúde: programas e estratégias que referenciam/descrevem a estrutura e a organização da assistência farmacêutica no Brasil e no Ceará</t>
  </si>
  <si>
    <t>Curso de Atenção Especializada ao Pré-natal de Alto Risco</t>
  </si>
  <si>
    <t>Curso de Capacitação em Biovigilância</t>
  </si>
  <si>
    <t>Seminário Febre do Oropouche: o que saber para enfrentar a arbovirose no Ceará?</t>
  </si>
  <si>
    <t>Atualização (80h-179h)</t>
  </si>
  <si>
    <t>Em execução</t>
  </si>
  <si>
    <t>Fevereiro</t>
  </si>
  <si>
    <r>
      <rPr>
        <rFont val="Arial"/>
        <b/>
        <color theme="1"/>
      </rPr>
      <t>EaD</t>
    </r>
    <r>
      <rPr>
        <rFont val="Arial"/>
        <color theme="1"/>
      </rPr>
      <t xml:space="preserve"> (máximo 20% presencial)</t>
    </r>
  </si>
  <si>
    <t>Curso de Vigilância e Controle da Doença de Chagas</t>
  </si>
  <si>
    <t>Vigilância epidemiológica da covid-19, Influenza e Outros Vírus Respiratórios (OVR)</t>
  </si>
  <si>
    <t>Curso de Vigilância e Atenção em Saúde de Populações Expostas à Mineração de Urânio e Fosfato no Ceará</t>
  </si>
  <si>
    <t>Curso Teórico Prático de Vigilância e Assistência aos Acidentes por Animais Peçonhentos</t>
  </si>
  <si>
    <t>IV Encontro RESE / IV Mostra em EPS / II Seminário da Gestão do Trabalho</t>
  </si>
  <si>
    <t>Curso Processos de Trabalho em Saúde Mental
Módulo I: “Territorialização, Projeto Terapêutico Singular e Projeto Terapêutico Institucional”</t>
  </si>
  <si>
    <t>Curso de Desafios na Entrevista Familiar</t>
  </si>
  <si>
    <t>Acesso a medicamentos no SUS: etapas do ciclo logístico da assistência farmacêutica no níveis estadual, regional e municipal</t>
  </si>
  <si>
    <t>Curso de Atenção ao Parto, Nascimento e Emergências Obstétricas</t>
  </si>
  <si>
    <t>Aperfeiçoamento (180h-359h)</t>
  </si>
  <si>
    <t>Concluído</t>
  </si>
  <si>
    <t>Março</t>
  </si>
  <si>
    <r>
      <rPr>
        <rFont val="Arial"/>
        <b/>
        <color theme="1"/>
      </rPr>
      <t xml:space="preserve">Híbrido </t>
    </r>
    <r>
      <rPr>
        <rFont val="Arial"/>
        <color theme="1"/>
      </rPr>
      <t>(Presencial/EaD)</t>
    </r>
  </si>
  <si>
    <t>Curso Básico de Vigilância e Controle da Raiva</t>
  </si>
  <si>
    <t>Curso Teórico-Prático de Vigilância das Meningites e Doenças Exantemáticas (Sarampo, Rubéola e Síndrome da Rubéola Congênita)</t>
  </si>
  <si>
    <t>Curso de Vigilância das Doenças e Agravos Relacionados ao Trabalho</t>
  </si>
  <si>
    <t>Curso de EPS para DIEPS (GEDUC/GEPRO)</t>
  </si>
  <si>
    <t>Curso Processos de Trabalho em Saúde Mental
Módulo II: “Cuidado Humanizado, Intersetorialidade e
Matriciamento”</t>
  </si>
  <si>
    <t>Curso de Atualização da Política Estadual de Doação e Transplante do Ceará</t>
  </si>
  <si>
    <t>Estruturação do acesso aos medicamentos na Atenção Básica, Especializada e insumos estratégicos da Assisstência Farmacêutica, aspectos legais e econômicos</t>
  </si>
  <si>
    <t>Cancelada</t>
  </si>
  <si>
    <t>Abril</t>
  </si>
  <si>
    <t>VI Capacitação sobre Diagnostico e Tratamento de Acidentes por Animais Peçonhentos</t>
  </si>
  <si>
    <t>Curso de Vigilância do Óbito Materno, Infantil e Fetal e Óbitos com Causa Básica Mal Definida</t>
  </si>
  <si>
    <t>Curso de Formação de Facilitadores em EPS para a APS</t>
  </si>
  <si>
    <t>Curso Introdutório Cuidados em Saúde Mental e Atenção Psicossocial (SMAPS)</t>
  </si>
  <si>
    <t>Curso de Coordenador Educacional de Transplante</t>
  </si>
  <si>
    <t>Epidemiologia aplicada à Assistência Farmacêutica</t>
  </si>
  <si>
    <t>Maio</t>
  </si>
  <si>
    <t>filtros</t>
  </si>
  <si>
    <t>Projetos</t>
  </si>
  <si>
    <t>Cursos</t>
  </si>
  <si>
    <t>Curso de supervisão das atividades de controle das Arboviroses</t>
  </si>
  <si>
    <t>Curso Básico de Vigilância de Causas Externas (violências e acidentes)</t>
  </si>
  <si>
    <t>Curso Saúde Mental e Populações Vulneráveis: Ambiente Prisional</t>
  </si>
  <si>
    <t>V ENCIHDOTT DO CEARÁ</t>
  </si>
  <si>
    <t>Avaliação de Tecnologias em saúde e os elementos-chave relacionados a esses processos</t>
  </si>
  <si>
    <t>Junho</t>
  </si>
  <si>
    <t>Curso Básico de Registradores de Câncer</t>
  </si>
  <si>
    <t>Curso Movimenta Saúde Mental na Atenção Primária</t>
  </si>
  <si>
    <t>Curso de Capacitação em Preservação e Perfusão de Órgãos Removidos para Transplantes</t>
  </si>
  <si>
    <t>Cuidado Farmacêutico I - na atenção primária</t>
  </si>
  <si>
    <t>Julho</t>
  </si>
  <si>
    <t xml:space="preserve">Estratégias de vigilância e controle de reservatórios e vetores das leishmanioses </t>
  </si>
  <si>
    <t>Curso de Reestruturação da Rede de Procura de órgãos do Estado do Ceará</t>
  </si>
  <si>
    <t>Cuidado Farmacêutico II - na atenção especializada</t>
  </si>
  <si>
    <t>Agosto</t>
  </si>
  <si>
    <t>Curso Básico de Raiva: Colheita, acondicionamento e envio de amostras</t>
  </si>
  <si>
    <t>Curso de Comunicação em Situação Crítica</t>
  </si>
  <si>
    <t>Práticas Integrativas e Complementares (PICs) na Assistência Farmacêutica</t>
  </si>
  <si>
    <t>Setembro</t>
  </si>
  <si>
    <t>Curso de Qualificação do Processo de Doação de Órgão e Tecidos para Transplantes</t>
  </si>
  <si>
    <t>Outubro</t>
  </si>
  <si>
    <t>Curso básico de Vigilância da tuberculose</t>
  </si>
  <si>
    <t>Novembro</t>
  </si>
  <si>
    <t>Dezembro</t>
  </si>
  <si>
    <t>Curso de Vigilância do Óbito Materno - Infantil - Fetal e òbitos com Causa Básica Mal Definida</t>
  </si>
  <si>
    <t>Curso Básico de Vigilância das IST/HIV/AIDS, Sífilis Congênita e Hepatites Virais</t>
  </si>
  <si>
    <t>LINK:</t>
  </si>
  <si>
    <t xml:space="preserve">Orientação de uso: vá até a linha DE CADA PROJETO dessa aba e adicione o link da planilha do projeto entre " ". Após isso, na aba RESUMO apenas faça uma cópia da última linha preenchida na linha correspondente ao projeto. </t>
  </si>
  <si>
    <t>LINK PAINEL ADINS</t>
  </si>
  <si>
    <t>PROJETOS:</t>
  </si>
  <si>
    <t>"https://docs.google.com/spreadsheets/d/1DULy6HB5PGz95nC3CIdjpLQEroilh5tb_mLf8PrEHBs/edit#gid=1310762666"</t>
  </si>
  <si>
    <r>
      <rPr>
        <rFont val="Arial"/>
        <color rgb="FF000000"/>
      </rPr>
      <t>"</t>
    </r>
    <r>
      <rPr>
        <rFont val="Arial"/>
        <color rgb="FF1155CC"/>
      </rPr>
      <t>https://docs.google.com/spreadsheets/d/1t6Bw17doKIFsfMEH8xu7wgWPM2ojnpUSCOMcJIxVGt0/edit?usp=sharing</t>
    </r>
    <r>
      <rPr>
        <rFont val="Arial"/>
        <color rgb="FF000000"/>
      </rPr>
      <t>"</t>
    </r>
  </si>
  <si>
    <r>
      <rPr>
        <rFont val="Arial"/>
        <color rgb="FF000000"/>
      </rPr>
      <t>"</t>
    </r>
    <r>
      <rPr>
        <rFont val="Arial"/>
        <color rgb="FF1155CC"/>
      </rPr>
      <t>https://docs.google.com/spreadsheets/d/1IneaaYmlvZRYkWmEa01LRzluwW5SxcfC9nyNHoBAGLA/edit?usp=sharing</t>
    </r>
    <r>
      <rPr>
        <rFont val="Arial"/>
        <color rgb="FF000000"/>
      </rPr>
      <t>"</t>
    </r>
  </si>
  <si>
    <r>
      <rPr>
        <rFont val="Arial"/>
        <color rgb="FF000000"/>
      </rPr>
      <t>"</t>
    </r>
    <r>
      <rPr>
        <rFont val="Arial"/>
        <color rgb="FF1155CC"/>
      </rPr>
      <t>https://docs.google.com/spreadsheets/d/1onXjeKSBf4qsiI-Dx4-ldhayBp8-mX3eF3S8803xWjg/edit?usp=sharing</t>
    </r>
    <r>
      <rPr>
        <rFont val="Arial"/>
        <color rgb="FF000000"/>
      </rPr>
      <t>"</t>
    </r>
  </si>
  <si>
    <r>
      <rPr>
        <rFont val="Arial"/>
        <color rgb="FF000000"/>
      </rPr>
      <t>"</t>
    </r>
    <r>
      <rPr>
        <rFont val="Arial"/>
        <color rgb="FF1155CC"/>
      </rPr>
      <t>https://docs.google.com/spreadsheets/d/1KgBTXpcsImBJbHdt4K205sog_rvAaRkZAUuAiGBHcfA/edit?usp=sharing</t>
    </r>
    <r>
      <rPr>
        <rFont val="Arial"/>
        <color rgb="FF000000"/>
      </rPr>
      <t>"</t>
    </r>
  </si>
  <si>
    <r>
      <rPr>
        <rFont val="Arial"/>
        <color rgb="FF000000"/>
      </rPr>
      <t>"</t>
    </r>
    <r>
      <rPr>
        <rFont val="Arial"/>
        <color rgb="FF000000"/>
      </rPr>
      <t>https://docs.google.com/spreadsheets/d/1Ma319BAaVCPPnscr0VhAeXrHsH4Akl8FaDBp7XGB29U/edit?usp=sharing</t>
    </r>
    <r>
      <rPr>
        <rFont val="Arial"/>
        <color rgb="FF000000"/>
      </rPr>
      <t>"</t>
    </r>
  </si>
  <si>
    <r>
      <rPr>
        <rFont val="Arial"/>
        <color rgb="FF000000"/>
      </rPr>
      <t>"</t>
    </r>
    <r>
      <rPr>
        <rFont val="Arial"/>
        <color rgb="FF0000FF"/>
      </rPr>
      <t>https://docs.google.com/spreadsheets/d/1pkSPO24yrCIW9RekvTAwipj5K7t0Dvsz9yknCaWh1p0/edit?usp=sharing</t>
    </r>
    <r>
      <rPr>
        <rFont val="Arial"/>
        <color rgb="FF000000"/>
      </rPr>
      <t>"</t>
    </r>
  </si>
  <si>
    <r>
      <rPr>
        <rFont val="Arial"/>
        <color rgb="FF000000"/>
      </rPr>
      <t>"</t>
    </r>
    <r>
      <rPr>
        <rFont val="Arial"/>
        <color rgb="FF000000"/>
      </rPr>
      <t>https://docs.google.com/spreadsheets/d/1KSlw6x46y1AhKNUyY7oMDpISBc7mXjni8HiaBhcNDIw/edit?usp=sharing</t>
    </r>
    <r>
      <rPr>
        <rFont val="Arial"/>
        <color rgb="FF000000"/>
      </rPr>
      <t>"</t>
    </r>
  </si>
  <si>
    <r>
      <rPr>
        <rFont val="Arial"/>
        <color rgb="FF000000"/>
      </rPr>
      <t>"</t>
    </r>
    <r>
      <rPr>
        <rFont val="Arial"/>
        <color rgb="FF1155CC"/>
      </rPr>
      <t>https://docs.google.com/spreadsheets/d/1JLM5vWKFNrNrrKGzOSoEtaoPfeDgWF29r_lPlui8cuE/edit?usp=sharing</t>
    </r>
    <r>
      <rPr>
        <rFont val="Arial"/>
        <color rgb="FF000000"/>
      </rPr>
      <t>"</t>
    </r>
  </si>
  <si>
    <t>Curso de Processos Administrativos Sanitários.</t>
  </si>
  <si>
    <r>
      <rPr>
        <rFont val="Arial"/>
        <color rgb="FF000000"/>
      </rPr>
      <t>"</t>
    </r>
    <r>
      <rPr>
        <rFont val="Arial"/>
        <color rgb="FF1155CC"/>
      </rPr>
      <t>https://docs.google.com/spreadsheets/d/1axjbt21yYOmO3OX7wXdpKkpdKFLqx2ZYnqW38RrMUXg/edit?usp=sharing</t>
    </r>
    <r>
      <rPr>
        <rFont val="Arial"/>
        <color rgb="FF000000"/>
      </rPr>
      <t>"</t>
    </r>
  </si>
  <si>
    <t>Curso de Atualização em Vigilância Sanitária, Produtos e Serviços de Saúde</t>
  </si>
  <si>
    <t>Percursos Formativos no Campo da Saúde Mental</t>
  </si>
  <si>
    <r>
      <rPr>
        <rFont val="Arial"/>
        <color rgb="FF000000"/>
      </rPr>
      <t>"</t>
    </r>
    <r>
      <rPr>
        <rFont val="Arial"/>
        <color rgb="FF1155CC"/>
      </rPr>
      <t>https://docs.google.com/spreadsheets/d/1l33J3zkuKNG1RT2IGnZUs1DNt9rJmYiYdZjgCCXeySE/edit?usp=sharing</t>
    </r>
    <r>
      <rPr>
        <rFont val="Arial"/>
        <color rgb="FF000000"/>
      </rPr>
      <t>"</t>
    </r>
  </si>
  <si>
    <r>
      <rPr/>
      <t>"</t>
    </r>
    <r>
      <rPr>
        <color rgb="FF1155CC"/>
        <u/>
      </rPr>
      <t>https://docs.google.com/spreadsheets/d/1Az4bNM67CdtQ4FRqR3Yg84flnYEYaxarXAlyu59Zz6s/edit?usp=sharing</t>
    </r>
    <r>
      <rPr/>
      <t>"</t>
    </r>
  </si>
  <si>
    <t>SAMU</t>
  </si>
  <si>
    <r>
      <rPr>
        <color rgb="FF000000"/>
      </rPr>
      <t>"</t>
    </r>
    <r>
      <rPr>
        <color rgb="FF1155CC"/>
        <u/>
      </rPr>
      <t>https://docs.google.com/spreadsheets/d/1Lp6iOK2c77ON_FyogXeCaNEUwjn6ya476NTsDyevOZA/edit?usp=sharing</t>
    </r>
    <r>
      <rPr>
        <color rgb="FF000000"/>
      </rPr>
      <t>"</t>
    </r>
  </si>
  <si>
    <t>Resumo para conferência</t>
  </si>
  <si>
    <t>Dados do Plano de Capacitação</t>
  </si>
  <si>
    <t>Dados exportados dos Painéis de Monitoramento de Projetos da Adins</t>
  </si>
  <si>
    <t>DADOS ADMINISTRATIVOS</t>
  </si>
  <si>
    <t>ENTREGAS</t>
  </si>
  <si>
    <t>EXECUÇÃO FÍSICA</t>
  </si>
  <si>
    <t>EXECUÇÃO FINANCEIRA</t>
  </si>
  <si>
    <t>ENTREGAS POR QUADRIMESTRE</t>
  </si>
  <si>
    <t>Gerente de Projeto</t>
  </si>
  <si>
    <t>PROJETO</t>
  </si>
  <si>
    <t>MAPP</t>
  </si>
  <si>
    <t>PF</t>
  </si>
  <si>
    <t>Nº PROCESSO</t>
  </si>
  <si>
    <t>Total de vagas</t>
  </si>
  <si>
    <t>Total inscritos</t>
  </si>
  <si>
    <t>Total concludentes</t>
  </si>
  <si>
    <t>Execução quanto às vagas</t>
  </si>
  <si>
    <t>Evasão quanto às vagas</t>
  </si>
  <si>
    <t>Execução quanto aos inscritos</t>
  </si>
  <si>
    <t>Evasão quanto aos inscritos</t>
  </si>
  <si>
    <t>Cronograma de execução</t>
  </si>
  <si>
    <t>Orçamento inicial *</t>
  </si>
  <si>
    <t>Valor PF atual</t>
  </si>
  <si>
    <t>Valor empenhado</t>
  </si>
  <si>
    <t>Saldo</t>
  </si>
  <si>
    <t>1°</t>
  </si>
  <si>
    <t>2º</t>
  </si>
  <si>
    <t>3º</t>
  </si>
  <si>
    <t>TOTAL</t>
  </si>
  <si>
    <t>Carmem Abreu</t>
  </si>
  <si>
    <t>Marconi Brandão</t>
  </si>
  <si>
    <t>Total Geral</t>
  </si>
  <si>
    <t>*Os dados de execução e evasão quanto ao total de vagas só devem ser considerados fidedignos ao fim do percurso formativo; antes disso, os resultados podem ser subdimensionados.</t>
  </si>
  <si>
    <t>Plano de Capacitação 2024</t>
  </si>
  <si>
    <t>Resultados 2023:</t>
  </si>
  <si>
    <t>GEDUC - Plano de Capacitação 2023</t>
  </si>
  <si>
    <t>CURSO</t>
  </si>
  <si>
    <t>TIPO DE CURSO (PPP)</t>
  </si>
  <si>
    <t>CARGA HORÁRIA</t>
  </si>
  <si>
    <t>TURMA</t>
  </si>
  <si>
    <t>LOCAL DE REALIZAÇÃO</t>
  </si>
  <si>
    <t>REGIÃO DO PÚBLICO</t>
  </si>
  <si>
    <t>MODALIDADE</t>
  </si>
  <si>
    <t>MÊS DE REALIZAÇÃO</t>
  </si>
  <si>
    <t>DIAS</t>
  </si>
  <si>
    <t>DATA INÍCIO</t>
  </si>
  <si>
    <t>DATA FIM</t>
  </si>
  <si>
    <t>LINK AGENDA</t>
  </si>
  <si>
    <t>VAGAS</t>
  </si>
  <si>
    <t>Nº INSCRITOS</t>
  </si>
  <si>
    <t>Nº CONCLUDENTES</t>
  </si>
  <si>
    <t>STATUS</t>
  </si>
  <si>
    <t>EVASÃO QUANTO ÀS VAGAS</t>
  </si>
  <si>
    <t>EVASÃO QUANTO AOS INSCRITOS</t>
  </si>
  <si>
    <t>COORDENADORA</t>
  </si>
  <si>
    <t>APOIO</t>
  </si>
  <si>
    <t>CDE</t>
  </si>
  <si>
    <t>PÚBLICO-ALVO</t>
  </si>
  <si>
    <t>DESENVOLVIMENTO EDUCACIONAL</t>
  </si>
  <si>
    <t>QUAL O SISTEMA DE AVALIAÇÃO?</t>
  </si>
  <si>
    <t>COBERTURA ASCOM?</t>
  </si>
  <si>
    <t>INFORMAÇÕES IMPORTANTES PARA ASCOM</t>
  </si>
  <si>
    <t>FACILIDADES</t>
  </si>
  <si>
    <t>DIFICULDADES</t>
  </si>
  <si>
    <t>SUGESTÕES</t>
  </si>
  <si>
    <t>INSTRUMENTO DE AVALIAÇÃO</t>
  </si>
  <si>
    <t>Turma 1</t>
  </si>
  <si>
    <t>Fortaleza</t>
  </si>
  <si>
    <t>SRFOR</t>
  </si>
  <si>
    <t>Presencial (máximo 20% EaD)</t>
  </si>
  <si>
    <t>01 a 05</t>
  </si>
  <si>
    <t>Thais</t>
  </si>
  <si>
    <t>Cristiane</t>
  </si>
  <si>
    <t>Coordenadores de Imunização e equipes da saúde indígena e comunidades tradicionais</t>
  </si>
  <si>
    <t>Currículo educacional e Matriz de competência elaborados e revisados pela Adese</t>
  </si>
  <si>
    <t>Frequência nas aulas;
Participação na: Montagem do calendário vacinal; Visita técnica à Central Estadual de Armazenamento e Distribuição de Imunobiológicos (Ceadim); Mostra de Experiências</t>
  </si>
  <si>
    <t>Sim</t>
  </si>
  <si>
    <t>Objetivo do curso, público-alvo, número de participantes e programação do curso.</t>
  </si>
  <si>
    <t>Facilitadores dinâmicos e experientes.
Metodologia dinâmica.
Turma participativa e o apoio da equipe da esp.</t>
  </si>
  <si>
    <t>Inicialmente problema no link de inscrição da mostra exitosa, porém próximo ao curso foi solucionado.</t>
  </si>
  <si>
    <t>AVALIAÇÃO DO CURSO.pdf</t>
  </si>
  <si>
    <t>SR Norte, SR Cariri, SR Fortaleza, SR Litoral Leste/Jaguaribe, SR Sertão Central</t>
  </si>
  <si>
    <t>17 e 18</t>
  </si>
  <si>
    <t>Hillary</t>
  </si>
  <si>
    <t>Idalina</t>
  </si>
  <si>
    <t xml:space="preserve">Matriz de competências elaborada. </t>
  </si>
  <si>
    <t>Frequência (100% de presença)</t>
  </si>
  <si>
    <t>Facilitadores dinâmicos e experientes.
Metodologia dinâmica.
Turma participativa
Organização, engajamento e apoio da equipe da ESP.</t>
  </si>
  <si>
    <t>Grande evasão devido a mudança de data.
Organizar e estruturar a atividade prática (Tele-simulação).
Problemas técnicos na projeção das aulas no primeiro dia.</t>
  </si>
  <si>
    <t>SRFOR/SRNOR/SRSUL</t>
  </si>
  <si>
    <t>Híbrido (Presencial/EaD)</t>
  </si>
  <si>
    <t>02 a 06</t>
  </si>
  <si>
    <t>Coordenadores de Imunização e equipes da saúde da população quilombola</t>
  </si>
  <si>
    <t>Frequência, participação na visita técnica à Central Estadual de Armazenamento e Distribuição de Imunobiológicos (CEADIM) e Conclusão da Atividade de dispersão</t>
  </si>
  <si>
    <t>A mudança da matriz e cronograma do curso próximo a sua execução impactou diretamente na condução.
Os alunos reclamaram devido a mudança da carga horária e das atividades propostas que não seguiram conforme o cronograma enviado na mobilização.</t>
  </si>
  <si>
    <t>Seguir o curso conforme estruturado e planejado nas reuniões</t>
  </si>
  <si>
    <t>Julho/Agosto</t>
  </si>
  <si>
    <t>29/07 a 02/08</t>
  </si>
  <si>
    <t>Gabriela</t>
  </si>
  <si>
    <t>Profissionais que atuam na vigilância em saude e ambiente dos  municípios prioritários da região e  Nucleo Hospitalr de Epidemiologia.</t>
  </si>
  <si>
    <t>Frequência (100% de presença) e foi realizada uma avaliação no último dia de curso, com nota mínima de 6,0 para aprovação no curso.</t>
  </si>
  <si>
    <t xml:space="preserve">As inscrições aconteceram sem grandes dificuldades. Facilitadoras dinâmicas. Turma comprometida. GT Sistemas participativo e resolutivo. Apoio da equipe SESA e GEDUC na execução do curso. 
</t>
  </si>
  <si>
    <t xml:space="preserve">A qualidade do buffet deixou a desejar. O ar-condicionado da sala não foi suficiente. O espaço para o almoço não tinha proteção para o sol. Essas foram as principais queixas dos participantes.
</t>
  </si>
  <si>
    <t>A melhora na qualidade do buffet. Essa tem sido uma queixa recorrente, gerando transtornos que poderiam ser evitados. Quanto a metodologia do curso, funcionou de forma positiva e alcançou o objetivo. Investir em uma turma de multiplicadores com os alunos já capacitados.</t>
  </si>
  <si>
    <t>Avaliação - 2024 - Curso Básico de Codificação de Causa Básica do Óbito.pdf</t>
  </si>
  <si>
    <t>09/07 a 11/07</t>
  </si>
  <si>
    <t>Profissionais que atuam no GT CIEVS e municípios prioritários da SRFOR.</t>
  </si>
  <si>
    <t>Matriz de competências revisada/finalizada.</t>
  </si>
  <si>
    <t>Frequência, estudos de casos e atividade online extraclasse (elaboração de um fluxo de investigação de surto no município + POP).</t>
  </si>
  <si>
    <t xml:space="preserve">Facilitadores dinâmicos e experientes. Metodologias ativas. Buffet pontual e com boa comida. Suporte da equipe da FRT. Facilidades na equipe EspVirtual (NEADS). A mobilização das vagas para SRFOR funcionou de forma satisfatória. 
</t>
  </si>
  <si>
    <t>O curso aconteceu sem muitas dificuldades.</t>
  </si>
  <si>
    <t>Talvez a construção de um manual sobre os passos da investigação de surto, foi a sugestão de uma aluna e também de aulas online para elaboração de gráficos usando o google drive.</t>
  </si>
  <si>
    <t>Avaliação do Curso Básico de Investigação de Surto - Respostas.pdf</t>
  </si>
  <si>
    <t>Limoeiro do Norte</t>
  </si>
  <si>
    <t>SRLES</t>
  </si>
  <si>
    <t>26 a 30</t>
  </si>
  <si>
    <t>Nayanne</t>
  </si>
  <si>
    <t>Profissionais da vigilância epidemiológica dos municípios das Áreas Descentralizadas de Saúde e suas respectivas regiões</t>
  </si>
  <si>
    <t>Matriz de competências elaborada.</t>
  </si>
  <si>
    <t>Pré e Pós teste, estudos de caso em grupo,atividade extra classe pela Plataforma Esp Virtual.</t>
  </si>
  <si>
    <t>---</t>
  </si>
  <si>
    <t>Condições dos ônibus totalmente precárias, sem cinto, cadeiras quebradas e sem banheiro.Referente a realização do curso dificuldade na comunicação com Superintedência e alunos gerando situações de desconforto por parte de quem está a frente da realização do mesmo.</t>
  </si>
  <si>
    <t>Relacionado aos motoriastas que os mesmos sejam orientados que a Esp não tem obrigação em servir alimentação, caso sobre eles podem se alimentar mais não são prioridade, ou rever essa questão e incluí-los no orçamento para que o coordenador não passe por situações de constrangimento quando está apenas executando o seu trabalho.</t>
  </si>
  <si>
    <t>https://drive.google.com/file/d/1AK6JyqGPvL99daO_UbUsut3SQrLoWQMW/view?usp=sharing</t>
  </si>
  <si>
    <t>Turma 2</t>
  </si>
  <si>
    <t>Tauá</t>
  </si>
  <si>
    <t>SRCEN</t>
  </si>
  <si>
    <t>09 a 13</t>
  </si>
  <si>
    <t>Facilitadoras empenhadas e dinâmicas.Alunos dispostos em executar as atividades contribuido para um ambiente de interação e conclusão de toda as atividades propostas na Matriz Curricular, articulador da região de Tauá solícito sempre disposto a nos ajudar na logistica do curso. Local do curso acessivel e com boa internet.</t>
  </si>
  <si>
    <t xml:space="preserve"> Referente ao o hotel onde estávamos não era tão limpo porém deu pra atender as necessidades.</t>
  </si>
  <si>
    <t>Sinalizar para a empresa que fica com a parte de hospedagem procurar hotéis que não fiquem na beira da estrada.</t>
  </si>
  <si>
    <t>https://drive.google.com/file/d/1jXX9vCJwHg6CbPSJ_AbkByTep4XxQV9n/view?usp=sharing</t>
  </si>
  <si>
    <t>15 a 19</t>
  </si>
  <si>
    <t>Profissionais que atuam na assistencia ao paciente de hanseniase</t>
  </si>
  <si>
    <t>Frequência, Pré e pós teste, estudos clínicos e aulas práticas em grupo</t>
  </si>
  <si>
    <t>Disponibilidade do Hospital Dona Libânia, Facilitadoras empenhadas e alunos envolvidos com as ações e atividade propostas.</t>
  </si>
  <si>
    <t>Mobilização do Curso através da SR Sertão Central, sendo necessário ajuda do GT na captação de alunos para o curso, inclusive de municípios de outras SR's. E falta de adesão dos profissionais médicos no curso, sendo de extrema importância para a assistência completa nos municípios</t>
  </si>
  <si>
    <t>Melhora do fluxo de mobilização, Contato com as SR's com relação à Liberação dos profissionais do público-alvo do curso, Sensibilizar os profissionais médicos da importância da participação no curso.</t>
  </si>
  <si>
    <t>AVALIAÇÃO VIG. DA HANS. TURMA 1.pdf</t>
  </si>
  <si>
    <t>22 a 26</t>
  </si>
  <si>
    <t>*</t>
  </si>
  <si>
    <t>Não</t>
  </si>
  <si>
    <t>Mobilização e Liberação dos profissionais da assistência, Somente os profissionais da vigilância conseguiram participar do curso, o que não contempla o público alvo desejado.</t>
  </si>
  <si>
    <t>AVALIAÇÃO VIG. DA HANS. TURMA 2.pdf</t>
  </si>
  <si>
    <t>SR Sertão Central/ SR Litoral Leste/Jaguaribe/ SR Cariri</t>
  </si>
  <si>
    <t>Abertura do Curso de Vigilância Epidemiológica da Covid-19, Influenza e Outros Vírus Respiratórios</t>
  </si>
  <si>
    <t>Profissionais que atuam na vigilância epidemiológica e na APS dos municípios prioritários da região.</t>
  </si>
  <si>
    <t>Pré e pós teste, estudos de caso em grupo, oficina de elaboração de cards epidemiológicos.</t>
  </si>
  <si>
    <t>Objetivo do curso, público-alvo, número de participantes e parcerias.</t>
  </si>
  <si>
    <t>Facilitadoras empenhadas e alunos envolvidos com as ações e atividade propostas.</t>
  </si>
  <si>
    <t>Pouca adesão devido as SR serem distantes e o curso ter sido presencial em Fortaleza; Mudança no fluxo de mobilização.</t>
  </si>
  <si>
    <t>Melhora do fluxo de mobilização</t>
  </si>
  <si>
    <t>AVALIAÇÃO Curso Covid-19 (FORTALEZA).pdf</t>
  </si>
  <si>
    <t>Sobral</t>
  </si>
  <si>
    <t>SR Norte</t>
  </si>
  <si>
    <t>06 a 10</t>
  </si>
  <si>
    <t>Facilitadoras empenhadas e alunos envolvidos com as ações e atividade propostas. SR Norte ajudou na mobilização e logísticas do curso</t>
  </si>
  <si>
    <t>Local sem suporte de internet e material de limpeza básica (ESP Sobral), mudanças no fluxo de mobilização.</t>
  </si>
  <si>
    <t>Melhora do fluxo de mobilização e tentativas de outras parcerias de local para cursos na Região Norte do Estado.</t>
  </si>
  <si>
    <t>AVALIAÇÃO Curso Covid-19 (SOBRAL).pdf</t>
  </si>
  <si>
    <t>SR Sertão Central/ SR Litoral Leste/Jaguaribe/ SR Norte</t>
  </si>
  <si>
    <t>24 a 28</t>
  </si>
  <si>
    <t>Pré e pós teste, estudos de caso em grupo e roteiro de investigação de surto.</t>
  </si>
  <si>
    <t>Facilitadoras dinâmicas e competentes, turma participativa, apoio da equipe da esp (anexo) com aparelhos multimídia, buffet pontual e com boa comida.</t>
  </si>
  <si>
    <t>Na mobilização. Poucos inscitos, principalmente da SRNORTE, mesmo com todo o esforço da coordenação do curso e GT para aumentar o número de inscritos.</t>
  </si>
  <si>
    <t>Talvez fosse necessária a descentralização do curso para atrair mais participantes, em especial na região Norte.</t>
  </si>
  <si>
    <t>Avaliação Curso Teórico Prático de Vigilância das Meningites e Doenças Exantemáticas</t>
  </si>
  <si>
    <t>SR Norte / SR Fortaleza</t>
  </si>
  <si>
    <t>03 a 11</t>
  </si>
  <si>
    <t xml:space="preserve">Estudos de caso em grupo, Prática em Laboratório de Informática, </t>
  </si>
  <si>
    <t>Facilitadores participativos, dinâmicos e empenhados em mobilizar e fazer o curso acontecer. Alunos extramamente participativos e comprometidos com o curso. Almoço com maior qualidade, comparado ao ano anterior.</t>
  </si>
  <si>
    <t>Pouca quantidade de alunos inscritos devido ao novo fluxo de mobilização, pouco tempo para moblizar após inclusão do GT neste processo. Material gráfico chegou atrasado, precisando ser organizado horas antes do curso iniciar.</t>
  </si>
  <si>
    <t>Reunião com todos os envolvidos nos curso para apresentação do novo fluxo de mobilização e possibilidade do GT ajudar nesta mobilização juntamente com as SR's</t>
  </si>
  <si>
    <t>AVALIAÇÃO VIG. do ÓBITO 2024.pdf</t>
  </si>
  <si>
    <t>Juazeiro do Norte</t>
  </si>
  <si>
    <t>SR Sul/Cariri</t>
  </si>
  <si>
    <t>08 a 12</t>
  </si>
  <si>
    <t>Profissionais que atuam na vigilância epidemiológica das COADS e na APS dos municípios prioritários da região.</t>
  </si>
  <si>
    <t>Estudo de caso, Prática em Laboratório de Informática, Oficina para criação de Cards Epidemiológicos,Fórum: Discutir os desafios para a notificação e vigilância das Causas Externas (Violências e Acidentes).</t>
  </si>
  <si>
    <t>Mudanças de fluxo mobilização e formulário de inscrições dos alunos acontecerem durante a estruturação do curso,sem aviso prévio aos demandantes e Superintendências  apesar de serem importantes e necessárias para um melhor desempenho da instituição.</t>
  </si>
  <si>
    <t xml:space="preserve"> Teria sido interessante que as Superintedências e todos os setores envolvidos como Covep e Cevep entre outros tivessem recebido alguma documentação oficial sobre estas mudanças e principalmente as Superintendências até porque agora a mobilização depende delas.</t>
  </si>
  <si>
    <t>https://drive.google.com/file/d/1U62PjIfirWTcKFfmZrZqDEu8H_er7Xkh/view?usp=drive_link</t>
  </si>
  <si>
    <t>Curso Básico para Registrador de Câncer (RHC)</t>
  </si>
  <si>
    <t>Superintendências Regionais de Saúde: Fortaleza, Cariri e Norte</t>
  </si>
  <si>
    <t>14 a 18</t>
  </si>
  <si>
    <t>Profissionais que atuam nos RHC do estado do Ceará</t>
  </si>
  <si>
    <t xml:space="preserve">Matriz de curricular revisada. </t>
  </si>
  <si>
    <t>Estudo de caso, Prática em Laboratório de Informática, jogos interativos, pré e pos teste.</t>
  </si>
  <si>
    <t>Facilitadoras empenhadas e alunos envolvidos com as ações e atividades propostas.</t>
  </si>
  <si>
    <t>O Curso foi realizado no anexo que fica ao lado da Escola de saúde , seria interessante ver uma estratégia para conter o cheiro desagradável de xixi , pois o almoço muitas vezes é servido no corredor em frente ao laboratório de informática.</t>
  </si>
  <si>
    <t>INSTRUMENTO DE AVALIAÇÃO (1).pdf</t>
  </si>
  <si>
    <t>SR Cariri</t>
  </si>
  <si>
    <t>20 a 24</t>
  </si>
  <si>
    <t>-</t>
  </si>
  <si>
    <t>Profissionais que atuam nas unidades de saúde e nas vigilâncias municipais da SR.</t>
  </si>
  <si>
    <t>Frequência, Estudos de casos, práticas em laboratório de informática, pré e pós-teste.</t>
  </si>
  <si>
    <t>Facilitadoras dinâmicas e participativas. Turma engajada. Estrutura excelente da instituição (UNILEÃO) e ótimo buffet. Todas as estratégias metodológicas foram executadas sem dificuldades. GT ativo e resolutivo.</t>
  </si>
  <si>
    <t>Novo fluxo de mobilização. Dificuldade de liberação dos profissionais para a participação no curso, pelos municípios. Evasão de inscritos.</t>
  </si>
  <si>
    <t xml:space="preserve">O curso atendeu as necessidades propostas. </t>
  </si>
  <si>
    <t>Avaliação do curso - TURMA CARIRI.pdf</t>
  </si>
  <si>
    <t>Quixadá</t>
  </si>
  <si>
    <t>29 a 02</t>
  </si>
  <si>
    <t>Frequência, Estudos de casos, práticas em laboratório de informática e apresentação de atividades.</t>
  </si>
  <si>
    <t>Facilitadoras dinâmicas e participativas. Turma colaborativa. Estrutura excelente da instituição (UNICATÓLICA) e ótimo buffet. Todas as estratégias metodológicas foram executadas sem dificuldades. GT ativo e resolutivo. Apoio da SRCEN durante o curso.</t>
  </si>
  <si>
    <t>Demora nas isncrições, mesmo tendo sido abertas dois meses antes da data do curso. Evasão de inscritos.</t>
  </si>
  <si>
    <t>O curso atendeu as necessidades propostas.</t>
  </si>
  <si>
    <t>Avaliação - Sertão Central - Curso Básico de Vigilância de IST_HIV_AIDS, Sífilis e Hepatites Virais.pdf</t>
  </si>
  <si>
    <t>ADS (Baturité, Maracanaú, Baturité, Itapipoca, Quixadá, Camocim e Tianguá) LACEN Juazeiro do Norte e LACEN Crato [5]</t>
  </si>
  <si>
    <t>Erilaine</t>
  </si>
  <si>
    <t>Bruna</t>
  </si>
  <si>
    <t>Farmacêutico Bioquímico</t>
  </si>
  <si>
    <t>Prática em laboratório e realização de prova no último dia de curso, com nota mínima de 8,0 para aprovação no curso.</t>
  </si>
  <si>
    <t>Profissionais da Faculdade Rodolfo Teófilo muito resolutivos e laboratório bem equipado. Professores e alunos colaborativos.</t>
  </si>
  <si>
    <t>Evasão de inscritos devido à distância entre os municípios. Alimentação chegou atrasada em um dos dias de curso.</t>
  </si>
  <si>
    <t>INSTRUMENTO DE AVALIAÇÃO - Curso de Diagnóstico Laboratorial da Esquistossomose Mansoni e Geo Helmintos.pdf</t>
  </si>
  <si>
    <t>Crato</t>
  </si>
  <si>
    <t xml:space="preserve">SR Cariri (municípios prioritários) </t>
  </si>
  <si>
    <t>21 a 25</t>
  </si>
  <si>
    <t xml:space="preserve">Coordenadores e supervisores de endemias ou profissionais de saúde que atuem na vigilância de endemias </t>
  </si>
  <si>
    <t xml:space="preserve">Matriz de competência elaborada. </t>
  </si>
  <si>
    <t>Atividades práticas em sala de aula e extra-sala, apresentação de atividades, frequência e avaliação do curso</t>
  </si>
  <si>
    <t>Ótima estrutura física da UFCA, apoio da COADS Crato na logísta do painel de borrifação. Apoio do GT na mobilização. Turma participativa. Facilitadores dinâmicos e excelente condução da Fabianne na supervisão das atividades.</t>
  </si>
  <si>
    <t>Buffet deixou a desejar na pontualiadade, porém a comida foi satisfatória. Pousada com informação errada sobre início de check-in, gerando transtorno aos facilitadores na chegada ao Crato. Demora do repasse do valor do jantar por parte da empresa fornecedora a equipe. Foi realizado apenas no último dia de curso e não foi o valor correto.</t>
  </si>
  <si>
    <t xml:space="preserve">O curso atendeu as necessidades propostas. Apenas o atendimento da empresa fornecedora que deixou a desejar. </t>
  </si>
  <si>
    <t>Avaliação turma Crato - Curso Básico de Controle Químico Residual para os Vetores de Doença de Chagas e Leishmaniose.pdf</t>
  </si>
  <si>
    <t xml:space="preserve">SR Norte (municípios prioritários) </t>
  </si>
  <si>
    <t>25 a 29</t>
  </si>
  <si>
    <t>Curso de Identificação de Triatomíneos e Parasitologia da doença de Chagas</t>
  </si>
  <si>
    <t>Ótima estrutura física do UNINTA. Apoio do GT e regional de Sobral na mobilização. Turma participativa. Facilitadores dinâmicos e excelente condução da Bruna na supervisão das atividades. Facilidade para logísta da atividade de borrifação.</t>
  </si>
  <si>
    <t xml:space="preserve">Mobilização das inscrições. </t>
  </si>
  <si>
    <t>Avaliação Sobral - Curso Básico de Controle Químico Residual para os Vetores de Doença de Chagas e Leishmaniose.pdf</t>
  </si>
  <si>
    <t>Todas as SR, ADS e municípios</t>
  </si>
  <si>
    <t>EaD (máximo 20% presencial)</t>
  </si>
  <si>
    <t>05, 06, 12, 13, 19, 20</t>
  </si>
  <si>
    <t>Profissionais de nível superior da Vigilância em Saúde e Atenção Primária a Saúde</t>
  </si>
  <si>
    <t>Pré e pós teste. Estudos de caso.</t>
  </si>
  <si>
    <t>Construção da matriz. Entrega dos materiais a serem utilizados no curso em tempo hábil. Turma muito participativa.</t>
  </si>
  <si>
    <t>Mobilização das inscrições. Contrato de alimentação com cumprimento incorreto.</t>
  </si>
  <si>
    <t>Curso de Vigilância e Controle da Doença de Chagas.pdf</t>
  </si>
  <si>
    <t>SR For</t>
  </si>
  <si>
    <t>13 a 17</t>
  </si>
  <si>
    <t xml:space="preserve">Bruna </t>
  </si>
  <si>
    <t>Médico veterinário</t>
  </si>
  <si>
    <t>Pré e pós teste.</t>
  </si>
  <si>
    <t>Turma muito participativa. Material impresso bem elaborado.</t>
  </si>
  <si>
    <t>INSTRUMENTO DE AVALIAÇÃO - Curso de Vigilância e Controle da Raiva.pdf</t>
  </si>
  <si>
    <t>Russas / Aracati/Limoeiro do Norte</t>
  </si>
  <si>
    <t>07 e 08</t>
  </si>
  <si>
    <t>Médicos, enfermeiros e farmacêuticos</t>
  </si>
  <si>
    <t xml:space="preserve">Matriz de Competências elaborada. </t>
  </si>
  <si>
    <t>Mobilização das inscrições devido ao período eleitoral. Conexão de internet na região.</t>
  </si>
  <si>
    <t>Capacitação Animais Peçonhentos.pdf</t>
  </si>
  <si>
    <t>Supervisor e Coordenador</t>
  </si>
  <si>
    <t>Matriz de Competências elaborada.</t>
  </si>
  <si>
    <t>Mobilização das inscrições. Turma participativa.</t>
  </si>
  <si>
    <t>Conseguir uma sala de aula adequada na região.</t>
  </si>
  <si>
    <t>Curso de Supervisão das Atividades de Controle das Arboviroses.pdf</t>
  </si>
  <si>
    <t>08,09,21,22 e 23</t>
  </si>
  <si>
    <t>Francilete</t>
  </si>
  <si>
    <t>Anair</t>
  </si>
  <si>
    <t>Profissionais da  Atenção Primária em Saúde e Controle Social</t>
  </si>
  <si>
    <t xml:space="preserve">Foi realizada uma Avaliação Formativa (processual e contínua) que se deu em função do nível de envolvimento e participação dos alunos nas atividades didáticas propostas, produção intelectual e verbalização, nos diversos momentos vivenciados (individual e/ou grupal) visando ao fortalecimento do aprendizado. 
Visando garantir  um processo de melhoria constante da qualidade foi realizada, ao final do curso, uma Avaliação de Satisfação  que aborde o desenvolvimento das atividades, o alcance dos objetivos do curso, da atuação dos facilitadores, da carga horária, do material didático, da metodologia adotada, das potencialidades e dos pontos a melhorar, e da infraestrutura (instrumento) por meio de formulário em Google forms.                               Vale ressaltar que tambem foi realizada uma Avaliação Certificativa que é o planejamento e  desenvolvimento de uma ação de saude do trabalhador no municipio, de acordo com os eixos tematicos descritos no Manual do Aluno. Apos houve um momento para apresentação e discussão em plenária. 
</t>
  </si>
  <si>
    <t xml:space="preserve">•        Disponibilidade e empenho da equipe de saúde do trabalhador que procurou agilizar e garantir que todos os processos acontecessem nos prazos;
•        Apoio da equipe GEDUC na execução do curso 
•        As capacitações realizadas na ESP favorecem o desenvolvimento de cursos com maior qualidade e que atendam as premissas educacionais
•        Equipe da CEVIT (demandante) demonstrou -se muito receptiva e colaborativa na execução dos cursos
</t>
  </si>
  <si>
    <t>Difícil mobilização dos municípios que alegavam excesso de cursos no mesmo periodo dificultando a liberação dos profissionais. 
• Pouca agilidade no fluxo de assinaturas e envio de ofícios o que interfere no cumprimento dos prazos 
• Fluxo atual de mobilização mostrou-se pouco efetivo, interferindo no cumprimento de metas 
• Grande dificuldade de selecionar os professores adequados do edital 02/2024, gerando muita reclamação e insatisfação dos demandantes. 
       • Desistência de professor no último momento o que impossibilitou a substituição. Neste caso foi necessário desmarcar as aulas e adiar para que ocorresse junto com a turma 2 causando muitas reclamações de alunos e professores.
    • Espaço inadequado para os dias iniciais do curso que não comportava todos os alunos confortavelmente. 
    • Espaço que não possuía acessibilidade completa para o deslocamento de pessoas com deficiência física em uso de cadeira de rodas gerando reclamação do aluno PCD.</t>
  </si>
  <si>
    <t xml:space="preserve">• Desenvolver um plano de ação para o atendimento as necessidades de alunos com deficiência( ex: interprete de Libras, banheiro acessivel, etc)
    • Elaborar um formulario de Avaliação por parte do demandante para uma busca de melhoria contínua.
    • Desenvolver um processo para emissão de certificados online viabilizando o acesso dos alunos descentralizados. 
    • Apresentar mensalmente o cronograma dos cursos nas reuniões do COSEMS, reforçando a importância dos gestores garantirem as condições necessárias para a capacitação dos profissionais de saúde.
• Rever o fluxo de mobilização pois a equipe fica sem saber se a mesma está sendo efetiva ou não.
• Incluir no orçamento dos cursos os gastos com transporte para o caso de visitas técnicas. 
• Reunião das coordenações dos cursos com a equipe de apoiadores do RESE, NUREPS E NUMEPS
• Fortalecer a parceria com a ASCOM para a divulgação em mídias sociais antes e durante os cursos, além de retomar a divulgação das boas práticas dos municípios relacionados aos cursos. Isto favorece o reconhecimento da atuação da ESP e possibilitar novas parcerias. 
• Incluir a equipe ou representante que executa o curso no processo de elaboração dos editais visando garantir a qualidade técnica e pedagógica dos cursos segundo as premissas educacionais do PPP da ESP. 
• Manter as capacitações pois melhoram o entendimento do papel da coordenação e das ações necessárias para o alcance dos objetivos. 
• Incluir uma capacitação sobre métodos de avaliação dos cursos que possam comprovar os resultados obtidos. 
• Apresentação dos resultados dos cursos para toda a ESP visando fortalecer a interação intersetorial
• Desenvolvimento de DASHBOARD que possa viabilizar o monitoramento dos cursos para a garantir do alcance dos objetivos. e Ter sempre um Apoio a coordenação do projeto para garantir o correto monitoramento dos processos. 
    • Rever processo de pagamento de professores de maneira que se possa prever ações em caso de desistências ou impossibilidade nas vésperas da aula que viabilizem o pagamento de professores substitutos.
    • Incluir um formulário de check list quando houver necessidade de aluguel de espaço externo para evitar reclamações. Incluir neste check list também os aspectos necessários para garantir o deslocamento de pessoas com mobilidade reduzida. 
</t>
  </si>
  <si>
    <t>https://forms.gle/iUXP4TXDwiA5YTwZ9</t>
  </si>
  <si>
    <t>10,11,12,18 e 19</t>
  </si>
  <si>
    <t>• Difícil mobilização dos municípios que alegavam dificuldades de locomoção e hospedagem pois não estavam mais disponibilizando transportes e diarias para os profissionais. Alguns municipios que eram prioritários não enviaram profissionais para serem capacitados. 
• Pouca agilidade no fluxo de assinaturas e envio de ofícios o que interfere no cumprimento dos prazos
• Fluxo atual de mobilização mostrou-se pouco efetivo, interferindo no cumprimento de metas
• Grande dificuldade de selecionar os professores adequados do edital 02/2024, gerando muita reclamação e insatisfação dos demandantes. 
•</t>
  </si>
  <si>
    <t>"• Desenvolver um plano de ação para o atendimento as necessidades de alunos com deficiência( ex: interprete de Libras, banheiro acessivel, etc)
    • Elaborar um formulario de Avaliação por parte do demandante para uma busca de melhoria contínua.
    • Desenvolver um processo para emissão de certificados online viabilizando o acesso dos alunos descentralizados. 
    • Apresentar mensalmente o cronograma dos cursos nas reuniões do COSEMS, reforçando a importância dos gestores garantirem as condições necessárias para a capacitação dos profissionais de saúde.
• Rever o fluxo de mobilização pois a equipe fica sem saber se a mesma está sendo efetiva ou não.
• Incluir no orçamento dos cursos os gastos com transporte para o caso de visitas técnicas. 
• Reunião das coordenações dos cursos com a equipe de apoiadores do RESE, NUREPS E NUMEPS
• Fortalecer a parceria com a ASCOM para a divulgação em mídias sociais antes e durante os cursos, além de retomar a divulgação das boas práticas dos municípios relacionados aos cursos. Isto favorece o reconhecimento da atuação da ESP e possibilitar novas parcerias. 
• Incluir a equipe ou representante que executa o curso no processo de elaboração dos editais visando garantir a qualidade técnica e pedagógica dos cursos segundo as premissas educacionais do PPP da ESP. 
• Manter as capacitações pois melhoram o entendimento do papel da coordenação e das ações necessárias para o alcance dos objetivos. 
• Incluir uma capacitação sobre métodos de avaliação dos cursos que possam comprovar os resultados obtidos. 
• Apresentação dos resultados dos cursos para toda a ESP visando fortalecer a interação intersetorial
• Desenvolvimento de DASHBOARD que possa viabilizar o monitoramento dos cursos para a garantir do alcance dos objetivos. e Ter sempre um Apoio a coordenação do projeto para garantir o correto monitoramento dos processos. 
    • Rever processo de pagamento de professores de maneira que se possa prever ações em caso de desistências ou impossibilidade nas vésperas da aula que viabilizem o pagamento de professores substitutos.
    • Incluir um formulário de check list quando houver necessidade de aluguel de espaço externo para evitar reclamações. Incluir neste check list também os aspectos necessários para garantir o deslocamento de pessoas com mobilidade reduzida. 
"</t>
  </si>
  <si>
    <t>https://forms.gle/jaFgdZq2srV12h7u5</t>
  </si>
  <si>
    <t>Curso de Atualização em Vigilância em Saúde Ambiental</t>
  </si>
  <si>
    <t>Técnicos das vigilâncias municipais em saúde ambiental</t>
  </si>
  <si>
    <t xml:space="preserve">Foi realizada uma Avaliação Formativa (processual e contínua) que se deu em função do nível de envolvimento e participação dos alunos nas atividades didáticas propostas, produção intelectual e verbalização, nos diversos momentos vivenciados (individual e/ou grupal) visando ao fortalecimento do aprendizado. 
Visando garantir  um processo de melhoria constante da qualidade foi realizada, ao final do curso, uma Avaliação de Satisfação  que aborde o desenvolvimento das atividades, o alcance dos objetivos do curso, da atuação dos facilitadores, da carga horária, do material didático, da metodologia adotada, das potencialidades e dos pontos a melhorar, e da infraestrutura (instrumento) por meio de formulário em Google forms.                               Vale ressaltar que tambem foi realizada uma Avaliação Certificativa que é a elaboração de um Plano de ação com base na Matriz 5W2H com as ações e estratégias que serão implementadas no municipio/região do aluno.
</t>
  </si>
  <si>
    <t>•        Disponibilidade e empenho da equipe de saúde do trabalhador que procurou agilizar e garantir que todos os processos acontecessem nos prazos;
•        Apoio da equipe GEDUC na execução do curso
•       As capacitações realizadas na ESP favorecem o desenvolvimento de cursos com maior qualidade e que atendam as premissas educacionais</t>
  </si>
  <si>
    <t xml:space="preserve">• Grande dificuldade para viabilizar um transporte para a realização de uma visita técnica, programada no curso.
• Difícil mobilização dos municípios que alegavam dificuldades de locomoção e hospedagem pois não estavam mais disponibilizando transportes e diarias para os profissionais. Alguns municipios que eram prioritários não enviaram profissionais para serem capacitados. 
• Pouca agilidade no fluxo de assinaturas e envio de ofícios o que interfere no cumprimento dos prazos
• Fluxo atual de mobilização mostrou-se pouco efetivo, interferindo no cumprimento de metas
• Grande dificuldade de selecionar os professores adequados do edital 02/2024, gerando muita reclamação e insatisfação dos demandantes. 
• Equipamentos disponibilizados pela ESP não atenderam as necessidades durante o momento virtual. Além disso, uma das professoras não conseguiu realizar a aula programada. 
• Grande numero de docentes e consequente desenvolvimento de processos para uma bolsista monitorar e realizar demais ações para a execução de vários cursos ao mesmo tempo. 
</t>
  </si>
  <si>
    <t xml:space="preserve">Rever os equipamentos de multimídia e internet disponíveis para garantir estabilidade, celeridade e eficiência em caso de aulas /momentos remotos. 
Discutir com o demandante as sugestões dos alunos de novas capacitações e a devolutiva do curso. 
Reorganizar o cronograma do curso para evitar o acúmulo de professores no mesmo turno ,  dificultando a manutenção dos horários. 
• Desenvolver um processo para emissão de certificados online viabilizando o acesso dos alunos descentralizados. 
• Apresentar mensalmente o cronograma dos cursos nas reuniões do COSEMS, reforçando a importância dos gestores garantirem as condições necessárias para a capacitação dos profissionais de saúde.
 • Rever o fluxo de mobilização pois a equipe fica sem saber se a mesma está sendo efetiva ou não.
 • Incluir no orçamento dos cursos os gastos com transporte para o caso de visitas técnicas.
 • Reunião das coordenações dos cursos com a equipe de apoiadores do RESE, NUREPS E NUMEPS 
• Fortalecer a parceria com a ASCOM para a divulgação em mídias sociais antes e durante os cursos, além de retomar a divulgação das boas práticas dos municípios relacionados aos cursos. Isto favorece o reconhecimento da atuação da ESP e possibilitar novas parcerias. </t>
  </si>
  <si>
    <t>https://docs.google.com/forms/d/1VwP2MQsG8EThbq12iqUe8YKgMINDlOSA9NnkuoYkWzo/edit</t>
  </si>
  <si>
    <t>01 a 04, 12</t>
  </si>
  <si>
    <t>Curso de Vigilância de Populações Expostas a mineração de urânio e fosfato no Ceará</t>
  </si>
  <si>
    <t>Profissionais de saúde da atenção primária, incluindo médicos, enfermeiros, técnicos de saúde, agentes comunitários de saúde e gestores de saúde pública em municípios com processos produtivos que envolvem urânio. Vigilância sanitária (alimentos), VIST, VA, Vigiágua, Vigisolo, Vigiar, Vigiquim, Vigilância epidemiológica - “câncer”, Conselhos Estadual e Municipais de Saúde, cievs</t>
  </si>
  <si>
    <t xml:space="preserve">Foi realizada uma Avaliação Formativa (processual e contínua) que se deu em função do nível de envolvimento e participação dos alunos nas atividades didáticas propostas, produção intelectual e verbalização, nos diversos momentos vivenciados (individual e/ou grupal) visando ao fortalecimento do aprendizado. 
Visando garantir  um processo de melhoria constante da qualidade foi realizada, ao final do curso, uma Avaliação de Satisfação  que aborde o desenvolvimento das atividades, o alcance dos objetivos do curso, da atuação dos facilitadores, da carga horária, do material didático, da metodologia adotada, das potencialidades e dos pontos a melhorar, e da infraestrutura (instrumento) por meio de formulário em Google forms.   
</t>
  </si>
  <si>
    <t xml:space="preserve">•        Equipe da Dra Raquel Rigotto com grande dificuldade de compreender o papel da UFC e as premissas educacionais da ESP/CE, bem como o objetivo do curso.
•        Raros momentos de Reunião com todos os envolvidos ao mesmo tempo , facilitando a compreensão exata do proposto
•        Difícil mobilização dos municípios que alegavam dificuldades de locomoção e hospedagem, principalmente daqueles da região do Sertão Central pois o curso ocorreu em Sobral
•        Pactuação com o local do curso que envolva a disponibilidade de água potável e internet (muitos alunos reclamaram). Sugestão: incluir no orçamento , os custos com material de limpeza, descartáveis e agua potável. 
•        Pouca agilidade no fluxo de assinaturas e envio de ofícios o que interfere no cumprimento dos prazos
•        Fluxo atual de mobilização mostrou-se pouco efetivo, interferindo no cumprimento de metas
•        Grande dificuldade de selecionar os professores adequados do edital 02/2024, gerando muita reclamação e insatisfação dos demandantes 
</t>
  </si>
  <si>
    <t xml:space="preserve">Discutir com o demandante as sugestões dos alunos de novas capacitações e a devolutiva do curso. 
• Desenvolver um processo para emissão de certificados online viabilizando o acesso dos alunos descentralizados. 
• Apresentar mensalmente o cronograma dos cursos nas reuniões do COSEMS, reforçando a importância dos gestores garantirem as condições necessárias para a capacitação dos profissionais de saúde.
• Rever o fluxo de mobilização pois a equipe fica sem saber se a mesma está sendo efetiva ou não.
• Reunião das coordenações dos cursos com a equipe de apoiadores do RESE, NUREPS E NUMEPS 
• Fortalecer a parceria com a ASCOM para a divulgação em mídias sociais antes e durante os cursos, além de retomar a divulgação das boas práticas dos municípios relacionados aos cursos. Isto favorece o reconhecimento da atuação da ESP e possibilitar novas parcerias. 
    • incluir no orçamento , os custos com material de limpeza, descartáveis e água potável. </t>
  </si>
  <si>
    <t>https://docs.google.com/forms/d/1FVJ3rEtEg0ZUWtWKsyVt4jyfLnbFrFNgqpXgt8SaUHo/edit</t>
  </si>
  <si>
    <t>SR Sertão Central</t>
  </si>
  <si>
    <t>12 a 16</t>
  </si>
  <si>
    <t>Profissionais dos três níveis de atenção à saúde e da vigilância</t>
  </si>
  <si>
    <t>"Foi realizada uma Avaliação Formativa (processual e contínua) que se deu em função do nível de envolvimento e participação dos alunos nas atividades didáticas propostas, produção intelectual e verbalização, nos diversos momentos vivenciados (individual e/ou grupal) visando ao fortalecimento do aprendizado. 
Além disso, foi aplicada uma Avaliação Certificativa que foi uma Atividade Prática a qual solicitava ao aluno a busca de uma DART no seu território mediante um processo de investigação (com fechamento de nexo epidemiológico) visando uma consequente notificação real no SINAN. Após a prática, os resultados foram apresentados em plenária para discussão. 
E ainda, visando garantir um processo de melhoria constante da qualidade foi realizada, ao final do curso, uma Avaliação de Satisfação que aborde o desenvolvimento das atividades, o alcance dos objetivos do curso, da atuação dos facilitadores, da carga horária, do material didático, da metodologia adotada, das potencialidades e dos pontos a melhorar, e da infraestrutura (instrumento) por meio de formulário em Google forms."</t>
  </si>
  <si>
    <t>•        Disponibilidade e empenho da equipe de saúde do trabalhador que procurou agilizar e garantir que todos os processos acontecessem nos prazos;
•        Apoio da equipe GEDUC na execução do curso
•        Apoio da gerência nas situações mais complicadas;
•        As capacitações realizadas na ESP favorecem o desenvolvimento de cursos com maior qualidade e que atendam as premissas educacionais
•        Equipe da CEVIT (demandante) demonstrou -se muito receptiva e colaborativa na execução dos cursos"</t>
  </si>
  <si>
    <t>"•    Difícil mobilização dos municípios que alegavam que não haviam recursos para transporte dos profisssionais do municipio. 
•        Pouca agilidade no fluxo de assinaturas e envio de ofícios o que interfere no cumprimento dos prazos
•        Fluxo atual de mobilização mostrou-se pouco efetivo, interferindo no cumprimento de metas
•        Finalização dos processos de passagens e hospedagem foi muito tardia gerando stress entre os professores que só foram comunicados 2h antes de viajarem</t>
  </si>
  <si>
    <t xml:space="preserve">    • Elaborar um formulario de Avaliação por parte do demandante para uma busca de melhoria contínua.
    • Desenvolver um processo para emissão de certificados online viabilizando o acesso dos alunos descentralizados. 
    • Apresentar mensalmente o cronograma dos cursos nas reuniões do COSEMS, reforçando a importância dos gestores garantirem as condições necessárias para a capacitação dos profissionais de saúde.
• Rever o fluxo de mobilização pois a equipe fica sem saber se a mesma está sendo efetiva ou não.
• Reunião das coordenações dos cursos com a equipe de apoiadores do RESE, NUREPS E NUMEPS
• Fortalecer a parceria com a ASCOM para a divulgação em mídias sociais antes e durante os cursos, além de retomar a divulgação das boas práticas dos municípios relacionados aos cursos. Isto favorece o reconhecimento da atuação da ESP e possibilitar novas parcerias. 
• Incluir a equipe ou representante que executa o curso no processo de elaboração dos editais visando garantir a qualidade técnica e pedagógica dos cursos segundo as premissas educacionais do PPP da ESP. 
• Manter as capacitações pois melhoram o entendimento do papel da coordenação e das ações necessárias para o alcance dos objetivos. 
• Incluir uma capacitação sobre métodos de avaliação dos cursos que possam comprovar os resultados obtidos. 
• Apresentação dos resultados dos cursos para toda a ESP visando fortalecer a interação intersetorial
• Desenvolvimento de DASHBOARD que possa viabilizar o monitoramento dos cursos para a garantir do alcance dos objetivos. e Ter sempre um Apoio a coordenação do projeto para garantir o correto monitoramento dos processos. 
    • Rever processo de pagamento de professores de maneira que se possa prever ações em caso de desistências ou impossibilidade nas vésperas da aula que viabilizem o pagamento de professores substitutos.
    • Incluir um formulário de check list quando houver necessidade de aluguel de espaço externo para evitar reclamações. Incluir neste check list também os aspectos necessários para garantir o deslocamento de pessoas com mobilidade reduzida. 
"</t>
  </si>
  <si>
    <t>https://docs.google.com/forms/d/1FVJ3rEtEg0ZUWtWKsyVt4jyfLnbFrFNgqpXgt8SaUHo/viewanalytics</t>
  </si>
  <si>
    <t>10 a 14</t>
  </si>
  <si>
    <t>Foi realizada uma Avaliação Formativa (processual e contínua) que se deu em função do nível de envolvimento e participação dos alunos nas atividades didáticas propostas, produção intelectual e verbalização, nos diversos momentos vivenciados (individual e/ou grupal) visando ao fortalecimento do aprendizado. 
Além disso, foi aplicada uma Avaliação Certificativa que foi uma Atividade Prática a qual solicitava ao aluno a busca de uma DART no seu território mediante um processo de investigação (com fechamento de nexo epidemiológico) visando uma consequente notificação real no SINAN. Após a prática, os resultados foram apresentados em plenária para discussão. 
E ainda, visando garantir um processo de melhoria constante da qualidade foi realizada, ao final do curso, uma Avaliação de Satisfação que aborde o desenvolvimento das atividades, o alcance dos objetivos do curso, da atuação dos facilitadores, da carga horária, do material didático, da metodologia adotada, das potencialidades e dos pontos a melhorar, e da infraestrutura (instrumento) por meio de formulário em Google forms.</t>
  </si>
  <si>
    <t>•        Disponibilidade e empenho da equipe de saúde do trabalhador que procurou agilizar e garantir que todos os processos acontecessem nos prazos;
•        Apoio da equipe GEDUC na execução do curso
•        Apoio da gerência nas situações mais complicadas;
•        As capacitações realizadas na ESP favorecem o desenvolvimento de cursos com maior qualidade e que atendam as premissas educacionais
•        Equipe da CEVIT (demandante) demonstrou -se muito receptiva e colaborativa na execução dos cursos</t>
  </si>
  <si>
    <t>•    Difícil mobilização dos municípios que alegavam excesso de cursos e outras demandas da região advindas da SESA. 
•        •        Pouca agilidade no fluxo de assinaturas e envio de ofícios o que interfere no cumprimento dos prazos
•        Fluxo atual de mobilização mostrou-se pouco efetivo, interferindo no cumprimento de metas
•        Algumas COADS informaram que não repassariam os cursos pois havia outras demandas mais importantes, impossibilitando a mobilização dos municípios abrangentes de acordo com o fluxo atual.</t>
  </si>
  <si>
    <t>"    • Elaborar um formulario de Avaliação por parte do demandante para uma busca de melhoria contínua.
    • Desenvolver um processo para emissão de certificados online viabilizando o acesso dos alunos descentralizados. 
    • Apresentar mensalmente o cronograma dos cursos nas reuniões do COSEMS, reforçando a importância dos gestores garantirem as condições necessárias para a capacitação dos profissionais de saúde.
• Rever o fluxo de mobilização pois a equipe fica sem saber se a mesma está sendo efetiva ou não.
• Reunião das coordenações dos cursos com a equipe de apoiadores do RESE, NUREPS E NUMEPS
• Fortalecer a parceria com a ASCOM para a divulgação em mídias sociais antes e durante os cursos, além de retomar a divulgação das boas práticas dos municípios relacionados aos cursos. Isto favorece o reconhecimento da atuação da ESP e possibilitar novas parcerias. 
• Incluir a equipe ou representante que executa o curso no processo de elaboração dos editais visando garantir a qualidade técnica e pedagógica dos cursos segundo as premissas educacionais do PPP da ESP. 
• Manter as capacitações pois melhoram o entendimento do papel da coordenação e das ações necessárias para o alcance dos objetivos. 
• Incluir uma capacitação sobre métodos de avaliação dos cursos que possam comprovar os resultados obtidos. 
• Apresentação dos resultados dos cursos para toda a ESP visando fortalecer a interação intersetorial
• Desenvolvimento de DASHBOARD que possa viabilizar o monitoramento dos cursos para a garantir do alcance dos objetivos. e Ter sempre um Apoio a coordenação do projeto para garantir o correto monitoramento dos processos. 
    • Rever processo de pagamento de professores de maneira que se possa prever ações em caso de desistências ou impossibilidade nas vésperas da aula que viabilizem o pagamento de professores substitutos.
    • Incluir um formulário de check list quando houver necessidade de aluguel de espaço externo para evitar reclamações. Incluir neste check list também os aspectos necessários para garantir o deslocamento de pessoas com mobilidade reduzida. 
"""</t>
  </si>
  <si>
    <r>
      <rPr>
        <color rgb="FF1155CC"/>
        <u/>
      </rPr>
      <t>https://forms.gle/Exj44tTgupYkvZiK7</t>
    </r>
    <r>
      <rPr>
        <color rgb="FF000000"/>
      </rPr>
      <t xml:space="preserve"> https://docs.google.com/forms/d/1Q4PA2N0ygKUamXPYatpwd9TfkazrZysUgvrTsg6ihhU/viewanalytics</t>
    </r>
  </si>
  <si>
    <t>SR Cariri, SR Litoral Leste/Jaguaribe, SR Sertão Central</t>
  </si>
  <si>
    <t>Junho e Julho</t>
  </si>
  <si>
    <t>17/06 a 21/06 e 22/07 - 26/07</t>
  </si>
  <si>
    <t>Profissionais da Vigilância Sanitária que atuam em atividades de fiscalização no município.</t>
  </si>
  <si>
    <t>Frequência nas aulas; Resolução de casos clínicos; Participação e interação nas aulas</t>
  </si>
  <si>
    <t xml:space="preserve">Apoio da gerência na resolução do problema com a alimentação.
</t>
  </si>
  <si>
    <t>Dificuldade na liberação dos profissionais e disponibilizar recursos necessários (passagem e hospedagem), pelos municípios. Evasão de inscritos no segundo módulo. No primeiro dia o buffet esqueceu o coffee break.</t>
  </si>
  <si>
    <t>AVALIAÇÃO CURSO.pdf</t>
  </si>
  <si>
    <t>SR Norte, SR Fortaleza</t>
  </si>
  <si>
    <t>Agosto e Setembro</t>
  </si>
  <si>
    <t>19/08 a 23/08 e 23/09 a 27/09</t>
  </si>
  <si>
    <t>Apoio da gerência na resolução do problema com a alimentação.
Apoio da equipe ESP.
Profissionais da Faculdade Rodolfo Teófilo muito resolutivos.
Professores e alunos colaborativos.</t>
  </si>
  <si>
    <t>No primeiro não tivemos o Coffee break devido a problemas de comunicação com o buffet.</t>
  </si>
  <si>
    <t>AVALIAÇÃO DO CURSO VISA - Formulários Google.pdf</t>
  </si>
  <si>
    <t>Turma 7</t>
  </si>
  <si>
    <t>SR Fortaleza, SR Certão Cental, SR Litoral Leste, SR Norte, SR Cariri</t>
  </si>
  <si>
    <t>Maio e Junho</t>
  </si>
  <si>
    <t>21 e 22/05 e 11/06</t>
  </si>
  <si>
    <t>Curso sobre Financiamento do Processo de Doação e Transplante</t>
  </si>
  <si>
    <t>Samylla</t>
  </si>
  <si>
    <t xml:space="preserve">   Profissionais com atuação na CETRA, OPO, CIHDOTT, faturamento dos estabelecimentos de saúde e auditoria no SUS.</t>
  </si>
  <si>
    <t xml:space="preserve">- Aula expositiva e dialogada 
- Apresentação de trabalhos em grupo
- Estudo de caso e discussão
</t>
  </si>
  <si>
    <t>-Objetivo do curso, público-alvo, número de participantes e parcerias.</t>
  </si>
  <si>
    <t>Corpo Docente qualificado
Curso permitiu ativa do aluno, com discussões, momentos para dúvidas e relatos de vivências 
Vinculação das turmas no sagu por meio do sistema acadêmico tornou o processo de certificação mais ági</t>
  </si>
  <si>
    <t xml:space="preserve">Evasão de vagas devido a jornadas de trabalho, indisponibilidade de carga horária e problemas pessoais foram alguns dos relatos dos inscritos.
Serviço de alimentação com atrasos, causando impacto na programação do curso
Os alunos muito frequentemente encontram dificuldades em se inscrever via sistema acadêmico, pois tem emails que não chegam as solicitação de verificação de email, causando transtorno ao aluno para efetivar a inscrição via sistema acadêmico. 
A falta de autonomia do responsável pelo curso para editar, abrir e fechar os links de inscrição no sistema acadêmico configura um problema significativo, uma vez que mudanças frequentes de datas, local e, consequentemente, de períodos de inscrição são inevitáveis. A centralização desse processo resulta, de modo geral, em atrasos e retrabalho, visto que o responsável pelo curso precisa constantemente abrir chamados para a equipe de TI realizar essas alterações, muitas vezes em caráter de urgência.
A primeira turma do ano foi realizada ainda com a matriz antiga, pois a atualização da matriz só foi possível após a primeira turma.
Alterações de data de realização do curso pode ter influenciado na evasão de alunos, tendo em vista que por conta de imprevistos logísticos precisamos remarcar as datas da segunda turma realizada.
</t>
  </si>
  <si>
    <t xml:space="preserve">O material que é disponibilizado no curso poderia ser entregue previamente a equipe da ESP/CE para fazer solicitação de gráfica, deste modo o aluno recebe o material encadernado e organizado de acordo com a definição do facilitador
Troca ou melhora na qualidade do buffet;
Para otimizar o processo e evitar os atrasos e retrabalhos relacionados às inscrições, sugiro que seja concedida autonomia ao responsável pelo curso para editar, abrir e fechar os links de inscrição diretamente no sistema acadêmico. Para isso, pode-se implementar um acesso restrito, mas suficiente, permitindo que o responsável realize essas alterações sem a necessidade de intervenção constante da equipe de TI. Além disso, criar um procedimento claro e padronizado para o gerenciamento das alterações, garantindo que o responsável pelo curso tenha as orientações necessárias para lidar com modificações de forma eficiente e tempestiva. Caso ocorram situações excepcionais, a equipe de TI poderia continuar a prestar suporte, mas apenas em casos de necessidade técnica mais complexa. Esse processo não só reduziria a burocracia e os tempos de resposta, como também aumentaria a agilidade e a autonomia do processo de inscrição.
A verificação de email é um constante desafio no momento da inscrição sugiro que a equipe de TI modifique este passo para que chegue o email de forma efetiva para todos os que tentam se inscrever ou então remova esta etapa.
Reuniões de  atualização/revisão de matriz serem feitas o mais brevemente possível, para ter tempo hábil de iniciar os cursos com todas as matrizes atuais 
</t>
  </si>
  <si>
    <t>AVALIAÇÃO FINANCIAMENTO 11.06.pdf</t>
  </si>
  <si>
    <t>Turma 8</t>
  </si>
  <si>
    <t>10, 11 e 18/10/2024</t>
  </si>
  <si>
    <t>- Aula expositiva e dialogada 
- Apresentação de trabalhos em grupo
- Estudo de caso e discussão</t>
  </si>
  <si>
    <t xml:space="preserve">O material que é disponibilizado no curso poderia ser entregue previamente a equipe da ESP/CE para fazer solicitação de gráfica, deste modo o aluno recebe o material encadernado e organizado de acordo com a definição do facilitador
Troca ou melhora na qualidade do buffet;
Para otimizar o processo e evitar os atrasos e retrabalhos relacionados às inscrições, sugiro que seja concedida autonomia ao responsável pelo curso para editar, abrir e fechar os links de inscrição diretamente no sistema acadêmico. Para isso, pode-se implementar um acesso restrito, mas suficiente, permitindo que o responsável realize essas alterações sem a necessidade de intervenção constante da equipe de TI. Além disso, criar um procedimento claro e padronizado para o gerenciamento das alterações, garantindo que o responsável pelo curso tenha as orientações necessárias para lidar com modificações de forma eficiente e tempestiva. Caso ocorram situações excepcionais, a equipe de TI poderia continuar a prestar suporte, mas apenas em casos de necessidade técnica mais complexa. Esse processo não só reduziria a burocracia e os tempos de resposta, como também aumentaria a agilidade e a autonomia do processo de inscrição.
A verificação de email é um constante desafio no momento da inscrição sugiro que a equipe de TI modifique este passo para que chegue o email de forma efetiva para todos os que tentam se inscrever ou então remova esta etapa.
</t>
  </si>
  <si>
    <t>AVALIAÇÃO FINANCIAMENTO 01.11.pdf</t>
  </si>
  <si>
    <t>Turma 18</t>
  </si>
  <si>
    <t>Médicos</t>
  </si>
  <si>
    <t>Frequência nas aulas
 Resolução de casos clínicos nas estações praticas
Participação e interação nas aulas
Leitura do material complementar</t>
  </si>
  <si>
    <t>Facilitadores participativos, alunos muito envolvidos com a dinamica executada durante o curso. Esse ano o Curso foi Realizado nos auditorios da ESP facilitando a organização de salas e demais aspectos relacionados ao curso. Material para a aula pratica disponibilizado pelo Centro de Simulações</t>
  </si>
  <si>
    <t xml:space="preserve">O serviço e lanche apesar de termos pedido quantidade suficiente foi preciso servir antecipadamente em pratinhos porque a quantidade de alimentação disponivel não era suficiente para servir 40 pessoas. Com a demora da construção da matriz do curso por conta da agenda dos demandantes acarretou que a turma finalizou o curso com a grade de 2023 </t>
  </si>
  <si>
    <t>Reunião com o fornecedor da alimentação reafirmando a importância de se cumprir os horários estabelecidos ou a troca do serviço de alimentação; A verificação de email é um constante desafio no momento da inscrição sugiro que a equipe de TI modifique este passo para que chegue o email de forma efetiva para todos os que tentam se inscrever ou então remova esta etapa.</t>
  </si>
  <si>
    <t>INSTRUMENTO DE AVALIAÇÃO m.e t 18.pdf</t>
  </si>
  <si>
    <r>
      <rPr>
        <rFont val="Arial"/>
        <color rgb="FF000000"/>
      </rPr>
      <t>Matriz de competências elaborada.</t>
    </r>
  </si>
  <si>
    <t>Frequência nas aulas Resolução de casos clínicos nas estações praticas Participação e interação nas aulas Leitura do material complementar</t>
  </si>
  <si>
    <r>
      <rPr>
        <rFont val="Arial"/>
        <color rgb="FF000000"/>
        <sz val="11.0"/>
      </rPr>
      <t>Facilitadores participativos, alunos muito envolvidos com a dinamica executada durante o curso. Esse ano o Curso foi Realizado nos auditorios da ESP facilitando a organização de salas e demais aspectos relacionados ao curso. Material para a aula pratica disponibilizado pelo Centro de Simulações</t>
    </r>
  </si>
  <si>
    <t>Serviço de alimentação com atrasos, causando impacto na programação do curso; Os alunos muito frequentemente encontram dificuldades em se inscrever via sistema acadêmico, pois tem emails que não chegam as solicitação de verificação de email, causando transtorno ao aluno para efetivar a inscrição via sistema acadêmico.</t>
  </si>
  <si>
    <t>AVALIAÇÃO MORTE ENCEFÁLICA 28.06.pdf</t>
  </si>
  <si>
    <r>
      <rPr>
        <rFont val="Arial"/>
        <color rgb="FF000000"/>
      </rPr>
      <t>Matriz de competências elaborada.</t>
    </r>
  </si>
  <si>
    <r>
      <rPr>
        <rFont val="Arial"/>
        <color rgb="FF000000"/>
        <sz val="11.0"/>
      </rPr>
      <t>Facilitadores participativos, alunos muito envolvidos com a dinamica executada durante o curso. Esse ano o Curso foi Realizado nos auditorios da ESP facilitando a organização de salas e demais aspectos relacionados ao curso. Material para a aula pratica disponibilizado pelo Centro de Simulações</t>
    </r>
  </si>
  <si>
    <t>AVALIAÇÃO MORTE ENCEFÁLICA 13.09.pdf</t>
  </si>
  <si>
    <t>25 a 29/09/2024</t>
  </si>
  <si>
    <t>Enfermeiros que já atuam na área de transplante</t>
  </si>
  <si>
    <r>
      <rPr>
        <rFont val="Arial"/>
        <color rgb="FF000000"/>
      </rPr>
      <t>Matriz de competências elaborada.</t>
    </r>
  </si>
  <si>
    <t>Exposição dialogada e interativa; Exibição de vídeo e discussão; Dinâmicas e vivências; Roda de conversa; trabalho em grupo; trabalho individual</t>
  </si>
  <si>
    <t xml:space="preserve">Corpo Docente qualificado
Curso permitiu participação ativa do participante, com discussões, momentos para dúvidas, relatos de vivências, atividades práticas
Vinculação das turmas no sagu por meio do sistema acadêmico tornou o processo de certificação mais ágil
</t>
  </si>
  <si>
    <t xml:space="preserve">A comunicação com a equipe responsável pela realização do curso, em alguns momentos, deixou a desejar, o que pode ter gerado algumas dificuldades para um alinhamento mais eficaz e fluido.
Alterações de horários e datas de realização das aulas durante o próprio curso foi um desafio, pois existia previamente toda uma estrutura planejada para a execução das aulas, desde serviço de alimentação, planejamento de deslocamento da bolsista e mais etapas que envolvem a realização de um curso presencial. 
O curso foi realizado durante a semana, nos períodos da tarde e noite, além de incluir atividades no final de semana. Isso dificultou a articulação para que a bolsista pudesse acompanhar, pois sua carga horária ocorre pela manhã e à tarde, de segunda a sexta-feira, não incluindo turnos noturnos ou finais de semana. No entanto, apesar desses desafios, a bolsista acompanhou as atividades relacionadas ao curso visando a contribuir de forma eficaz às atividades propostas.
Embora a ESP tenha fornecido o app de táxi para facilitar a locomoção da bolsista, houve dificuldades em alguns horários de solicitação, quando não havia motoristas disponíveis para aceitar a corrida. Isso ocorreu, por exemplo, no sábado de realização do curso, quando a bolsista não conseguiu transporte nem para ir nem para voltar do local do curso,  a mesma precisou pagar transporte particular para se deslocar.
</t>
  </si>
  <si>
    <t>Reavaliar e se necessário atualizar a matriz curricular. Verificando se existe a viabilidade de conseguir executar o curso de 40 horas de forma presencial ou se seria mais viável diminuir a carga horária ou fazer uma parte da carga horária online; Realizar o curso durante a semana e em turnos Manhã e tarde; Para cursos realizados fora da ESP, mas dentro de Fortaleza, onde a bolsista precisa se locomover, incluindo o transporte de caixa com materiais do próprio curso, seria importante avaliar a possibilidade de oferecer uma suplementação para cobrir os gastos com transporte, garantindo maior apoio à bolsista já que o serviço de taxi deixa a desejar.</t>
  </si>
  <si>
    <t>AVALIAÇÃO PERFUSÃO 28.09.pdf</t>
  </si>
  <si>
    <r>
      <rPr>
        <rFont val="Arial"/>
        <color rgb="FF000000"/>
      </rPr>
      <t>Matriz de competências elaborada.</t>
    </r>
  </si>
  <si>
    <t>SR Fortaleza - Hospital Saõ Carlos</t>
  </si>
  <si>
    <t>Membros de OPOs/CIHDOTTs</t>
  </si>
  <si>
    <r>
      <rPr>
        <rFont val="Arial"/>
        <color rgb="FF000000"/>
      </rPr>
      <t>Matriz de competências elaborada.</t>
    </r>
  </si>
  <si>
    <t xml:space="preserve">Exposição dialogada e interativa; Exibição de vídeo e discussão; Dinâmicas e vivências; Roda de conversa; trabalho em grupo; trabalho individual
</t>
  </si>
  <si>
    <t xml:space="preserve">A realização do curso no próprio ambiente de trabalho, em algumas situações, compromete a participação plena dos alunos, que permanecem disponíveis para as demandas profissionais imprevistas. Frequentemente, isso resulta em ausências, o que acaba por comprometer a conclusão do curso.
O transporte para o curso apresenta dificuldades, pois, como as atividades começam às 8h, os motoristas da ESP só podem levar ao local a partir desse horário e a bolsista responsável precisa já estar no local do curso antes das 8 h. Da mesma forma, o retorno ocorre após o término do curso às 17h, coincidindo com o encerramento do turno dos motoristas. Em razão disso, é necessário recorrer ao transporte alternativo (Uber) para o deslocamento do bolsista até o local do curso, incluindo o transporte de caixa com o  material do curso, o que em 99% das vezes inviabiliza a opção de transporte de ônibus. 
Cancelamento de 6 turmas o que causa impacto na entrega de profissionais capacitados que foram previamente planejados para o projeto de 2024
</t>
  </si>
  <si>
    <t xml:space="preserve">Ajuste no Horário de Transporte: Sugere-se antecipar o horário de saída do transporte institucional (motoristas da ESP) para cursos dentro de Fortaleza, quando houver incompatibilidade entre o horário de chegada do bolsista ao local do curso e o horário do transporte. Além disso, é necessário avaliar a possibilidade de oferecer auxílio financeiro para o transporte do bolsista, considerando que ele precisa transportar caixas com materiais essenciais para as atividades do curso.
Solicitar liberação dos alunos aos hospitais para que os mesmos possam estar integralmente no curso, proporcionando a oportunidade de concluírem com efetividade o mesmo
Planejamento de turmas baseado na capacidade prática da equipe de demandantes e facilitadores, a fim de garantir a viabilidade das atividades e evitar o cancelamento dos cursos.
</t>
  </si>
  <si>
    <t>avaliação reestruturação t1 2024.pdf</t>
  </si>
  <si>
    <t>SR Fortaleza - HGF</t>
  </si>
  <si>
    <t>https://calendar.google.com/calendar/u/1/r/month/2024/6/18</t>
  </si>
  <si>
    <t>Ajuste no Horário de Transporte: Sugere-se antecipar o horário de saída do transporte institucional (motoristas da ESP) para cursos dentro de Fortaleza, quando houver incompatibilidade entre o horário de chegada do bolsista ao local do curso e o horário do transporte. Além disso, é necessário avaliar a possibilidade de oferecer auxílio financeiro para o transporte do bolsista, considerando que ele precisa transportar caixas com materiais essenciais para as atividades do curso.
Solicitar liberação dos alunos aos hospitais para que os mesmos possam estar integralmente no curso, proporcionando a oportunidade de concluírem com efetividade o mesmo
Planejamento de turmas baseado na capacidade prática da equipe de demandantes e facilitadores, a fim de garantir a viabilidade das atividades e evitar o cancelamento dos cursos.</t>
  </si>
  <si>
    <t>AVALIAÇÃO REEST HGF.pdf</t>
  </si>
  <si>
    <t>Turma 3</t>
  </si>
  <si>
    <t>SR Fortaleza - IJF</t>
  </si>
  <si>
    <t xml:space="preserve">A realização do curso no próprio ambiente de trabalho, em algumas situações, compromete a participação plena dos alunos, que permanecem disponíveis para as demandas profissionais imprevistas. Frequentemente, isso resulta em ausências, o que acaba por comprometer a conclusão do curso.
O transporte para o curso apresenta dificuldades, pois, como as atividades começam às 8h, os motoristas da ESP só podem levar ao local a partir desse horário e a bolsista responsável precisa já estar no local do curso antes das 8 h. Da mesma forma, o retorno ocorre após o término do curso às 17h, coincidindo com o encerramento do turno dos motoristas. Em razão disso, é necessário recorrer ao transporte alternativo (Uber) para o deslocamento do bolsista até o local do curso, incluindo o transporte de caixa com o  material do curso, o que em 99% das vezes inviabiliza a opção de transporte de ônibus. 
Cancelamento de 6 turmas o que causa impacto na entrega de profissionais capacitados que foram previamente planejados para o projeto de 2024
</t>
  </si>
  <si>
    <t>AVALIAÇÃO CURSO DE REESTRUTURAÇÃO IJF.pdf</t>
  </si>
  <si>
    <t>Turma 4</t>
  </si>
  <si>
    <t>SR Fortaleza - HIAS</t>
  </si>
  <si>
    <t>AVALIAÇÃO CURSO DE REESTRUTURAÇÃO HIAS.pdf</t>
  </si>
  <si>
    <t>Turma 5</t>
  </si>
  <si>
    <t>SR norte- Hospital Santa Casa de Sobral</t>
  </si>
  <si>
    <t>outubro</t>
  </si>
  <si>
    <t>A realização do curso no próprio ambiente de trabalho, em algumas situações, compromete a participação plena dos alunos, que permanecem disponíveis para as demandas profissionais imprevistas. Frequentemente, isso resulta em ausências, o que acaba por comprometer a conclusão do curso.
O transporte para o curso apresenta dificuldades, pois, como as atividades começam às 8h, os motoristas da ESP só podem levar ao local a partir desse horário e a bolsista responsável precisa já estar no local do curso antes das 8 h. Da mesma forma, o retorno ocorre após o término do curso às 17h, coincidindo com o encerramento do turno dos motoristas. Em razão disso, é necessário recorrer ao transporte alternativo (Uber) para o deslocamento do bolsista até o local do curso, incluindo o transporte de caixa com o  material do curso, o que em 99% das vezes inviabiliza a opção de transporte de ônibus. 
Cancelamento de 6 turmas o que causa impacto na entrega de profissionais capacitados que foram previamente planejados para o projeto de 2024</t>
  </si>
  <si>
    <t>AVALIAÇÃO CURSO DE REESTRUTURAÇÃO - SOBRAL.pdf</t>
  </si>
  <si>
    <t>Turma 6</t>
  </si>
  <si>
    <t>SR Fortaleza - Unimed Sul</t>
  </si>
  <si>
    <t>SR Cariri - Hospital Regional do Cariri</t>
  </si>
  <si>
    <t>A definir</t>
  </si>
  <si>
    <t>Turma 9</t>
  </si>
  <si>
    <t>SR Litoral Leste</t>
  </si>
  <si>
    <t>A confirmar</t>
  </si>
  <si>
    <t>Turma 10</t>
  </si>
  <si>
    <t>Turma 11</t>
  </si>
  <si>
    <t>Turma 12</t>
  </si>
  <si>
    <t>Turma 13</t>
  </si>
  <si>
    <t>Turma 14</t>
  </si>
  <si>
    <t>Profissionais da CETRA, OPO e CIHDOTT</t>
  </si>
  <si>
    <r>
      <rPr>
        <rFont val="Arial"/>
        <color rgb="FF000000"/>
      </rPr>
      <t>Matriz de competências elaborada.</t>
    </r>
  </si>
  <si>
    <t>Exposição dialogada e interativa; estudo dirigido</t>
  </si>
  <si>
    <t xml:space="preserve">Corpo Docente qualificado
Curso permitiu ativa do aluno, com discussões, momentos para dúvidas e relatos de vivências 
Vinculação das turmas no sagu por meio do sistema acadêmico tornou o processo de mais ágil
</t>
  </si>
  <si>
    <t xml:space="preserve">A atividade de dispersão/extraclasse, com carga horária de 2 horas, representou um desafio, pois enfrentamos dificuldades para que fosse realizada e entregue pelos participantes
Serviço de alimentação com atrasos, causando impacto na programação do curso
Os alunos muito frequentemente encontram dificuldades em se inscrever via sistema acadêmico, pois tem emails que não chegam as solicitação de verificação de email, causando transtorno ao aluno para efetivar a inscrição via sistema acadêmico. 
A falta de autonomia do responsável pelo curso para editar, abrir e fechar os links de inscrição no sistema acadêmico configura um problema significativo, uma vez que mudanças frequentes de datas, local e, consequentemente, de períodos de inscrição são inevitáveis. A centralização desse processo resulta, de modo geral, em atrasos e retrabalho, visto que o responsável pelo curso precisa constantemente abrir chamados para a equipe de TI realizar essas alterações, muitas vezes em caráter de urgência.
</t>
  </si>
  <si>
    <t xml:space="preserve">Reunião com o fornecedor da alimentação reafirmando a importância de se cumprir os horários estabelecidos ou a troca do serviço de alimentação.
Para otimizar o processo e evitar os atrasos e retrabalhos relacionados à gestão de inscrições, sugiro que seja concedida autonomia ao responsável pelo curso e sua equipe para editar, abrir e fechar os links de inscrição diretamente no sistema acadêmico. Para isso, pode-se implementar um acesso restrito, mas suficiente, permitindo que o responsável realize essas alterações sem a necessidade de intervenção constante da equipe de TI. Além disso, é possível criar um procedimento claro e padronizado para o gerenciamento das alterações, garantindo que quem tiver acesso tenha as orientações necessárias para lidar com modificações de forma eficiente e tempestiva. Caso ocorram situações excepcionais, a equipe de TI poderia continuar a prestar suporte, mas apenas em casos de necessidade técnica mais complexa. Esse processo não só reduziria a burocracia e os tempos de resposta, como também aumentaria a agilidade e a autonomia do processo de inscrição.
A verificação de email é um constante desafio no momento da inscrição sugiro que a equipe de TI modifique este passo para que chegue o email de forma efetiva para todos os que tentam se inscrever ou então remova esta etapa.
Recomenda-se a revisão da matriz curricular para avaliar a necessidade de manutenção da atividade extraclasse/dispersão. Caso se decida por sua permanência, é essencial estabelecer estratégias que assegurem sua realização e entrega nos prazos estabelecidos. Como alternativa, sugere-se reformular o formato para incluir uma mostra de experiências exitosas, com regras detalhadas previstas em edital para elaboração e apresentação dos trabalhos. Nesse modelo, as apresentações poderiam ocorrer no formato de e-pôster, contando com avaliadores para análise e feedback, com todas as normas de entrega e apresentação claramente definidas no edital.
</t>
  </si>
  <si>
    <t>V ENCIHDOTT 12_11_2024.pdf</t>
  </si>
  <si>
    <t>SR Fortaleza</t>
  </si>
  <si>
    <t>Novembo</t>
  </si>
  <si>
    <t>21/11/0224</t>
  </si>
  <si>
    <t>Membros de OPO/CIHDOTT que                tenham realizado o Curso de        Qualificação do Processo de Doação                e
Transplante.</t>
  </si>
  <si>
    <t>Exposição dialogada e interativa; Estudo Dirigido/Estudo de caso; Exibição de vídeo e discussão; Roda de conversa.</t>
  </si>
  <si>
    <t xml:space="preserve">Corpo Docente qualificado
Curso permitiu participação ativa do aluno, com discussões, momentos para dúvidas e relatos de vivências 
Vinculação das turmas no sagu por meio do sistema acadêmico tornou o processo de certificação mais ágil
</t>
  </si>
  <si>
    <t>Os alunos muito frequentemente encontram dificuldades em se inscrever via sistema acadêmico, pois tem emails que não chegam as solicitação de verificação de email, causando transtorno ao aluno para efetivar a inscrição via sistema acadêmico.  Demora na liberação e disponibilização dos horarios de voo e local de hospedagem</t>
  </si>
  <si>
    <t xml:space="preserve">Para otimizar o processo e evitar os atrasos e retrabalhos relacionados às inscrições, sugiro que seja concedida autonomia ao responsável pelo curso para editar, abrir e fechar os links de inscrição diretamente no sistema acadêmico. Para isso, pode-se implementar um acesso restrito, mas suficiente, permitindo que o responsável realize essas alterações sem a necessidade de intervenção constante da equipe de TI. Além disso, criar um procedimento claro e padronizado para o gerenciamento das alterações, garantindo que o responsável pelo curso tenha as orientações necessárias para lidar com modificações de forma eficiente e tempestiva. Caso ocorram situações excepcionais, a equipe de TI poderia continuar a prestar suporte, mas apenas em casos de necessidade técnica mais complexa. Esse processo não só reduziria a burocracia e os tempos de resposta, como também aumentaria a agilidade e a autonomia do processo de inscrição.
A verificação de email é um constante desafio no momento da inscrição sugiro que a equipe de TI modifique este passo para que chegue o email de forma efetiva para todos os que tentam se inscrever ou então remova esta etapa.
Sugerimos que a organização seja planejada com antecedência suficiente para que a disponibilização de informações sobre hotéis e voos seja feita com tempo hábil.
</t>
  </si>
  <si>
    <t>DEF 21.11.pdf</t>
  </si>
  <si>
    <t>Cariri</t>
  </si>
  <si>
    <t>OUTUBRO</t>
  </si>
  <si>
    <r>
      <rPr>
        <rFont val="Arial"/>
        <color rgb="FF000000"/>
      </rPr>
      <t>Matriz de competências elaborada.</t>
    </r>
  </si>
  <si>
    <t xml:space="preserve">Corpo Docente qualificado
Curso permitiu participação ativa do aluno, com discussões, momentos para dúvidas e relatos de vivências 
Vinculação das turmas no sagu por meio do sistema acadêmico tornou o processo de certificação mais ágil
</t>
  </si>
  <si>
    <t xml:space="preserve">Para otimizar o processo e evitar os atrasos e retrabalhos relacionados às inscrições, sugiro que seja concedida autonomia ao responsável pelo curso para editar, abrir e fechar os links de inscrição diretamente no sistema acadêmico. Para isso, pode-se implementar um acesso restrito, mas suficiente, permitindo que o responsável realize essas alterações sem a necessidade de intervenção constante da equipe de TI. Além disso, criar um procedimento claro e padronizado para o gerenciamento das alterações, garantindo que o responsável pelo curso tenha as orientações necessárias para lidar com modificações de forma eficiente e tempestiva. Caso ocorram situações excepcionais, a equipe de TI poderia continuar a prestar suporte, mas apenas em casos de necessidade técnica mais complexa. Esse processo não só reduziria a burocracia e os tempos de resposta, como também aumentaria a agilidade e a autonomia do processo de inscrição.
A verificação de email é um constante desafio no momento da inscrição sugiro que a equipe de TI modifique este passo para que chegue o email de forma efetiva para todos os que tentam se inscrever ou então remova esta etapa.
</t>
  </si>
  <si>
    <t>Membros de Associações com atuação na promoção e prevenção em saúde e atuação no incentivo a doação de órgãos e/ou tecidos para fins de transplantes, acadêmicos da área da saúde e membros de Ligas.</t>
  </si>
  <si>
    <r>
      <rPr>
        <rFont val="Arial"/>
        <color rgb="FF000000"/>
      </rPr>
      <t>Matriz de competências elaborada.</t>
    </r>
  </si>
  <si>
    <t>Exposição dialogada e interativa; Exibição de vídeo e discussão</t>
  </si>
  <si>
    <t xml:space="preserve">Corpo Docente qualificado
Curso permitiu ativa do aluno, com discussões, momentos para dúvidas e relatos de vivências 
Vinculação das turmas no sagu por meio do sistema acadêmico tornou o processo de mais ágil
</t>
  </si>
  <si>
    <t xml:space="preserve">Serviço de alimentação com atrasos, causando impacto na programação do curso
Os alunos muito frequentemente encontram dificuldades em se inscrever via sistema acadêmico, pois tem emails que não chegam as solicitação de verificação de email, causando transtorno ao aluno para efetivar a inscrição via sistema acadêmico. 
</t>
  </si>
  <si>
    <t xml:space="preserve">Reunião com o fornecedor da alimentação reafirmando a importância de se cumprir os horários estabelecidos ou a troca do serviço de alimentação. A verificação de email é um constante desafio no momento da inscrição sugiro que a equipe de TI modifique este passo para que chegue o email de forma efetiva para todos os que tentam se inscrever ou então remova esta etapa.
</t>
  </si>
  <si>
    <t>AVALIAÇÃO CURSO COORDENADOR EDUCACIONAL.pdf</t>
  </si>
  <si>
    <t>dezembro</t>
  </si>
  <si>
    <t>Matriz de competências em revisão</t>
  </si>
  <si>
    <t>janeiro</t>
  </si>
  <si>
    <t xml:space="preserve">Médicos, enfermeiros, assistentes sociais e psicólogos.
</t>
  </si>
  <si>
    <t>fevereiro</t>
  </si>
  <si>
    <t>março</t>
  </si>
  <si>
    <t>Profissionais da CETRA.</t>
  </si>
  <si>
    <t>Exposição dialogada e interativa e trabalho em grupo</t>
  </si>
  <si>
    <t xml:space="preserve">Corpo Docente qualificado
Curso permitiu participação ativa do aluno, com discussões, momentos para dúvidas e relatos de vivências 
Vinculação das turmas no sagu por meio do sistema acadêmico tornou o processo de certificação mais ágil
O curso aconteceu em um Hotel, o serviço de alimentação foi muito elogiado pela pontualidade e qualidade da alimentação servida. </t>
  </si>
  <si>
    <t xml:space="preserve">Apesar do curso ser voltado somente para os trabalhadores da CETRA não foi atingido a meta de trabalhadores capacitados.
A matriz curricular foi feita muito próximo da data da realização do curso
</t>
  </si>
  <si>
    <t xml:space="preserve">Como sugestão para futuras turmas, recomenda-se que as atualizações da matriz curricular sejam feitas com maior antecedência, permitindo o planejamento adequado das ações relacionadas a professores convidados, gratificação por magistério ou professores visitantes. Também seria útil a elaboração de um manual do aluno e do curso. 
</t>
  </si>
  <si>
    <t>AVALIAÇÃO ATUALIZAÇÃO DA POLÍTICA ESTADUAL DE DOAÇÃO E TRANSPLANTE DO CEARÁ.pdf</t>
  </si>
  <si>
    <t>Curso de Coordenador Hospitalar de Transplantes</t>
  </si>
  <si>
    <t>29 , 30/08 e 06/09/2024</t>
  </si>
  <si>
    <t>Médicos, enfermeiros, assistentes sociais e psicólogos dos estabelecimentos hospitalares sem ou com CIHDOTTs recém-criadas.</t>
  </si>
  <si>
    <r>
      <rPr>
        <rFont val="Arial"/>
        <color rgb="FF000000"/>
      </rPr>
      <t>Matriz de competências elaborada.</t>
    </r>
  </si>
  <si>
    <t>Aula expositiva dialogada; videos; trabalho em grupo</t>
  </si>
  <si>
    <t xml:space="preserve">Serviço de alimentação com atrasos, causando impacto na programação do curso
Os alunos muito frequentemente encontram dificuldades em se inscrever via sistema acadêmico, pois tem emails que não chegam as solicitação de verificação de email, causando transtorno ao aluno para efetivar a inscrição via sistema acadêmico. 
A falta de autonomia do responsável pelo curso para editar, abrir e fechar os links de inscrição no sistema acadêmico configura um problema significativo, uma vez que mudanças frequentes de datas, local e, consequentemente, de períodos de inscrição são inevitáveis. A centralização desse processo resulta, de modo geral, em atrasos e retrabalho, visto que o responsável pelo curso precisa constantemente abrir chamados para a equipe de TI realizar essas alterações, muitas vezes em caráter de urgência.
</t>
  </si>
  <si>
    <t xml:space="preserve">Reunião com o fornecedor da alimentação reafirmando a importância de se cumprir os horários estabelecidos ou a troca do serviço de alimentação.
Para otimizar o processo e evitar os atrasos e retrabalhos relacionados à gestão de inscrições, sugiro que seja concedida autonomia ao responsável pelo curso e sua equipe para editar, abrir e fechar os links de inscrição diretamente no sistema acadêmico. Para isso, pode-se implementar um acesso restrito, mas suficiente, permitindo que o responsável realize essas alterações sem a necessidade de intervenção constante da equipe de TI. Além disso, é possível criar um procedimento claro e padronizado para o gerenciamento das alterações, garantindo que quem tiver acesso tenha as orientações necessárias para lidar com modificações de forma eficiente e tempestiva. Caso ocorram situações excepcionais, a equipe de TI poderia continuar a prestar suporte, mas apenas em casos de necessidade técnica mais complexa. Esse processo não só reduziria a burocracia e os tempos de resposta, como também aumentaria a agilidade e a autonomia do processo de inscrição.
A verificação de email é um constante desafio no momento da inscrição sugiro que a equipe de TI modifique este passo para que chegue o email de forma efetiva para todos os que tentam se inscrever ou então remova esta etapa.
</t>
  </si>
  <si>
    <t>AVALIAÇÃO DO CURSO DE COORDENADOR HOSPITALAR DE TRANSPLANTES.pdf</t>
  </si>
  <si>
    <t>Ana Paula</t>
  </si>
  <si>
    <t>Duda/Edglesy</t>
  </si>
  <si>
    <t>Apoiadores regionais e NUREPS</t>
  </si>
  <si>
    <t>outubro/dezembro</t>
  </si>
  <si>
    <t>Turma Unificado (6 subsdivisões)</t>
  </si>
  <si>
    <t>Agosto-Novembro</t>
  </si>
  <si>
    <t>Previsão de inicio: Agosto. Previsão de término: Novembro.</t>
  </si>
  <si>
    <t>18 a 20</t>
  </si>
  <si>
    <t>SRFOR TURMA - ADS CAUCAIA</t>
  </si>
  <si>
    <t>Caucaia</t>
  </si>
  <si>
    <t>11,18 e 25</t>
  </si>
  <si>
    <t>Emílio</t>
  </si>
  <si>
    <t>Naara/Eveline</t>
  </si>
  <si>
    <t>Fátima/Beth</t>
  </si>
  <si>
    <t xml:space="preserve">Gestores e trabalhadores da Rede de Atenção Psicossocial - RAPS e profissionais da rede intersetorial cujos processos de trabalho tenham interface relevante com a saúde mental.
</t>
  </si>
  <si>
    <t xml:space="preserve">Matriz de competências revisada/finalizada 
Plataforma virtual da ESP revisada/finalizada 
</t>
  </si>
  <si>
    <t>Foi realizada uma Avaliação Formativa de forma processual e 
contínua, analisando o envolvimento dos cursistas nas 
atividades didáticas, na produção intelectual e verbalização, nos 
momentos vivenciados, individualmente ou em grupo, visando 
fortalecer o aprendizado. Foi conduzida para identificar bons 
resultados e áreas de aprimoramento por meio de intervenções
corretivas. (Não foi atribuído escores aos resultados obtidos). 
A avaliação certificativa avaliou o nível de desempenho dos 
alunos por meio de três atividades de dispersão, levando em 
conta participação, interação, leitura do material complementar 
e frequência de 85% nas aulas presenciais e Ead.</t>
  </si>
  <si>
    <t>VAGAS : Cinquenta vagas (50) para cada municípios que compõem a ADS Caucaia (Apuiarés, Caucaia, General Sampaio, Itapajé, Paracuru, Paraipaba, Pentecoste, São Gonçalo do Amarante, São Luís do Curu e Tejuçuoca).
MODALIDADE: híbrido com 24 horas de aulas presenciais e atividade de dispersão, e 36 horas/aula a serem realizadas via plataforma do Ambiente Virtual de Aprendizagem (AVA).  plataforma ESP Virtual
CARGA HORÁRIA:  60h/aula
DATAS: 11,18 e 25 de setembro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Neste sentido, visando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CAUCAIA.</t>
  </si>
  <si>
    <t xml:space="preserve">*As vagas do curso semi-presencial foram pactuadas pelas regiões com a devida liberação dos profissionais e apoio da COPOM e ESP/CE;
*Temática do curso e dinâmica do ensino contribui para o aprendizado dos profissionais;
*A metodologia demonstrou vantagens, como avanço na regionalização e interiorização e o exemplos de replicação dos materiais em seus territórios;
*Ofertas de vagas e a distribuição nas Redes, para quatro das cinco Regiões de Saúde com interiorização e descentralização das ações de educação permanente;
* A prioridade das capacitações em desenvolver conhecimento, habilidades e atitudes nos participantes, necessárias para a realização de ações efetivas e de qualidade para acolhimento de pessoas com condições prioritárias em saúde mental;
*Entrega representativa de trabalhador capacitado no projeto PERFORSM que demonstra um diferencial para o estado do Ceará;
*Disponibilidade e empenho da equipe de que procurou agilizar e garantir que todos os processos aconteçam nos prazos;
</t>
  </si>
  <si>
    <t>*A falta de um planejamento pedagógico eficaz afetaram negativamente o progresso esperado do curso;
*Entraves dos gestores para liberação dos profissionais para os encontros presenciais, mesmo tendo ciência
das pactuações em que foram garantidas as liberações;
*Dificuldade com articulação juntamente com as ADS´s com a logística e o quantitativo de turmas muito aquém
da meta.
*Ausência de autonomia para modificar as informações nos links de inscrição devido às alterações nos cursos;
*Mudança de fluxos dos processos sem aviso ou orientação prévia (Ex: mudança nos prazos para abertura de
processos após a pactuação dos mesmos), gerando pouca agilidade no fluxo de assinaturas e envio de ofícios
o que interfere no cumprimento dos prazos e ineficiência do mesmo pois a equipe fica sem saber se está sendo
efetivo ou não; 
*A mobilização dos municípios foi complicada devido a outras necessidades regionais provenientes da SESA no
mesmo intervalo de tempo, o que complicou a liberação dos profissionais. Algumas COADS comunicaram que
não disponibilizaram, repassaram os cursos devido a outras necessidades mais urgentes, o que impediu a 
mobilização dos municípios de acordo com o fluxo vigente;
*Período de sufrágio a nível municipal que inviabilizou a presença de muitos alunos;
*Alterações no cronograma foram feitas para o curso Manejo da Autolesão, Prevenção e Posvenção ao Suicídio
(datas e mobilização), impactando e afetando os prazos para a abertura de processos após a pactuação dos
mesmos. Evidenciando que foram no total de cento e três (103) cronogramas; Ademais, mudanças em datas e
locais previamente definidos também influenciaram a desistência dos estudantes, destacando a relevância de
um planejamento inicial sólido;
*Excesso de demandas relativos à abertura de processos para um quantitativo mínimo ou reduzido para
acompanhamento e início dos mesmos.o que resulta em uma enorme demanda no desenvolvimento de processos.
Uma única bolsista e um único profissional financeiro são responsáveis por iniciar e acompanhar esses processos,
além de executar outras tarefas para a execução simultânea de vários outros processos e cursos;
*A instabilidade dos sistemas de assinatura digital e, por vezes, o Suite, juntamente com as restrições que o
sistema impõe aos bolsistas de acessar  para acompanhar e supervisionar os processos. Cria-se uma relação de
confiança entre o bolsista e o responsável financeiro sobre o avanço desses processos. Assim, o responsável por 
esse monitoramento não consegue monitorar de maneira eficiente e segura;
*A coordenação dos cursos, como um todo, foi realizada pela equipe do Projeto de Saúde Mental devido à falta de pessoal suficiente, resultando em indefinições de funções, ou seja, assumindo frequentemente as funções de coordenação;
*Desistência de professores próximo a data do curso, assim comprometendo os processos abertos que foram devidamente cancelados.
*Problemas com o buffet: serviram apenas um tipo de proteína quando deveriam ter servido dois, além da restrição de quantidade da proteína, o que deixou muitos participantes insatisfeitos; além de servirem apenas suco, quando deveriam servir o refrigerante também, pois tudo isso está previsto em contrato.
*Hospedagem pela contratada com locais de péssima qualidade e sem repasse de valores prévios, onde foram cobrados dos professores e bolsistas em loco</t>
  </si>
  <si>
    <t>*Elaborar uma avaliação da performance, habilidades técnicas e pedagógicas para os professores visitantes que facilitaram durante os cursos;
*Reformulação do Papel da Coordenação: Recomenda-se que a coordenação do curso não seja exercida por um professor visitante, mas por um bolsista, servidor ou terceirizado, com carga horária de 40 horas semanais, para assegurar maior comprometimento e continuidade nas atividades.
*Viabilização para emissão de certificados online;
*Acesso aos links de inscrição para que possamos fazer as alterações necessárias em tempo hábil para o atendimento das demandas;
*Fortalecer a parceria com a ASCOM para a divulgação em mídias sociais antes e durante os cursos, além de retomar a divulgação das boas práticas dos municípios relacionados aos cursos. Isto favorece o reconhecimento da atuação da ESP e possibilita novas parcerias;
* Rever o fluxo de mobilização pois a equipe fica sem saber se a mesma está sendo efetiva ou não;
*Reunião das coordenações dos cursos com a equipe de apoiadores do RESE, NUREPS E NUMEPS;
*Reunião com o fornecedor da alimentação reafirmando a importância de se cumprir os horários estabelecidos ou a troca do serviço de alimentação;</t>
  </si>
  <si>
    <t>Avaliação no AVA da ESP Virtual</t>
  </si>
  <si>
    <t>SRFOR TURMA - ADS FORTALEZA</t>
  </si>
  <si>
    <t>05,12 e 19</t>
  </si>
  <si>
    <t xml:space="preserve">Gestores e trabalhadores da Rede de Atenção Psicossocial - RAPS e profissionais da rede intersetorial cujos processos de trabalho tenham interface relevante com a saúde mental.
</t>
  </si>
  <si>
    <t xml:space="preserve">Matriz de competências revisada/finalizada 
Plataforma virtual da ESP revisada/finalizada 
</t>
  </si>
  <si>
    <t>Foi realizada uma Avaliação Formativa de forma processual e contínua, analisando o envolvimento dos cursistas nas atividades didáticas, na produção intelectual e verbalização, nos momentos vivenciados, individualmente ou em grupo, visando fortalecer o aprendizado. Foi conduzida para identificar bons resultados e áreas de aprimoramento por meio de intervenções corretivas. (Não foi atribuído escores aos resultados obtidos).  
A avaliação certificativa avaliou o nível de desempenho dos alunos por meio de três atividades de dispersão, levando em conta participação, interação, leitura do material complementar e frequência  de 85% nas aulas presenciais e Ead.</t>
  </si>
  <si>
    <t>VAGAS : Cinquenta vagas (50) para cada municípios que compõem a ADS Fortaleza ().
MODALIDADE: híbrido com 24 horas de aulas presenciais e atividade de dispersão, e 35 horas/aula a serem realizadas via plataforma do Ambiente Virtual de Aprendizagem (AVA).  plataforma ESP Virtual
CARGA HORÁRIA:  60h/aula
DATAS: 05,12 e 19 de novembro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Neste sentido, visando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Hospital de Saúde Mental e na Rede de Atenção Psicossocial (RAPS) da Área Descentralizada de Saúde (ADS) de
Fortaleza., bem como na Rede de Atenção Psicossocial do Ceará. O curso básico de 60 horas/aula prevê três encontros presenciais na sede da ADS DE FORTALEZA.</t>
  </si>
  <si>
    <t>SRSUL TURMA - ADS BREJO SANTO</t>
  </si>
  <si>
    <t>Brejo Santo</t>
  </si>
  <si>
    <t>Setembro/Outubro</t>
  </si>
  <si>
    <t>25/09
e
09 e 16/10</t>
  </si>
  <si>
    <t xml:space="preserve">
VAGAS : Cinquenta vagas (50) para cada municípios que compõem a ADS BREJO SANTO (Abaiara, Aurora, Barro, Brejo Santo, Jati, Mauriti, Milagres, Penaforte e Porteiras).
MODALIDADE: híbrido com 24 horas de aulas presenciais e atividade de dispersão, e 35 horas/aula a serem realizadas via plataforma do Ambiente Virtual de Aprendizagem (AVA).  plataforma ESP Virtual
CARGA HORÁRIA:  60h/aula
DATAS: 11,18 e 25 de setembro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BREJO SANTO.
</t>
  </si>
  <si>
    <t>SRSUL TURMA - ADS ICÓ</t>
  </si>
  <si>
    <t>Icó</t>
  </si>
  <si>
    <t>16, 23 e 30/10</t>
  </si>
  <si>
    <t xml:space="preserve"> Avaliação Formativa de forma processual e contínua, analisando o envolvimento dos cursistas nas atividades didáticas, na produção intelectual e verbalização, nos momentos vivenciados, individualmente ou em grupo, visando fortalecer o aprendizado. Será conduzida para identificar bons resultados e áreas de aprimoramento por meio de intervenções corretivas. (Não será atribuído escores aos resultados obtidos).  
A avaliação certificativa avaliará o nível de desempenho dos alunos por meio de três atividades de dispersão, levando em conta participação, interação, leitura do material complementar e frequência  de 85% nas aulas presenciais e Ead.</t>
  </si>
  <si>
    <t xml:space="preserve">
VAGAS : Cinquenta vagas (50) para cada municípios que compõem a ADS ICÓ (Baixio, Cedro, Icó, Ipaumirim, Lavras da Mangabeira, Orós, Umari e Várzea Alegre).
MODALIDADE: híbrido com 24 horas de aulas presenciais e atividade de dispersão, e 35 horas/aula a serem realizadas via plataforma do Ambiente Virtual de Aprendizagem (AVA).  plataforma ESP Virtual
CARGA HORÁRIA:  60h/aula
DATAS: 11,18 e 25 de setembro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ICÓ.
</t>
  </si>
  <si>
    <t>SRSUL TURMA - ADS CRATO</t>
  </si>
  <si>
    <t>11, 18 e 25/11</t>
  </si>
  <si>
    <t xml:space="preserve"> Avaliação Formativa de forma processual e contínua, analisando o envolvimento dos cursistas nas atividades didáticas, na produção intelectual e verbalização, nos momentos vivenciados, individualmente ou em grupo, visando fortalecer o aprendizado. Será conduzida para identificar bons resultados e áreas de aprimoramento por meio de intervenções corretivas. (Não será atribuído escores aos resultados obtidos).  
A avaliação certificativa avaliará o nível de desempenho dos alunos por meio de três atividades de dispersão, levando em conta participação, interação, leitura do material complementar e frequência  de 85% nas aulas presenciais e Ead.</t>
  </si>
  <si>
    <t xml:space="preserve">
VAGAS : Cinquenta vagas (50) para cada municípios que compõem a ADS CRATO (Altaneira, Antonina do Norte, Araripe, Assaré, Campos Sales, Crato, Farias Brito, Nova Olinda, Potengi, Salitre, Santana do Cariri eTarrafas)
MODALIDADE: híbrido com 24 horas de aulas presenciais e atividade de dispersão, e 35 horas/aula a serem realizadas via plataforma do Ambiente Virtual de Aprendizagem (AVA).  plataforma ESP Virtual
CARGA HORÁRIA:  60h/aula
DATAS: 11,18 e 25 de novembro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CRATO..
</t>
  </si>
  <si>
    <t>SRSUL TURMA - ADS JUAZEIRO DO NORTE</t>
  </si>
  <si>
    <t>12, 19 e 26/11</t>
  </si>
  <si>
    <t xml:space="preserve">
VAGAS : Cinquenta vagas (50) para cada municípios que compõem a ADS JUAZEIRO DO NORTE (Barbalha, Caririaçu, Granjeiro, Jardim, Juazeiro do Norte e Missão Velha)
MODALIDADE: híbrido com 24 horas de aulas presenciais e atividade de dispersão, e 35 horas/aula a serem realizadas via plataforma do Ambiente Virtual de Aprendizagem (AVA).  plataforma ESP Virtual
CARGA HORÁRIA:  60h/aula
DATAS: 12,19 e 26 de novembro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JUAZEIRO DO NORTE.
</t>
  </si>
  <si>
    <t>SRSUL TURMA - ADS IGUATU</t>
  </si>
  <si>
    <t>Iguatu</t>
  </si>
  <si>
    <t>04,11 e 18/11</t>
  </si>
  <si>
    <t xml:space="preserve">
VAGAS : Cinquenta vagas (50) para cada municípios que compõem a ADS IGUATÚ (Acopiara, CariúS, Catarina, Deputado Irapuan Pinheiro, Iguatu, Jucás, Mombaça, Piquet Carneiro, Quixelô e Saboeiro)
MODALIDADE: híbrido com 24 horas de aulas presenciais e atividade de dispersão, e 35 horas/aula a serem realizadas via plataforma do Ambiente Virtual de Aprendizagem (AVA).  plataforma ESP Virtual
CARGA HORÁRIA:  60h/aula
DATAS: 11,18 e 25 de setembro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IGUATÚ.
</t>
  </si>
  <si>
    <t>SRCEN TURMA - ADS QUIXADÁ</t>
  </si>
  <si>
    <t>08, 15 e 22/10</t>
  </si>
  <si>
    <t xml:space="preserve">
Matriz de competências revisada/finalizada 
Plataforma virtual da ESP revisada/finalizada 
</t>
  </si>
  <si>
    <t xml:space="preserve">
VAGAS : Cinquenta vagas (50) para cada municípios que compõem a ADS QUIXADÁ (Banabuiu, Choró, Ibaretama, Ibicuitinga, Milhã,Pedra Branca, Quixadá, Quixeramobim, Senador Pompeu e Solonópole)
MODALIDADE: híbrido com 24 horas de aulas presenciais e atividade de dispersão, e 35 horas/aula a serem realizadas via plataforma do Ambiente Virtual de Aprendizagem (AVA).  plataforma ESP Virtual
CARGA HORÁRIA:  60h/aula
DATAS: 08,15 e 22 de outubro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QUIXADÁ.
</t>
  </si>
  <si>
    <t>SRCEN TURMA - ADS TAUÁ</t>
  </si>
  <si>
    <t>05, 12 e 19/11</t>
  </si>
  <si>
    <t xml:space="preserve">
VAGAS : Cinquenta vagas (50) para cada municípios que compõem a ADS TAUÁ (Aiuaba, Arneiroz, Parambu eTauá)
MODALIDADE: híbrido com 24 horas de aulas presenciais e atividade de dispersão, e 35 horas/aula a serem realizadas via plataforma do Ambiente Virtual de Aprendizagem (AVA).  plataforma ESP Virtual
CARGA HORÁRIA:  60h/aula
DATAS: 05,12 e 19 de novembro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TAUÁ.
</t>
  </si>
  <si>
    <t>SRNOR TURMA - ADS TIANGUÁ</t>
  </si>
  <si>
    <t>Tianguá</t>
  </si>
  <si>
    <t xml:space="preserve"> Novembro</t>
  </si>
  <si>
    <t>05, 12 e 19</t>
  </si>
  <si>
    <t xml:space="preserve">
VAGAS : Cinquenta vagas (50) para cada municípios que compõem a ADS TIANGUÁ (Carnaubal, Croatá, Guaraciaba do Norte, Ibiapina, São Benedito, Tianguá, Ubajara e Viçosa do Ceará)
MODALIDADE: híbrido com 24 horas de aulas presenciais e atividade de dispersão, e 35 horas/aula a serem realizadas via plataforma do Ambiente Virtual de Aprendizagem (AVA).  plataforma ESP Virtual
CARGA HORÁRIA:  60h/aula
DATAS: 05, 12 e 19 de novembro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TIANGUÁ.
</t>
  </si>
  <si>
    <t>SRNOR TURMA - ADS CRATEÚS</t>
  </si>
  <si>
    <t>Crateús</t>
  </si>
  <si>
    <t>17, 24 e 31</t>
  </si>
  <si>
    <t xml:space="preserve">
VAGAS : Cinquenta vagas (50) para cada municípios que compõem a ADS CRATEÚS (Ararendá, Crateús, Independência,Ipaporanga, Ipueiras, Monsenhor Tabosa, Nova Russas, Novo Oriente, Poranga, Quiterianópolis e Tamboril)
MODALIDADE: híbrido com 24 horas de aulas presenciais e atividade de dispersão, e 35 horas/aula a serem realizadas via plataforma do Ambiente Virtual de Aprendizagem (AVA).  plataforma ESP Virtual
CARGA HORÁRIA:  60h/aula
DATAS: 17, 24 e 31 de outubro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CRATEÚS.
</t>
  </si>
  <si>
    <t>SRNOR TURMA - ADS ACARAÚ</t>
  </si>
  <si>
    <t>Acaraú</t>
  </si>
  <si>
    <t>14, 21 e 28</t>
  </si>
  <si>
    <t xml:space="preserve">
VAGAS : Cinquenta vagas (50) para cada municípios que compõem a ADS ACARAÚ (Acaraú, Bela Cruz, Cruz, Itarema, Jijoca de Jericoacoara, Marco e Morrinhos)
MODALIDADE: híbrido com 24 horas de aulas presenciais e atividade de dispersão, e 35 horas/aula a serem realizadas via plataforma do Ambiente Virtual de Aprendizagem (AVA).  plataforma ESP Virtual
CARGA HORÁRIA:  60h/aula
DATAS: 14, 21 e 28 de novembro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ACARAÚ.
</t>
  </si>
  <si>
    <t>SRNOR TURMA - ADS CAMOCIM</t>
  </si>
  <si>
    <t>Camocim</t>
  </si>
  <si>
    <t xml:space="preserve">
VAGAS : Cinquenta vagas (50) para cada municípios que compõem a ADS CAMOCIM (Barroquinha,Camocim,Chaval,Granja,Martinópole)
MODALIDADE: híbrido com 24 horas de aulas presenciais e atividade de dispersão, e 35 horas/aula a serem realizadas via plataforma do Ambiente Virtual de Aprendizagem (AVA).  plataforma ESP Virtual
CARGA HORÁRIA:  60h/aula
DATAS:  12, 19 e 26 de novembro de 2024
HORÁRIO: 08:00 às 17:00 horas
PRINCIPAIS TEMAS ABORDADOS:
* Contextualização sobre a autolesão e o suicídio; 
* Ciclo de vida, fatores de risco e de proteção, populações específicas, mitos e verdades, medicalização da vida e outras substâncias psicoativas; 
* Mídias eletrônicas e internet; *Manejo da autolesão, prevenção e posvenção ao suicídio: Traçando cuidados.   
DESCRIÇÃO DO CURSO: O curso é uma demanda da Coordenadoria de Políticas de Saúde Mental, Álcool e Drogas (Copom) da Secretaria da Saúde do Estado (SESA) que busca dar resposta aos indicadores de notificações de casos de autolesão, tentativas e casos de suicídio nas cinco Regiões de Saúde do estado, que têm se mantido em patamares preocupantes, mesmo após o fim da pandemia da COVID-19. O curso visa a qualificação profissional das trabalhadoras e trabalhadores da saúde do estado e o incremento na qualidade do serviço, busca fortalecer os atributos da integralidade, regionalização e cuidados colaborativos em saúde mental, composto por práticas pedagógicas e assistenciais, com intuito de reduzir a lacuna existente entre a carência de recursos disponíveis nos três níveis de atenção do Sistema Único de Saúde no Ceará e a prevalência de casos de autolesão, tentativas e casos de suicídio.
O Eixo Pedagógico tem como intuito qualificar os atendimentos em saúde mental pelos profissionais de nível superior que atuam na Atenção Básica, nos Hospitais Gerais e de Saúde Mental, bem como na Rede de Atenção Psicossocial do Ceará. O curso básico de 60 horas/aula prevê três encontros presenciais na sede da ADS DE ACARAÚ.
</t>
  </si>
  <si>
    <t>Turma Única</t>
  </si>
  <si>
    <t>EspVirtual</t>
  </si>
  <si>
    <t>Todas as SR</t>
  </si>
  <si>
    <t>Junho/Novembro</t>
  </si>
  <si>
    <t>Julho/Novembro</t>
  </si>
  <si>
    <t>Eveline/Naara</t>
  </si>
  <si>
    <t>Gestores e profissionais de saúde, com nível superior, que atuam na Atenção Primária à Saúde (APS), nos Centros de Atenção Psicossocial (CAPS) e demais pontos da Rede de Atenção à Saúde (RAS), em todo o estado do Ceará. Destina-se também aos gestores e profissionais da rede intersetorial, protagonizada pelas políticas de Educação, Cultura, Juventude, Assistência Social, Segurança, Direitos Humanos e Justiça.</t>
  </si>
  <si>
    <t xml:space="preserve">Matriz de competências revisada/finalizada 
Plataforma virtual da ESP revisada/finalizada 
</t>
  </si>
  <si>
    <t xml:space="preserve">A avaliação certificativa avaliou o nível de desempenho dos alunos por meio de Fóruns virtuais, acompanhamento do conteúdo levando em conta participação, interação, leitura do material complementar  e frequência de 85%, que foi mensurada por meio do envio das atividades de reflexão e da participação nos fóruns temáticos no ambiente virtual de aprendizagem (AVA).  </t>
  </si>
  <si>
    <t xml:space="preserve">VAGAS:600 vagas distribuidas para as cinco (05) Regiões do Estado do Ceará, e 100 delas para o setor da Segurança Pública do Estado do Ceará;
MODALIDADE: Ead - Básico
CARGA HORÁRIA:  60h/aula
DATAS:  28/06/2024 a 11/12/2024.
HORÁRIO: Livre demanda. (Plataforma Esp Virtual)
PRINCIPAIS TEMAS ABORDADOS: 
* UNIDADE 1: A LACUNA DE CUIDADO EM SAÚDE MENTAL – O PROGRAMA MHGAP DA OPAS/OMS;
* UNIDADE 2: CUIDADOS E PRÁTICAS ESSENCIAIS (ECP);
* UNIDADE 3: TERRITÓRIO, SAÚDE MENTAL E ATENÇÃO PSICOSSOCIAL;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nos Centros de Atenção Psicossocial (CAPS) e demais pontos da Rede de Atenção à Saúde (RAS), em todo o estado do Ceará.
Destina-se também aos gestores e profissionais da rede intersetorial, protagonizada pelas políticas de Educação, Cultura, Juventude, Assistência Social, Segurança, Direitos
Humanos e Justiça.
</t>
  </si>
  <si>
    <t>* Curso na modalidade EaD que viabiliza a abrangência da formação por permitir chegar a todos as regiões de saúde do estado do Ceará, assim alcançando e fortalecendo a rede de trabalhadores e serviços dos municípios dessas regiões;
* Redução de custos e da possibilidade de oferecer acesso livre e gratuito a qualquer profissional de saúde de nível superior do Ceará;
*Fortalecimento na rede de trabalhadores capacitados/atualizados para o SUS;
*Contatos com profissionais de diferentes realidades;
*Estrutura Curricular diferenciada de qualquer outro curso da área com caráter multiprofissional;
* A metodologia demonstrou vantagens, como avanço na regionalização e interiorização,os cursistas relataram, ainda, exemplos de replicação dos materiais em seus territórios;
* Nos resultados alcançados quase 60 % dos aprovados estavam fora da região de Fortaleza;
* Curso com Tutoria, tutores com vasta experiencia na temática;
* Uso de novas ferramentas informatizadas, gratuitas, viabilizadas dentro da plataforma Google e Esp Virtual;
* Apoio constante da equipe do CEAD e da equipe GEDUC nas fases de planejamento e execução dos cursos procurando otimizar os processos e garantir que acorrecem nos prazos;
* Contribuição, participação e apoio das equipe na execução do curso (GEDUC, ADESE, CEAD, NUTIC, GEADM, GEFIM)
*Apoio e suporte dos setores e gerências nas necessidades e situações mais complicadas.</t>
  </si>
  <si>
    <t>*Falta de planejamento e coordenação: A ausência de um planejamento adequado e de uma coordenação eficiente
nos primeiros quatro meses do ano, bem como a transição da coordenação, impactaram o andamento do curso de
maneira negativa, dificultando o progresso esperado.
*Dificuldade na articulação com o GT/SESA: A coordenação e a equipe enfrentaram desafios na articulação com o 
GT/SESA, o que prejudicou o fechamento e a definição de ações importantes. Além disso, todas as propostas de
mudanças no conteúdo pedagógico e na plataforma foram realizadas em um único dia, sem a presença da 
coordenação, o que pode ter comprometido a qualidade e a implementação dessas mudanças.
*Ausência de planejamento pedagógico e articulação com os tutores: Não houve uma articulação prévia adequada
entre a coordenação do curso e os tutores para planejar e avaliar as estratégias educacionais a serem utilizadas,
especialmente em relação ao ambiente virtual. O curso Introdutório Cuidados em Saúde Mental e Atenção 
Psicossocial(SMAPS) foi iniciado sem uma preparação prévia para o uso de recursos educacionais, conforme
descrito no manual dos tutores, que não foi considerado pela coordenação.
*Ausência de Projeto Piloto com tutoria: A falta de um projeto piloto estruturado com turmas tutoriadas prejudicou
o desenvolvimento da ação. A proposta inicial sugeria a criação de cinco turmas, uma por região, o que não foi 
implementado de maneira eficaz.
*Convocação inadequada de professores visitantes: A convocação de professores visitantes para tutoria foi
realizada sem um planejamento adequado e sem um projeto piloto prévio, o que pode ter comprometido a 
qualidade da tutoria oferecida.
*Ineficiência no suporte dos tutores: O suporte oferecido pelos tutores para o feedback de atividades,
participação nos fóruns, comunicação com os cursistas e monitoramento do ambiente virtual dos cursos
Introdutório Cuidados em Saúde Mental e Atenção Psicossocial (SMAPS) não foi suficiente, o que dificultou 
a aprendizagem e o acompanhamento efetivo dos alunos.
*Equipe reduzida: A equipe envolvida na implementação do curso foi reduzida, o que dificultou a execução das 
atividades e a gestão adequada do processo.
*Desistência significativa de alunos: Observou-se um alto índice de desistência por parte dos alunos ao longo do 
curso, com muitos deles já tendo participado das versões anteriores do programa, o que pode indicar uma 
necessidade de revisar o formato ou o conteúdo do curso para melhor engajamento e retenção.</t>
  </si>
  <si>
    <t xml:space="preserve">*Elaborar uma avaliação da performance, habilidades técnicas e pedagógicas para os professores visitantes que facilitaram durante os cursos;
*Viabilização para emissão de certificados online;
*Acesso aos links de inscrição para que possamos fazer as alterações necessárias em tempo hábil para o atendimento das demandas;
*Fortalecer a parceria com a ASCOM para a divulgação em mídias sociais antes e durante os cursos, além de retomar a divulgação das boas práticas dos municípios relacionados aos cursos. Isto favorece o reconhecimento da atuação da ESP e possibilita novas parcerias;
*Participação da Equipe nas Pactuações Iniciais: Sugere-se que tanto a coordenação quanto os bolsistas participem ativamente dos processos de pactuação inicial, a fim de garantir o alinhamento das ações e um melhor planejamento para o desenvolvimento do curso.
*Reformulação do Papel da Coordenação: Recomenda-se que a coordenação do curso não seja exercida por um professor visitante, mas por um bolsista, servidor ou terceirizado, com carga horária de 40 horas semanais, para assegurar maior comprometimento e continuidade nas atividades.
*Implementação de Projeto Piloto com Tutoria: É fundamental a implementação de um Projeto Piloto com turmas tutoriadas, como uma estratégia para testar e ajustar o formato do curso antes de sua execução em larga escala, garantindo melhor qualidade na aprendizagem.
*Formação Adequada para os Tutores: Sugere-se a realização de uma formação específica e alinhada ao conteúdo do curso para os tutores, para que possam oferecer o suporte pedagógico necessário e melhorar o acompanhamento dos alunos ao longo do curso.
*Aprimoramento da Navegabilidade do Ambiente Virtual: É importante promover o aprimoramento da navegabilidade do ambiente virtual, garantindo uma experiência mais fluida e intuitiva para os usuários, o que pode facilitar o acesso e a interação dos alunos com o conteúdo e os tutores.
</t>
  </si>
  <si>
    <t>Turma Aquiraz</t>
  </si>
  <si>
    <t>Aquiraz</t>
  </si>
  <si>
    <t>julho</t>
  </si>
  <si>
    <t>18 e 25</t>
  </si>
  <si>
    <t>Karina</t>
  </si>
  <si>
    <t>Karina/Naara</t>
  </si>
  <si>
    <t xml:space="preserve">Profissionais da RAPS ( 70% para profissionais não 
especializados que atuam na APS; 30% para 
profissionais especialistas em saúde mental e gestores).
</t>
  </si>
  <si>
    <t xml:space="preserve">VAGAS:400 vagas distribuidas para os municipios da Região da SRFOR do Estado do Ceará.
MODALIDADE: Presencial
CARGA HORÁRIA:  20h/aula
DATAS:  18 a 25/07/2024.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</si>
  <si>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 xml:space="preserve">*A formação dos profissionais do estado do Ceará sobre saúde mental, foi de alta relevância para a contribuição das intervenções na atenção primária;
*As vagas do curso foram pactuadas pelas regiões com apoio da Secretaria Executiva da Atenção Primária e Políticas de Saúde – SEAPS e COPOM e devida liberação dos profissionais;
*As nove (09) turmas foram realizadas na SR Fortaleza reunindo profissionais de todos os municípios da região. As trocas de vivências e experiências são proveitosas;
*Conteúdo trabalhado nas Oficinas, baseado no Programa de Ação para reduzir as lacunas em Saúde Mental (MhGAP) da Organização Mundial de Saúde;
*Metodologia utilizada que articula metodologias ativas no processo de aprendizagem com questões cotidianas e integração entre profissionais;
*O curso possibilitou a formação de profissionais para atuação no atendimento/acolhimento em saúde mental nos municípios da região de Fortaleza sem maiores deslocamentos;
*Considerando a alta demanda e fragilidade do atendimento em saúde mental nos territórios, principalmente com o aumento substancial de novos casos vistos pelo aumento das notificações nos municípios, a equipe é favorável à continuidade da formação presencial;
*Construção do Plano de Execução/ Aperfeiçoamento do Apoio Matricial em Saúde Mental, destacando o processo de discussão, planejamento, validação e pactuação do Plano de Execução do Apoio Matricial;
*Nível técnico e entrosamento da equipe condutora;
*Articulação e alinhamento com Superintendências e COADS;
*Receptividade dos gestores e profissionais na Região;
8Planejamento realizado com base nas condições reais de cada municípios;
Facilitadores comprometidos.
</t>
  </si>
  <si>
    <t>*Participação das Equipes  nas Pactuações Iniciais (GEDUC/COPOM): Sugere-se que todos os 
integrantes das duas (02) equipes participem ativamente dos processos de pactuação inicial, 
a fim de garantir o alinhamento das ações e um melhor planejamento para o desenvolvimento 
do curso, principalmente por parte da Equipe do projeto Movimenta Saúde na APS;
*Liberação dos profissionais, pelos gestores, para os encontros presenciais, mesmo estando eles 
cientes das pactuações regionais com o apoio da Secretaria Executiva da Atenção Primária e Políticas 
de Saúde – SEAPS e COPOM, este garantindo a liberação adequada dos profissionais, um ponto de 
articulação para 2025;
*O processo de inscrição online precisa de aprimoramentos, pois não aceita determinados endereços de 
e-mail. Isso obriga a equipe a realizar estas inscrições de maneira administrativa, resultando em um 
prolongamento do prazo para conclusão do curso;
*Ausência de autonomia para modificar as informações nos links de inscrição devido às alterações nos cursos;
*Excesso de docentes (P.V e Gratificação), o que resulta em uma enorme demanda no desenvolvimento de 
processos. Uma única bolsista e um único profissional financeiro são responsáveis por iniciar e acompanhar
esses processos, além de executar outras tarefas para a execução simultânea de vários outros processos e
cursos;
*A instabilidade dos sistemas de assinatura digital e, por vezes, o Suite, juntamente com a incapacidade dos
bolsistas de acessar o Suite para acompanhar e supervisionar os processos, cria uma relação de confiança
entre o bolsista e o responsável financeiro sobre o avanço desses processos. Assim, o responsável por esse
monitoramento não consegue monitorar de maneira eficiente e segura;
*A coordenação dos cursos, como um todo, foi realizada pela equipe do Projeto de Saúde Mental devido à 
falta de pessoal suficiente, resultando em indefinições de funções, ou seja, assumindo frequentemente as
funções de coordenação. 
.</t>
  </si>
  <si>
    <t xml:space="preserve">*A possibilidade do curso ser periódico e descentralizado nas cinco (05) regiões de saúde do estado;
*Convite aos superintendentes e coordenadores dos municípios do estado do Ceará para participar do curso no intuito de  conhecerem melhor a realidade do sistema, os gargalos que ocorrem durante o fluxo;
*Acesso aos links de inscrição para que possamos fazer as alterações necessárias em tempo hábil para o atendimento das demandas;
*Fortalecer a parceria com a ASCOM para a divulgação em mídias sociais antes e durante os cursos, além de retomar a divulgação das boas práticas dos municípios relacionados aos cursos. Isto favorece o reconhecimento da atuação da ESP e possibilita novas parcerias;
*Participação da Equipe nas Pactuações Iniciais: Sugere-se que tanto a coordenação quanto os bolsistas participem ativamente dos processos de pactuação inicial, a fim de garantir o alinhamento das ações e um melhor planejamento para o desenvolvimento do curso;
*Reformulação do Papel da Coordenação: Recomenda-se que a coordenação do curso não seja exercida por um professor visitante, mas por um bolsista, servidor ou terceirizado, com carga horária de 40 horas semanais, para assegurar maior comprometimento e continuidade nas atividades;
*Fortalecer a parceria com a ASCOM para a divulgação em mídias sociais antes e durante os cursos, além de retomar a divulgação das boas práticas dos municípios relacionados aos cursos. Isto favorece o reconhecimento da atuação da ESP e possibilitar novas parcerias;
*Rever o funcionamento do processo de pagamento de professores de maneira que se possa prever ações em caso de desistências ou impossibilidade nas vésperas da aula que viabilizem o pagamento de professores substitutos;
*Desenvolver uma avaliação do curso escrita - relatos verbais foram apresentados, mas não existe material escrito (nem na plataforma EAD), que nos permita avaliar os resultados a partir do olhar do aluno, as sugestões e as necessidades de melhoria;
*Reunião das coordenações dos cursos com a equipe de apoiadores do RESE, NUREPS E NUMEPS;
*Reunião com o fornecedor da alimentação reafirmando a importância de se cumprir os horários estabelecidos ou a troca do serviço de alimentação;
</t>
  </si>
  <si>
    <t xml:space="preserve">Não houve avaliação </t>
  </si>
  <si>
    <t>Turma Maracanaú</t>
  </si>
  <si>
    <t>Maracanaú</t>
  </si>
  <si>
    <t>agosto</t>
  </si>
  <si>
    <t>01 e 13</t>
  </si>
  <si>
    <t xml:space="preserve">VAGAS:400 vagas distribuidas para os municipios da Região da SRFOR do Estado do Ceará.
MODALIDADE: Presencial
CARGA HORÁRIA:  20h/aula
DATAS:  01 a 13/08/2024.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</si>
  <si>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 xml:space="preserve">*Participação das Equipes  nas Pactuações Iniciais (GEDUC/COPOM): Sugere-se que todos os 
integrantes das duas (02) equipes participem ativamente dos processos de pactuação inicial, 
a fim de garantir o alinhamento das ações e um melhor planejamento para o desenvolvimento 
do curso, principalmente por parte da Equipe do projeto Movimenta Saúde na APS;
*Liberação dos profissionais, pelos gestores, para os encontros presenciais, mesmo estando eles 
cientes das pactuações regionais com o apoio da Secretaria Executiva da Atenção Primária e Políticas 
de Saúde – SEAPS e COPOM, este garantindo a liberação adequada dos profissionais, um ponto de 
articulação para 2025;
*O processo de inscrição online precisa de aprimoramentos, pois não aceita determinados endereços de 
e-mail. Isso obriga a equipe a realizar estas inscrições de maneira administrativa, resultando em um 
prolongamento do prazo para conclusão do curso;
*Ausência de autonomia para modificar as informações nos links de inscrição devido às alterações nos cursos;
*Excesso de docentes (P.V e Gratificação), o que resulta em uma enorme demanda no desenvolvimento de 
processos. Uma única bolsista e um único profissional financeiro são responsáveis por iniciar e acompanhar
esses processos, além de executar outras tarefas para a execução simultânea de vários outros processos e
cursos;
*A instabilidade dos sistemas de assinatura digital e, por vezes, o Suite, juntamente com a incapacidade dos
bolsistas de acessar o Suite para acompanhar e supervisionar os processos, cria uma relação de confiança
entre o bolsista e o responsável financeiro sobre o avanço desses processos. Assim, o responsável por esse
monitoramento não consegue monitorar de maneira eficiente e segura;
*A coordenação dos cursos, como um todo, foi realizada pela equipe do Projeto de Saúde Mental devido à 
falta de pessoal suficiente, resultando em indefinições de funções, ou seja, assumindo frequentemente as
funções de coordenação. 
</t>
  </si>
  <si>
    <t>Turma Beberibe</t>
  </si>
  <si>
    <t>Beberibe</t>
  </si>
  <si>
    <t>08 e 22</t>
  </si>
  <si>
    <t xml:space="preserve">VAGAS:400 vagas distribuidas para os municipios da Região da SRFOR do Estado do Ceará.
MODALIDADE: Presencial
CARGA HORÁRIA:  20h/aula
DATAS: 08 a 22/08/2024.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</si>
  <si>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Turma Palmácia</t>
  </si>
  <si>
    <t>Palmácia</t>
  </si>
  <si>
    <t>cancelada agosto/setembro</t>
  </si>
  <si>
    <t>29/08 e 12/09</t>
  </si>
  <si>
    <t xml:space="preserve">VAGAS:400 vagas distribuidas para os municipios da Região da SRFOR do Estado do Ceará.
MODALIDADE: Presencial
CARGA HORÁRIA:  20h/aula
DATAS:  05 e 19/09/2024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</si>
  <si>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Turma Horizonte</t>
  </si>
  <si>
    <t>Horizonte</t>
  </si>
  <si>
    <t>agosto/setembro</t>
  </si>
  <si>
    <t xml:space="preserve">VAGAS:400 vagas distribuidas para os municipios da Região da SRFOR do Estado do Ceará.
MODALIDADE: Presencial
CARGA HORÁRIA:  20h/aula
DATAS: 10 a 24/10/2024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</si>
  <si>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Turma Guaiuba</t>
  </si>
  <si>
    <t>Guaiuba</t>
  </si>
  <si>
    <t>setembro</t>
  </si>
  <si>
    <t>05 e 19</t>
  </si>
  <si>
    <t xml:space="preserve">VAGAS:400 vagas distribuidas para os municipios da Região da SRFOR do Estado do Ceará.
MODALIDADE: Presencial
CARGA HORÁRIA:  20h/aula
DATAS: 12 a 26/11/2024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</si>
  <si>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Turma Itapipoca I</t>
  </si>
  <si>
    <t>Itapipoca</t>
  </si>
  <si>
    <t>10 e 24</t>
  </si>
  <si>
    <t xml:space="preserve">VAGAS:400 vagas distribuidas para os municipios da Região da SRFOR do Estado do Ceará.
MODALIDADE: Presencial
CARGA HORÁRIA:  20h/aula
DATAS:10 a 24/10/2024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</si>
  <si>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Turma Itapipoca II (Trairi)</t>
  </si>
  <si>
    <t>novembro</t>
  </si>
  <si>
    <t>12 e 26</t>
  </si>
  <si>
    <t xml:space="preserve">VAGAS:400 vagas distribuidas para os municipios da Região da SRFOR do Estado do Ceará.
MODALIDADE: Presencial
CARGA HORÁRIA:  20h/aula
DATAS:12 a 26/11/2024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</si>
  <si>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Turma Pentecoste</t>
  </si>
  <si>
    <t>Pentecoste</t>
  </si>
  <si>
    <t>14 e 28</t>
  </si>
  <si>
    <t xml:space="preserve">VAGAS:400 vagas distribuidas para os municipios da Região da SRFOR do Estado do Ceará.
MODALIDADE: Presencial
CARGA HORÁRIA:  20h/aula
DATAS: 14 a 28/11/2024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</si>
  <si>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Turma São Gonçalo do Amarante</t>
  </si>
  <si>
    <t>São Gonçalo do Amarante</t>
  </si>
  <si>
    <t>04 e 05</t>
  </si>
  <si>
    <t xml:space="preserve">VAGAS:400 vagas distribuidas para os municipios da Região da SRFOR do Estado do Ceará.
MODALIDADE: Presencial
CARGA HORÁRIA:  20h/aula
DATAS:  04 e 05/12/2024
HORÁRIO:08 as 17hs
PRINCIPAIS TEMAS ABORDADOS: 
UNIDADE 1: Os principais transtornos mentais, neurológicos e por uso de álcool e outras drogas (MNS) e o uso do Manual de Intervenções MI-mhGAP versão 2.0
* Definições, contexto histórico e epidemiológico;
* Lacunas nos cuidados em saúde mental;
* Elementos essenciais da prática clínica de saúde mental;
* Manejo de condições prioritárias;
* Matriciamento em saúde mental.  
DESCRIÇÃO DO CURSO: A formação é uma resposta às necessidades identificadas pela Copom de aprimorar os processos formativos no campo da saúde mental, visando qualificar as redes de atenção
e cuidado para às pessoas em situação de sofrimento mental, ou em uso abusivo de
substâncias. O curso básico é voltado para gestores e profissionais de saúde, com nível superior, que
atuam na Atenção Primária à Saúde (APS) dentro dos municipios que abrangem a região de Fortaleza.
</t>
  </si>
  <si>
    <t>Tauane</t>
  </si>
  <si>
    <t>Médicos e enfermeiros da Atenção Primária à Saúde (APS) e Unidades de Pronto Atendimento (UPA) e coordenadores da Vigilância Epidemiológica dos municípios de abrangência da Superintendência de Fortaleza.</t>
  </si>
  <si>
    <t>Avaliação pela frequência (&gt;85%)</t>
  </si>
  <si>
    <t>- O curso teve a mobilização realizada exclusivamente pela SRFOR, pois quando houve a pactuação da SESA com a ESP para a realização do Ciclo de Atualização, a divulgação da turma da SRFOR já havia iniciado;
- A mobilização da SRFOR na divulgação do curso proporcionou uma ótima adesão;
 - A expertise dos facilitadores na temática do curso e a utilização de metodologias ativas;
- Escuta ativa dos participantes, valorizando as experiências que cada um traz.</t>
  </si>
  <si>
    <t>- Tivemos um pequeno erro de comunicação entre a SESA e a ESP, e não foi enviado aviso aos participantes sobre a mudança de local, que inicialmente seria na SESA, o que provocou descontentamento com alguns participantes que se deslocaram para a SESA e tiveram que se deslocar para a ESP logo em seguida;
- O atraso de um dos palestrantes prejudicou o andamento do evento, pois quando iniciaram os Casos Clínicos, muitos participantes já haviam saído por conta do horário e porque muitos precisavam se deslocar para os seus municípios.
- A divisão do credenciamento em apenas duas mesas gerou grandes filas, pelo número considerável de participantes, além do que muitos desses realizaram a inscrição apenas no dia do evento, o que agravou ainda mais essa situação.</t>
  </si>
  <si>
    <t>- Os objetivos estabelecidos para o curso foram plenamente alcançados. 
- O curso proporcionou aos participantes um aprendizado significativo e prático, desenvolvendo as competências e habilidades.
- Além disso, a participação ativa dos alunos e o feedback positivo demonstram que o curso atendeu às expectativas e contribuiu para o desenvolvimento profissional de cada participante.</t>
  </si>
  <si>
    <t>Avaliação - Ciclo de Atualização em Manejo Clínico e Diagnóstico Laboratorial das Arboviroses (Turma SRFOR).pdf</t>
  </si>
  <si>
    <t>SRSUL/CARIRI</t>
  </si>
  <si>
    <t>Ciclo de Atualização em Manejo Clínico e Diagnóstico Laboratorial das Arboviroses – Turma Cariri</t>
  </si>
  <si>
    <t xml:space="preserve">Idalina </t>
  </si>
  <si>
    <t>Médicos e enfermeiros da Atenção Primária à Saúde (APS) e Unidades de Pronto Atendimento (UPA) e coordenadores da Vigilância Epidemiológica dos municípios de abrangência da Superintendência do Cariri.</t>
  </si>
  <si>
    <t xml:space="preserve"> - A expertise dos facilitadores na temática do curso e a utilização de metodologias ativas;
- Escuta ativa dos participantes, valorizando as experiências que cada um traz;
- O curso foi realizado no Centro
Universitário Paraíso (UniFAP), que tem uma excelente estrutura física e funcionários atenciosos e prestativos.</t>
  </si>
  <si>
    <t>- A SR Cariri foi muito resistente na mobilização deste curso, esperávamos um maior apoio por parte desta, mesmo sabendo que o período foi de muitos eventos paralelos, e isso se repletiu diretamente no número de inscritos.
- Tivemos problemas com o buffet: serviram apenas um tipo de proteína quando deveriam ter servido dois, além da restrição de quantidade da proteína, o que deixou muitos participantes insatisfeitos; além de servirem apenas suco, quando deveriam servir o refrigerante também, pois tudo isso está previsto em contrato.
- A compra de passagens aéreas na véspera da viagem impediu que os palestrantes e bolsista realizassem vôo direto, com isso tiveram que fazer escala de mais de 6h em Recife-PE, tornando a viagem cansativa, além do custo das passagens, que é muito maior quando compradas próximo à viagem;
- A adesão ao curso foi prejudicada pela proximidade com as Eleições 2024.</t>
  </si>
  <si>
    <t>Avaliação - Ciclo de Atualização em Manejo Clínico e Diagnóstico Laboratorial das Arboviroses (Turma Cariri).pdf</t>
  </si>
  <si>
    <t>SR Litoral Leste/Jaguaribe</t>
  </si>
  <si>
    <t>Ciclo de Atualização em Manejo Clínico e Diagnóstico Laboratorial das Arboviroses – Turma Litoral Leste</t>
  </si>
  <si>
    <t>Médicos e enfermeiros da Atenção Primária à Saúde (APS) e Unidades de Pronto Atendimento (UPA) e coordenadores da Vigilância Epidemiológica dos municípios de abrangência da Superintendência do Litoral Leste.</t>
  </si>
  <si>
    <t>- Apoio da SR Litoral Leste na mobilização do curso;
- Espaço conseguido pela Superintendência, o Centro Vocacional e Tecnológico (CVT) de Limoeiro do Norte, que possui uma boa estrutura física (auditório e amplo espaço para servir a alimentação);
- Ampla experiência dos facilitadores na temática e utilização de metodologias ativas.</t>
  </si>
  <si>
    <t xml:space="preserve"> A adesão ao curso foi prejudicada pela proximidade com as Eleições 2024.</t>
  </si>
  <si>
    <t>Avaliação - Ciclo de Atualização em Manejo Clínico e Diagnóstico Laboratorial das Arboviroses (Turma Litoral Leste).pdf</t>
  </si>
  <si>
    <t>Ciclo de Atualização em Manejo Clínico e Diagnóstico Laboratorial das Arboviroses – Turma Sertão Central</t>
  </si>
  <si>
    <t>Médicos e enfermeiros da Atenção Primária à Saúde (APS) e Unidades de Pronto Atendimento (UPA) e coordenadores da Vigilância Epidemiológica dos municípios de abrangência da Superintendência do Sertão Central.</t>
  </si>
  <si>
    <t>- Apoio da SR Sertão Central na mobilização do curso;
- O espaço de realização do curso - Centro Universitário Estácio do Ceará (Campus Quixadá) - possui uma excelente estrutura física e de equipamentos multimídia, além de um ótimo suporte de TI;
- Ampla experiência dos facilitadores na temática e utilização de metodologias ativas.</t>
  </si>
  <si>
    <t>- Tivemos dificuldade na mobilização desta turma pela grande número de eventos coincidentes na SR, mesmo este tendo sido remarcado;
- A adesão ao curso foi prejudicada pela proximidade com as Eleições 2024.</t>
  </si>
  <si>
    <t>Avaliação - Ciclo de Atualização em Manejo Clínico e Diagnóstico Laboratorial das Arboviroses (Turma Sertão Central) - Formulários Google.pdf</t>
  </si>
  <si>
    <t>Ciclo de Atualização em Manejo Clínico e Diagnóstico Laboratorial das Arboviroses – Turma Norte</t>
  </si>
  <si>
    <t>-%</t>
  </si>
  <si>
    <t>Médicos e enfermeiros da Atenção Primária à Saúde (APS) e Unidades de Pronto Atendimento (UPA) e coordenadores da Vigilância Epidemiológica dos municípios de abrangência da Superintendência Norte.</t>
  </si>
  <si>
    <t>O curso foi cancelado por número insuficiente de inscritos, faltou um esforço maior da SR NOR na mobilização, pois foi um período desafiador (pré-eleição). Uma nova data foi proposta para o período pos-eleição, mas com o aumento dos casos da Febre do Oropouche no Ceará, os recursos desta turma foram destinados ao Seminário sobre esta temática.</t>
  </si>
  <si>
    <t>- Maior apoio da SR Norte na mobilização do curso, pois isto foi um ponto importante para o que curso não conseguisse a adesão necessária.</t>
  </si>
  <si>
    <t>Cancelado</t>
  </si>
  <si>
    <t>Todas as SRS</t>
  </si>
  <si>
    <t>Médicos, enfermeiros e demais profissionais da saúde que atuam na identificação, estratificação de risco e manejo clínico de pacientes com casos suspeitos ou confirmados da Febre do Oropouche de todas as SRs.</t>
  </si>
  <si>
    <t>Frequência nas aulas</t>
  </si>
  <si>
    <t>- Apoio da SRFOR na mobilização do curso; 
- A expertise dos facilitadores na temática do curso e a utilização de metodologias ativas; 
- Escuta ativa dos participantes, valorizando as experiências que cada um traz; 
- A ideia de transmitir o seminário simultaneamente pelo Youtube foi genial, pois pode alcançar profissionais de várias cidades e estados do país; 
- A temática e programação do evento atraiu um grande público; 
- A agilidade por parte da equipe de resolver a questão do auditório lotado, abrindo uma trasmissão do evento ao lado do auditório principal foi fundamental para o bom andamento do evento;
- A organização do buffet permitiu um serviço tranquilo, apesar do grande número de participantes.</t>
  </si>
  <si>
    <t xml:space="preserve">- Um ponto importante a ser destacado é o papel fundamental da equipe de apoio. Quando o número de participantes é considerável, é essencial contar com uma comissão bem estruturada para garantir que todos os aspectos logísticos e organizacionais sejam devidamente atendidos. O empenho da equipe é crucial para que o curso seja realizado de forma fluida e eficiente. Dito isto, a coordenação considera que uma dificuldade foi exatamente a falta de uma equipe de apoio mais bem definida para atender as demandas do evento, além de uma contribuição maior por parte dos próprios membros do projeto. </t>
  </si>
  <si>
    <t>AVALIAÇÃO - FEBRE DO OROPOUCHE_ O QUE SABER PARA ENFRENTAR A ARBOVIROSE NO CEARÁ_.pdf</t>
  </si>
  <si>
    <t>Julho - dezembro (2024)</t>
  </si>
  <si>
    <t>29 de jul à 25 de dez</t>
  </si>
  <si>
    <t>Médicos da Emergência e Time de Resposta Rápida do Hospital São José</t>
  </si>
  <si>
    <t xml:space="preserve">Currículo educacional elaborado; Matriz de competência elaborada; Realizada gravação das duas últimas aulas do módulo 6 e edição dos vídeos. Já foram emitidas algumas declarações dos Módulos 1, 2, 3, 4 e 5. </t>
  </si>
  <si>
    <t>Acesso à Plafatorma da ESPVirtual, finalização dos módulos, respostas dos casos clínicos e aprovação no questionário final com nota mínima 7</t>
  </si>
  <si>
    <t>Curso integralmente on-line na Plataforma da ESPVirtual. O aluno pode fazer de acordo com sua disponibilidade de tempo e por um período longo o que permite que ele aproveite, revise temáticas e responda as atividades com tranquilidade. Aulas com temas importantes para prática profissional e atendemineto dos pacientes na emergência do Hospital Sao José. Abrimos vagas para os extenionistas e alguns residentes.  Os professores são médicos experientes do próprio Hospital, o que facilita a contextualização das temáticas com a realidade e processos de trabalho. Em acordo com a equipe do hospital, o curso se tornou uma ferramenta obrigatória para quem trabalha ou para os alunos que passam um período na emergência do Hospital São José, aumentando assim o engajamento dos alunos.</t>
  </si>
  <si>
    <t>Plataforma da EspVirtual não é ligada ao sistema de certificação da TI o que demandou muito tempo da coordenação para monitoramento das atividades realizadas; Declarações por módulo que deveriam sair na plataforma, tinham que ser preenchidas, baixadas, assinadas pelo Token e enviadas para o e-mail individualmente para cada aluno, por cada módulo concluído; Alunos que deixaram a finalização do curso para o último momento; Evasão de inscritos.</t>
  </si>
  <si>
    <t>AVALIAÇÃO DO CURSO - INFECTOLOGIA.pdf</t>
  </si>
  <si>
    <t>Médicos e enfermeiros  que atuam na regulação do Serviço de Atendimento Móvel de Urgência - SAMU</t>
  </si>
  <si>
    <t>Projeto elaborado; Matriz de competência elaborada; Curso iniciado</t>
  </si>
  <si>
    <t>Médicos que atuam no complexo regulador da Atenção Ambulatorial</t>
  </si>
  <si>
    <t>Pré-projeto elaborado</t>
  </si>
  <si>
    <t>Médicos e profissionais de saúde que atuam como reguladores de filas de pacientes em consultas ambulatoriais, internação médica, UTI, cirurgias e exames especializados</t>
  </si>
  <si>
    <t>Profissionais de saúde de nível médio e superior que atuam na atenção básica e especializada fazendo a avaliação das lesões no pé diabético.</t>
  </si>
  <si>
    <t>Pré-projeto elaborado com participação da Adese</t>
  </si>
  <si>
    <t xml:space="preserve"> Enfermeiros e/ou Médicos que atuam na Atenção Básica de Saúde, na prevenção do câncer de colo uterino</t>
  </si>
  <si>
    <t>Pré-projeto elaborado e Matriz de Competência elaborados</t>
  </si>
  <si>
    <t>5 SRs</t>
  </si>
  <si>
    <t>Farmacêuticos e gestores</t>
  </si>
  <si>
    <t>Pré-projeto elaborado e anexado ao processo do Projeto enviado ao demandante com o orçamento</t>
  </si>
  <si>
    <t xml:space="preserve"> </t>
  </si>
  <si>
    <t xml:space="preserve">Técnicos da VISA Estadual e VISA Municipal; Técnicos dos Serviços de Hemoterapia Produtores; Técnicos dos Centros Transplantadores; Técnicos dos Centros de Reprodução Humana Assistida; Técnicos de Banco de Olhos; Técnicos da rede de procura de órgãos e tecidos (OPO / CIHDOTT); Técnicos dos centros de processamento celular (HEMOCE e banco de sangue de cordão umbilical e placentário) </t>
  </si>
  <si>
    <t>Matriz de competência em elaboração. Estamos na etapa de escolha das estratégias educacionais</t>
  </si>
  <si>
    <t>Técnicos da VISA Estadual e VISA Municipal; Técnicos dos Serviços de Hemoterapia Produtores; Técnicos dos Serviços de Saúde que realizam Terapia Transfusional</t>
  </si>
  <si>
    <t>Mudanças no Plano de Capacitação 2024 | Mudanças em processos/fluxos da ESP</t>
  </si>
  <si>
    <t>Dia</t>
  </si>
  <si>
    <t>Projeto</t>
  </si>
  <si>
    <t>Tipo de mudança</t>
  </si>
  <si>
    <t>Curso/Processo envolvido</t>
  </si>
  <si>
    <t>Descrição da mudança</t>
  </si>
  <si>
    <t>Mudanças em cursos (nome,  local, turmas, etc)</t>
  </si>
  <si>
    <t>Não haverá mais a turma da SRNOR, ambas as turmas serão para SRFOR. Mudança da modalidade semi presencial para presencial, com 40h em sala de aula e 20h de atividade de campo.</t>
  </si>
  <si>
    <t>Público dividido em duas turmas, uma para cada região (SRCEN e SRLES), com 15 vagas cada.
Previsto inicialmente pra ser realizado em turma única abarcando duas regiões (Leste e Sertão Central). Em reunião, a área técnica entendeu que juntar as duas regiões seria difícil, especialmente pelo período de atividades práticas.</t>
  </si>
  <si>
    <t>Haverá alteração de nome, público (agora, médicos) e modalidade (agora, on-line)</t>
  </si>
  <si>
    <t>Curso Básico de Raiva: colheita, acondicionamento e envio de amostras</t>
  </si>
  <si>
    <t>Haverá alteração de nome (agora, Curso Básico de Vigilância e Controle da Raiva), público (agora, somente médico veterinário), local (agora, Fortaleza), quantidade de vagas e carga horária (agora, 15h e 15 vagas distribuídas entre as 5 regiões). Haverá reunião com o líder do GT de raiva para alinharmos a programação a ser realizada.</t>
  </si>
  <si>
    <t>Curso Básico de Vigilância da Tuberculose</t>
  </si>
  <si>
    <t>Haverá mudança de público ( será destinado a profissionais que atuam na Vigilância em Tuberculose  e  Carga-horária será totalmente presencial 40h.</t>
  </si>
  <si>
    <t xml:space="preserve">Curso de Vigilância das Causas Externas </t>
  </si>
  <si>
    <t>Solicitou-se alteração da região de realização do curso: anteriormente na SRNorte (orçamento na região 11), agora na SRSul (orçamento na 01); e Carga horária sendo 40h (32 horas presenciais + 8 horas Ead).</t>
  </si>
  <si>
    <t>Modificação da carga horária, em vez de 32h irá aumentar para 40h. Falta formalizar a mudança.</t>
  </si>
  <si>
    <t>Modificação da datas para ajustar a disponibilidade dos professores convidados da UFC e da Dra Raquel Rigotto. Aumento do número de vagas de 40 para 80 devido a ampliação do público-alvo, há necessidade de capacitar profissionais da vigilância, aps e atenção secundária de vários municípios da SR Norte. Falta formalizar alteração.</t>
  </si>
  <si>
    <t>Curso Básico de Vigilância de IST/HIV/AIDS, Sífilis Congênita e Hepatite Virais</t>
  </si>
  <si>
    <r>
      <rPr>
        <rFont val="Arial"/>
        <color theme="1"/>
        <sz val="10.0"/>
      </rPr>
      <t xml:space="preserve">Alteração do Curso Básico de Vigilância de IST/HIV/AIDS, Sífilis Congênita e Hepatite Virais para </t>
    </r>
    <r>
      <rPr>
        <rFont val="Arial"/>
        <b/>
        <color theme="1"/>
        <sz val="10.0"/>
      </rPr>
      <t>Curso Básico de Vigilância de IST/HIV/Aids, Sífilis e Hepatites Virais</t>
    </r>
  </si>
  <si>
    <t>Nome do Projeto - alterações</t>
  </si>
  <si>
    <t>O projeto passou por uma nova atualização de nome. Inicialmente chamava-se "Movimenta Saúde Mental", posteriormente com a equipe técnica SESA foi definido o nome "Percurso Itinerário em Saúde Mental", posteriormente com novas tratativas foi adequado para "Percursos Formativos no Campo da Saúde Mental".</t>
  </si>
  <si>
    <t>Ajuste do projeto em pactuação</t>
  </si>
  <si>
    <t>O projeto teve ajustes no quantitativo de ofertas. Serão duas ofertas semestrais com 600 vagas/cada. Iniciando com o Introdutório.</t>
  </si>
  <si>
    <t>Reestruturação do EAD</t>
  </si>
  <si>
    <t>Inicialmente será ofertado o curso Introdutório e posteriormente será reestruturado as outras ofertas de cursos EAD.</t>
  </si>
  <si>
    <t xml:space="preserve">Curso Apoiador Institucional </t>
  </si>
  <si>
    <t>Curso adiado - motivo: desistência de apoiadores. Nova data atualizada no plano de capacitação.</t>
  </si>
  <si>
    <t>Curso adiado: de 11/03/2024-15/03/2024 para 01/04/2024-05/04/2024 - mudança em oficialização.</t>
  </si>
  <si>
    <t xml:space="preserve">Curso de Atualização em Vigilância em Saúde Ambiental </t>
  </si>
  <si>
    <t>Modificação da data para 29/07/24 a 02/08/24. Aumento da quantidade de vagas (de 30 para 40 vagas) - falta oficializar essa alteração.</t>
  </si>
  <si>
    <t>Cancelamento/Exclusão de cursos e/ou turmas</t>
  </si>
  <si>
    <t>Demandante solicitou a retirada de uma turma do curso de Codificação do Plano de Capacitação 2024. Oficilaizado por email.</t>
  </si>
  <si>
    <t>Curso de Capacitação para Determinação de Morte Encefálica - T18</t>
  </si>
  <si>
    <t>Demandante alterou a data do curso  previsto para 03/05/2024 para 17/05/2024</t>
  </si>
  <si>
    <t>Demandante solicitou adiamento do curso devido alta demanda por conta da campanha da influenza, Nova data: 01/07 à 05/07</t>
  </si>
  <si>
    <t>Curso de Planejamento/Monitoramento/Avaliação em EPS e Oficina de Imersão em EPS cancelados - 5 turmas para cada curso. Curso Básico em EPS também cancelado.</t>
  </si>
  <si>
    <t xml:space="preserve">O Grupo Técnico/SESA solicitou a alteração com apresentação de outra proposta para execução. </t>
  </si>
  <si>
    <t>Inclusão de cursos e/ou turmas</t>
  </si>
  <si>
    <t>Nova proposta: Realização de 6 turmas para o Curso de EPS para Unidades da Rede SESA - Fortaleza.</t>
  </si>
  <si>
    <t>O Grupo Técnico/SESA solicitou reestruturação do projeto RESE, centralizando as ações para a SR Fortaleza.</t>
  </si>
  <si>
    <t>Modificação de carga horária de 40h para 60h. Não havia sido considerada a carga horária extra-classe do curso. Falta formalizar alteração.</t>
  </si>
  <si>
    <t>Modificado para: Curso de Atualização em Vigilância Sanitária de Produtos e de Serviços de Saúde</t>
  </si>
  <si>
    <t>Nome do curso alterado de: "Curso de Vigilância de Populações Expostas a mineração de urânio e fosfato no Ceará" para: "Curso de Vigilância e Atenção em Saúde de Populações Expostas à Mineração de Urânio e Fosfato no Ceará". Falta formalizar.</t>
  </si>
  <si>
    <t xml:space="preserve">Curso de Vigilância em Saúde Ambiental </t>
  </si>
  <si>
    <t>Nome do curso alterado de: "Curso de Atualização em Vigilância em Saúde Ambiental" para "Curso de Vigilância em Saúde Ambiental". Falta formalizar.</t>
  </si>
  <si>
    <t>Curso de Crises e Urgências em Saúde Mental</t>
  </si>
  <si>
    <t>Após discussões iniciais o nome do curso doi alterado para: "Crises em Saúde Mental: Urgências e Emergências".</t>
  </si>
  <si>
    <t>O Projeto AutoSMAPS e sua trilha formativa foi incorporada na EAP do Percursos Formativos.</t>
  </si>
  <si>
    <t>Por solicitação do grupo técnico da SESA (COPOM), o projeto AutoSMAPS com toda sua trilha formativa foi inserido dentro do Projeto PERFORSM.</t>
  </si>
  <si>
    <t>O Projeto AutoSMAPS e sua trilha formativa incorporada na EAP do Percursos Formativos irá fornecer apenas uma das formações do EAD conforme solicitação do GT da SESA - COPOM.</t>
  </si>
  <si>
    <t>O AutoSMAPS irá ofertar apenas o curso Introdutório com carga horária de 60 horas para 10 turmas com 60 alunos, cada turma irá dispor de um tutor para acompanhar o processo formativo.</t>
  </si>
  <si>
    <t xml:space="preserve">Foi incluído no Projeto para execução em 2024 o curso Saúde Mental e Populações Vulneráveis: Ambiente Prisional. </t>
  </si>
  <si>
    <t>Curso incluído com carga horária de 60 horas com 6 turmas distribuidas para as 6 regiões de saúde do estado do Ceará.</t>
  </si>
  <si>
    <t>O projeto Movimenta Saúde Mental na APS foi incorporado ao Projeto PERFORSM como uma Oficina ToPH/MhGAP.</t>
  </si>
  <si>
    <t>A oficina ToPH/MhGAP tem carga horária de 20 horas com realização nas regiões de saúde do estado do Ceará. Total de turmas a pactuar com o GT COPOM/SESA.</t>
  </si>
  <si>
    <t>Inclusão de Turmas</t>
  </si>
  <si>
    <t>Curso Introdutório Cuidados em Saúde Mental e Atenção Psicossocial (SMAPS) - Foi fechado 17 turmas para todas as regiões de saúde do estado do Ceará com período de realização de julho a agosto de 2024.</t>
  </si>
  <si>
    <t>Ciclo de Atualização em Manejo Clínico e Diagnóstico Laboratorial das Arboviroses (Turma Norte)</t>
  </si>
  <si>
    <t>Cancelamento da Turma da Regional Norte por falta de inscritos.</t>
  </si>
  <si>
    <t>Incluída 02 turmas do Curso de EPS para GEDUC e GEPRO da Escola de Saúde Pública do Ceará</t>
  </si>
  <si>
    <t>Curso de Capacitação em Preservação e Perfusão de Órgãos Sólidos Removidos para Transplante</t>
  </si>
  <si>
    <t xml:space="preserve">DATA DE CURSO ADIADA E AGUARDANDO O DEMANDANTE ESTABELECER UMA NOVA DATA PARA A REALIZAÇÃO DO CURSO </t>
  </si>
  <si>
    <t>CURSO DE REESTRUTURAÇÃO DA REDE DE PROCURA DE ÓRGÃOS DO ESTADO DO CEARÁ</t>
  </si>
  <si>
    <t>NA PACTUAÇÃO FORAM PREVISTAS 14 TURMAS PARA O ANO DE 2024, PORÉM O DEMANDANTE ESTABELECEU QUE ATÉ O MOMENTO CONSEGUIRÁ FAZER 12 TURMAS.</t>
  </si>
  <si>
    <t xml:space="preserve">A PRIMEIRA TURMA QUE ESTAVAPREVISTA PARA AGOSTO FOI ADIADA PARA SETEMBRO E A A SEGUNDA TURMA QUE ESTAVA PREVISTA PARA ACONTECER EM NOVEMBRO FOI CANCELADA  </t>
  </si>
  <si>
    <t>CURSO DE COMUNICAÇÃO EM SITUAÇÕES CRÍTICAS</t>
  </si>
  <si>
    <t>Cancelamento das 4 turmas de Comunicação em Situações Críticas.</t>
  </si>
  <si>
    <t>Curso de Reestruturação da rede de procura de órgãos do estado do Ceará previsto para ocorrer na Unimed Sul (13/08/2024) teve sua data adiada e ainda em pactuação da nova data pois o hospital não poderá nos receber neste dia.</t>
  </si>
  <si>
    <t>Turma 1 teve as datas do primeiro módulo alterada dos dias 10 e 11 (manhã) de julho para junto da Turma 02 nos dias 08 e 09 (manhã) de agosto</t>
  </si>
  <si>
    <t xml:space="preserve">Curso de Autolesão, Prevenção e Posvenção ao Suicídio </t>
  </si>
  <si>
    <t>Nome do curso alterado para "Curso de Manejo da Autolesão, Prevenção e Posvenção ao Suicídio".</t>
  </si>
  <si>
    <t>"Curso de Manejo da Autolesão, Prevenção e Posvenção ao Suicídio" projetado com 12 turmas nas seguintes regiões: 01 - Cariri, 03 - Fortaleza, 09 - Sertão Central e 11 - Norte.</t>
  </si>
  <si>
    <t>Cancelamento de Cursos/Turmas</t>
  </si>
  <si>
    <t>Cursos/Turmas cancelados: 1 - Curso Crises em Saúde Mental: Urgências e Emergências - 05 Regiões; 2 - Curso de Manejo da Autolesão, Prevenção e Posvenção ao Suicídio - Litoral Leste/Vale do Jaguaribe; 3 - Curso Saúde Mental e Populações Vulneráveis: Ambiente Prisional - 05 Regiões; 4 - Curso Processos de Trabalho em Saúde Mental Módulo I: “Territorialização, Projeto Terapêutico Singular e Projeto Terapêutico Institucional” - 05 Regiões; 5 - "Curso Processos de Trabalho em Saúde Mental Módulo II: “Cuidado Humanizado, Intersetorialidade e Matriciamento” - 05 Regiões. Todos esses cursos, exceto o "Prisional" e o "Processos de Trabalho - II", farão a entrega em 2024 de matrizes e material do curso.</t>
  </si>
  <si>
    <t>Curso Introdutório Cuidados em Saúde Mental e Atenção Psicossocial (SMAPS) - Realizado mais 02 turmas para todas as regiões de saúde do estado. 01 Turma de Repescagem (alunos com pendências das turmas anteriores) e Turma 18 (novos alunos) com período de realização de setembro a outubro de 2024.</t>
  </si>
  <si>
    <t>Mudança de curso, número de turmas e local</t>
  </si>
  <si>
    <t>Mudança do Curso de Identificação de Triatomíneos e Parasitologia da doença de Chagas, 80h, 12 vagas para a SR Fortaleza para o Curso Básico de Controle Químico Residual para vetores da Doença de Chagas e Leishmaniose, 40h, 40 vagas divididas em 2 turmas a serem realizadas em Crato e Sobral. Modificação formalizada por email.</t>
  </si>
  <si>
    <t>Cancelado as turmas da região do Cariri, exceto a turma referente a ADS de Brejo Santo, totalizando 04 turmas canceladas.</t>
  </si>
  <si>
    <t xml:space="preserve">Frequência nas aulas;
Participação na: Montagem do calendário vacinal; Visita técnica à Central Estadual de Armazenamento e Distribuição de Imunobiológicos (Ceadim); Mostra de Experiências
</t>
  </si>
  <si>
    <t>Em pendência de entrega de atividade online para computar os concludentes.</t>
  </si>
  <si>
    <t xml:space="preserve">Facilitadores dinâmicos e experientes. Metodologias ativas. Buffet pontual e com boa comida. Suporte da equipe da FRT. Facilidades a equipe EspVirtual (NEADS). A mobilização das vagas para SRFOR funcionou de forma satisfatória.
</t>
  </si>
  <si>
    <t>Matriz de competências em revisão.</t>
  </si>
  <si>
    <t>Estudos de casos, práticas em laboratório de informática, pré e pós-teste.</t>
  </si>
  <si>
    <t>Outubro/Novembro</t>
  </si>
  <si>
    <t>14 a 18/10 e 04 a 08/11</t>
  </si>
  <si>
    <t>Profissionais das superintendências, coordenadorias e municípios lotados em laboratórios de entomologia que não tenham sido capacitados para a identificação e exame parasitológico de triatomíneos</t>
  </si>
  <si>
    <t xml:space="preserve">Matriz de competência a ser elaborada. </t>
  </si>
  <si>
    <t>Supervisor, Coordenador e Digitador</t>
  </si>
  <si>
    <t xml:space="preserve">Facilitadores com vivência nos assuntos abordados, alunos muito envolvidos com a dinamica executada durante o curso.
</t>
  </si>
  <si>
    <t>Dificuldade na liberação dos profissionais e disponibilizar recursos necessários (passagem e hospedagem), pelos municípios. Evasão de inscritos no segundo módulo.</t>
  </si>
  <si>
    <t>Frequência nas aulas
 Resolução de casos clínicos nas estações praticas
Participação e interação nas aulas
Leitura do material complementar</t>
  </si>
  <si>
    <t xml:space="preserve">O serviço e lanche apesar de termos pedido quantidade suficiente foi preciso servir antecipadamente em pratinhos porque a quantidade de alimentação disponivel não era suficiente para servir 40 pessoas. / O demandante do curso não realizou pré e pós teste / Com a demora da construção da matriz do curso por conta da agenda dos demandantes acarretou que a turma finalizou o curso com a grade de 2023 / </t>
  </si>
  <si>
    <t xml:space="preserve">Reunião com empresa responsavel pela alimentação. Motivar mais ainda a equipe para que entendam a importancia da realização do pré e pós teste e da importania de construção/atualização de matriz de forma antecipada para que tenha tempo suficiente de inicar as atividades do projeto já com a matriz devidamente atualizada. </t>
  </si>
  <si>
    <t>Frequencia e participação efetiva dos alunos nas rodas de conversas, trabalhos em grupo e das demais atividades propostas durante o curso para o desenvolvimento das habilidades esperadas.</t>
  </si>
  <si>
    <t>Facilitadores participativos e muito envolvidos com a execussão do curso, alunos empenhados em absorver o conteudo e levar o conhecimento para a prática. Iniciamos o curso com a matriz 2024 devidamente atualizada</t>
  </si>
  <si>
    <t xml:space="preserve">Por ser um curso realziado dentro dos hospitais a logistica de chegar ao local é dificial pela falta de carros na Esp </t>
  </si>
  <si>
    <t>Maior disponibilidade de carros da ESP para o bolsista nos casos de Cursos fora das dependencias da ESP</t>
  </si>
  <si>
    <t>SR Certão Central</t>
  </si>
  <si>
    <t>Workshop de Coordenador Educacional de Transplante</t>
  </si>
  <si>
    <t>Workshop: Atualização da Política Estadual de Doação e Transplante do Ceará</t>
  </si>
  <si>
    <t>Previsão de inicio: Agosto. Previsão de término: Outubro.</t>
  </si>
  <si>
    <t>11 a 13</t>
  </si>
  <si>
    <t>Curso de EPS para GEDUC/GEPRO</t>
  </si>
  <si>
    <t>Previsão: setembro-novembro</t>
  </si>
  <si>
    <t>Curso Autolesão, Prevenção e Posvenção ao Suicídio</t>
  </si>
  <si>
    <t>Previsão</t>
  </si>
  <si>
    <t>Karina/Naara/Eveline</t>
  </si>
  <si>
    <t>Gestores e trabalhadores da Rede de Atenção Psicossocial - RAPS e rede intersetorial (70% especialistas e 30% demais trabalhadores)</t>
  </si>
  <si>
    <t xml:space="preserve">Currículo educacional elaborado; Matriz de competência elaborada. Elaboração de  e material didático para a plataforma virtual da ESP.
</t>
  </si>
  <si>
    <t xml:space="preserve">Currículo educacional elaborado; Matriz de competência elaborada. Elaboração de  e material didático para a plataforma virtual da ESP.
</t>
  </si>
  <si>
    <t xml:space="preserve">.Currículo educacional elaborado; Matriz de competência elaborada. Elaboração de  e material didático para a plataforma virtual da ESP.
. </t>
  </si>
  <si>
    <t>04,11 e 18/09/2024</t>
  </si>
  <si>
    <t>Gestores e trabalhadores da Rede de Atenção Psicossocial - RAPS e rede intersetorial</t>
  </si>
  <si>
    <t>17 (60 alunos cada)</t>
  </si>
  <si>
    <t>Junho-Agosto</t>
  </si>
  <si>
    <t>Currículo educacional elaborado; Matriz de competência elaborada</t>
  </si>
  <si>
    <t>Seminário Febre do Oropouche: o que precisamos saber para enfrentar essa nova arbovirose no Estado do Ceará?</t>
  </si>
  <si>
    <t>Currículo educacional elaborado; Matriz de competência elaborada; Em fase de gravações das videos aulas do  módulos 5 e preparação das edições e montagem da Plataforma ESPVirtual</t>
  </si>
  <si>
    <t>Programa de Aperfeiçoamento para Construção de Protocolos de Regulação de Urgência</t>
  </si>
  <si>
    <t>Médicos, enfermeiros, técnicos de enfermagem e Técnico Auxiliar de Regulação Médica - TARM,  que atuam na regulação do Serviço de Atendimento Móvel de Urgência - SAMU</t>
  </si>
  <si>
    <t>Pré-projeto elaborado; Proposta da Adese formulada; Aguardando finalização da pactuação</t>
  </si>
  <si>
    <t>CALENDÁRIO DE CURSOS</t>
  </si>
  <si>
    <t>JANEIRO</t>
  </si>
  <si>
    <t>Segunda</t>
  </si>
  <si>
    <t>Terça</t>
  </si>
  <si>
    <t>Quarta</t>
  </si>
  <si>
    <t>Quinta</t>
  </si>
  <si>
    <t>Sexta</t>
  </si>
  <si>
    <t>FERIADO</t>
  </si>
  <si>
    <t>FEVEREIRO</t>
  </si>
  <si>
    <t>FERIADO DE CARNAVAL</t>
  </si>
  <si>
    <t>MARÇO</t>
  </si>
  <si>
    <r>
      <rPr>
        <rFont val="Arial"/>
        <color rgb="FFFFFFFF"/>
      </rPr>
      <t xml:space="preserve">CURSO DE QUALIFICAÇÃO PARA APOIADOR INSTITUCIONAL EM EDUCAÇÃO PERMANENTE EM SAÚDE( </t>
    </r>
    <r>
      <rPr>
        <rFont val="Arial"/>
        <color rgb="FFFF0000"/>
      </rPr>
      <t>CANCELADO</t>
    </r>
    <r>
      <rPr>
        <rFont val="Arial"/>
        <color rgb="FFFFFFFF"/>
      </rPr>
      <t>)</t>
    </r>
  </si>
  <si>
    <t>CURSO DE QUALIFICAÇÃO PARA APOIADOR INSTITUCIONAL EM EDUCAÇÃO PERMANENTE EM SAÚDE</t>
  </si>
  <si>
    <t>FERIADO - DIA DE SÃO JOSÉ</t>
  </si>
  <si>
    <t>FERIADO - DATA MAGNA</t>
  </si>
  <si>
    <t>PONTO FACULTATIVO</t>
  </si>
  <si>
    <t>FERIADO - SEXTA FEIRA SANTA</t>
  </si>
  <si>
    <t>ABRIL</t>
  </si>
  <si>
    <t>Curso Básico de Vigilância de Causas Externas (violências e acidentes) - Juazeiro do Norte</t>
  </si>
  <si>
    <t>Vigilância epidemiológica da covid-19, Influenza e Outros Vírus Respiratórios (OVR) - Turma Sertão Central</t>
  </si>
  <si>
    <t>MAIO</t>
  </si>
  <si>
    <t>FERIADO - DIA DO TRABALHO</t>
  </si>
  <si>
    <t>Vigilância epidemiológica da covid-19, Influenza e Outros Vírus Respiratórios (OVR) - Turma Sobral</t>
  </si>
  <si>
    <t>V OFICINA DE IMERSÃO EM ESP - TURMA FORTALEZA</t>
  </si>
  <si>
    <t>Curso Básico de Vigilância e Controle da Raiva. Realização Fortaleza. Público-alvo: Médico veterinário</t>
  </si>
  <si>
    <t>V OFICINA DE IMERSÃO EM ESP - TURMA LESTE</t>
  </si>
  <si>
    <t>Curso de Capacitação para Determinação de Morte Encefálica - TRANSPLANTE</t>
  </si>
  <si>
    <t>Curso Básico de Vigilância das IST/HIV/AIDS, Sífilis Congênita e Hepatites Virais - Turma Cariri (Público-alvo: profissionais da vigilância epidemiológica)</t>
  </si>
  <si>
    <t>Curso de Diagnóstico laboratorial da esquistossome mansoni e Geo helmintos. Realização Fortaleza. Público-alvo: Bioquímicos</t>
  </si>
  <si>
    <t>V OFICINA DE IMERSÃO EM ESP - TURMA CENTRAL</t>
  </si>
  <si>
    <t>FERIADO - CORPUS CHRISTI</t>
  </si>
  <si>
    <t>JUNHO</t>
  </si>
  <si>
    <t>Curso de Vigilância do Óbito Materno - Infantil - Fetal e òbitos com Causa Básica Mal Definida - Turma Sobral</t>
  </si>
  <si>
    <t>Curso de Vigilância e Controle da Doença de Chagas - Todas SR - ONLINE. Público-alvo: Profissionais de nível superior da Vigilância em Saúde e Atenção Primária a Saúde</t>
  </si>
  <si>
    <t>V OFICINA DE IMERSÃO EM ESP - TURMA NORTE</t>
  </si>
  <si>
    <t>CURSO DE PLANEJAMENTO/MONITORAMENTO/AVALIAÇÃO EM EPS - TURMA FORTALEZA</t>
  </si>
  <si>
    <t>Curso de Vigilância das Doenças e Agravos Relacionados ao Trabalho - Turma Cariri</t>
  </si>
  <si>
    <t>V OFICINA DE IMERSÃO EM ESP - TURMA CARIRI</t>
  </si>
  <si>
    <t>Ciclo de Atualização em Manejo Clínico e Diagnóstico Laboratorial das Arboviroses - Turma Cariri
Público: médicos e enfermeiros da Atenção Primária à Saúde (APS) e Unidades de Pronto Atendimento (UPA) e coordenadores da Vigilância Epidemiológica dos municípios de abrangência da Superintendência do Cariri.</t>
  </si>
  <si>
    <t>Turma 1: Curso de Atualização em Vigilância Sanitária, Produtos e Serviços de Saúde
Público-alvo:Técnicos municípios/ADS que atuam na vigilância sanitária
Região do Público: SR Cariri, SR Litoral Leste/Jaguaribe, SR Sertão Central</t>
  </si>
  <si>
    <t>CURSO DE PLANEJAMENTO/MONITORAMENTO/AVALIAÇÃO EM EPS - TURMA LESTE</t>
  </si>
  <si>
    <t>Curso Teórico-Prático de Vigilância das Meningites e Doenças Exantemáticas (Sarampo, Rubéola e Síndrome da Rubéola Congênita) - Turma SR Cen / Litoral Leste/ Norte | Realização: Fortaleza (Público-alvo: Assessores técnicos da vigilância epidemiológica das ADS e municípios prioritários)</t>
  </si>
  <si>
    <t>CURSO DE PLANEJAMENTO/MONITORAMENTO/AVALIAÇÃO EM EPS - TURMA CENTRAL</t>
  </si>
  <si>
    <t>Ciclo de Atualização em Manejo Clínico e Diagnóstico Laboratorial das Arboviroses - Turma Litoral Leste
Público: médicos e enfermeiros da Atenção Primária à Saúde (APS) e Unidades de Pronto Atendimento (UPA) e coordenadores da Vigilância Epidemiológica dos municípios de abrangência da Superintendência do Litoral Leste.</t>
  </si>
  <si>
    <t>Curso Introdutório em Saúde Mental e Atenção Psicossocial - EaD - 17 Turmas para todas as SR do Estado do Ceará.
Público: Gestores e trabalhadores da Rede de Atenção Psicossocial - RAPS e rede intersetorial.</t>
  </si>
  <si>
    <t>JULHO</t>
  </si>
  <si>
    <t>Curso de Investigação de Surto Realização: Fortaleza</t>
  </si>
  <si>
    <t>Curso de Vigilância de Populações Expostas a mineração de urânio e fosfato no Ceará. Realização: Sobral</t>
  </si>
  <si>
    <t>CURSO DE PLANEJAMENTO/MONITORAMENTO/AVALIAÇÃO EM EPS - TURMA NORTE</t>
  </si>
  <si>
    <t>Curso básico de atualização em imunização para profissionais de vacinação da saúde indígena
Público-alvo: Coordenadores de Imunização e equipes da saúde indígena
Região do Público: SRFOR/SRNOR/SRCEN
Local: Fortaleza</t>
  </si>
  <si>
    <t>Ciclo de Atualização em Manejo Clínico e Diagnóstico Laboratorial das Arboviroses - Turma Sertão Central
Público: médicos e enfermeiros da Atenção Primária à Saúde (APS) e Unidades de Pronto Atendimento (UPA) e coordenadores da Vigilância Epidemiológica dos municípios de abrangência da Superintendência do Sertão Central.</t>
  </si>
  <si>
    <t>CURSO DE PLANEJAMENTO/MONITORAMENTO/AVALIAÇÃO EM EPS - TURMA CARIRI</t>
  </si>
  <si>
    <t>Curso Básico de Vigilância em Saúde do(a) Trabalhador(a) na Atenção Primária à Saúde - Turma 1 Fortaleza</t>
  </si>
  <si>
    <r>
      <rPr>
        <rFont val="Arial"/>
        <color theme="1"/>
      </rPr>
      <t xml:space="preserve">Ciclo de Atualização em Manejo Clínico e Diagnóstico Laboratorial das Arboviroses - Turma Norte
Público: médicos e enfermeiros da Atenção Primária à Saúde (APS) e Unidades de Pronto Atendimento (UPA) e coordenadores da Vigilância Epidemiológica dos municípios de abrangência da Superintendência Norte. </t>
    </r>
    <r>
      <rPr>
        <rFont val="Arial"/>
        <b/>
        <color theme="1"/>
      </rPr>
      <t>CURSO CANCELADO</t>
    </r>
  </si>
  <si>
    <t>Curso Básico de Vigilância da Hanseniase e Prevençao de Incapacidades - Turma Sertão Central / Litoral Leste | Realização: Fortaleza</t>
  </si>
  <si>
    <t>Curso de Supervisão das Atividades de Controle das Arboviroses - Turma Cariri. Realização: Juazeiro do Norte. Público-alvo: coordenador, supervisor e digitador das endemias</t>
  </si>
  <si>
    <t>VI Capacitação sobre Diagnóstico e Tratamento de Acidentes por Animais Peçonhentos. Turma SR Leste. Realização: Limoeiro do Norte. Público-alvo: médicos, enfermeiros e farmacêuticos</t>
  </si>
  <si>
    <t>Curso Codificação de Causa Básica do Óbito  Realização: Fortaleza</t>
  </si>
  <si>
    <t>Curso Básico de Vigilância das IST/HIV/AIDS, Sífilis Congênita e Hepatites Virais - Turma Sertão Central (Público-alvo: Profissionais técnicos da vigilância epidemiológica e Atenção Primária à Saúde)</t>
  </si>
  <si>
    <t>Curso de Atualização em Vigilância em Saúde Ambiental Realização: Fortaleza</t>
  </si>
  <si>
    <t>Curso de Aperfeiçoamento em Infectologia. Realização: Fortaleza</t>
  </si>
  <si>
    <t>AGOSTO</t>
  </si>
  <si>
    <t>Curso Codificação de Causa Básica do Óbito   Realização: Fortaleza</t>
  </si>
  <si>
    <t>Curso básico de Vigilância da Tuberculose - Turma Sertão Central / Litoral Leste | Realização: Fortaleza</t>
  </si>
  <si>
    <t>II CURSO BÁSICO EM EPS</t>
  </si>
  <si>
    <t>Curso Básico de Vigilância em Saúde do(a) Trabalhador(a) na Atenção Primária à Saúde - Turma 2 Fortaleza</t>
  </si>
  <si>
    <t>Curso de Vigilância das Doenças e Agravos Relacionados ao Trabalho - Turma SRCEN</t>
  </si>
  <si>
    <t>Início da Campanha Eleitoral</t>
  </si>
  <si>
    <t xml:space="preserve">Seminário Febre do Oropouche: o que saber para enfrentar a arbovirose no Ceará?
Público: médicos, enfermeiros e demais profissionais da saúde que atuam na identificação, estratificação de risco e manejo clínico de pacientes com casos suspeitos ou confirmados da Febre do Oropouche de todas as SRs. </t>
  </si>
  <si>
    <t>FERIADO MUNICIPAL - FORTALEZA</t>
  </si>
  <si>
    <t>Curso Básico para Registrador de Câncer (RHC) - SRFOR, Cariri e Norte | Realização: Fortaleza</t>
  </si>
  <si>
    <r>
      <rPr>
        <rFont val="Arial"/>
        <color theme="1"/>
      </rPr>
      <t xml:space="preserve">Curso Básico para </t>
    </r>
    <r>
      <rPr>
        <rFont val="Arial"/>
        <color theme="1"/>
      </rPr>
      <t>Registrador de Câncer (RHC) - SRFOR, Cariri e Norte | Realização: Fortaleza</t>
    </r>
  </si>
  <si>
    <r>
      <rPr>
        <rFont val="Arial"/>
        <color theme="1"/>
      </rPr>
      <t xml:space="preserve">Curso Básico para </t>
    </r>
    <r>
      <rPr>
        <rFont val="Arial"/>
        <color theme="1"/>
      </rPr>
      <t>Registrador de Câncer (RHC) - SRFOR, Cariri e Norte | Realização: Fortaleza</t>
    </r>
  </si>
  <si>
    <r>
      <rPr>
        <rFont val="Arial"/>
        <color theme="1"/>
      </rPr>
      <t xml:space="preserve">Curso Básico para </t>
    </r>
    <r>
      <rPr>
        <rFont val="Arial"/>
        <color theme="1"/>
      </rPr>
      <t>Registrador de Câncer (RHC) - SRFOR, Cariri e Norte | Realização: Fortaleza</t>
    </r>
  </si>
  <si>
    <r>
      <rPr>
        <rFont val="Arial"/>
        <color theme="1"/>
      </rPr>
      <t xml:space="preserve">Curso Básico para </t>
    </r>
    <r>
      <rPr>
        <rFont val="Arial"/>
        <color theme="1"/>
      </rPr>
      <t>Registrador de Câncer (RHC) - SRFOR, Cariri e Norte | Realização: Fortaleza</t>
    </r>
  </si>
  <si>
    <t>Turma 2: Curso de Atualização em Vigilância Sanitária, Produtos e Serviços de Saúde
Público-alvo:Técnicos municípios/ADS que atuam na vigilância sanitária
Região do Público: SR Norte, SR Fortaleza
Local de realização: Fortaleza</t>
  </si>
  <si>
    <t>SETEMBRO</t>
  </si>
  <si>
    <t xml:space="preserve">Curso Registrador de Câncer.Realização em Fortaleza.Público: registradores de cancêr que atuam nos hospitais. </t>
  </si>
  <si>
    <t>Curso Básico de Controle Químico Residual para vetores da Doença de Chagas e Leishmaniose - Turma Crato</t>
  </si>
  <si>
    <t>NOVEMBRO</t>
  </si>
  <si>
    <t>FERIADO - PROCLAMAÇÃO DA REPÚBLICA</t>
  </si>
  <si>
    <t>FERIADO - DIA DA CONSCIENCIA NEGRA</t>
  </si>
  <si>
    <t>Curso Básico de Controle Químico Residual para vetores da Doença de Chagas e Leishmaniose - Turma Sobral</t>
  </si>
  <si>
    <t>DEZEMBRO</t>
  </si>
  <si>
    <t>IV ENCONTRO ESTADUAL DA REDE SAÚDE ESCOLA/ IV MOSTRA DE EXPERIÊNCIAS EM EPS</t>
  </si>
  <si>
    <t>FERIADO - NATAL</t>
  </si>
  <si>
    <r>
      <rPr>
        <rFont val="Arial"/>
        <b/>
        <color rgb="FF000000"/>
      </rPr>
      <t xml:space="preserve">Data da CI </t>
    </r>
    <r>
      <rPr>
        <rFont val="Arial"/>
        <b val="0"/>
        <color rgb="FF000000"/>
      </rPr>
      <t>(60 dias antes)</t>
    </r>
  </si>
  <si>
    <r>
      <rPr>
        <rFont val="Arial"/>
        <b/>
        <color rgb="FF000000"/>
      </rPr>
      <t>DIEPS</t>
    </r>
    <r>
      <rPr>
        <rFont val="Arial"/>
        <b val="0"/>
        <color rgb="FF000000"/>
      </rPr>
      <t xml:space="preserve"> (4 dias)</t>
    </r>
  </si>
  <si>
    <r>
      <rPr>
        <rFont val="Arial"/>
        <b/>
        <color rgb="FF000000"/>
      </rPr>
      <t xml:space="preserve">Data do envio do ofício pela Superintendência ESP </t>
    </r>
    <r>
      <rPr>
        <rFont val="Arial"/>
        <b val="0"/>
        <color rgb="FF000000"/>
      </rPr>
      <t>(4 dias)</t>
    </r>
  </si>
  <si>
    <t>Data em que SEADE recebe ofício</t>
  </si>
  <si>
    <r>
      <rPr>
        <rFont val="Arial"/>
        <b/>
        <color rgb="FF000000"/>
      </rPr>
      <t>SEADE envia ofício para SR</t>
    </r>
    <r>
      <rPr>
        <rFont val="Arial"/>
        <b val="0"/>
        <color rgb="FF000000"/>
      </rPr>
      <t xml:space="preserve"> (4 dias)</t>
    </r>
  </si>
  <si>
    <t>Data em que SR recebe ofício</t>
  </si>
  <si>
    <r>
      <rPr>
        <rFont val="Arial"/>
        <b/>
        <color rgb="FF000000"/>
      </rPr>
      <t>SR envia ofício para NUREPS</t>
    </r>
    <r>
      <rPr>
        <rFont val="Arial"/>
        <b val="0"/>
        <color rgb="FF000000"/>
      </rPr>
      <t xml:space="preserve"> (2 dias)</t>
    </r>
  </si>
  <si>
    <r>
      <rPr>
        <rFont val="Arial"/>
        <b/>
        <color rgb="FF000000"/>
      </rPr>
      <t>NUREPS encaminha para NUMEPS ou SMS</t>
    </r>
    <r>
      <rPr>
        <rFont val="Arial"/>
        <b val="0"/>
        <color rgb="FF000000"/>
      </rPr>
      <t xml:space="preserve"> (5 dias)</t>
    </r>
  </si>
  <si>
    <r>
      <rPr>
        <rFont val="Arial"/>
        <b/>
        <color rgb="FF000000"/>
      </rPr>
      <t>NUMEPS lista de inscritos para SR</t>
    </r>
    <r>
      <rPr>
        <rFont val="Arial"/>
        <b val="0"/>
        <color rgb="FF000000"/>
      </rPr>
      <t xml:space="preserve"> (10 dias)</t>
    </r>
  </si>
  <si>
    <r>
      <rPr>
        <rFont val="Arial"/>
        <b/>
        <color rgb="FF000000"/>
      </rPr>
      <t>SR lista de inscritos para SEADE</t>
    </r>
    <r>
      <rPr>
        <rFont val="Arial"/>
        <b val="0"/>
        <color rgb="FF000000"/>
      </rPr>
      <t xml:space="preserve"> (2 dias)</t>
    </r>
  </si>
  <si>
    <r>
      <rPr>
        <rFont val="Arial"/>
        <b/>
        <color rgb="FF000000"/>
      </rPr>
      <t>SEADE lista de inscritos para ESP</t>
    </r>
    <r>
      <rPr>
        <rFont val="Arial"/>
        <b val="0"/>
        <color rgb="FF000000"/>
      </rPr>
      <t xml:space="preserve"> (2 dias)</t>
    </r>
  </si>
  <si>
    <t>Curso Introdutório em Saúde Mental e Atenção Psicossocial (SMAPS)</t>
  </si>
  <si>
    <t>Execução Financeira 2023</t>
  </si>
  <si>
    <t>DISPONIBILIZADO (PLANO DE CAPACITAÇÃO)</t>
  </si>
  <si>
    <t>VALOR ESTIMADO PARA O CURSO</t>
  </si>
  <si>
    <t>VALOR EMPENHADO</t>
  </si>
  <si>
    <t>O QUE RESTA A SER EXECUTADO</t>
  </si>
  <si>
    <t>VALOR ESTIMADO PARA BOLSA</t>
  </si>
  <si>
    <t>VALOR EMPENHADO PARA BOLSA</t>
  </si>
  <si>
    <t>EXECUÇÃO FINANCEIRA 2024 (%)</t>
  </si>
  <si>
    <t>JUSTIFICATIVA PARA EVENTUAIS DESVIOS</t>
  </si>
  <si>
    <t>CURSOS</t>
  </si>
  <si>
    <t>VAGAS (TOTAL)</t>
  </si>
  <si>
    <t>PACTUAÇÃO</t>
  </si>
  <si>
    <t>VIGÊNCIA</t>
  </si>
  <si>
    <t>TRANSPLANTE</t>
  </si>
  <si>
    <t>EM PACTUAÇÃO</t>
  </si>
  <si>
    <t>Workshop Desafios na Entrevista Familiar</t>
  </si>
  <si>
    <t>Workshop de Reestruturação da Rede de Procura de órgãos do Estado do Ceará</t>
  </si>
  <si>
    <t>RESE</t>
  </si>
  <si>
    <t>II Curso Básico em EPS</t>
  </si>
  <si>
    <t>PACTUADO</t>
  </si>
  <si>
    <t>Curso de Planejamento, monitoramento e avaliação em  Imersão em EPS</t>
  </si>
  <si>
    <t>V Imersão em EPS</t>
  </si>
  <si>
    <t>IV Encontro RESE</t>
  </si>
  <si>
    <t>AUTOSMAPS</t>
  </si>
  <si>
    <t>Introdutório (60h/a)</t>
  </si>
  <si>
    <t>Clínico Básico I (60h/a)</t>
  </si>
  <si>
    <t>Clínico Básico II (60h/a)</t>
  </si>
  <si>
    <t>Clínico Avançado I (80h/a)</t>
  </si>
  <si>
    <t>Clínico Avançado II (80h/a)</t>
  </si>
  <si>
    <t>PÉ DIABÉTICO</t>
  </si>
  <si>
    <t xml:space="preserve">Curso Básico de Avaliação e Cuidados do Pé Diabético                                        </t>
  </si>
  <si>
    <t>2024/2025</t>
  </si>
  <si>
    <t>FORMAÇÃO DE REGULADORES DE FILAS VIRTUAIS PARA PROFISSIONAIS DE SAÚDE</t>
  </si>
  <si>
    <t>PROGRAMA DE APERFEIÇOAMENTO PARA CONSTRUÇÃO DE PROTOCOLOS AMBULATORIAIS - FORTALEZA</t>
  </si>
  <si>
    <t>PROGRAMA DE APERFEIÇOAMENTO PARA CONSTRUÇÃO DE PROTOCOLOS AMBULATORIAIS - SOBRAL/CARIRI</t>
  </si>
  <si>
    <t>OFICINAS SAMU</t>
  </si>
  <si>
    <t>ENDEMIAS</t>
  </si>
  <si>
    <t>Curso Virtual de Vigilância e Controle da doença de Chagas</t>
  </si>
  <si>
    <t>Curso Básico de Raiva: Colheita, acondicionamento e envio de amostras - Leste</t>
  </si>
  <si>
    <t>IV capacitação sobre diagnostico e tratamento de acidentes por animais peçonhentos para médicos e enfermeiros</t>
  </si>
  <si>
    <t>EPIDEMIOLOGIA EM SERVIÇO</t>
  </si>
  <si>
    <t>CURSO BÁSICO DE VIGILÂNCIA DE TUBERCULOSE</t>
  </si>
  <si>
    <t>CURSO BÁSICO DE VIGILÂNCIA DA HANSENÍASE E PREVENÇÃO DE INCAPACIDADES</t>
  </si>
  <si>
    <t>CURSO DE VIGILÂNCIA DO ÓBITO MATERNO, INFANTIL E FETAL E ÓBITOS COM CAUSA BÁSICA MAL DEFINIDA</t>
  </si>
  <si>
    <t>CURSO BÁSICO DE VIGILÂNCIA DE CAUSAS EXTERNAS (VIOLÊNCIAS E ACIDENTES)</t>
  </si>
  <si>
    <t>CURSO BÁSICO PARA REGISTRADOR DE CÂNCER (RHC)</t>
  </si>
  <si>
    <t>CURSO TEÓRICO PRÁTICO DE VIGILÂNCIA DAS MENINGITES E DOENÇAS EXANTEMÁTICAS</t>
  </si>
  <si>
    <t>CURSO DE VIGILÂNCIA EPIDEMIOLÓGICA DA COVID, INFLUENZA E OUTROS VÍRUS RESPIRATÓRIOS (OVR) - FORTALEZA</t>
  </si>
  <si>
    <t>CURSO DE VIGILÂNCIA EPIDEMIOLÓGICA DA COVID, INFLUENZA E OUTROS VÍRUS RESPIRATÓRIOS (OVR) - SOBRAL</t>
  </si>
  <si>
    <t>CURSO BÁSICO DE VIGILÂNCIA DAS IST/HIV/AIDS. SÍFILIS CONGÊNITA E HEPATITES VIRAIS - CARIRI</t>
  </si>
  <si>
    <t xml:space="preserve">EM PACTUAÇÃO </t>
  </si>
  <si>
    <t>CURSO BÁSICO DE VIGILÂNCIA DAS IST/HIV/AIDS. SÍFILIS CONGÊNITA E HEPATITES VIRAIS - SERTÃO CENTRAL</t>
  </si>
  <si>
    <t>Qualificação e Resposta as Emergência em Saúde</t>
  </si>
  <si>
    <t>CURSO DE CODIFICAÇÃO DE CAUSA BÁSICA DO ÓBITO - CARIRI</t>
  </si>
  <si>
    <t>CURSO DE CODIFICAÇÃO DE CAUSA BÁSICA DO ÓBITO - FORTALEZA</t>
  </si>
  <si>
    <t>CURSO BÁSICO DE INVESTIGAÇÃO DE SURTO</t>
  </si>
  <si>
    <t>Sala de Vacina</t>
  </si>
  <si>
    <t>Curso básico de atualização em imunização para população indígena e comunidades tradicionais</t>
  </si>
  <si>
    <t>Saúde do Trabalhador</t>
  </si>
  <si>
    <t>CURSO BÁSICO DE VIGILÂNCIA EM SAÚDE DO TRABALHADOR NA ATENÇÃO PRIMÁRIA À SAÚDE - SOBRAL</t>
  </si>
  <si>
    <t>CURSO BÁSICO DE VIGILÂNCIA EM SAÚDE DO TRABALHADOR NA ATENÇÃO PRIMÁRIA À SAÚDE - FORTALEZA</t>
  </si>
  <si>
    <t>CURSO DE ATUALIZAÇÃO EM VIGILÂNCIA EM SAÚDE AMBIENTAL - FORTALEZA</t>
  </si>
  <si>
    <t>CURSO DE VIGILÂNCIA DE POPULAÇÕES EXPOSTAS A MINERAÇÃO DE URÂNIO E FOSFATO NO CEARÁ - SOBRAL</t>
  </si>
  <si>
    <t>CURSO DE VIGILÂNCIA DAS DOENÇAS E AGRAVOS RELACIONADOS AO TRABALHO - QUIXADÁ</t>
  </si>
  <si>
    <t>CURSO DE VIGILÂNCIA DAS DOENÇAS E AGRAVOS RELACIONADOS AO TRABALHO - CARIRI</t>
  </si>
  <si>
    <t>Vigilância Sanitária</t>
  </si>
  <si>
    <t>ATUALIZAÇÃO EM VIGILÂNCIA SANITÁRIA, PRODUTOS E SERVIÇOS DE SAÚDE</t>
  </si>
  <si>
    <t xml:space="preserve">MOVIMENTA SAÚDE MENTAL </t>
  </si>
  <si>
    <t>Crise e urgência em Saúde Mental</t>
  </si>
  <si>
    <t>2024-2025</t>
  </si>
  <si>
    <t>Prevenção e posvenção ao suicídio</t>
  </si>
  <si>
    <t>Saúde mental infantojuvenil</t>
  </si>
  <si>
    <t>Processos de trabalho em saúde mental Módulo I “Territorialização, Projeto Terapêutico Singular e Projeto Terapêutico Institucional”</t>
  </si>
  <si>
    <t>Processos de trabalho em saúde mental Módulo II “Cuidado humanizado, Intersetorialidade e Matriciamento”</t>
  </si>
  <si>
    <t>Saúde mental, álcool e outras drogas Módulo I</t>
  </si>
  <si>
    <t>Saúde mental, álcool e outras drogas Módulo II</t>
  </si>
  <si>
    <t>Saúde Mental e populações vulneráveis: população em situação de rua, LGBTQI+ e Mulheres em situação de vulnerabilidade decorrentes de contextos de violência, em decorrência do uso de álcool e outras drogas, em ciclo gravídico-puerperal e Pessoa com Deficiência</t>
  </si>
  <si>
    <t>Curso de Atualização em Rastreamento de Câncer de Colo do Útero - 2024</t>
  </si>
  <si>
    <t>Hospital São José</t>
  </si>
  <si>
    <t>CURSO DE ATUALIZAÇÃO DE PROTOCOLOS CLÍNICOS EM INFECTOLOGIA</t>
  </si>
  <si>
    <t>MATERNO-INFANTIL</t>
  </si>
  <si>
    <t>EM CONSTRUÇÃO</t>
  </si>
  <si>
    <t>TOTAL GERAL</t>
  </si>
  <si>
    <t>PROFESSOR</t>
  </si>
  <si>
    <t>PERÍODO</t>
  </si>
  <si>
    <t>PRIORIDADE</t>
  </si>
  <si>
    <t>LIMITE EMPENHO</t>
  </si>
  <si>
    <t>CURSO BÁSICO DE VIGILÂNCIA DE IST/HIV/AIDS, SÍFILIS E HEPATITES VIRAIS</t>
  </si>
  <si>
    <t>Telma Alves Martins</t>
  </si>
  <si>
    <t>20 a 27/05/2024</t>
  </si>
  <si>
    <t>20h</t>
  </si>
  <si>
    <t>Gratificação de Magistério</t>
  </si>
  <si>
    <t>Aguardando</t>
  </si>
  <si>
    <t>03 a 10/06/2024</t>
  </si>
  <si>
    <t>24 a 31/07/2024</t>
  </si>
  <si>
    <t>01 a 08/08/2024</t>
  </si>
  <si>
    <t>Maria Vilani de Matos Sena</t>
  </si>
  <si>
    <t>20 a 24/05/2024</t>
  </si>
  <si>
    <t>40h</t>
  </si>
  <si>
    <t>ARQUIVADO</t>
  </si>
  <si>
    <t>29 a 31/07/2024</t>
  </si>
  <si>
    <t>24h</t>
  </si>
  <si>
    <t>01 a 02/08/2024</t>
  </si>
  <si>
    <t>16h</t>
  </si>
  <si>
    <t>Karene Ferreira Cavalcante</t>
  </si>
  <si>
    <t>30h</t>
  </si>
  <si>
    <t>20 e 21/06/2024</t>
  </si>
  <si>
    <t>14h</t>
  </si>
  <si>
    <t>Elza Gadelha Lima</t>
  </si>
  <si>
    <t>6h</t>
  </si>
  <si>
    <t>Curso de Vigilância e Atenção em Saúde em Territórios Afetados pela Mineração de Urânio e Fosfato no Ceará</t>
  </si>
  <si>
    <t>Rafael Dias de Melo</t>
  </si>
  <si>
    <t>27/06/2024 a 05/07/2024</t>
  </si>
  <si>
    <t>53h</t>
  </si>
  <si>
    <t>Curso Teórico-Prático de Vigilância das Meningites e Doenças Exantemáticas</t>
  </si>
  <si>
    <t>IZABEL LETÍCIA CAVALCANTE RAMALHO</t>
  </si>
  <si>
    <t>04h</t>
  </si>
  <si>
    <t>KARENE FERREIRA CAVALCANTE</t>
  </si>
  <si>
    <t>Surama Valena Elarrat</t>
  </si>
  <si>
    <t>20 a 21/05/2024</t>
  </si>
  <si>
    <t>08h</t>
  </si>
  <si>
    <t>Professor Visitante</t>
  </si>
  <si>
    <t>JEANE LEANDRO DIAS</t>
  </si>
  <si>
    <t>21 a 24/05/2024</t>
  </si>
  <si>
    <t>32h</t>
  </si>
  <si>
    <t>CURSO DE VIGILÂNCIA EPIDEMIOLÓGICA DA COVID-19, INFLUENZA E OUTROS VÍRUS RESPIRATÓRIOS</t>
  </si>
  <si>
    <t>CARLOS GARCIA FILHO</t>
  </si>
  <si>
    <t>06h</t>
  </si>
  <si>
    <t>JEOVÁ KENY COLARES</t>
  </si>
  <si>
    <t>24 a 25/04/2024</t>
  </si>
  <si>
    <t>8h</t>
  </si>
  <si>
    <t>PAMELA MARIA COSTA LINHARES</t>
  </si>
  <si>
    <t>22 a 29/04/2024
06 a 13/05/2024</t>
  </si>
  <si>
    <t>48h</t>
  </si>
  <si>
    <t>KARIZYA HOLANDA VERISSIMO RIBEIRO</t>
  </si>
  <si>
    <t>NICOLE SILVA FRANÇA</t>
  </si>
  <si>
    <t>ANA KARINE BORGES CARNEIRO</t>
  </si>
  <si>
    <t>CURSO DE VIGILÂNCIA DO ÓBITO MATERNO, INFANTIL, FETAL E ÓBITOS COM CAUSA BÁSICA MAL DEFINIDAS</t>
  </si>
  <si>
    <t>PEDRO ANTONIO DE CASTRO ALBUQUERQUE</t>
  </si>
  <si>
    <t>03 a 14/06/2024</t>
  </si>
  <si>
    <t>80h</t>
  </si>
  <si>
    <t>EDIANIA DE CASTRO ALBUQUERQUE</t>
  </si>
  <si>
    <t>03 a 11/06/2024</t>
  </si>
  <si>
    <t>56h</t>
  </si>
  <si>
    <t>MARIA SOCORRO MOISES DE MELO</t>
  </si>
  <si>
    <t>03 a 07/06/2024</t>
  </si>
  <si>
    <t>Fernanda Candido Santos Euzebio</t>
  </si>
  <si>
    <t>07 a 13 e 21/06/2024</t>
  </si>
  <si>
    <t>Agendado</t>
  </si>
  <si>
    <t>Gisela Maria Matos Serejo</t>
  </si>
  <si>
    <t>07, 12 a 14, 21/06/2024</t>
  </si>
  <si>
    <t>36h</t>
  </si>
  <si>
    <t>Jane Mary De Miranda Lima</t>
  </si>
  <si>
    <t>07, 10, 11 e 21/06/2024</t>
  </si>
  <si>
    <t>28h</t>
  </si>
  <si>
    <t>Jeane Leandro Dias</t>
  </si>
  <si>
    <t>4h</t>
  </si>
  <si>
    <t>Luciana Sávia Masullo Vieira</t>
  </si>
  <si>
    <t>07, 13, 14 e 21/06/2024</t>
  </si>
  <si>
    <t>Maxmiria Holanda Batista</t>
  </si>
  <si>
    <t>07, 13 e 21/06/2024</t>
  </si>
  <si>
    <t>Robson Reuris Maia Andrade</t>
  </si>
  <si>
    <t>Antonio carlos Araújo Fraga</t>
  </si>
  <si>
    <t>17 à 21/06/2024</t>
  </si>
  <si>
    <t>Jane Cris de Lima Cunha</t>
  </si>
  <si>
    <t>24 e 25/07/2024</t>
  </si>
  <si>
    <t>Maria Virma de Freitas Machado</t>
  </si>
  <si>
    <t>22 à 26/07/2024</t>
  </si>
  <si>
    <t>Regina Maria Vale de Carvalho</t>
  </si>
  <si>
    <t>Rosimary da Silva Barbosa</t>
  </si>
  <si>
    <t>17 à 19/06/2024</t>
  </si>
  <si>
    <t>Tereza Rosane de Araújo Felipe Torres Lima</t>
  </si>
  <si>
    <t>Alexandra Castelo Branco Bezerra de Menezes</t>
  </si>
  <si>
    <t>24, 25 e 26/07/2024</t>
  </si>
  <si>
    <t>12h</t>
  </si>
  <si>
    <t>Arlete cavalcante girão</t>
  </si>
  <si>
    <t>25 e 26/07/2024</t>
  </si>
  <si>
    <t>Dijesus maria josé da silva</t>
  </si>
  <si>
    <t>Marcelo ivan rojas</t>
  </si>
  <si>
    <t>Maria de Fátima Tereza de Albuquerque Corrêa</t>
  </si>
  <si>
    <t>19, 22, 23, 24, 25 e 26/07/2024</t>
  </si>
  <si>
    <t>24 h</t>
  </si>
  <si>
    <t>Maria Dolores Duarte fernandes</t>
  </si>
  <si>
    <t>Thaís Nogueira Facó de Paula Pessoa</t>
  </si>
  <si>
    <t>27/06 a 04/07 e 12/07/2024</t>
  </si>
  <si>
    <t>Úrsula de Sousa Caminha</t>
  </si>
  <si>
    <t>01, 04, 09 a 12/07/024</t>
  </si>
  <si>
    <t>Emerson Mariano da Silva</t>
  </si>
  <si>
    <t>5h</t>
  </si>
  <si>
    <t>Luiz Correia Filho</t>
  </si>
  <si>
    <t>30 e 31/07/2024</t>
  </si>
  <si>
    <t>7h</t>
  </si>
  <si>
    <t>Curso Básico de Vigilância em Saúde do(a) Trabalhador(a) na Atenção Primária à Saúde</t>
  </si>
  <si>
    <t>ELINE MARA TAVARES MACEDO</t>
  </si>
  <si>
    <t>16 a 19/07/2024</t>
  </si>
  <si>
    <t>GISELA MARIA MATOS SEREJO</t>
  </si>
  <si>
    <t>17 e 18/07/2024</t>
  </si>
  <si>
    <t>MIKE DOUGLAS LOPES FERNANDES</t>
  </si>
  <si>
    <t>11, 12 e 18/07/2024</t>
  </si>
  <si>
    <t>31/07 a 07/08/2024</t>
  </si>
  <si>
    <t>44h</t>
  </si>
  <si>
    <t>Carla Vasconcelos Freitas</t>
  </si>
  <si>
    <t>Tatiana Cisne Souza</t>
  </si>
  <si>
    <t>31 e 31/07/2024</t>
  </si>
  <si>
    <t>Jane Mary de Miranda Lima</t>
  </si>
  <si>
    <t>3h</t>
  </si>
  <si>
    <t>Francisco Bergson Pinheiro Moura</t>
  </si>
  <si>
    <t>Flávia Vasconcelos de Araújo Martins</t>
  </si>
  <si>
    <t>Viviane de Amorim Duarte</t>
  </si>
  <si>
    <t>29/07/2024 a 02/08/2024</t>
  </si>
  <si>
    <t>35h</t>
  </si>
  <si>
    <t>Helenira Fonseca de Alencar</t>
  </si>
  <si>
    <t>Juliana Alencar Moreira Borges</t>
  </si>
  <si>
    <t>Kellyn Kessiene de Sousa Cavalcante</t>
  </si>
  <si>
    <t>22, 23 e 30/08/2024</t>
  </si>
  <si>
    <t>21, 22 e 30/08/2024</t>
  </si>
  <si>
    <t>09, 21, 22 e 30/08/2024</t>
  </si>
  <si>
    <t>MAYANA DE AZEVEDO DANTAS</t>
  </si>
  <si>
    <t>19 e 20/08/2024</t>
  </si>
  <si>
    <t>10h</t>
  </si>
  <si>
    <t>19, 20, 21 e 23/08/2024</t>
  </si>
  <si>
    <t>26h</t>
  </si>
  <si>
    <t>15, 16 e 23/08/2024</t>
  </si>
  <si>
    <t>19, 20 e 23/08/2024</t>
  </si>
  <si>
    <t>22h</t>
  </si>
  <si>
    <t>16, 16, 22 e 23/08/2024</t>
  </si>
  <si>
    <t>16, 19, 20 e 23/08/2024</t>
  </si>
  <si>
    <t>Carlos Garcia Filho</t>
  </si>
  <si>
    <t xml:space="preserve">22 a 31/07/2024 </t>
  </si>
  <si>
    <t xml:space="preserve">05 a 14/08/2024 </t>
  </si>
  <si>
    <t xml:space="preserve">22 a 24/07/2024 </t>
  </si>
  <si>
    <t xml:space="preserve">25 a 26/07/2024 </t>
  </si>
  <si>
    <t xml:space="preserve">05 a 09/08/2024 </t>
  </si>
  <si>
    <t>Amanda Cavalcante Maia</t>
  </si>
  <si>
    <t>29/07/2024 a 08/08/2024</t>
  </si>
  <si>
    <t>Adriano Rodrigues de Souza</t>
  </si>
  <si>
    <t>29/07/2024 a 07/08/2024</t>
  </si>
  <si>
    <t>Daiana de Jesus Moreira</t>
  </si>
  <si>
    <t>Israel Silva sampaio Gomes</t>
  </si>
  <si>
    <t>Laís Maria Germano Canuto Sales</t>
  </si>
  <si>
    <t>Luís Lopes Sombra Neto</t>
  </si>
  <si>
    <t>Thiago Sousa Félix</t>
  </si>
  <si>
    <t>Alexandre Semeraro de Alcântara Nogueira</t>
  </si>
  <si>
    <t>Beatriz da Silva Lima</t>
  </si>
  <si>
    <t>Débora Rocha Carvalho</t>
  </si>
  <si>
    <t>Emylio César Santos da Silva</t>
  </si>
  <si>
    <t>Felipe Salviano Ramos</t>
  </si>
  <si>
    <t>Curso Processos de Trabalho em Saúde Mental: Territorialização, Projeto Terapêutico Singular e Projeto Terapêutico Institucional</t>
  </si>
  <si>
    <t>09/08/2024 a 19/08/2024</t>
  </si>
  <si>
    <t>Núbia Dias Costa Caetano</t>
  </si>
  <si>
    <t>29/07/2024 a 13/08/2024</t>
  </si>
  <si>
    <t>Sylvia de Sousa e Silva</t>
  </si>
  <si>
    <t>08/08/2024 a 21/08/2024</t>
  </si>
  <si>
    <t>Rodrigo Rodrigues</t>
  </si>
  <si>
    <t>IMPORTANTE</t>
  </si>
  <si>
    <t>Esta aba é apenas para consulta dos colaboradores da GEDUC. Os dados são exportados de outra planilha, preenchida pela diretoria e pessoas designadas em cada área.</t>
  </si>
  <si>
    <t>ENTREGA TRABALHADOR CAPACITADO - GEDUC - 2024</t>
  </si>
  <si>
    <t>POR QUADRIMESTRE</t>
  </si>
  <si>
    <t>POR REGIÃO ADMINISTRATIVA</t>
  </si>
  <si>
    <t>01 - CARIRI</t>
  </si>
  <si>
    <t>02 - CENTRO SUL</t>
  </si>
  <si>
    <t>03 - GRANDE FORTALEZA</t>
  </si>
  <si>
    <t>04 - LESTE LITORAL</t>
  </si>
  <si>
    <t>05 - NORTE LITORAL</t>
  </si>
  <si>
    <t xml:space="preserve">06 - LITORAL OESTE / VALE DO CURU	</t>
  </si>
  <si>
    <t>07 - MACIÇO DO BATURITÉ</t>
  </si>
  <si>
    <t>08 - SERRA DA IBIAPABA</t>
  </si>
  <si>
    <t>09 - SERTÃO CENTRAL</t>
  </si>
  <si>
    <t>10 - SERTÃO DE CANINDÉ</t>
  </si>
  <si>
    <t>11 - SERTÃO DE SOBRAL</t>
  </si>
  <si>
    <t>12 - SERTÃO DOS CRATEÚS</t>
  </si>
  <si>
    <t>13 - SERTÃO DOS INHAMUNS</t>
  </si>
  <si>
    <t>14 - VALE DO JAGUARIBE</t>
  </si>
  <si>
    <t>15 - ESTADO DO CEARÁ</t>
  </si>
  <si>
    <r>
      <rPr>
        <rFont val="Arial"/>
        <color rgb="FF000000"/>
      </rPr>
      <t>"</t>
    </r>
    <r>
      <rPr>
        <rFont val="Arial"/>
        <color rgb="FF1155CC"/>
      </rPr>
      <t>https://docs.google.com/spreadsheets/d/1t6Bw17doKIFsfMEH8xu7wgWPM2ojnpUSCOMcJIxVGt0/edit?usp=sharing</t>
    </r>
    <r>
      <rPr>
        <rFont val="Arial"/>
        <color rgb="FF000000"/>
      </rPr>
      <t>"</t>
    </r>
  </si>
  <si>
    <r>
      <rPr>
        <rFont val="Arial"/>
        <color rgb="FF000000"/>
      </rPr>
      <t>"</t>
    </r>
    <r>
      <rPr>
        <rFont val="Arial"/>
        <color rgb="FF1155CC"/>
      </rPr>
      <t>https://docs.google.com/spreadsheets/d/1IneaaYmlvZRYkWmEa01LRzluwW5SxcfC9nyNHoBAGLA/edit?usp=sharing</t>
    </r>
    <r>
      <rPr>
        <rFont val="Arial"/>
        <color rgb="FF000000"/>
      </rPr>
      <t>"</t>
    </r>
  </si>
  <si>
    <r>
      <rPr>
        <rFont val="Arial"/>
        <color rgb="FF000000"/>
      </rPr>
      <t>"</t>
    </r>
    <r>
      <rPr>
        <rFont val="Arial"/>
        <color rgb="FF1155CC"/>
      </rPr>
      <t>https://docs.google.com/spreadsheets/d/1onXjeKSBf4qsiI-Dx4-ldhayBp8-mX3eF3S8803xWjg/edit?usp=sharing</t>
    </r>
    <r>
      <rPr>
        <rFont val="Arial"/>
        <color rgb="FF000000"/>
      </rPr>
      <t>"</t>
    </r>
  </si>
  <si>
    <r>
      <rPr>
        <rFont val="Arial"/>
        <color rgb="FF000000"/>
      </rPr>
      <t>"</t>
    </r>
    <r>
      <rPr>
        <rFont val="Arial"/>
        <color rgb="FF1155CC"/>
      </rPr>
      <t>https://docs.google.com/spreadsheets/d/1KgBTXpcsImBJbHdt4K205sog_rvAaRkZAUuAiGBHcfA/edit?usp=sharing</t>
    </r>
    <r>
      <rPr>
        <rFont val="Arial"/>
        <color rgb="FF000000"/>
      </rPr>
      <t>"</t>
    </r>
  </si>
  <si>
    <r>
      <rPr>
        <rFont val="Arial"/>
      </rPr>
      <t>"</t>
    </r>
    <r>
      <rPr>
        <rFont val="Arial"/>
        <color rgb="FF000000"/>
      </rPr>
      <t>https://docs.google.com/spreadsheets/d/1Ma319BAaVCPPnscr0VhAeXrHsH4Akl8FaDBp7XGB29U/edit?usp=sharing</t>
    </r>
    <r>
      <rPr>
        <rFont val="Arial"/>
      </rPr>
      <t>"</t>
    </r>
  </si>
  <si>
    <t>Saúde do(a) Trabalhador(a)</t>
  </si>
  <si>
    <r>
      <rPr>
        <rFont val="Arial"/>
        <color rgb="FF000000"/>
      </rPr>
      <t>"</t>
    </r>
    <r>
      <rPr>
        <rFont val="Arial"/>
        <color rgb="FF0000FF"/>
      </rPr>
      <t>https://docs.google.com/spreadsheets/d/1pkSPO24yrCIW9RekvTAwipj5K7t0Dvsz9yknCaWh1p0/edit?usp=sharing</t>
    </r>
    <r>
      <rPr>
        <rFont val="Arial"/>
        <color rgb="FF000000"/>
      </rPr>
      <t>"</t>
    </r>
  </si>
  <si>
    <r>
      <rPr>
        <rFont val="Arial"/>
      </rPr>
      <t>"</t>
    </r>
    <r>
      <rPr>
        <rFont val="Arial"/>
        <color rgb="FF000000"/>
      </rPr>
      <t>https://docs.google.com/spreadsheets/d/1KSlw6x46y1AhKNUyY7oMDpISBc7mXjni8HiaBhcNDIw/edit?usp=sharing</t>
    </r>
    <r>
      <rPr>
        <rFont val="Arial"/>
      </rPr>
      <t>"</t>
    </r>
  </si>
  <si>
    <r>
      <rPr>
        <rFont val="Arial"/>
        <color rgb="FF000000"/>
      </rPr>
      <t>"</t>
    </r>
    <r>
      <rPr>
        <rFont val="Arial"/>
        <color rgb="FF1155CC"/>
      </rPr>
      <t>https://docs.google.com/spreadsheets/d/1JLM5vWKFNrNrrKGzOSoEtaoPfeDgWF29r_lPlui8cuE/edit?usp=sharing</t>
    </r>
    <r>
      <rPr>
        <rFont val="Arial"/>
        <color rgb="FF000000"/>
      </rPr>
      <t>"</t>
    </r>
  </si>
  <si>
    <r>
      <rPr>
        <rFont val="Arial"/>
        <color rgb="FF000000"/>
      </rPr>
      <t>"</t>
    </r>
    <r>
      <rPr>
        <rFont val="Arial"/>
        <color rgb="FF1155CC"/>
      </rPr>
      <t>https://docs.google.com/spreadsheets/d/1axjbt21yYOmO3OX7wXdpKkpdKFLqx2ZYnqW38RrMUXg/edit?usp=sharing</t>
    </r>
    <r>
      <rPr>
        <rFont val="Arial"/>
        <color rgb="FF000000"/>
      </rPr>
      <t>"</t>
    </r>
  </si>
  <si>
    <r>
      <rPr>
        <rFont val="Arial"/>
        <color rgb="FF000000"/>
      </rPr>
      <t>"</t>
    </r>
    <r>
      <rPr>
        <rFont val="Arial"/>
        <color rgb="FF1155CC"/>
      </rPr>
      <t>https://docs.google.com/spreadsheets/d/1l33J3zkuKNG1RT2IGnZUs1DNt9rJmYiYdZjgCCXeySE/edit?usp=sharing</t>
    </r>
    <r>
      <rPr>
        <rFont val="Arial"/>
        <color rgb="FF000000"/>
      </rPr>
      <t>"</t>
    </r>
  </si>
  <si>
    <t>Manejo Clínico e Diag Lab. das Arboviroses</t>
  </si>
  <si>
    <r>
      <rPr>
        <rFont val="Arial"/>
      </rPr>
      <t>"</t>
    </r>
    <r>
      <rPr>
        <rFont val="Arial"/>
        <color rgb="FF1155CC"/>
        <u/>
      </rPr>
      <t>https://docs.google.com/spreadsheets/d/1Az4bNM67CdtQ4FRqR3Yg84flnYEYaxarXAlyu59Zz6s/edit?usp=sharing</t>
    </r>
    <r>
      <rPr>
        <rFont val="Arial"/>
      </rPr>
      <t>"</t>
    </r>
  </si>
  <si>
    <t>Educação Permanente em Urgência e Emergência</t>
  </si>
  <si>
    <r>
      <rPr>
        <rFont val="Arial"/>
        <color rgb="FF000000"/>
      </rPr>
      <t>"</t>
    </r>
    <r>
      <rPr>
        <rFont val="Arial"/>
        <color rgb="FF1155CC"/>
        <u/>
      </rPr>
      <t>https://docs.google.com/spreadsheets/d/1Lp6iOK2c77ON_FyogXeCaNEUwjn6ya476NTsDyevOZA/edit?usp=sharing</t>
    </r>
    <r>
      <rPr>
        <rFont val="Arial"/>
        <color rgb="FF000000"/>
      </rPr>
      <t>"</t>
    </r>
  </si>
  <si>
    <t>*previsão</t>
  </si>
  <si>
    <t>REGIÃO</t>
  </si>
  <si>
    <t>QTD.</t>
  </si>
  <si>
    <t>01 - Cariri</t>
  </si>
  <si>
    <t>02 - Centro Sul</t>
  </si>
  <si>
    <t>03 - Grande Fortaleza</t>
  </si>
  <si>
    <t>04 - Litoral Leste</t>
  </si>
  <si>
    <t>05 - Litoral Norte</t>
  </si>
  <si>
    <t>06 - Litoral Oeste/ Vale do Curu</t>
  </si>
  <si>
    <t>07 - Maciço de Baturité</t>
  </si>
  <si>
    <t>08 - Serra da Ibiapaba</t>
  </si>
  <si>
    <t>09 - Sertão Central</t>
  </si>
  <si>
    <t>10 - Sertão de Canindé</t>
  </si>
  <si>
    <t>11 - Sertão de Sobral</t>
  </si>
  <si>
    <t>12 - Sertão do Crateús</t>
  </si>
  <si>
    <t>13 - Sertão do Inhamus</t>
  </si>
  <si>
    <t>14 - Vale do Jaguaribe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</si>
</sst>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R$ -416]#,##0.00"/>
    <numFmt numFmtId="165" formatCode="dd/mm/yyyy"/>
    <numFmt numFmtId="166" formatCode="d/m/yyyy"/>
    <numFmt numFmtId="167" formatCode="dd/mm/yy"/>
    <numFmt numFmtId="168" formatCode="dd/mm"/>
    <numFmt numFmtId="169" formatCode="000000000000"/>
  </numFmts>
  <fonts count="85">
    <font>
      <sz val="10.0"/>
      <color rgb="FF000000"/>
      <name val="Arial"/>
      <scheme val="minor"/>
    </font>
    <font>
      <b/>
      <color theme="1"/>
      <name val="Arial"/>
      <scheme val="minor"/>
    </font>
    <font>
      <color theme="1"/>
      <name val="Arial"/>
      <scheme val="minor"/>
    </font>
    <font>
      <color rgb="FFFF0000"/>
      <name val="Arial"/>
      <scheme val="minor"/>
    </font>
    <font>
      <color theme="1"/>
      <name val="Arial"/>
    </font>
    <font>
      <b/>
      <color theme="1"/>
      <name val="Arial"/>
    </font>
    <font>
      <b/>
      <color rgb="FFFFFFFF"/>
      <name val="Arial"/>
    </font>
    <font>
      <color rgb="FF0000FF"/>
      <name val="Arial"/>
    </font>
    <font>
      <color rgb="FF000000"/>
      <name val="Arial"/>
    </font>
    <font>
      <sz val="8.0"/>
      <color rgb="FF000000"/>
      <name val="Arial"/>
      <scheme val="minor"/>
    </font>
    <font>
      <u/>
      <color rgb="FF0000FF"/>
    </font>
    <font>
      <sz val="8.0"/>
      <color theme="1"/>
      <name val="Arial"/>
      <scheme val="minor"/>
    </font>
    <font>
      <b/>
      <sz val="8.0"/>
      <color rgb="FFE36C09"/>
      <name val="Arial"/>
      <scheme val="minor"/>
    </font>
    <font>
      <b/>
      <sz val="12.0"/>
      <color theme="1"/>
      <name val="Arial"/>
      <scheme val="minor"/>
    </font>
    <font>
      <b/>
      <sz val="8.0"/>
      <color theme="1"/>
      <name val="Arial"/>
      <scheme val="minor"/>
    </font>
    <font>
      <b/>
      <sz val="9.0"/>
      <color theme="1"/>
      <name val="Arial"/>
      <scheme val="minor"/>
    </font>
    <font/>
    <font>
      <b/>
      <sz val="8.0"/>
      <color theme="1"/>
      <name val="Arial"/>
    </font>
    <font>
      <b/>
      <sz val="8.0"/>
      <color rgb="FF3F3F3F"/>
      <name val="Arial"/>
      <scheme val="minor"/>
    </font>
    <font>
      <b/>
      <sz val="8.0"/>
      <color rgb="FF3F3F3F"/>
      <name val="Arial"/>
    </font>
    <font>
      <sz val="8.0"/>
      <color rgb="FF3F3F3F"/>
      <name val="Arial"/>
      <scheme val="minor"/>
    </font>
    <font>
      <sz val="8.0"/>
      <color rgb="FFFFFFFF"/>
      <name val="Arial"/>
      <scheme val="minor"/>
    </font>
    <font>
      <sz val="9.0"/>
      <color theme="1"/>
      <name val="Arial"/>
      <scheme val="minor"/>
    </font>
    <font>
      <color rgb="FF000000"/>
      <name val="Arial"/>
      <scheme val="minor"/>
    </font>
    <font>
      <b/>
      <sz val="18.0"/>
      <color rgb="FF000000"/>
      <name val="Arial"/>
      <scheme val="minor"/>
    </font>
    <font>
      <u/>
      <color rgb="FF000000"/>
      <name val="Arial"/>
      <scheme val="minor"/>
    </font>
    <font>
      <b/>
      <color rgb="FF000000"/>
      <name val="Arial"/>
      <scheme val="minor"/>
    </font>
    <font>
      <b/>
      <sz val="9.0"/>
      <color rgb="FF000000"/>
      <name val="Arial"/>
      <scheme val="minor"/>
    </font>
    <font>
      <b/>
      <sz val="9.0"/>
      <color rgb="FF000000"/>
      <name val="Arial"/>
    </font>
    <font>
      <u/>
      <color rgb="FF000000"/>
      <name val="Arial"/>
      <scheme val="minor"/>
    </font>
    <font>
      <u/>
      <sz val="11.0"/>
      <color theme="1"/>
      <name val="Arial"/>
      <scheme val="minor"/>
    </font>
    <font>
      <sz val="11.0"/>
      <color theme="1"/>
      <name val="Arial"/>
      <scheme val="minor"/>
    </font>
    <font>
      <u/>
      <color rgb="FF000000"/>
      <name val="Arial"/>
      <scheme val="minor"/>
    </font>
    <font>
      <sz val="10.0"/>
      <color theme="1"/>
      <name val="Arial"/>
      <scheme val="minor"/>
    </font>
    <font>
      <u/>
      <color rgb="FF000000"/>
      <name val="Arial"/>
    </font>
    <font>
      <sz val="10.0"/>
      <color rgb="FFFFFFFF"/>
      <name val="Arial"/>
      <scheme val="minor"/>
    </font>
    <font>
      <u/>
      <color rgb="FF000000"/>
    </font>
    <font>
      <u/>
      <color rgb="FF000000"/>
    </font>
    <font>
      <u/>
      <color rgb="FF000000"/>
      <name val="Arial"/>
      <scheme val="minor"/>
    </font>
    <font>
      <sz val="10.0"/>
      <color rgb="FF1F1F1F"/>
      <name val="Arial"/>
      <scheme val="minor"/>
    </font>
    <font>
      <sz val="10.0"/>
      <color rgb="FF000000"/>
      <name val="Arial"/>
    </font>
    <font>
      <u/>
      <color theme="1"/>
      <name val="Arial"/>
      <scheme val="minor"/>
    </font>
    <font>
      <u/>
      <color rgb="FF000000"/>
    </font>
    <font>
      <sz val="11.0"/>
      <color rgb="FF1F1F1F"/>
      <name val="Arial"/>
    </font>
    <font>
      <sz val="11.0"/>
      <color theme="1"/>
      <name val="Arial"/>
    </font>
    <font>
      <color rgb="FF000000"/>
    </font>
    <font>
      <sz val="11.0"/>
      <color theme="1"/>
      <name val="Calibri"/>
    </font>
    <font>
      <sz val="11.0"/>
      <color rgb="FF000000"/>
      <name val="Arial"/>
    </font>
    <font>
      <u/>
      <color theme="1"/>
      <name val="Arial"/>
      <scheme val="minor"/>
    </font>
    <font>
      <u/>
      <color theme="1"/>
      <name val="Arial"/>
      <scheme val="minor"/>
    </font>
    <font>
      <u/>
      <color rgb="FF0000FF"/>
    </font>
    <font>
      <sz val="9.0"/>
      <color rgb="FF000000"/>
      <name val="Arial"/>
      <scheme val="minor"/>
    </font>
    <font>
      <u/>
      <color rgb="FF000000"/>
      <name val="Arial"/>
      <scheme val="minor"/>
    </font>
    <font>
      <u/>
      <color theme="1"/>
      <name val="Arial"/>
      <scheme val="minor"/>
    </font>
    <font>
      <color theme="1"/>
      <name val="&quot;Times New Roman&quot;"/>
    </font>
    <font>
      <sz val="11.0"/>
      <color rgb="FF000000"/>
      <name val="Arial"/>
      <scheme val="minor"/>
    </font>
    <font>
      <u/>
      <color rgb="FF000000"/>
      <name val="Arial"/>
    </font>
    <font>
      <b/>
      <sz val="10.0"/>
      <color theme="1"/>
      <name val="Arial"/>
      <scheme val="minor"/>
    </font>
    <font>
      <sz val="10.0"/>
      <color theme="1"/>
      <name val="Arial"/>
    </font>
    <font>
      <sz val="10.0"/>
      <color rgb="FF1F1F1F"/>
      <name val="Arial"/>
    </font>
    <font>
      <u/>
      <color rgb="FF0000FF"/>
    </font>
    <font>
      <sz val="13.0"/>
      <color rgb="FF000000"/>
      <name val="Arial"/>
    </font>
    <font>
      <b/>
      <sz val="13.0"/>
      <color theme="1"/>
      <name val="Arial"/>
      <scheme val="minor"/>
    </font>
    <font>
      <b/>
      <sz val="14.0"/>
      <color theme="1"/>
      <name val="Arial"/>
      <scheme val="minor"/>
    </font>
    <font>
      <b/>
      <sz val="24.0"/>
      <color theme="1"/>
      <name val="Arial"/>
    </font>
    <font>
      <color rgb="FFFFFFFF"/>
      <name val="Arial"/>
    </font>
    <font>
      <b/>
      <sz val="11.0"/>
      <color theme="1"/>
      <name val="Arial"/>
      <scheme val="minor"/>
    </font>
    <font>
      <sz val="13.0"/>
      <color rgb="FF000000"/>
      <name val="Arial"/>
      <scheme val="minor"/>
    </font>
    <font>
      <b/>
      <sz val="18.0"/>
      <color theme="1"/>
      <name val="Arial"/>
      <scheme val="minor"/>
    </font>
    <font>
      <u/>
      <color rgb="FF000000"/>
    </font>
    <font>
      <b/>
      <sz val="21.0"/>
      <color rgb="FFFFFFFF"/>
      <name val="Times New Roman"/>
    </font>
    <font>
      <b/>
      <sz val="10.0"/>
      <color theme="1"/>
      <name val="Arial Narrow"/>
    </font>
    <font>
      <b/>
      <sz val="10.0"/>
      <color rgb="FF000000"/>
      <name val="Arial Narrow"/>
    </font>
    <font>
      <b/>
      <color theme="1"/>
      <name val="Arial Narrow"/>
    </font>
    <font>
      <b/>
      <sz val="10.0"/>
      <color rgb="FF000001"/>
      <name val="Arial Narrow"/>
    </font>
    <font>
      <b/>
      <color rgb="FFFF0000"/>
      <name val="Arial Narrow"/>
    </font>
    <font>
      <b/>
      <sz val="10.0"/>
      <color rgb="FF000000"/>
      <name val="Arial"/>
      <scheme val="minor"/>
    </font>
    <font>
      <b/>
      <sz val="9.0"/>
      <color rgb="FFFFFFFF"/>
      <name val="Arial"/>
    </font>
    <font>
      <b/>
      <sz val="9.0"/>
      <color theme="1"/>
      <name val="Arial"/>
    </font>
    <font>
      <sz val="9.0"/>
      <color rgb="FF000000"/>
      <name val="Arial"/>
    </font>
    <font>
      <sz val="9.0"/>
      <color theme="1"/>
      <name val="Arial"/>
    </font>
    <font>
      <b/>
      <sz val="8.0"/>
      <color rgb="FF000000"/>
      <name val="Arial"/>
    </font>
    <font>
      <u/>
      <color rgb="FF0000FF"/>
      <name val="Arial"/>
    </font>
    <font>
      <u/>
      <color rgb="FF0000FF"/>
      <name val="Arial"/>
    </font>
    <font>
      <sz val="8.0"/>
      <color theme="1"/>
      <name val="Arial"/>
    </font>
  </fonts>
  <fills count="46">
    <fill>
      <patternFill patternType="none"/>
    </fill>
    <fill>
      <patternFill patternType="lightGray"/>
    </fill>
    <fill>
      <patternFill patternType="solid">
        <fgColor rgb="FFD9D9D9"/>
        <bgColor rgb="FFD9D9D9"/>
      </patternFill>
    </fill>
    <fill>
      <patternFill patternType="solid">
        <fgColor rgb="FF6AA84F"/>
        <bgColor rgb="FF6AA84F"/>
      </patternFill>
    </fill>
    <fill>
      <patternFill patternType="solid">
        <fgColor rgb="FF0000FF"/>
        <bgColor rgb="FF0000FF"/>
      </patternFill>
    </fill>
    <fill>
      <patternFill patternType="solid">
        <fgColor rgb="FFFFFFFF"/>
        <bgColor rgb="FFFFFFFF"/>
      </patternFill>
    </fill>
    <fill>
      <patternFill patternType="solid">
        <fgColor rgb="FF38761D"/>
        <bgColor rgb="FF38761D"/>
      </patternFill>
    </fill>
    <fill>
      <patternFill patternType="solid">
        <fgColor theme="0"/>
        <bgColor theme="0"/>
      </patternFill>
    </fill>
    <fill>
      <patternFill patternType="solid">
        <fgColor rgb="FFBFE1F6"/>
        <bgColor rgb="FFBFE1F6"/>
      </patternFill>
    </fill>
    <fill>
      <patternFill patternType="solid">
        <fgColor rgb="FFFFFF00"/>
        <bgColor rgb="FFFFFF00"/>
      </patternFill>
    </fill>
    <fill>
      <patternFill patternType="solid">
        <fgColor rgb="FFFFC8AA"/>
        <bgColor rgb="FFFFC8AA"/>
      </patternFill>
    </fill>
    <fill>
      <patternFill patternType="solid">
        <fgColor rgb="FFE6CFF2"/>
        <bgColor rgb="FFE6CFF2"/>
      </patternFill>
    </fill>
    <fill>
      <patternFill patternType="solid">
        <fgColor rgb="FFD9EAD3"/>
        <bgColor rgb="FFD9EAD3"/>
      </patternFill>
    </fill>
    <fill>
      <patternFill patternType="solid">
        <fgColor rgb="FF6FA8DC"/>
        <bgColor rgb="FF6FA8DC"/>
      </patternFill>
    </fill>
    <fill>
      <patternFill patternType="solid">
        <fgColor rgb="FF9FC5E8"/>
        <bgColor rgb="FF9FC5E8"/>
      </patternFill>
    </fill>
    <fill>
      <patternFill patternType="solid">
        <fgColor rgb="FFC9DAF8"/>
        <bgColor rgb="FFC9DAF8"/>
      </patternFill>
    </fill>
    <fill>
      <patternFill patternType="solid">
        <fgColor rgb="FF00FFFF"/>
        <bgColor rgb="FF00FFFF"/>
      </patternFill>
    </fill>
    <fill>
      <patternFill patternType="solid">
        <fgColor rgb="FF274E13"/>
        <bgColor rgb="FF274E13"/>
      </patternFill>
    </fill>
    <fill>
      <patternFill patternType="solid">
        <fgColor rgb="FFF9CB9C"/>
        <bgColor rgb="FFF9CB9C"/>
      </patternFill>
    </fill>
    <fill>
      <patternFill patternType="solid">
        <fgColor rgb="FFD9D2E9"/>
        <bgColor rgb="FFD9D2E9"/>
      </patternFill>
    </fill>
    <fill>
      <patternFill patternType="solid">
        <fgColor rgb="FFFFF2CC"/>
        <bgColor rgb="FFFFF2CC"/>
      </patternFill>
    </fill>
    <fill>
      <patternFill patternType="solid">
        <fgColor rgb="FFFF0000"/>
        <bgColor rgb="FFFF0000"/>
      </patternFill>
    </fill>
    <fill>
      <patternFill patternType="solid">
        <fgColor rgb="FFF4CCCC"/>
        <bgColor rgb="FFF4CCCC"/>
      </patternFill>
    </fill>
    <fill>
      <patternFill patternType="solid">
        <fgColor rgb="FFD0E0E3"/>
        <bgColor rgb="FFD0E0E3"/>
      </patternFill>
    </fill>
    <fill>
      <patternFill patternType="solid">
        <fgColor rgb="FFFCE5CD"/>
        <bgColor rgb="FFFCE5CD"/>
      </patternFill>
    </fill>
    <fill>
      <patternFill patternType="solid">
        <fgColor rgb="FFD4EDBC"/>
        <bgColor rgb="FFD4EDBC"/>
      </patternFill>
    </fill>
    <fill>
      <patternFill patternType="solid">
        <fgColor rgb="FFEAD1DC"/>
        <bgColor rgb="FFEAD1DC"/>
      </patternFill>
    </fill>
    <fill>
      <patternFill patternType="solid">
        <fgColor rgb="FF00FF00"/>
        <bgColor rgb="FF00FF00"/>
      </patternFill>
    </fill>
    <fill>
      <patternFill patternType="solid">
        <fgColor rgb="FFA2C4C9"/>
        <bgColor rgb="FFA2C4C9"/>
      </patternFill>
    </fill>
    <fill>
      <patternFill patternType="solid">
        <fgColor rgb="FF9900FF"/>
        <bgColor rgb="FF9900FF"/>
      </patternFill>
    </fill>
    <fill>
      <patternFill patternType="solid">
        <fgColor rgb="FFFFCFC9"/>
        <bgColor rgb="FFFFCFC9"/>
      </patternFill>
    </fill>
    <fill>
      <patternFill patternType="solid">
        <fgColor rgb="FF999999"/>
        <bgColor rgb="FF999999"/>
      </patternFill>
    </fill>
    <fill>
      <patternFill patternType="solid">
        <fgColor rgb="FFBDBDBD"/>
        <bgColor rgb="FFBDBDBD"/>
      </patternFill>
    </fill>
    <fill>
      <patternFill patternType="solid">
        <fgColor rgb="FFFFE599"/>
        <bgColor rgb="FFFFE599"/>
      </patternFill>
    </fill>
    <fill>
      <patternFill patternType="solid">
        <fgColor rgb="FF93C47D"/>
        <bgColor rgb="FF93C47D"/>
      </patternFill>
    </fill>
    <fill>
      <patternFill patternType="solid">
        <fgColor rgb="FFF6B26B"/>
        <bgColor rgb="FFF6B26B"/>
      </patternFill>
    </fill>
    <fill>
      <patternFill patternType="solid">
        <fgColor rgb="FFC27BA0"/>
        <bgColor rgb="FFC27BA0"/>
      </patternFill>
    </fill>
    <fill>
      <patternFill patternType="solid">
        <fgColor theme="9"/>
        <bgColor theme="9"/>
      </patternFill>
    </fill>
    <fill>
      <patternFill patternType="solid">
        <fgColor rgb="FFDD7E6B"/>
        <bgColor rgb="FFDD7E6B"/>
      </patternFill>
    </fill>
    <fill>
      <patternFill patternType="solid">
        <fgColor rgb="FFB4A7D6"/>
        <bgColor rgb="FFB4A7D6"/>
      </patternFill>
    </fill>
    <fill>
      <patternFill patternType="solid">
        <fgColor rgb="FFF1C232"/>
        <bgColor rgb="FFF1C232"/>
      </patternFill>
    </fill>
    <fill>
      <patternFill patternType="solid">
        <fgColor rgb="FFCCCCCC"/>
        <bgColor rgb="FFCCCCCC"/>
      </patternFill>
    </fill>
    <fill>
      <patternFill patternType="solid">
        <fgColor rgb="FFCFE2F3"/>
        <bgColor rgb="FFCFE2F3"/>
      </patternFill>
    </fill>
    <fill>
      <patternFill patternType="solid">
        <fgColor rgb="FFFF9900"/>
        <bgColor rgb="FFFF9900"/>
      </patternFill>
    </fill>
    <fill>
      <patternFill patternType="solid">
        <fgColor rgb="FF2E4F4F"/>
        <bgColor rgb="FF2E4F4F"/>
      </patternFill>
    </fill>
    <fill>
      <patternFill patternType="solid">
        <fgColor rgb="FFFFDAB8"/>
        <bgColor rgb="FFFFDAB8"/>
      </patternFill>
    </fill>
  </fills>
  <borders count="6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D9D9D9"/>
      </left>
      <right style="hair">
        <color rgb="FFFFFFFF"/>
      </right>
      <top style="thin">
        <color rgb="FFD9D9D9"/>
      </top>
      <bottom style="hair">
        <color rgb="FFFFFFFF"/>
      </bottom>
    </border>
    <border>
      <left style="hair">
        <color rgb="FFFFFFFF"/>
      </left>
      <right style="hair">
        <color rgb="FFFFFFFF"/>
      </right>
      <top style="thin">
        <color rgb="FFD9D9D9"/>
      </top>
      <bottom style="hair">
        <color rgb="FFFFFFFF"/>
      </bottom>
    </border>
    <border>
      <left style="hair">
        <color rgb="FFFFFFFF"/>
      </left>
      <right style="thin">
        <color rgb="FFD9D9D9"/>
      </right>
      <top style="thin">
        <color rgb="FFD9D9D9"/>
      </top>
      <bottom style="hair">
        <color rgb="FFFFFFFF"/>
      </bottom>
    </border>
    <border>
      <left style="thin">
        <color rgb="FFD9D9D9"/>
      </left>
      <right style="hair">
        <color rgb="FFFFFFFF"/>
      </right>
      <top style="hair">
        <color rgb="FFFFFFFF"/>
      </top>
      <bottom style="hair">
        <color rgb="FFFFFFFF"/>
      </bottom>
    </border>
    <border>
      <left style="hair">
        <color rgb="FFFFFFFF"/>
      </left>
      <right style="hair">
        <color rgb="FFFFFFFF"/>
      </right>
      <top style="hair">
        <color rgb="FFFFFFFF"/>
      </top>
      <bottom style="hair">
        <color rgb="FFFFFFFF"/>
      </bottom>
    </border>
    <border>
      <left style="hair">
        <color rgb="FFFFFFFF"/>
      </left>
      <right style="hair">
        <color rgb="FFFFFFFF"/>
      </right>
      <top style="hair">
        <color rgb="FFFFFFFF"/>
      </top>
    </border>
    <border>
      <left style="hair">
        <color rgb="FFFFFFFF"/>
      </left>
      <right style="thin">
        <color rgb="FFD9D9D9"/>
      </right>
      <top style="hair">
        <color rgb="FFFFFFFF"/>
      </top>
      <bottom style="hair">
        <color rgb="FFFFFFFF"/>
      </bottom>
    </border>
    <border>
      <left style="hair">
        <color rgb="FFFFFFFF"/>
      </left>
      <top style="hair">
        <color rgb="FFFFFFFF"/>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hair">
        <color rgb="FFFFFFFF"/>
      </left>
      <top style="hair">
        <color rgb="FFFFFFFF"/>
      </top>
      <bottom style="hair">
        <color rgb="FFFFFFFF"/>
      </bottom>
    </border>
    <border>
      <right style="thin">
        <color rgb="FFD9D9D9"/>
      </right>
      <top style="hair">
        <color rgb="FFFFFFFF"/>
      </top>
      <bottom style="hair">
        <color rgb="FFFFFFFF"/>
      </bottom>
    </border>
    <border>
      <left style="thin">
        <color rgb="FFD9D9D9"/>
      </left>
      <top style="hair">
        <color rgb="FFFFFFFF"/>
      </top>
      <bottom style="hair">
        <color rgb="FFFFFFFF"/>
      </bottom>
    </border>
    <border>
      <top style="hair">
        <color rgb="FFFFFFFF"/>
      </top>
      <bottom style="hair">
        <color rgb="FFFFFFFF"/>
      </bottom>
    </border>
    <border>
      <right style="hair">
        <color rgb="FFFFFFFF"/>
      </right>
      <bottom style="hair">
        <color rgb="FFFFFFFF"/>
      </bottom>
    </border>
    <border>
      <left style="hair">
        <color rgb="FFFFFFFF"/>
      </left>
      <right style="hair">
        <color rgb="FFFFFFFF"/>
      </right>
      <bottom style="hair">
        <color rgb="FFFFFFFF"/>
      </bottom>
    </border>
    <border>
      <left style="thin">
        <color rgb="FF000000"/>
      </left>
      <right style="thin">
        <color rgb="FF000000"/>
      </right>
      <top style="thin">
        <color rgb="FF000000"/>
      </top>
    </border>
    <border>
      <right style="thin">
        <color rgb="FF000000"/>
      </right>
      <bottom style="thin">
        <color rgb="FF000000"/>
      </bottom>
    </border>
    <border>
      <right style="hair">
        <color rgb="FFFFFFFF"/>
      </right>
      <top style="hair">
        <color rgb="FFFFFFFF"/>
      </top>
      <bottom style="hair">
        <color rgb="FFFFFFFF"/>
      </bottom>
    </border>
    <border>
      <left style="hair">
        <color rgb="FFFFFFFF"/>
      </left>
    </border>
    <border>
      <right style="hair">
        <color rgb="FFFFFFFF"/>
      </right>
    </border>
    <border>
      <left style="hair">
        <color rgb="FFFFFFFF"/>
      </left>
      <bottom style="hair">
        <color rgb="FFFFFFFF"/>
      </bottom>
    </border>
    <border>
      <bottom style="hair">
        <color rgb="FFFFFFFF"/>
      </bottom>
    </border>
    <border>
      <left style="thin">
        <color rgb="FFD9D9D9"/>
      </left>
      <right style="hair">
        <color rgb="FFFFFFFF"/>
      </right>
      <top style="hair">
        <color rgb="FFFFFFFF"/>
      </top>
      <bottom style="thin">
        <color rgb="FFD9D9D9"/>
      </bottom>
    </border>
    <border>
      <left style="hair">
        <color rgb="FFFFFFFF"/>
      </left>
      <right style="hair">
        <color rgb="FFFFFFFF"/>
      </right>
      <top style="hair">
        <color rgb="FFFFFFFF"/>
      </top>
      <bottom style="thin">
        <color rgb="FFD9D9D9"/>
      </bottom>
    </border>
    <border>
      <left style="hair">
        <color rgb="FFFFFFFF"/>
      </left>
      <right style="thin">
        <color rgb="FFD9D9D9"/>
      </right>
      <top style="hair">
        <color rgb="FFFFFFFF"/>
      </top>
      <bottom style="thin">
        <color rgb="FFD9D9D9"/>
      </bottom>
    </border>
    <border>
      <left style="thin">
        <color rgb="FFFFFFFF"/>
      </left>
      <right style="thin">
        <color rgb="FFFFFFFF"/>
      </right>
      <top style="thin">
        <color rgb="FFFFFFFF"/>
      </top>
      <bottom style="thin">
        <color rgb="FFFFFFFF"/>
      </bottom>
    </border>
    <border>
      <top style="thin">
        <color rgb="FFFFFFFF"/>
      </top>
    </border>
    <border>
      <right style="thin">
        <color rgb="FFFFFFFF"/>
      </right>
      <top style="thin">
        <color rgb="FFFFFFFF"/>
      </top>
    </border>
    <border>
      <right style="thin">
        <color rgb="FFFFFFFF"/>
      </right>
    </border>
    <border>
      <right style="thin">
        <color rgb="FFFFFFFF"/>
      </right>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hair">
        <color rgb="FF000000"/>
      </bottom>
    </border>
    <border>
      <left style="thin">
        <color rgb="FF000000"/>
      </left>
      <right style="thin">
        <color rgb="FF000000"/>
      </right>
      <top style="hair">
        <color rgb="FF000000"/>
      </top>
      <bottom style="hair">
        <color rgb="FF000000"/>
      </bottom>
    </border>
    <border>
      <left style="thin">
        <color rgb="FF000000"/>
      </left>
      <right style="thin">
        <color rgb="FF000000"/>
      </right>
      <top style="hair">
        <color rgb="FF000000"/>
      </top>
    </border>
    <border>
      <left style="thin">
        <color rgb="FF000000"/>
      </left>
      <right style="thin">
        <color rgb="FF000000"/>
      </right>
      <top style="hair">
        <color rgb="FF000000"/>
      </top>
      <bottom style="thin">
        <color rgb="FF000000"/>
      </bottom>
    </border>
    <border>
      <left style="thin">
        <color rgb="FF000000"/>
      </left>
      <right style="thin">
        <color rgb="FF000000"/>
      </right>
      <bottom style="hair">
        <color rgb="FF000000"/>
      </bottom>
    </border>
    <border>
      <left style="thin">
        <color rgb="FFFFFFFF"/>
      </left>
      <right style="thin">
        <color rgb="FFFFFFFF"/>
      </right>
      <top style="thin">
        <color rgb="FFFFFFFF"/>
      </top>
      <bottom style="thin">
        <color rgb="FF000000"/>
      </bottom>
    </border>
    <border>
      <left style="thin">
        <color rgb="FFFFFFFF"/>
      </left>
      <right style="thin">
        <color rgb="FFFFFFFF"/>
      </right>
      <top style="thin">
        <color rgb="FFFFFFFF"/>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top/>
      <bottom style="thin">
        <color rgb="FFCCCCCC"/>
      </bottom>
    </border>
    <border>
      <top/>
      <bottom style="thin">
        <color rgb="FFCCCCCC"/>
      </bottom>
    </border>
    <border>
      <right/>
      <top/>
      <bottom style="thin">
        <color rgb="FFCCCCCC"/>
      </bottom>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ttom style="thin">
        <color rgb="FF2E4F4F"/>
      </bottom>
    </border>
    <border>
      <left style="thin">
        <color rgb="FFCCCCCC"/>
      </left>
      <right style="thin">
        <color rgb="FFCCCCCC"/>
      </right>
      <top style="thin">
        <color rgb="FFCCCCCC"/>
      </top>
      <bottom style="thin">
        <color rgb="FF000000"/>
      </bottom>
    </border>
    <border>
      <left style="thin">
        <color rgb="FFCCCCCC"/>
      </left>
      <right style="thin">
        <color rgb="FFCCCCCC"/>
      </right>
      <top style="thin">
        <color rgb="FFCCCCCC"/>
      </top>
    </border>
    <border>
      <left style="thin">
        <color rgb="FFCCCCCC"/>
      </left>
      <top style="thin">
        <color rgb="FFCCCCCC"/>
      </top>
    </border>
    <border>
      <top style="thin">
        <color rgb="FFCCCCCC"/>
      </top>
    </border>
    <border>
      <right style="thin">
        <color rgb="FFCCCCCC"/>
      </right>
      <top style="thin">
        <color rgb="FFCCCCCC"/>
      </top>
    </border>
    <border>
      <bottom style="thin">
        <color rgb="FF6AA84F"/>
      </bottom>
    </border>
    <border>
      <right/>
    </border>
  </borders>
  <cellStyleXfs count="1">
    <xf borderId="0" fillId="0" fontId="0" numFmtId="0" applyAlignment="1" applyFont="1"/>
  </cellStyleXfs>
  <cellXfs count="52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xf borderId="0" fillId="0" fontId="2" numFmtId="0" xfId="0" applyAlignment="1" applyFont="1">
      <alignment vertical="center"/>
    </xf>
    <xf borderId="1" fillId="2" fontId="1" numFmtId="0" xfId="0" applyAlignment="1" applyBorder="1" applyFill="1" applyFont="1">
      <alignment readingOrder="0" vertical="center"/>
    </xf>
    <xf borderId="1" fillId="0" fontId="2"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shrinkToFit="0" vertical="center" wrapText="1"/>
    </xf>
    <xf borderId="0" fillId="0" fontId="2" numFmtId="0" xfId="0" applyAlignment="1" applyFont="1">
      <alignment readingOrder="0" vertical="center"/>
    </xf>
    <xf borderId="1" fillId="0" fontId="2" numFmtId="0" xfId="0" applyAlignment="1" applyBorder="1" applyFont="1">
      <alignment readingOrder="0" vertical="center"/>
    </xf>
    <xf borderId="0" fillId="0" fontId="3" numFmtId="0" xfId="0" applyAlignment="1" applyFont="1">
      <alignment horizontal="center" readingOrder="0" vertical="center"/>
    </xf>
    <xf borderId="1" fillId="0" fontId="2" numFmtId="49" xfId="0" applyBorder="1" applyFont="1" applyNumberFormat="1"/>
    <xf borderId="1" fillId="0" fontId="2" numFmtId="49" xfId="0" applyAlignment="1" applyBorder="1" applyFont="1" applyNumberFormat="1">
      <alignment readingOrder="0"/>
    </xf>
    <xf borderId="1" fillId="0" fontId="4" numFmtId="0" xfId="0" applyAlignment="1" applyBorder="1" applyFont="1">
      <alignment horizontal="left" readingOrder="0" shrinkToFit="0" vertical="center" wrapText="1"/>
    </xf>
    <xf borderId="0" fillId="0" fontId="1" numFmtId="0" xfId="0" applyAlignment="1" applyFont="1">
      <alignment readingOrder="0" vertical="center"/>
    </xf>
    <xf borderId="0" fillId="0" fontId="1"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4" numFmtId="0" xfId="0" applyAlignment="1" applyFont="1">
      <alignment horizontal="left" shrinkToFit="0" vertical="center" wrapText="0"/>
    </xf>
    <xf borderId="0" fillId="0" fontId="2" numFmtId="0" xfId="0" applyAlignment="1" applyFont="1">
      <alignment shrinkToFit="0" vertical="center" wrapText="1"/>
    </xf>
    <xf borderId="1" fillId="0" fontId="2" numFmtId="0" xfId="0" applyAlignment="1" applyBorder="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vertical="center" wrapText="1"/>
    </xf>
    <xf borderId="0" fillId="3" fontId="5" numFmtId="0" xfId="0" applyAlignment="1" applyFill="1" applyFont="1">
      <alignment horizontal="right" readingOrder="0" vertical="bottom"/>
    </xf>
    <xf borderId="0" fillId="0" fontId="5" numFmtId="0" xfId="0" applyAlignment="1" applyFont="1">
      <alignment readingOrder="0" shrinkToFit="0" wrapText="0"/>
    </xf>
    <xf borderId="0" fillId="0" fontId="5" numFmtId="0" xfId="0" applyAlignment="1" applyFont="1">
      <alignment shrinkToFit="0" wrapText="0"/>
    </xf>
    <xf borderId="0" fillId="0" fontId="5" numFmtId="0" xfId="0" applyAlignment="1" applyFont="1">
      <alignment shrinkToFit="0" wrapText="1"/>
    </xf>
    <xf borderId="0" fillId="4" fontId="6" numFmtId="0" xfId="0" applyAlignment="1" applyFill="1" applyFont="1">
      <alignment horizontal="center" readingOrder="0" vertical="center"/>
    </xf>
    <xf borderId="0" fillId="4" fontId="6" numFmtId="0" xfId="0" applyAlignment="1" applyFont="1">
      <alignment horizontal="center" vertical="center"/>
    </xf>
    <xf borderId="0" fillId="5" fontId="4" numFmtId="0" xfId="0" applyAlignment="1" applyFill="1" applyFont="1">
      <alignment vertical="center"/>
    </xf>
    <xf borderId="0" fillId="5" fontId="4" numFmtId="0" xfId="0" applyAlignment="1" applyFont="1">
      <alignment vertical="center"/>
    </xf>
    <xf borderId="1" fillId="0" fontId="4" numFmtId="0" xfId="0" applyAlignment="1" applyBorder="1" applyFont="1">
      <alignment horizontal="left" shrinkToFit="0" wrapText="0"/>
    </xf>
    <xf borderId="0" fillId="0" fontId="7" numFmtId="0" xfId="0" applyAlignment="1" applyFont="1">
      <alignment readingOrder="0" vertical="center"/>
    </xf>
    <xf borderId="2" fillId="0" fontId="4" numFmtId="0" xfId="0" applyAlignment="1" applyBorder="1" applyFont="1">
      <alignment horizontal="left" shrinkToFit="0" wrapText="0"/>
    </xf>
    <xf borderId="0" fillId="0" fontId="7" numFmtId="0" xfId="0" applyAlignment="1" applyFont="1">
      <alignment readingOrder="0" shrinkToFit="0" vertical="center" wrapText="1"/>
    </xf>
    <xf borderId="0" fillId="5" fontId="4" numFmtId="0" xfId="0" applyAlignment="1" applyFont="1">
      <alignment vertical="center"/>
    </xf>
    <xf borderId="0" fillId="0" fontId="8" numFmtId="0" xfId="0" applyAlignment="1" applyFont="1">
      <alignment vertical="center"/>
    </xf>
    <xf borderId="0" fillId="5" fontId="7" numFmtId="0" xfId="0" applyAlignment="1" applyFont="1">
      <alignment readingOrder="0" vertical="center"/>
    </xf>
    <xf borderId="2" fillId="0" fontId="4" numFmtId="0" xfId="0" applyAlignment="1" applyBorder="1" applyFont="1">
      <alignment horizontal="left" readingOrder="0" shrinkToFit="0" wrapText="0"/>
    </xf>
    <xf borderId="1" fillId="0" fontId="9" numFmtId="0" xfId="0" applyAlignment="1" applyBorder="1" applyFont="1">
      <alignment horizontal="center" readingOrder="0" shrinkToFit="0" vertical="center" wrapText="1"/>
    </xf>
    <xf borderId="0" fillId="0" fontId="10" numFmtId="0" xfId="0" applyAlignment="1" applyFont="1">
      <alignment readingOrder="0" vertical="center"/>
    </xf>
    <xf borderId="3" fillId="5" fontId="11" numFmtId="0" xfId="0" applyAlignment="1" applyBorder="1" applyFont="1">
      <alignment vertical="center"/>
    </xf>
    <xf borderId="4" fillId="5" fontId="12" numFmtId="0" xfId="0" applyAlignment="1" applyBorder="1" applyFont="1">
      <alignment horizontal="center" shrinkToFit="0" vertical="center" wrapText="1"/>
    </xf>
    <xf borderId="4" fillId="0" fontId="11" numFmtId="0" xfId="0" applyAlignment="1" applyBorder="1" applyFont="1">
      <alignment vertical="center"/>
    </xf>
    <xf borderId="5" fillId="0" fontId="11" numFmtId="0" xfId="0" applyAlignment="1" applyBorder="1" applyFont="1">
      <alignment vertical="center"/>
    </xf>
    <xf borderId="0" fillId="0" fontId="11" numFmtId="0" xfId="0" applyAlignment="1" applyFont="1">
      <alignment vertical="center"/>
    </xf>
    <xf borderId="6" fillId="5" fontId="11" numFmtId="0" xfId="0" applyAlignment="1" applyBorder="1" applyFont="1">
      <alignment vertical="center"/>
    </xf>
    <xf borderId="7" fillId="5" fontId="11" numFmtId="0" xfId="0" applyAlignment="1" applyBorder="1" applyFont="1">
      <alignment vertical="center"/>
    </xf>
    <xf borderId="7" fillId="0" fontId="11" numFmtId="0" xfId="0" applyAlignment="1" applyBorder="1" applyFont="1">
      <alignment vertical="center"/>
    </xf>
    <xf borderId="8" fillId="5" fontId="11" numFmtId="0" xfId="0" applyAlignment="1" applyBorder="1" applyFont="1">
      <alignment vertical="center"/>
    </xf>
    <xf borderId="9" fillId="0" fontId="11" numFmtId="0" xfId="0" applyAlignment="1" applyBorder="1" applyFont="1">
      <alignment vertical="center"/>
    </xf>
    <xf borderId="10" fillId="5" fontId="13" numFmtId="0" xfId="0" applyAlignment="1" applyBorder="1" applyFont="1">
      <alignment readingOrder="0" vertical="center"/>
    </xf>
    <xf borderId="10" fillId="5" fontId="14" numFmtId="0" xfId="0" applyAlignment="1" applyBorder="1" applyFont="1">
      <alignment readingOrder="0" vertical="center"/>
    </xf>
    <xf borderId="8" fillId="0" fontId="11" numFmtId="0" xfId="0" applyAlignment="1" applyBorder="1" applyFont="1">
      <alignment vertical="center"/>
    </xf>
    <xf borderId="11" fillId="5" fontId="15" numFmtId="0" xfId="0" applyAlignment="1" applyBorder="1" applyFont="1">
      <alignment horizontal="center" readingOrder="0" vertical="center"/>
    </xf>
    <xf borderId="12" fillId="0" fontId="16" numFmtId="0" xfId="0" applyBorder="1" applyFont="1"/>
    <xf borderId="13" fillId="0" fontId="16" numFmtId="0" xfId="0" applyBorder="1" applyFont="1"/>
    <xf borderId="14" fillId="0" fontId="11" numFmtId="0" xfId="0" applyAlignment="1" applyBorder="1" applyFont="1">
      <alignment vertical="center"/>
    </xf>
    <xf borderId="15" fillId="0" fontId="11" numFmtId="0" xfId="0" applyAlignment="1" applyBorder="1" applyFont="1">
      <alignment vertical="center"/>
    </xf>
    <xf borderId="0" fillId="0" fontId="11" numFmtId="0" xfId="0" applyAlignment="1" applyFont="1">
      <alignment readingOrder="0" vertical="center"/>
    </xf>
    <xf borderId="16" fillId="5" fontId="11" numFmtId="0" xfId="0" applyAlignment="1" applyBorder="1" applyFont="1">
      <alignment vertical="center"/>
    </xf>
    <xf borderId="7" fillId="5" fontId="12" numFmtId="0" xfId="0" applyAlignment="1" applyBorder="1" applyFont="1">
      <alignment horizontal="center" shrinkToFit="0" vertical="center" wrapText="1"/>
    </xf>
    <xf borderId="11" fillId="0" fontId="14" numFmtId="0" xfId="0" applyAlignment="1" applyBorder="1" applyFont="1">
      <alignment horizontal="center" readingOrder="0" vertical="center"/>
    </xf>
    <xf borderId="11" fillId="5" fontId="14" numFmtId="0" xfId="0" applyAlignment="1" applyBorder="1" applyFont="1">
      <alignment horizontal="center" readingOrder="0" vertical="center"/>
    </xf>
    <xf borderId="17" fillId="0" fontId="11" numFmtId="0" xfId="0" applyAlignment="1" applyBorder="1" applyFont="1">
      <alignment vertical="center"/>
    </xf>
    <xf borderId="1" fillId="0" fontId="14" numFmtId="0" xfId="0" applyAlignment="1" applyBorder="1" applyFont="1">
      <alignment horizontal="center" readingOrder="0" vertical="center"/>
    </xf>
    <xf borderId="18" fillId="0" fontId="11" numFmtId="0" xfId="0" applyAlignment="1" applyBorder="1" applyFont="1">
      <alignment vertical="center"/>
    </xf>
    <xf borderId="19" fillId="0" fontId="11" numFmtId="0" xfId="0" applyAlignment="1" applyBorder="1" applyFont="1">
      <alignment vertical="center"/>
    </xf>
    <xf borderId="11" fillId="5" fontId="17" numFmtId="0" xfId="0" applyAlignment="1" applyBorder="1" applyFont="1">
      <alignment horizontal="center" readingOrder="0" vertical="center"/>
    </xf>
    <xf borderId="20" fillId="0" fontId="14" numFmtId="0" xfId="0" applyAlignment="1" applyBorder="1" applyFont="1">
      <alignment horizontal="center" readingOrder="0" vertical="center"/>
    </xf>
    <xf borderId="1" fillId="5" fontId="18" numFmtId="0" xfId="0" applyAlignment="1" applyBorder="1" applyFont="1">
      <alignment horizontal="center" readingOrder="0" shrinkToFit="0" vertical="center" wrapText="1"/>
    </xf>
    <xf borderId="1" fillId="5" fontId="18" numFmtId="0" xfId="0" applyAlignment="1" applyBorder="1" applyFont="1">
      <alignment horizontal="center" readingOrder="0" shrinkToFit="0" vertical="center" wrapText="0"/>
    </xf>
    <xf borderId="2" fillId="5" fontId="19" numFmtId="0" xfId="0" applyAlignment="1" applyBorder="1" applyFont="1">
      <alignment horizontal="center" shrinkToFit="0" vertical="center" wrapText="1"/>
    </xf>
    <xf borderId="21" fillId="5" fontId="19" numFmtId="0" xfId="0" applyAlignment="1" applyBorder="1" applyFont="1">
      <alignment horizontal="center" shrinkToFit="0" vertical="center" wrapText="1"/>
    </xf>
    <xf borderId="21" fillId="0" fontId="17" numFmtId="0" xfId="0" applyAlignment="1" applyBorder="1" applyFont="1">
      <alignment horizontal="center" vertical="center"/>
    </xf>
    <xf borderId="22" fillId="0" fontId="11" numFmtId="0" xfId="0" applyAlignment="1" applyBorder="1" applyFont="1">
      <alignment vertical="center"/>
    </xf>
    <xf borderId="2" fillId="0" fontId="16" numFmtId="0" xfId="0" applyBorder="1" applyFont="1"/>
    <xf borderId="2" fillId="0" fontId="9" numFmtId="0" xfId="0" applyAlignment="1" applyBorder="1" applyFont="1">
      <alignment horizontal="center" readingOrder="0" shrinkToFit="0" vertical="center" wrapText="1"/>
    </xf>
    <xf borderId="1" fillId="0" fontId="20" numFmtId="49" xfId="0" applyAlignment="1" applyBorder="1" applyFont="1" applyNumberFormat="1">
      <alignment horizontal="center" vertical="center"/>
    </xf>
    <xf borderId="1" fillId="5" fontId="20" numFmtId="1" xfId="0" applyAlignment="1" applyBorder="1" applyFont="1" applyNumberFormat="1">
      <alignment horizontal="center" readingOrder="0" vertical="center"/>
    </xf>
    <xf borderId="1" fillId="0" fontId="20" numFmtId="10" xfId="0" applyAlignment="1" applyBorder="1" applyFont="1" applyNumberFormat="1">
      <alignment horizontal="center" vertical="center"/>
    </xf>
    <xf borderId="22" fillId="0" fontId="11" numFmtId="0" xfId="0" applyAlignment="1" applyBorder="1" applyFont="1">
      <alignment readingOrder="0" vertical="center"/>
    </xf>
    <xf borderId="1" fillId="5" fontId="20" numFmtId="10" xfId="0" applyAlignment="1" applyBorder="1" applyFont="1" applyNumberFormat="1">
      <alignment horizontal="center" readingOrder="0" vertical="center"/>
    </xf>
    <xf borderId="1" fillId="5" fontId="20" numFmtId="164" xfId="0" applyAlignment="1" applyBorder="1" applyFont="1" applyNumberFormat="1">
      <alignment horizontal="center" readingOrder="0" vertical="center"/>
    </xf>
    <xf borderId="1" fillId="5" fontId="20" numFmtId="3" xfId="0" applyAlignment="1" applyBorder="1" applyFont="1" applyNumberFormat="1">
      <alignment horizontal="center" readingOrder="0" vertical="center"/>
    </xf>
    <xf borderId="21" fillId="0" fontId="17" numFmtId="3" xfId="0" applyAlignment="1" applyBorder="1" applyFont="1" applyNumberFormat="1">
      <alignment horizontal="center" vertical="center"/>
    </xf>
    <xf borderId="15" fillId="0" fontId="11" numFmtId="0" xfId="0" applyAlignment="1" applyBorder="1" applyFont="1">
      <alignment readingOrder="0" vertical="center"/>
    </xf>
    <xf borderId="1" fillId="6" fontId="21" numFmtId="0" xfId="0" applyAlignment="1" applyBorder="1" applyFill="1" applyFont="1">
      <alignment horizontal="center" readingOrder="0" shrinkToFit="0" vertical="center" wrapText="1"/>
    </xf>
    <xf borderId="1" fillId="4" fontId="21" numFmtId="0" xfId="0" applyAlignment="1" applyBorder="1" applyFont="1">
      <alignment horizontal="center" readingOrder="0" shrinkToFit="0" vertical="center" wrapText="1"/>
    </xf>
    <xf borderId="1" fillId="5" fontId="20" numFmtId="0" xfId="0" applyAlignment="1" applyBorder="1" applyFont="1">
      <alignment horizontal="center" readingOrder="0" vertical="center"/>
    </xf>
    <xf borderId="1" fillId="5" fontId="18" numFmtId="164" xfId="0" applyAlignment="1" applyBorder="1" applyFont="1" applyNumberFormat="1">
      <alignment horizontal="center" vertical="center"/>
    </xf>
    <xf borderId="1" fillId="5" fontId="18" numFmtId="0" xfId="0" applyAlignment="1" applyBorder="1" applyFont="1">
      <alignment shrinkToFit="0" vertical="center" wrapText="1"/>
    </xf>
    <xf borderId="11" fillId="5" fontId="18" numFmtId="0" xfId="0" applyAlignment="1" applyBorder="1" applyFont="1">
      <alignment shrinkToFit="0" vertical="center" wrapText="1"/>
    </xf>
    <xf borderId="1" fillId="5" fontId="18" numFmtId="1" xfId="0" applyAlignment="1" applyBorder="1" applyFont="1" applyNumberFormat="1">
      <alignment horizontal="center" vertical="center"/>
    </xf>
    <xf borderId="1" fillId="0" fontId="18" numFmtId="10" xfId="0" applyAlignment="1" applyBorder="1" applyFont="1" applyNumberFormat="1">
      <alignment horizontal="center" vertical="center"/>
    </xf>
    <xf borderId="1" fillId="5" fontId="18" numFmtId="10" xfId="0" applyAlignment="1" applyBorder="1" applyFont="1" applyNumberFormat="1">
      <alignment horizontal="center" vertical="center"/>
    </xf>
    <xf borderId="1" fillId="5" fontId="19" numFmtId="3" xfId="0" applyAlignment="1" applyBorder="1" applyFont="1" applyNumberFormat="1">
      <alignment horizontal="center" shrinkToFit="0" vertical="center" wrapText="1"/>
    </xf>
    <xf borderId="6" fillId="0" fontId="11" numFmtId="0" xfId="0" applyAlignment="1" applyBorder="1" applyFont="1">
      <alignment vertical="center"/>
    </xf>
    <xf borderId="23" fillId="0" fontId="22" numFmtId="0" xfId="0" applyAlignment="1" applyBorder="1" applyFont="1">
      <alignment readingOrder="0" shrinkToFit="0" vertical="center" wrapText="1"/>
    </xf>
    <xf borderId="24" fillId="0" fontId="16" numFmtId="0" xfId="0" applyBorder="1" applyFont="1"/>
    <xf borderId="7" fillId="0" fontId="11" numFmtId="0" xfId="0" applyAlignment="1" applyBorder="1" applyFont="1">
      <alignment readingOrder="0" vertical="center"/>
    </xf>
    <xf borderId="25" fillId="0" fontId="16" numFmtId="0" xfId="0" applyBorder="1" applyFont="1"/>
    <xf borderId="26" fillId="0" fontId="16" numFmtId="0" xfId="0" applyBorder="1" applyFont="1"/>
    <xf borderId="18" fillId="0" fontId="16" numFmtId="0" xfId="0" applyBorder="1" applyFont="1"/>
    <xf borderId="27" fillId="0" fontId="11" numFmtId="0" xfId="0" applyAlignment="1" applyBorder="1" applyFont="1">
      <alignment vertical="center"/>
    </xf>
    <xf borderId="28" fillId="0" fontId="11" numFmtId="0" xfId="0" applyAlignment="1" applyBorder="1" applyFont="1">
      <alignment vertical="center"/>
    </xf>
    <xf borderId="29" fillId="0" fontId="11" numFmtId="0" xfId="0" applyAlignment="1" applyBorder="1" applyFont="1">
      <alignment vertical="center"/>
    </xf>
    <xf borderId="30" fillId="7" fontId="23" numFmtId="0" xfId="0" applyAlignment="1" applyBorder="1" applyFill="1" applyFont="1">
      <alignment horizontal="center" readingOrder="0" vertical="center"/>
    </xf>
    <xf borderId="30" fillId="7" fontId="23" numFmtId="0" xfId="0" applyAlignment="1" applyBorder="1" applyFont="1">
      <alignment horizontal="center" shrinkToFit="0" vertical="center" wrapText="1"/>
    </xf>
    <xf borderId="30" fillId="7" fontId="23" numFmtId="0" xfId="0" applyAlignment="1" applyBorder="1" applyFont="1">
      <alignment horizontal="center" vertical="center"/>
    </xf>
    <xf borderId="30" fillId="7" fontId="23" numFmtId="10" xfId="0" applyAlignment="1" applyBorder="1" applyFont="1" applyNumberFormat="1">
      <alignment horizontal="center" shrinkToFit="0" vertical="center" wrapText="1"/>
    </xf>
    <xf borderId="30" fillId="7" fontId="23" numFmtId="0" xfId="0" applyAlignment="1" applyBorder="1" applyFont="1">
      <alignment vertical="center"/>
    </xf>
    <xf borderId="30" fillId="7" fontId="24" numFmtId="0" xfId="0" applyAlignment="1" applyBorder="1" applyFont="1">
      <alignment horizontal="left" readingOrder="0" vertical="center"/>
    </xf>
    <xf borderId="30" fillId="7" fontId="23" numFmtId="0" xfId="0" applyAlignment="1" applyBorder="1" applyFont="1">
      <alignment horizontal="right" readingOrder="0" vertical="center"/>
    </xf>
    <xf borderId="30" fillId="7" fontId="25" numFmtId="0" xfId="0" applyAlignment="1" applyBorder="1" applyFont="1">
      <alignment horizontal="center" readingOrder="0" vertical="center"/>
    </xf>
    <xf borderId="0" fillId="0" fontId="26" numFmtId="0" xfId="0" applyAlignment="1" applyFont="1">
      <alignment horizontal="center" readingOrder="0" vertical="center"/>
    </xf>
    <xf borderId="0" fillId="0" fontId="26" numFmtId="0" xfId="0" applyAlignment="1" applyFont="1">
      <alignment horizontal="center" readingOrder="0" shrinkToFit="0" vertical="center" wrapText="1"/>
    </xf>
    <xf borderId="0" fillId="0" fontId="26" numFmtId="0" xfId="0" applyAlignment="1" applyFont="1">
      <alignment horizontal="center" readingOrder="0" shrinkToFit="0" vertical="center" wrapText="1"/>
    </xf>
    <xf borderId="31" fillId="0" fontId="5" numFmtId="0" xfId="0" applyAlignment="1" applyBorder="1" applyFont="1">
      <alignment horizontal="center" shrinkToFit="0" vertical="center" wrapText="1"/>
    </xf>
    <xf borderId="0" fillId="0" fontId="27" numFmtId="0" xfId="0" applyAlignment="1" applyFont="1">
      <alignment horizontal="center" readingOrder="0" shrinkToFit="0" vertical="center" wrapText="1"/>
    </xf>
    <xf borderId="0" fillId="0" fontId="28" numFmtId="10" xfId="0" applyAlignment="1" applyFont="1" applyNumberFormat="1">
      <alignment horizontal="center" shrinkToFit="0" vertical="center" wrapText="1"/>
    </xf>
    <xf borderId="0" fillId="0" fontId="28" numFmtId="0" xfId="0" applyAlignment="1" applyFont="1">
      <alignment horizontal="center" shrinkToFit="0" vertical="center" wrapText="1"/>
    </xf>
    <xf borderId="0" fillId="8" fontId="0"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0" fillId="0" fontId="23" numFmtId="0" xfId="0" applyAlignment="1" applyFont="1">
      <alignment horizontal="center" readingOrder="0" vertical="center"/>
    </xf>
    <xf borderId="0" fillId="0" fontId="4" numFmtId="0" xfId="0" applyAlignment="1" applyFont="1">
      <alignment horizontal="center" readingOrder="0" vertical="center"/>
    </xf>
    <xf borderId="0" fillId="9" fontId="4" numFmtId="0" xfId="0" applyAlignment="1" applyFill="1" applyFont="1">
      <alignment horizontal="center" readingOrder="0" shrinkToFit="0" vertical="center" wrapText="1"/>
    </xf>
    <xf borderId="0" fillId="0" fontId="23" numFmtId="165" xfId="0" applyAlignment="1" applyFont="1" applyNumberFormat="1">
      <alignment horizontal="center" readingOrder="0" vertical="center"/>
    </xf>
    <xf borderId="0" fillId="0" fontId="29" numFmtId="0" xfId="0" applyAlignment="1" applyFont="1">
      <alignment horizontal="center" readingOrder="0" shrinkToFit="0" vertical="center" wrapText="1"/>
    </xf>
    <xf borderId="0" fillId="0" fontId="23" numFmtId="10" xfId="0" applyAlignment="1" applyFont="1" applyNumberFormat="1">
      <alignment horizontal="center" readingOrder="0" shrinkToFit="0" vertical="center" wrapText="1"/>
    </xf>
    <xf borderId="0" fillId="0" fontId="4" numFmtId="0" xfId="0" applyAlignment="1" applyFont="1">
      <alignment readingOrder="0" shrinkToFit="0" vertical="center" wrapText="1"/>
    </xf>
    <xf borderId="0" fillId="0" fontId="30" numFmtId="0" xfId="0" applyAlignment="1" applyFont="1">
      <alignment horizontal="center" readingOrder="0" shrinkToFit="0" vertical="center" wrapText="1"/>
    </xf>
    <xf borderId="0" fillId="0" fontId="31"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4" numFmtId="0" xfId="0" applyAlignment="1" applyFont="1">
      <alignment horizontal="center" vertical="center"/>
    </xf>
    <xf borderId="0" fillId="0" fontId="32" numFmtId="0" xfId="0" applyAlignment="1" applyFont="1">
      <alignment horizontal="center" readingOrder="0" shrinkToFit="0" vertical="center" wrapText="1"/>
    </xf>
    <xf borderId="0" fillId="5" fontId="23" numFmtId="0" xfId="0" applyAlignment="1" applyFont="1">
      <alignment horizontal="center" readingOrder="0" shrinkToFit="0" vertical="center" wrapText="1"/>
    </xf>
    <xf borderId="0" fillId="0" fontId="33" numFmtId="0" xfId="0" applyAlignment="1" applyFont="1">
      <alignment horizontal="left" shrinkToFit="0" vertical="center" wrapText="1"/>
    </xf>
    <xf borderId="0" fillId="5" fontId="8" numFmtId="0" xfId="0" applyAlignment="1" applyFont="1">
      <alignment horizontal="center" readingOrder="0" shrinkToFit="0" vertical="center" wrapText="1"/>
    </xf>
    <xf borderId="0" fillId="0" fontId="34"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0" fillId="5" fontId="8" numFmtId="0" xfId="0" applyAlignment="1" applyFont="1">
      <alignment horizontal="center" readingOrder="0" vertical="center"/>
    </xf>
    <xf borderId="0" fillId="0" fontId="23" numFmtId="0" xfId="0" applyAlignment="1" applyFont="1">
      <alignment readingOrder="0" shrinkToFit="0" vertical="center" wrapText="1"/>
    </xf>
    <xf borderId="0" fillId="0" fontId="35"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0" numFmtId="0" xfId="0" applyAlignment="1" applyFont="1">
      <alignment horizontal="left" readingOrder="0" shrinkToFit="0" vertical="center" wrapText="1"/>
    </xf>
    <xf borderId="0" fillId="0" fontId="36" numFmtId="0" xfId="0" applyAlignment="1" applyFont="1">
      <alignment horizontal="center" readingOrder="0" shrinkToFit="0" vertical="center" wrapText="1"/>
    </xf>
    <xf borderId="30" fillId="0" fontId="23" numFmtId="0" xfId="0" applyAlignment="1" applyBorder="1" applyFont="1">
      <alignment vertical="center"/>
    </xf>
    <xf borderId="0" fillId="10" fontId="0" numFmtId="0" xfId="0" applyAlignment="1" applyFill="1" applyFont="1">
      <alignment horizontal="center" readingOrder="0" shrinkToFit="0" vertical="center" wrapText="1"/>
    </xf>
    <xf borderId="0" fillId="0" fontId="37" numFmtId="0" xfId="0" applyAlignment="1" applyFont="1">
      <alignment horizontal="center" readingOrder="0" shrinkToFit="0" vertical="center" wrapText="1"/>
    </xf>
    <xf borderId="0" fillId="0" fontId="38" numFmtId="0" xfId="0" applyAlignment="1" applyFont="1">
      <alignment horizontal="center" readingOrder="0" vertical="center"/>
    </xf>
    <xf borderId="0" fillId="0" fontId="23" numFmtId="0" xfId="0" applyAlignment="1" applyFont="1">
      <alignment horizontal="center" vertical="center"/>
    </xf>
    <xf borderId="0" fillId="7" fontId="23" numFmtId="0" xfId="0" applyAlignment="1" applyFont="1">
      <alignment horizontal="center" readingOrder="0" shrinkToFit="0" vertical="center" wrapText="1"/>
    </xf>
    <xf borderId="0" fillId="0" fontId="33"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5" fontId="39" numFmtId="0" xfId="0" applyAlignment="1" applyFont="1">
      <alignment horizontal="center" readingOrder="0" shrinkToFit="0" vertical="center" wrapText="1"/>
    </xf>
    <xf borderId="0" fillId="0" fontId="33" numFmtId="0" xfId="0" applyAlignment="1" applyFont="1">
      <alignment horizontal="center" readingOrder="0" shrinkToFit="0" vertical="center" wrapText="1"/>
    </xf>
    <xf borderId="0" fillId="5" fontId="39" numFmtId="0" xfId="0" applyAlignment="1" applyFont="1">
      <alignment readingOrder="0" shrinkToFit="0" wrapText="1"/>
    </xf>
    <xf borderId="0" fillId="5" fontId="8" numFmtId="0" xfId="0" applyAlignment="1" applyFont="1">
      <alignment horizontal="center" readingOrder="0"/>
    </xf>
    <xf borderId="0" fillId="0" fontId="23" numFmtId="166" xfId="0" applyAlignment="1" applyFont="1" applyNumberFormat="1">
      <alignment horizontal="center" readingOrder="0" vertical="center"/>
    </xf>
    <xf borderId="0" fillId="5" fontId="40" numFmtId="0" xfId="0" applyAlignment="1" applyFont="1">
      <alignment horizontal="center" readingOrder="0" shrinkToFit="0" vertical="center" wrapText="1"/>
    </xf>
    <xf borderId="0" fillId="0" fontId="41" numFmtId="0" xfId="0" applyAlignment="1" applyFont="1">
      <alignment readingOrder="0" vertical="center"/>
    </xf>
    <xf borderId="0" fillId="5" fontId="0" numFmtId="0" xfId="0" applyAlignment="1" applyFont="1">
      <alignment readingOrder="0" shrinkToFit="0" vertical="center" wrapText="1"/>
    </xf>
    <xf borderId="0" fillId="0" fontId="4" numFmtId="0" xfId="0" applyAlignment="1" applyFont="1">
      <alignment horizontal="left" shrinkToFit="0" vertical="center" wrapText="1"/>
    </xf>
    <xf borderId="0" fillId="0" fontId="4" numFmtId="0" xfId="0" applyAlignment="1" applyFont="1">
      <alignment readingOrder="0" shrinkToFit="0" wrapText="1"/>
    </xf>
    <xf borderId="0" fillId="0" fontId="42" numFmtId="0" xfId="0" applyAlignment="1" applyFont="1">
      <alignment horizontal="center" readingOrder="0" vertical="center"/>
    </xf>
    <xf borderId="0" fillId="0" fontId="43" numFmtId="0" xfId="0" applyAlignment="1" applyFont="1">
      <alignment readingOrder="0" shrinkToFit="0" vertical="center" wrapText="1"/>
    </xf>
    <xf borderId="0" fillId="9" fontId="23" numFmtId="0" xfId="0" applyAlignment="1" applyFont="1">
      <alignment horizontal="center" readingOrder="0" shrinkToFit="0" vertical="center" wrapText="1"/>
    </xf>
    <xf borderId="0" fillId="9" fontId="23" numFmtId="0" xfId="0" applyAlignment="1" applyFont="1">
      <alignment horizontal="center" readingOrder="0" vertical="center"/>
    </xf>
    <xf borderId="0" fillId="5" fontId="4" numFmtId="0" xfId="0" applyAlignment="1" applyFont="1">
      <alignment horizontal="left" readingOrder="0" vertical="center"/>
    </xf>
    <xf borderId="0" fillId="0" fontId="44" numFmtId="0" xfId="0" applyAlignment="1" applyFont="1">
      <alignment readingOrder="0" shrinkToFit="0" vertical="center" wrapText="1"/>
    </xf>
    <xf borderId="0" fillId="0" fontId="23" numFmtId="0" xfId="0" applyAlignment="1" applyFont="1">
      <alignment horizontal="left" readingOrder="0" shrinkToFit="0" vertical="center" wrapText="1"/>
    </xf>
    <xf borderId="0" fillId="5" fontId="4" numFmtId="0" xfId="0" applyAlignment="1" applyFont="1">
      <alignment horizontal="left" readingOrder="0" shrinkToFit="0" vertical="center" wrapText="1"/>
    </xf>
    <xf borderId="0" fillId="0" fontId="44" numFmtId="0" xfId="0" applyAlignment="1" applyFont="1">
      <alignment readingOrder="0" shrinkToFit="0" wrapText="1"/>
    </xf>
    <xf borderId="0" fillId="0" fontId="45" numFmtId="0" xfId="0" applyAlignment="1" applyFont="1">
      <alignment horizontal="center" readingOrder="0" shrinkToFit="0" vertical="center" wrapText="1"/>
    </xf>
    <xf borderId="0" fillId="5" fontId="23" numFmtId="0" xfId="0" applyAlignment="1" applyFont="1">
      <alignment horizontal="center" readingOrder="0" vertical="center"/>
    </xf>
    <xf borderId="30" fillId="7" fontId="23" numFmtId="0" xfId="0" applyAlignment="1" applyBorder="1" applyFont="1">
      <alignment shrinkToFit="0" vertical="center" wrapText="1"/>
    </xf>
    <xf borderId="0" fillId="5" fontId="8" numFmtId="0" xfId="0" applyAlignment="1" applyFont="1">
      <alignment horizontal="left" readingOrder="0" shrinkToFit="0" vertical="center" wrapText="1"/>
    </xf>
    <xf borderId="0" fillId="0" fontId="46" numFmtId="0" xfId="0" applyAlignment="1" applyFont="1">
      <alignment readingOrder="0" shrinkToFit="0" wrapText="1"/>
    </xf>
    <xf borderId="0" fillId="0" fontId="8" numFmtId="0" xfId="0" applyAlignment="1" applyFont="1">
      <alignment horizontal="center" readingOrder="0" shrinkToFit="0" vertical="center" wrapText="1"/>
    </xf>
    <xf borderId="0" fillId="11" fontId="0"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5" fontId="47" numFmtId="0" xfId="0" applyAlignment="1" applyFont="1">
      <alignment readingOrder="0" vertical="center"/>
    </xf>
    <xf borderId="0" fillId="0" fontId="8" numFmtId="0" xfId="0" applyAlignment="1" applyFont="1">
      <alignment horizontal="left" readingOrder="0" shrinkToFit="0" vertical="center" wrapText="1"/>
    </xf>
    <xf borderId="0" fillId="0" fontId="48" numFmtId="0" xfId="0" applyAlignment="1" applyFont="1">
      <alignment horizontal="center" readingOrder="0" shrinkToFit="0" vertical="center" wrapText="1"/>
    </xf>
    <xf borderId="0" fillId="5" fontId="8" numFmtId="0" xfId="0" applyAlignment="1" applyFont="1">
      <alignment horizontal="center" readingOrder="0" shrinkToFit="0" wrapText="1"/>
    </xf>
    <xf borderId="1" fillId="5" fontId="47" numFmtId="0" xfId="0" applyAlignment="1" applyBorder="1" applyFont="1">
      <alignment horizontal="left" readingOrder="0" shrinkToFit="0" wrapText="1"/>
    </xf>
    <xf borderId="0" fillId="0" fontId="23" numFmtId="166" xfId="0" applyAlignment="1" applyFont="1" applyNumberFormat="1">
      <alignment horizontal="center" readingOrder="0" shrinkToFit="0" vertical="center" wrapText="1"/>
    </xf>
    <xf borderId="0" fillId="5" fontId="47" numFmtId="0" xfId="0" applyAlignment="1" applyFont="1">
      <alignment readingOrder="0" shrinkToFit="0" vertical="center" wrapText="1"/>
    </xf>
    <xf borderId="0" fillId="5" fontId="47" numFmtId="0" xfId="0" applyAlignment="1" applyFont="1">
      <alignment readingOrder="0" shrinkToFit="0" wrapText="1"/>
    </xf>
    <xf borderId="0" fillId="0" fontId="2" numFmtId="0" xfId="0" applyAlignment="1" applyFont="1">
      <alignment horizontal="center" readingOrder="0"/>
    </xf>
    <xf borderId="0" fillId="0" fontId="2" numFmtId="0" xfId="0" applyAlignment="1" applyFont="1">
      <alignment horizontal="left" readingOrder="0" shrinkToFit="0" wrapText="1"/>
    </xf>
    <xf borderId="0" fillId="0" fontId="49" numFmtId="0" xfId="0" applyAlignment="1" applyFont="1">
      <alignment readingOrder="0" shrinkToFit="0" wrapText="1"/>
    </xf>
    <xf borderId="0" fillId="0" fontId="23" numFmtId="165" xfId="0" applyAlignment="1" applyFont="1" applyNumberFormat="1">
      <alignment horizontal="center" readingOrder="0" shrinkToFit="0" vertical="center" wrapText="1"/>
    </xf>
    <xf borderId="1" fillId="0" fontId="47" numFmtId="0" xfId="0" applyAlignment="1" applyBorder="1" applyFont="1">
      <alignment horizontal="left" readingOrder="0" shrinkToFit="0" wrapText="1"/>
    </xf>
    <xf borderId="0" fillId="0" fontId="47" numFmtId="0" xfId="0" applyAlignment="1" applyFont="1">
      <alignment readingOrder="0" shrinkToFit="0" wrapText="1"/>
    </xf>
    <xf borderId="0" fillId="0" fontId="47" numFmtId="0" xfId="0" applyAlignment="1" applyFont="1">
      <alignment shrinkToFit="0" wrapText="1"/>
    </xf>
    <xf borderId="0" fillId="0" fontId="50"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5" fontId="47" numFmtId="0" xfId="0" applyAlignment="1" applyFont="1">
      <alignment horizontal="left" readingOrder="0" shrinkToFit="0" wrapText="1"/>
    </xf>
    <xf borderId="0" fillId="5" fontId="47" numFmtId="0" xfId="0" applyAlignment="1" applyFont="1">
      <alignment horizontal="left" readingOrder="0" shrinkToFit="0" vertical="center" wrapText="1"/>
    </xf>
    <xf borderId="0" fillId="5" fontId="8" numFmtId="166" xfId="0" applyAlignment="1" applyFont="1" applyNumberFormat="1">
      <alignment horizontal="center" readingOrder="0"/>
    </xf>
    <xf borderId="0" fillId="6" fontId="35" numFmtId="0" xfId="0" applyAlignment="1" applyFont="1">
      <alignment horizontal="center" readingOrder="0" shrinkToFit="0" vertical="center" wrapText="1"/>
    </xf>
    <xf borderId="0" fillId="0" fontId="51" numFmtId="0" xfId="0" applyAlignment="1" applyFont="1">
      <alignment horizontal="center" readingOrder="0" shrinkToFit="0" vertical="center" wrapText="1"/>
    </xf>
    <xf borderId="0" fillId="0" fontId="23" numFmtId="0" xfId="0" applyAlignment="1" applyFont="1">
      <alignment horizontal="center" shrinkToFit="0" vertical="center" wrapText="1"/>
    </xf>
    <xf borderId="0" fillId="4" fontId="35" numFmtId="0" xfId="0" applyAlignment="1" applyFont="1">
      <alignment horizontal="center" readingOrder="0" shrinkToFit="0" vertical="center" wrapText="1"/>
    </xf>
    <xf borderId="0" fillId="5" fontId="8" numFmtId="0" xfId="0" applyAlignment="1" applyFont="1">
      <alignment horizontal="left" readingOrder="0" vertical="top"/>
    </xf>
    <xf borderId="0" fillId="0" fontId="23" numFmtId="0" xfId="0" applyAlignment="1" applyFont="1">
      <alignment horizontal="left" readingOrder="0" shrinkToFit="0" vertical="top" wrapText="1"/>
    </xf>
    <xf borderId="0" fillId="0" fontId="2" numFmtId="0" xfId="0" applyAlignment="1" applyFont="1">
      <alignment horizontal="center" readingOrder="0" vertical="center"/>
    </xf>
    <xf borderId="0" fillId="5" fontId="8" numFmtId="0" xfId="0" applyAlignment="1" applyFont="1">
      <alignment horizontal="left" readingOrder="0" vertical="center"/>
    </xf>
    <xf borderId="0" fillId="0" fontId="40" numFmtId="0" xfId="0" applyAlignment="1" applyFont="1">
      <alignment readingOrder="0" vertical="center"/>
    </xf>
    <xf borderId="0" fillId="0" fontId="4" numFmtId="0" xfId="0" applyAlignment="1" applyFont="1">
      <alignment readingOrder="0" vertical="center"/>
    </xf>
    <xf borderId="0" fillId="0" fontId="40" numFmtId="0" xfId="0" applyAlignment="1" applyFont="1">
      <alignment horizontal="center" readingOrder="0" vertical="center"/>
    </xf>
    <xf borderId="0" fillId="0" fontId="52" numFmtId="0" xfId="0" applyAlignment="1" applyFont="1">
      <alignment horizontal="left" readingOrder="0" shrinkToFit="0" vertical="center" wrapText="1"/>
    </xf>
    <xf borderId="30" fillId="7" fontId="23" numFmtId="0" xfId="0" applyAlignment="1" applyBorder="1" applyFont="1">
      <alignment readingOrder="0" vertical="center"/>
    </xf>
    <xf borderId="0" fillId="0" fontId="53" numFmtId="0" xfId="0" applyAlignment="1" applyFont="1">
      <alignment readingOrder="0" vertical="center"/>
    </xf>
    <xf borderId="0" fillId="5" fontId="47" numFmtId="0" xfId="0" applyAlignment="1" applyFont="1">
      <alignment horizontal="center" readingOrder="0" vertical="center"/>
    </xf>
    <xf borderId="0" fillId="5" fontId="47" numFmtId="0" xfId="0" applyAlignment="1" applyFont="1">
      <alignment horizontal="center" readingOrder="0" shrinkToFit="0" vertical="center" wrapText="1"/>
    </xf>
    <xf borderId="0" fillId="0" fontId="4" numFmtId="0" xfId="0" applyAlignment="1" applyFont="1">
      <alignment readingOrder="0"/>
    </xf>
    <xf borderId="0" fillId="0" fontId="54" numFmtId="0" xfId="0" applyAlignment="1" applyFont="1">
      <alignment readingOrder="0"/>
    </xf>
    <xf borderId="0" fillId="0" fontId="55" numFmtId="0" xfId="0" applyAlignment="1" applyFont="1">
      <alignment horizontal="center" readingOrder="0" shrinkToFit="0" vertical="center" wrapText="1"/>
    </xf>
    <xf borderId="0" fillId="5" fontId="8" numFmtId="0" xfId="0" applyAlignment="1" applyFont="1">
      <alignment horizontal="left" readingOrder="0"/>
    </xf>
    <xf borderId="0" fillId="0" fontId="4" numFmtId="0" xfId="0" applyAlignment="1" applyFont="1">
      <alignment shrinkToFit="0" vertical="center" wrapText="1"/>
    </xf>
    <xf borderId="0" fillId="5" fontId="8" numFmtId="0" xfId="0" applyAlignment="1" applyFont="1">
      <alignment horizontal="left" readingOrder="0" shrinkToFit="0" wrapText="1"/>
    </xf>
    <xf borderId="0" fillId="0" fontId="2" numFmtId="0" xfId="0" applyFont="1"/>
    <xf borderId="0" fillId="0" fontId="56" numFmtId="0" xfId="0" applyAlignment="1" applyFont="1">
      <alignment horizontal="center" readingOrder="0" vertical="center"/>
    </xf>
    <xf borderId="0" fillId="0" fontId="2" numFmtId="0" xfId="0" applyAlignment="1" applyFont="1">
      <alignment horizontal="center" shrinkToFit="0" vertical="center" wrapText="1"/>
    </xf>
    <xf borderId="0" fillId="0" fontId="2" numFmtId="0" xfId="0" applyAlignment="1" applyFont="1">
      <alignment horizontal="center" shrinkToFit="0" vertical="center" wrapText="1"/>
    </xf>
    <xf borderId="0" fillId="0" fontId="23" numFmtId="10" xfId="0" applyAlignment="1" applyFont="1" applyNumberFormat="1">
      <alignment horizontal="center" shrinkToFit="0" vertical="center" wrapText="1"/>
    </xf>
    <xf borderId="0" fillId="0" fontId="23" numFmtId="0" xfId="0" applyAlignment="1" applyFont="1">
      <alignment vertical="center"/>
    </xf>
    <xf borderId="30" fillId="7" fontId="33" numFmtId="0" xfId="0" applyAlignment="1" applyBorder="1" applyFont="1">
      <alignment horizontal="center" readingOrder="0" vertical="center"/>
    </xf>
    <xf borderId="32" fillId="7" fontId="57" numFmtId="0" xfId="0" applyAlignment="1" applyBorder="1" applyFont="1">
      <alignment horizontal="left" readingOrder="0" shrinkToFit="0" vertical="center" wrapText="0"/>
    </xf>
    <xf borderId="0" fillId="0" fontId="57" numFmtId="0" xfId="0" applyAlignment="1" applyFont="1">
      <alignment horizontal="center" vertical="center"/>
    </xf>
    <xf borderId="30" fillId="7" fontId="57" numFmtId="0" xfId="0" applyAlignment="1" applyBorder="1" applyFont="1">
      <alignment horizontal="center" readingOrder="0" vertical="center"/>
    </xf>
    <xf borderId="30" fillId="7" fontId="13" numFmtId="0" xfId="0" applyAlignment="1" applyBorder="1" applyFont="1">
      <alignment horizontal="left" readingOrder="0" vertical="center"/>
    </xf>
    <xf borderId="33" fillId="7" fontId="57" numFmtId="0" xfId="0" applyAlignment="1" applyBorder="1" applyFont="1">
      <alignment horizontal="left" readingOrder="0" shrinkToFit="0" vertical="center" wrapText="0"/>
    </xf>
    <xf borderId="34" fillId="7" fontId="57" numFmtId="0" xfId="0" applyAlignment="1" applyBorder="1" applyFont="1">
      <alignment horizontal="left" readingOrder="0" shrinkToFit="0" vertical="center" wrapText="0"/>
    </xf>
    <xf borderId="0" fillId="12" fontId="57" numFmtId="0" xfId="0" applyAlignment="1" applyFill="1" applyFont="1">
      <alignment horizontal="center" readingOrder="0" vertical="center"/>
    </xf>
    <xf borderId="0" fillId="0" fontId="58" numFmtId="0" xfId="0" applyAlignment="1" applyFont="1">
      <alignment horizontal="center" readingOrder="0" vertical="center"/>
    </xf>
    <xf borderId="0" fillId="0" fontId="58" numFmtId="0" xfId="0" applyAlignment="1" applyFont="1">
      <alignment readingOrder="0" vertical="center"/>
    </xf>
    <xf borderId="0" fillId="0" fontId="58" numFmtId="0" xfId="0" applyAlignment="1" applyFont="1">
      <alignment readingOrder="0" shrinkToFit="0" vertical="center" wrapText="1"/>
    </xf>
    <xf borderId="0" fillId="0" fontId="33" numFmtId="0" xfId="0" applyAlignment="1" applyFont="1">
      <alignment vertical="center"/>
    </xf>
    <xf borderId="0" fillId="5" fontId="59" numFmtId="0" xfId="0" applyAlignment="1" applyFont="1">
      <alignment readingOrder="0" vertical="center"/>
    </xf>
    <xf borderId="0" fillId="5" fontId="40" numFmtId="0" xfId="0" applyAlignment="1" applyFont="1">
      <alignment horizontal="left" readingOrder="0" vertical="center"/>
    </xf>
    <xf borderId="0" fillId="5" fontId="40" numFmtId="0" xfId="0" applyAlignment="1" applyFont="1">
      <alignment horizontal="left" readingOrder="0" shrinkToFit="0" vertical="center" wrapText="1"/>
    </xf>
    <xf borderId="0" fillId="0" fontId="33" numFmtId="0" xfId="0" applyAlignment="1" applyFont="1">
      <alignment readingOrder="0" vertical="center"/>
    </xf>
    <xf borderId="0" fillId="0" fontId="33" numFmtId="0" xfId="0" applyAlignment="1" applyFont="1">
      <alignment readingOrder="0" shrinkToFit="0" vertical="center" wrapText="1"/>
    </xf>
    <xf borderId="0" fillId="0" fontId="33" numFmtId="0" xfId="0" applyAlignment="1" applyFont="1">
      <alignment horizontal="center" readingOrder="0" vertical="center"/>
    </xf>
    <xf borderId="0" fillId="0" fontId="2" numFmtId="0" xfId="0" applyAlignment="1" applyFont="1">
      <alignment horizontal="left" readingOrder="0" shrinkToFit="0" vertical="center" wrapText="1"/>
    </xf>
    <xf borderId="0" fillId="5" fontId="33" numFmtId="0" xfId="0" applyAlignment="1" applyFont="1">
      <alignment readingOrder="0" shrinkToFit="0" vertical="center" wrapText="1"/>
    </xf>
    <xf borderId="0" fillId="0" fontId="33" numFmtId="0" xfId="0" applyAlignment="1" applyFont="1">
      <alignment horizontal="center" vertical="center"/>
    </xf>
    <xf borderId="0" fillId="0" fontId="58" numFmtId="0" xfId="0" applyAlignment="1" applyFont="1">
      <alignment horizontal="center" vertical="center"/>
    </xf>
    <xf borderId="0" fillId="0" fontId="23"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23" numFmtId="0" xfId="0" applyAlignment="1" applyFont="1">
      <alignment readingOrder="0" vertical="center"/>
    </xf>
    <xf borderId="0" fillId="0" fontId="23" numFmtId="0" xfId="0" applyAlignment="1" applyFont="1">
      <alignment horizontal="center" readingOrder="0" vertical="center"/>
    </xf>
    <xf borderId="0" fillId="0" fontId="23" numFmtId="0" xfId="0" applyAlignment="1" applyFont="1">
      <alignment horizontal="center" readingOrder="0" vertical="center"/>
    </xf>
    <xf borderId="0" fillId="0" fontId="23"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60" numFmtId="0" xfId="0" applyAlignment="1" applyFont="1">
      <alignment horizontal="center" readingOrder="0" vertical="center"/>
    </xf>
    <xf borderId="0" fillId="0" fontId="0" numFmtId="0" xfId="0" applyAlignment="1" applyFont="1">
      <alignment horizontal="center" readingOrder="0" vertical="center"/>
    </xf>
    <xf borderId="0" fillId="0" fontId="8" numFmtId="0" xfId="0" applyAlignment="1" applyFont="1">
      <alignment horizontal="left" readingOrder="0" shrinkToFit="0" wrapText="1"/>
    </xf>
    <xf borderId="0" fillId="0" fontId="47" numFmtId="0" xfId="0" applyAlignment="1" applyFont="1">
      <alignment horizontal="center" readingOrder="0" vertical="center"/>
    </xf>
    <xf borderId="0" fillId="5" fontId="61" numFmtId="0" xfId="0" applyAlignment="1" applyFont="1">
      <alignment horizontal="center" readingOrder="0" shrinkToFit="0" vertical="center" wrapText="1"/>
    </xf>
    <xf borderId="7" fillId="0" fontId="33" numFmtId="0" xfId="0" applyAlignment="1" applyBorder="1" applyFont="1">
      <alignment horizontal="center" readingOrder="0" shrinkToFit="0" wrapText="1"/>
    </xf>
    <xf borderId="7" fillId="5" fontId="2" numFmtId="0" xfId="0" applyAlignment="1" applyBorder="1" applyFont="1">
      <alignment shrinkToFit="0" wrapText="1"/>
    </xf>
    <xf borderId="7" fillId="0" fontId="2" numFmtId="0" xfId="0" applyAlignment="1" applyBorder="1" applyFont="1">
      <alignment shrinkToFit="0" wrapText="1"/>
    </xf>
    <xf borderId="0" fillId="0" fontId="2" numFmtId="0" xfId="0" applyAlignment="1" applyFont="1">
      <alignment shrinkToFit="0" wrapText="1"/>
    </xf>
    <xf borderId="7" fillId="0" fontId="2" numFmtId="0" xfId="0" applyAlignment="1" applyBorder="1" applyFont="1">
      <alignment horizontal="center"/>
    </xf>
    <xf borderId="7" fillId="0" fontId="2" numFmtId="0" xfId="0" applyBorder="1" applyFont="1"/>
    <xf borderId="7" fillId="5" fontId="62" numFmtId="0" xfId="0" applyAlignment="1" applyBorder="1" applyFont="1">
      <alignment horizontal="center" readingOrder="0"/>
    </xf>
    <xf borderId="7" fillId="0" fontId="63" numFmtId="0" xfId="0" applyAlignment="1" applyBorder="1" applyFont="1">
      <alignment readingOrder="0"/>
    </xf>
    <xf borderId="7" fillId="0" fontId="2" numFmtId="0" xfId="0" applyAlignment="1" applyBorder="1" applyFont="1">
      <alignment horizontal="center" shrinkToFit="0" wrapText="1"/>
    </xf>
    <xf borderId="7" fillId="0" fontId="57" numFmtId="0" xfId="0" applyAlignment="1" applyBorder="1" applyFont="1">
      <alignment readingOrder="0"/>
    </xf>
    <xf borderId="8" fillId="5" fontId="2" numFmtId="0" xfId="0" applyAlignment="1" applyBorder="1" applyFont="1">
      <alignment shrinkToFit="0" wrapText="1"/>
    </xf>
    <xf borderId="14" fillId="0" fontId="2" numFmtId="0" xfId="0" applyAlignment="1" applyBorder="1" applyFont="1">
      <alignment horizontal="center" shrinkToFit="0" wrapText="1"/>
    </xf>
    <xf borderId="35" fillId="13" fontId="64" numFmtId="0" xfId="0" applyAlignment="1" applyBorder="1" applyFill="1" applyFont="1">
      <alignment readingOrder="0" shrinkToFit="0" wrapText="1"/>
    </xf>
    <xf borderId="36" fillId="0" fontId="16" numFmtId="0" xfId="0" applyBorder="1" applyFont="1"/>
    <xf borderId="37" fillId="0" fontId="16" numFmtId="0" xfId="0" applyBorder="1" applyFont="1"/>
    <xf borderId="22" fillId="0" fontId="2" numFmtId="0" xfId="0" applyAlignment="1" applyBorder="1" applyFont="1">
      <alignment shrinkToFit="0" wrapText="1"/>
    </xf>
    <xf borderId="38" fillId="0" fontId="16" numFmtId="0" xfId="0" applyBorder="1" applyFont="1"/>
    <xf borderId="39" fillId="0" fontId="16" numFmtId="0" xfId="0" applyBorder="1" applyFont="1"/>
    <xf borderId="21" fillId="0" fontId="16" numFmtId="0" xfId="0" applyBorder="1" applyFont="1"/>
    <xf borderId="2" fillId="14" fontId="5" numFmtId="0" xfId="0" applyAlignment="1" applyBorder="1" applyFill="1" applyFont="1">
      <alignment readingOrder="0" shrinkToFit="0" vertical="bottom" wrapText="1"/>
    </xf>
    <xf borderId="21" fillId="14" fontId="5" numFmtId="0" xfId="0" applyAlignment="1" applyBorder="1" applyFont="1">
      <alignment readingOrder="0" shrinkToFit="0" vertical="bottom" wrapText="1"/>
    </xf>
    <xf borderId="2" fillId="15" fontId="5" numFmtId="0" xfId="0" applyAlignment="1" applyBorder="1" applyFill="1" applyFont="1">
      <alignment horizontal="right" shrinkToFit="0" vertical="bottom" wrapText="1"/>
    </xf>
    <xf borderId="21" fillId="15" fontId="5" numFmtId="0" xfId="0" applyAlignment="1" applyBorder="1" applyFont="1">
      <alignment horizontal="right" shrinkToFit="0" vertical="bottom" wrapText="1"/>
    </xf>
    <xf borderId="14" fillId="0" fontId="2" numFmtId="0" xfId="0" applyAlignment="1" applyBorder="1" applyFont="1">
      <alignment horizontal="center" readingOrder="0" shrinkToFit="0" wrapText="1"/>
    </xf>
    <xf borderId="40" fillId="16" fontId="5" numFmtId="0" xfId="0" applyAlignment="1" applyBorder="1" applyFill="1" applyFont="1">
      <alignment horizontal="center" readingOrder="0" shrinkToFit="0" vertical="center" wrapText="1"/>
    </xf>
    <xf borderId="41" fillId="0" fontId="4" numFmtId="0" xfId="0" applyAlignment="1" applyBorder="1" applyFont="1">
      <alignment readingOrder="0" shrinkToFit="0" vertical="bottom" wrapText="1"/>
    </xf>
    <xf borderId="40" fillId="0" fontId="16" numFmtId="0" xfId="0" applyBorder="1" applyFont="1"/>
    <xf borderId="42" fillId="0" fontId="4" numFmtId="0" xfId="0" applyAlignment="1" applyBorder="1" applyFont="1">
      <alignment readingOrder="0" shrinkToFit="0" vertical="bottom" wrapText="1"/>
    </xf>
    <xf borderId="42" fillId="0" fontId="4" numFmtId="0" xfId="0" applyAlignment="1" applyBorder="1" applyFont="1">
      <alignment shrinkToFit="0" vertical="bottom" wrapText="1"/>
    </xf>
    <xf borderId="43" fillId="0" fontId="4" numFmtId="0" xfId="0" applyAlignment="1" applyBorder="1" applyFont="1">
      <alignment shrinkToFit="0" vertical="bottom" wrapText="1"/>
    </xf>
    <xf borderId="44" fillId="0" fontId="4" numFmtId="0" xfId="0" applyAlignment="1" applyBorder="1" applyFont="1">
      <alignment shrinkToFit="0" vertical="bottom" wrapText="1"/>
    </xf>
    <xf borderId="44" fillId="0" fontId="4" numFmtId="0" xfId="0" applyAlignment="1" applyBorder="1" applyFont="1">
      <alignment readingOrder="0" shrinkToFit="0" vertical="bottom" wrapText="1"/>
    </xf>
    <xf borderId="21" fillId="15" fontId="4" numFmtId="0" xfId="0" applyAlignment="1" applyBorder="1" applyFont="1">
      <alignment shrinkToFit="0" vertical="bottom" wrapText="1"/>
    </xf>
    <xf borderId="20" fillId="2" fontId="4" numFmtId="0" xfId="0" applyAlignment="1" applyBorder="1" applyFont="1">
      <alignment shrinkToFit="0" vertical="bottom" wrapText="1"/>
    </xf>
    <xf borderId="2" fillId="15" fontId="4" numFmtId="0" xfId="0" applyAlignment="1" applyBorder="1" applyFont="1">
      <alignment shrinkToFit="0" vertical="bottom" wrapText="1"/>
    </xf>
    <xf borderId="19" fillId="0" fontId="2" numFmtId="0" xfId="0" applyAlignment="1" applyBorder="1" applyFont="1">
      <alignment shrinkToFit="0" wrapText="1"/>
    </xf>
    <xf borderId="8" fillId="0" fontId="2" numFmtId="0" xfId="0" applyAlignment="1" applyBorder="1" applyFont="1">
      <alignment shrinkToFit="0" wrapText="1"/>
    </xf>
    <xf borderId="21" fillId="15" fontId="5" numFmtId="0" xfId="0" applyAlignment="1" applyBorder="1" applyFont="1">
      <alignment horizontal="right" readingOrder="0" shrinkToFit="0" vertical="bottom" wrapText="1"/>
    </xf>
    <xf borderId="2" fillId="15" fontId="5" numFmtId="0" xfId="0" applyAlignment="1" applyBorder="1" applyFont="1">
      <alignment horizontal="right" readingOrder="0" shrinkToFit="0" vertical="bottom" wrapText="1"/>
    </xf>
    <xf borderId="41" fillId="0" fontId="4" numFmtId="0" xfId="0" applyAlignment="1" applyBorder="1" applyFont="1">
      <alignment shrinkToFit="0" vertical="bottom" wrapText="1"/>
    </xf>
    <xf borderId="21" fillId="15" fontId="5" numFmtId="0" xfId="0" applyAlignment="1" applyBorder="1" applyFont="1">
      <alignment readingOrder="0" shrinkToFit="0" vertical="bottom" wrapText="1"/>
    </xf>
    <xf borderId="0" fillId="0" fontId="2" numFmtId="0" xfId="0" applyAlignment="1" applyFont="1">
      <alignment horizontal="center" shrinkToFit="0" wrapText="1"/>
    </xf>
    <xf borderId="41" fillId="17" fontId="65" numFmtId="0" xfId="0" applyAlignment="1" applyBorder="1" applyFill="1" applyFont="1">
      <alignment readingOrder="0" shrinkToFit="0" vertical="bottom" wrapText="1"/>
    </xf>
    <xf borderId="1" fillId="18" fontId="4" numFmtId="0" xfId="0" applyAlignment="1" applyBorder="1" applyFill="1" applyFont="1">
      <alignment shrinkToFit="0" wrapText="1"/>
    </xf>
    <xf borderId="13" fillId="18" fontId="4" numFmtId="0" xfId="0" applyAlignment="1" applyBorder="1" applyFont="1">
      <alignment shrinkToFit="0" wrapText="1"/>
    </xf>
    <xf borderId="1" fillId="19" fontId="4" numFmtId="0" xfId="0" applyAlignment="1" applyBorder="1" applyFill="1" applyFont="1">
      <alignment horizontal="center" readingOrder="0" shrinkToFit="0" wrapText="1"/>
    </xf>
    <xf borderId="1" fillId="18" fontId="4" numFmtId="0" xfId="0" applyAlignment="1" applyBorder="1" applyFont="1">
      <alignment shrinkToFit="0" vertical="bottom" wrapText="1"/>
    </xf>
    <xf borderId="13" fillId="18" fontId="4" numFmtId="0" xfId="0" applyAlignment="1" applyBorder="1" applyFont="1">
      <alignment shrinkToFit="0" vertical="bottom" wrapText="1"/>
    </xf>
    <xf borderId="42" fillId="17" fontId="65" numFmtId="0" xfId="0" applyAlignment="1" applyBorder="1" applyFont="1">
      <alignment readingOrder="0" shrinkToFit="0" vertical="bottom" wrapText="1"/>
    </xf>
    <xf borderId="42" fillId="20" fontId="4" numFmtId="0" xfId="0" applyAlignment="1" applyBorder="1" applyFill="1" applyFont="1">
      <alignment horizontal="center" readingOrder="0" shrinkToFit="0" vertical="bottom" wrapText="1"/>
    </xf>
    <xf borderId="42" fillId="21" fontId="4" numFmtId="0" xfId="0" applyAlignment="1" applyBorder="1" applyFill="1" applyFont="1">
      <alignment readingOrder="0" shrinkToFit="0" vertical="bottom" wrapText="1"/>
    </xf>
    <xf borderId="41" fillId="15" fontId="4" numFmtId="0" xfId="0" applyAlignment="1" applyBorder="1" applyFont="1">
      <alignment readingOrder="0" shrinkToFit="0" wrapText="1"/>
    </xf>
    <xf borderId="42" fillId="22" fontId="4" numFmtId="0" xfId="0" applyAlignment="1" applyBorder="1" applyFill="1" applyFont="1">
      <alignment horizontal="center" readingOrder="0" shrinkToFit="0" vertical="bottom" wrapText="1"/>
    </xf>
    <xf borderId="43" fillId="17" fontId="65" numFmtId="0" xfId="0" applyAlignment="1" applyBorder="1" applyFont="1">
      <alignment readingOrder="0" shrinkToFit="0" vertical="bottom" wrapText="1"/>
    </xf>
    <xf borderId="1" fillId="0" fontId="2" numFmtId="0" xfId="0" applyBorder="1" applyFont="1"/>
    <xf borderId="45" fillId="0" fontId="4" numFmtId="0" xfId="0" applyAlignment="1" applyBorder="1" applyFont="1">
      <alignment readingOrder="0" shrinkToFit="0" vertical="bottom" wrapText="1"/>
    </xf>
    <xf borderId="41" fillId="23" fontId="4" numFmtId="0" xfId="0" applyAlignment="1" applyBorder="1" applyFill="1" applyFont="1">
      <alignment shrinkToFit="0" wrapText="1"/>
    </xf>
    <xf borderId="42" fillId="24" fontId="4" numFmtId="0" xfId="0" applyAlignment="1" applyBorder="1" applyFill="1" applyFont="1">
      <alignment horizontal="center" readingOrder="0" shrinkToFit="0" vertical="bottom" wrapText="1"/>
    </xf>
    <xf borderId="42" fillId="25" fontId="4" numFmtId="0" xfId="0" applyAlignment="1" applyBorder="1" applyFill="1" applyFont="1">
      <alignment readingOrder="0" shrinkToFit="0" vertical="bottom" wrapText="1"/>
    </xf>
    <xf borderId="41" fillId="7" fontId="4" numFmtId="0" xfId="0" applyAlignment="1" applyBorder="1" applyFont="1">
      <alignment shrinkToFit="0" wrapText="1"/>
    </xf>
    <xf borderId="42" fillId="26" fontId="4" numFmtId="0" xfId="0" applyAlignment="1" applyBorder="1" applyFill="1" applyFont="1">
      <alignment readingOrder="0" shrinkToFit="0" vertical="bottom" wrapText="1"/>
    </xf>
    <xf borderId="42" fillId="11" fontId="4" numFmtId="0" xfId="0" applyAlignment="1" applyBorder="1" applyFont="1">
      <alignment readingOrder="0" shrinkToFit="0" vertical="bottom" wrapText="1"/>
    </xf>
    <xf borderId="1" fillId="22" fontId="4" numFmtId="0" xfId="0" applyAlignment="1" applyBorder="1" applyFont="1">
      <alignment readingOrder="0" shrinkToFit="0" wrapText="1"/>
    </xf>
    <xf borderId="42" fillId="27" fontId="4" numFmtId="0" xfId="0" applyAlignment="1" applyBorder="1" applyFill="1" applyFont="1">
      <alignment readingOrder="0" shrinkToFit="0" vertical="bottom" wrapText="1"/>
    </xf>
    <xf borderId="20" fillId="28" fontId="4" numFmtId="0" xfId="0" applyAlignment="1" applyBorder="1" applyFill="1" applyFont="1">
      <alignment readingOrder="0" shrinkToFit="0" vertical="bottom" wrapText="1"/>
    </xf>
    <xf borderId="20" fillId="0" fontId="4" numFmtId="0" xfId="0" applyAlignment="1" applyBorder="1" applyFont="1">
      <alignment readingOrder="0" shrinkToFit="0" vertical="bottom" wrapText="1"/>
    </xf>
    <xf borderId="1" fillId="12" fontId="23" numFmtId="0" xfId="0" applyAlignment="1" applyBorder="1" applyFont="1">
      <alignment horizontal="left" readingOrder="0" shrinkToFit="0" vertical="center" wrapText="1"/>
    </xf>
    <xf borderId="42" fillId="8" fontId="4" numFmtId="0" xfId="0" applyAlignment="1" applyBorder="1" applyFont="1">
      <alignment readingOrder="0" shrinkToFit="0" vertical="bottom" wrapText="1"/>
    </xf>
    <xf borderId="45" fillId="0" fontId="4" numFmtId="0" xfId="0" applyAlignment="1" applyBorder="1" applyFont="1">
      <alignment shrinkToFit="0" vertical="bottom" wrapText="1"/>
    </xf>
    <xf borderId="1" fillId="24" fontId="4" numFmtId="0" xfId="0" applyAlignment="1" applyBorder="1" applyFont="1">
      <alignment shrinkToFit="0" wrapText="1"/>
    </xf>
    <xf borderId="13" fillId="24" fontId="4" numFmtId="0" xfId="0" applyAlignment="1" applyBorder="1" applyFont="1">
      <alignment shrinkToFit="0" wrapText="1"/>
    </xf>
    <xf borderId="42" fillId="19" fontId="4" numFmtId="0" xfId="0" applyAlignment="1" applyBorder="1" applyFont="1">
      <alignment horizontal="center" readingOrder="0" shrinkToFit="0" vertical="bottom" wrapText="1"/>
    </xf>
    <xf borderId="1" fillId="12" fontId="4" numFmtId="0" xfId="0" applyAlignment="1" applyBorder="1" applyFont="1">
      <alignment shrinkToFit="0" wrapText="1"/>
    </xf>
    <xf borderId="13" fillId="12" fontId="4" numFmtId="0" xfId="0" applyAlignment="1" applyBorder="1" applyFont="1">
      <alignment shrinkToFit="0" wrapText="1"/>
    </xf>
    <xf borderId="41" fillId="18" fontId="4" numFmtId="0" xfId="0" applyAlignment="1" applyBorder="1" applyFont="1">
      <alignment readingOrder="0" shrinkToFit="0" vertical="bottom" wrapText="1"/>
    </xf>
    <xf borderId="42" fillId="15" fontId="4" numFmtId="0" xfId="0" applyAlignment="1" applyBorder="1" applyFont="1">
      <alignment readingOrder="0" shrinkToFit="0" vertical="bottom" wrapText="1"/>
    </xf>
    <xf borderId="42" fillId="29" fontId="65" numFmtId="0" xfId="0" applyAlignment="1" applyBorder="1" applyFill="1" applyFont="1">
      <alignment readingOrder="0" shrinkToFit="0" vertical="bottom" wrapText="1"/>
    </xf>
    <xf borderId="1" fillId="20" fontId="4" numFmtId="0" xfId="0" applyAlignment="1" applyBorder="1" applyFont="1">
      <alignment shrinkToFit="0" wrapText="1"/>
    </xf>
    <xf borderId="13" fillId="20" fontId="4" numFmtId="0" xfId="0" applyAlignment="1" applyBorder="1" applyFont="1">
      <alignment shrinkToFit="0" wrapText="1"/>
    </xf>
    <xf borderId="0" fillId="0" fontId="66" numFmtId="0" xfId="0" applyAlignment="1" applyFont="1">
      <alignment horizontal="left" readingOrder="0" shrinkToFit="0" textRotation="180" vertical="center" wrapText="1"/>
    </xf>
    <xf borderId="41" fillId="16" fontId="5" numFmtId="0" xfId="0" applyAlignment="1" applyBorder="1" applyFont="1">
      <alignment horizontal="center" readingOrder="0" shrinkToFit="0" vertical="bottom" wrapText="1"/>
    </xf>
    <xf borderId="1" fillId="26" fontId="4" numFmtId="0" xfId="0" applyAlignment="1" applyBorder="1" applyFont="1">
      <alignment shrinkToFit="0" wrapText="1"/>
    </xf>
    <xf borderId="13" fillId="26" fontId="4" numFmtId="0" xfId="0" applyAlignment="1" applyBorder="1" applyFont="1">
      <alignment shrinkToFit="0" wrapText="1"/>
    </xf>
    <xf borderId="42" fillId="0" fontId="4" numFmtId="0" xfId="0" applyAlignment="1" applyBorder="1" applyFont="1">
      <alignment horizontal="center" readingOrder="0" shrinkToFit="0" vertical="bottom" wrapText="1"/>
    </xf>
    <xf borderId="41" fillId="24" fontId="4" numFmtId="0" xfId="0" applyAlignment="1" applyBorder="1" applyFont="1">
      <alignment readingOrder="0" shrinkToFit="0" vertical="bottom" wrapText="1"/>
    </xf>
    <xf borderId="41" fillId="17" fontId="4" numFmtId="0" xfId="0" applyAlignment="1" applyBorder="1" applyFont="1">
      <alignment readingOrder="0" shrinkToFit="0" vertical="bottom" wrapText="1"/>
    </xf>
    <xf borderId="30" fillId="7" fontId="23" numFmtId="0" xfId="0" applyAlignment="1" applyBorder="1" applyFont="1">
      <alignment horizontal="center" readingOrder="0" shrinkToFit="0" vertical="center" wrapText="1"/>
    </xf>
    <xf borderId="0" fillId="0" fontId="0" numFmtId="165" xfId="0" applyAlignment="1" applyFont="1" applyNumberFormat="1">
      <alignment horizontal="center" readingOrder="0" shrinkToFit="0" vertical="center" wrapText="1"/>
    </xf>
    <xf borderId="30" fillId="0" fontId="23" numFmtId="0" xfId="0" applyAlignment="1" applyBorder="1" applyFont="1">
      <alignment shrinkToFit="0" vertical="center" wrapText="1"/>
    </xf>
    <xf borderId="0" fillId="27" fontId="0" numFmtId="0" xfId="0" applyAlignment="1" applyFont="1">
      <alignment horizontal="center" readingOrder="0" shrinkToFit="0" vertical="center" wrapText="1"/>
    </xf>
    <xf borderId="0" fillId="0" fontId="33" numFmtId="165" xfId="0" applyAlignment="1" applyFont="1" applyNumberFormat="1">
      <alignment horizontal="center" readingOrder="0" shrinkToFit="0" wrapText="1"/>
    </xf>
    <xf borderId="0" fillId="0" fontId="0" numFmtId="167" xfId="0" applyAlignment="1" applyFont="1" applyNumberFormat="1">
      <alignment horizontal="center" readingOrder="0" shrinkToFit="0" vertical="center" wrapText="1"/>
    </xf>
    <xf borderId="0" fillId="0" fontId="33" numFmtId="0" xfId="0" applyAlignment="1" applyFont="1">
      <alignment horizontal="center" shrinkToFit="0" vertical="center" wrapText="1"/>
    </xf>
    <xf borderId="0" fillId="0" fontId="23" numFmtId="0" xfId="0" applyAlignment="1" applyFont="1">
      <alignment readingOrder="0" shrinkToFit="0" vertical="center" wrapText="1"/>
    </xf>
    <xf borderId="0" fillId="0" fontId="0" numFmtId="0" xfId="0" applyAlignment="1" applyFont="1">
      <alignment readingOrder="0" shrinkToFit="0" vertical="center" wrapText="1"/>
    </xf>
    <xf borderId="0" fillId="0" fontId="2" numFmtId="0" xfId="0" applyAlignment="1" applyFont="1">
      <alignment horizontal="left" shrinkToFit="0" vertical="center" wrapText="1"/>
    </xf>
    <xf borderId="0" fillId="0" fontId="4" numFmtId="0" xfId="0" applyAlignment="1" applyFont="1">
      <alignment horizontal="center" shrinkToFit="0" vertical="center" wrapText="1"/>
    </xf>
    <xf borderId="30" fillId="0" fontId="23" numFmtId="0" xfId="0" applyAlignment="1" applyBorder="1" applyFont="1">
      <alignment readingOrder="0" shrinkToFit="0" vertical="center" wrapText="1"/>
    </xf>
    <xf borderId="0" fillId="0" fontId="23" numFmtId="0" xfId="0" applyAlignment="1" applyFont="1">
      <alignment shrinkToFit="0" vertical="center" wrapText="1"/>
    </xf>
    <xf borderId="0" fillId="0" fontId="23" numFmtId="0" xfId="0" applyAlignment="1" applyFont="1">
      <alignment horizontal="left" readingOrder="0" shrinkToFit="0" wrapText="1"/>
    </xf>
    <xf borderId="0" fillId="0" fontId="67" numFmtId="0" xfId="0" applyAlignment="1" applyFont="1">
      <alignment horizontal="center" readingOrder="0" shrinkToFit="0" vertical="center" wrapText="1"/>
    </xf>
    <xf borderId="0" fillId="0" fontId="55"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shrinkToFit="0" wrapText="1"/>
    </xf>
    <xf borderId="30" fillId="7" fontId="2" numFmtId="0" xfId="0" applyAlignment="1" applyBorder="1" applyFont="1">
      <alignment horizontal="center" readingOrder="0" vertical="center"/>
    </xf>
    <xf borderId="30" fillId="7" fontId="2" numFmtId="0" xfId="0" applyAlignment="1" applyBorder="1" applyFont="1">
      <alignment horizontal="center" vertical="center"/>
    </xf>
    <xf borderId="30" fillId="7" fontId="2" numFmtId="0" xfId="0" applyAlignment="1" applyBorder="1" applyFont="1">
      <alignment horizontal="center" shrinkToFit="0" vertical="center" wrapText="1"/>
    </xf>
    <xf borderId="30" fillId="7" fontId="2" numFmtId="3" xfId="0" applyAlignment="1" applyBorder="1" applyFont="1" applyNumberFormat="1">
      <alignment horizontal="center" shrinkToFit="0" vertical="center" wrapText="1"/>
    </xf>
    <xf borderId="30" fillId="7" fontId="2" numFmtId="49" xfId="0" applyAlignment="1" applyBorder="1" applyFont="1" applyNumberFormat="1">
      <alignment horizontal="center" shrinkToFit="0" vertical="center" wrapText="1"/>
    </xf>
    <xf borderId="30" fillId="7" fontId="2" numFmtId="0" xfId="0" applyAlignment="1" applyBorder="1" applyFont="1">
      <alignment vertical="center"/>
    </xf>
    <xf borderId="30" fillId="7" fontId="68" numFmtId="0" xfId="0" applyAlignment="1" applyBorder="1" applyFont="1">
      <alignment horizontal="left" vertical="center"/>
    </xf>
    <xf borderId="46" fillId="7" fontId="2" numFmtId="0" xfId="0" applyAlignment="1" applyBorder="1" applyFont="1">
      <alignment horizontal="center" vertical="center"/>
    </xf>
    <xf borderId="46" fillId="7" fontId="2" numFmtId="0" xfId="0" applyAlignment="1" applyBorder="1" applyFont="1">
      <alignment horizontal="center" shrinkToFit="0" vertical="center" wrapText="1"/>
    </xf>
    <xf borderId="46" fillId="7" fontId="2" numFmtId="3" xfId="0" applyAlignment="1" applyBorder="1" applyFont="1" applyNumberFormat="1">
      <alignment horizontal="center" vertical="center"/>
    </xf>
    <xf borderId="47" fillId="7" fontId="2" numFmtId="49" xfId="0" applyAlignment="1" applyBorder="1" applyFont="1" applyNumberFormat="1">
      <alignment horizontal="center" vertical="center"/>
    </xf>
    <xf borderId="36" fillId="0" fontId="57" numFmtId="0" xfId="0" applyAlignment="1" applyBorder="1" applyFont="1">
      <alignment horizontal="center" readingOrder="0" shrinkToFit="0" vertical="center" wrapText="1"/>
    </xf>
    <xf borderId="37" fillId="0" fontId="57" numFmtId="0" xfId="0" applyAlignment="1" applyBorder="1" applyFont="1">
      <alignment horizontal="center" readingOrder="0" shrinkToFit="0" vertical="center" wrapText="1"/>
    </xf>
    <xf borderId="0" fillId="0" fontId="66" numFmtId="0" xfId="0" applyAlignment="1" applyFont="1">
      <alignment horizontal="center" readingOrder="0" shrinkToFit="0" vertical="center" wrapText="1"/>
    </xf>
    <xf borderId="47" fillId="7" fontId="2" numFmtId="0" xfId="0" applyAlignment="1" applyBorder="1" applyFont="1">
      <alignment vertical="center"/>
    </xf>
    <xf borderId="0" fillId="0" fontId="2" numFmtId="164" xfId="0" applyAlignment="1" applyFont="1" applyNumberFormat="1">
      <alignment horizontal="center" readingOrder="0" vertical="center"/>
    </xf>
    <xf borderId="0" fillId="7" fontId="2" numFmtId="0" xfId="0" applyAlignment="1" applyFont="1">
      <alignment vertical="center"/>
    </xf>
    <xf borderId="0" fillId="30" fontId="0" numFmtId="0" xfId="0" applyAlignment="1" applyFill="1" applyFont="1">
      <alignment horizontal="center" readingOrder="0" shrinkToFit="0" vertical="center" wrapText="1"/>
    </xf>
    <xf borderId="0" fillId="0" fontId="23" numFmtId="165" xfId="0" applyAlignment="1" applyFont="1" applyNumberFormat="1">
      <alignment horizontal="center" vertical="center"/>
    </xf>
    <xf borderId="0" fillId="0" fontId="69" numFmtId="0" xfId="0" applyAlignment="1" applyFont="1">
      <alignment horizontal="center" readingOrder="0" vertical="center"/>
    </xf>
    <xf borderId="0" fillId="0" fontId="3" numFmtId="0" xfId="0" applyAlignment="1" applyFont="1">
      <alignment horizontal="center" vertical="center"/>
    </xf>
    <xf borderId="0" fillId="7" fontId="3" numFmtId="0" xfId="0" applyAlignment="1" applyFont="1">
      <alignment vertical="center"/>
    </xf>
    <xf borderId="0" fillId="0" fontId="2" numFmtId="0" xfId="0" applyAlignment="1" applyFont="1">
      <alignment horizontal="center" vertical="center"/>
    </xf>
    <xf borderId="0" fillId="0" fontId="23" numFmtId="166" xfId="0" applyAlignment="1" applyFont="1" applyNumberFormat="1">
      <alignment horizontal="center" shrinkToFit="0" vertical="center" wrapText="1"/>
    </xf>
    <xf borderId="0" fillId="0" fontId="26" numFmtId="166" xfId="0" applyAlignment="1" applyFont="1" applyNumberFormat="1">
      <alignment horizontal="center" readingOrder="0" shrinkToFit="0" vertical="center" wrapText="1"/>
    </xf>
    <xf borderId="0" fillId="0" fontId="2" numFmtId="0" xfId="0" applyAlignment="1" applyFont="1">
      <alignment vertical="center"/>
    </xf>
    <xf borderId="0" fillId="0" fontId="2" numFmtId="164" xfId="0" applyAlignment="1" applyFont="1" applyNumberFormat="1">
      <alignment horizontal="center" vertical="center"/>
    </xf>
    <xf borderId="0" fillId="0" fontId="2" numFmtId="49" xfId="0" applyAlignment="1" applyFont="1" applyNumberFormat="1">
      <alignment horizontal="center" vertical="center"/>
    </xf>
    <xf borderId="0" fillId="0" fontId="2" numFmtId="3" xfId="0" applyAlignment="1" applyFont="1" applyNumberFormat="1">
      <alignment horizontal="center" vertical="center"/>
    </xf>
    <xf borderId="0" fillId="0" fontId="2" numFmtId="3" xfId="0" applyAlignment="1" applyFont="1" applyNumberFormat="1">
      <alignment horizontal="center" shrinkToFit="0" vertical="center" wrapText="1"/>
    </xf>
    <xf borderId="0" fillId="0" fontId="2" numFmtId="49" xfId="0" applyAlignment="1" applyFont="1" applyNumberFormat="1">
      <alignment horizontal="center" shrinkToFit="0" vertical="center" wrapText="1"/>
    </xf>
    <xf borderId="35" fillId="31" fontId="70" numFmtId="0" xfId="0" applyAlignment="1" applyBorder="1" applyFill="1" applyFont="1">
      <alignment horizontal="center" readingOrder="0" shrinkToFit="0" vertical="center" wrapText="1"/>
    </xf>
    <xf borderId="0" fillId="0" fontId="1" numFmtId="0" xfId="0" applyFont="1"/>
    <xf borderId="1" fillId="2" fontId="1" numFmtId="0" xfId="0" applyAlignment="1" applyBorder="1" applyFont="1">
      <alignment horizontal="center" readingOrder="0" shrinkToFit="0" vertical="center" wrapText="1"/>
    </xf>
    <xf borderId="20" fillId="26" fontId="71" numFmtId="0" xfId="0" applyAlignment="1" applyBorder="1" applyFont="1">
      <alignment horizontal="center" shrinkToFit="0" vertical="center" wrapText="1"/>
    </xf>
    <xf borderId="1" fillId="26" fontId="71" numFmtId="0" xfId="0" applyAlignment="1" applyBorder="1" applyFont="1">
      <alignment horizontal="center" shrinkToFit="0" vertical="center" wrapText="1"/>
    </xf>
    <xf borderId="20" fillId="26" fontId="71" numFmtId="0" xfId="0" applyAlignment="1" applyBorder="1" applyFont="1">
      <alignment horizontal="center" readingOrder="0" shrinkToFit="0" vertical="center" wrapText="1"/>
    </xf>
    <xf borderId="20" fillId="20" fontId="71" numFmtId="0" xfId="0" applyAlignment="1" applyBorder="1" applyFont="1">
      <alignment horizontal="center" readingOrder="0" shrinkToFit="0" vertical="center" wrapText="1"/>
    </xf>
    <xf borderId="1" fillId="20" fontId="71" numFmtId="0" xfId="0" applyAlignment="1" applyBorder="1" applyFont="1">
      <alignment horizontal="center" readingOrder="0" shrinkToFit="0" vertical="center" wrapText="1"/>
    </xf>
    <xf borderId="20" fillId="23" fontId="71" numFmtId="0" xfId="0" applyAlignment="1" applyBorder="1" applyFont="1">
      <alignment horizontal="center" readingOrder="0" shrinkToFit="0" vertical="center" wrapText="1"/>
    </xf>
    <xf borderId="1" fillId="23" fontId="71" numFmtId="0" xfId="0" applyAlignment="1" applyBorder="1" applyFont="1">
      <alignment horizontal="center" shrinkToFit="0" wrapText="1"/>
    </xf>
    <xf borderId="1" fillId="23" fontId="71" numFmtId="0" xfId="0" applyAlignment="1" applyBorder="1" applyFont="1">
      <alignment horizontal="center" readingOrder="0" shrinkToFit="0" vertical="center" wrapText="1"/>
    </xf>
    <xf borderId="1" fillId="23" fontId="72" numFmtId="0" xfId="0" applyAlignment="1" applyBorder="1" applyFont="1">
      <alignment horizontal="center" shrinkToFit="0" wrapText="1"/>
    </xf>
    <xf borderId="1" fillId="24" fontId="71" numFmtId="0" xfId="0" applyAlignment="1" applyBorder="1" applyFont="1">
      <alignment horizontal="center" readingOrder="0" shrinkToFit="0" vertical="center" wrapText="1"/>
    </xf>
    <xf borderId="20" fillId="24" fontId="71" numFmtId="0" xfId="0" applyAlignment="1" applyBorder="1" applyFont="1">
      <alignment horizontal="center" readingOrder="0" shrinkToFit="0" vertical="center" wrapText="1"/>
    </xf>
    <xf borderId="1" fillId="24" fontId="71" numFmtId="0" xfId="0" applyAlignment="1" applyBorder="1" applyFont="1">
      <alignment horizontal="center" readingOrder="0"/>
    </xf>
    <xf borderId="2" fillId="24" fontId="71" numFmtId="0" xfId="0" applyAlignment="1" applyBorder="1" applyFont="1">
      <alignment horizontal="center" readingOrder="0" shrinkToFit="0" vertical="center" wrapText="1"/>
    </xf>
    <xf borderId="20" fillId="12" fontId="71" numFmtId="0" xfId="0" applyAlignment="1" applyBorder="1" applyFont="1">
      <alignment horizontal="center" readingOrder="0" shrinkToFit="0" vertical="center" wrapText="1"/>
    </xf>
    <xf borderId="1" fillId="12" fontId="71" numFmtId="0" xfId="0" applyAlignment="1" applyBorder="1" applyFont="1">
      <alignment horizontal="center" readingOrder="0" shrinkToFit="0" vertical="center" wrapText="1"/>
    </xf>
    <xf borderId="20" fillId="12" fontId="71" numFmtId="0" xfId="0" applyAlignment="1" applyBorder="1" applyFont="1">
      <alignment horizontal="center" readingOrder="0" vertical="center"/>
    </xf>
    <xf borderId="1" fillId="32" fontId="71" numFmtId="0" xfId="0" applyAlignment="1" applyBorder="1" applyFill="1" applyFont="1">
      <alignment horizontal="center" readingOrder="0" shrinkToFit="0" vertical="center" wrapText="1"/>
    </xf>
    <xf borderId="20" fillId="32" fontId="71" numFmtId="0" xfId="0" applyAlignment="1" applyBorder="1" applyFont="1">
      <alignment horizontal="center" readingOrder="0" shrinkToFit="0" vertical="center" wrapText="1"/>
    </xf>
    <xf borderId="20" fillId="15" fontId="71" numFmtId="0" xfId="0" applyAlignment="1" applyBorder="1" applyFont="1">
      <alignment horizontal="center" readingOrder="0" shrinkToFit="0" vertical="center" wrapText="1"/>
    </xf>
    <xf borderId="1" fillId="15" fontId="71" numFmtId="0" xfId="0" applyAlignment="1" applyBorder="1" applyFont="1">
      <alignment horizontal="center" readingOrder="0" shrinkToFit="0" vertical="center" wrapText="1"/>
    </xf>
    <xf borderId="20" fillId="33" fontId="71" numFmtId="0" xfId="0" applyAlignment="1" applyBorder="1" applyFill="1" applyFont="1">
      <alignment horizontal="center" readingOrder="0" shrinkToFit="0" vertical="center" wrapText="1"/>
    </xf>
    <xf borderId="1" fillId="33" fontId="71" numFmtId="0" xfId="0" applyAlignment="1" applyBorder="1" applyFont="1">
      <alignment horizontal="center" readingOrder="0" shrinkToFit="0" vertical="center" wrapText="1"/>
    </xf>
    <xf borderId="20" fillId="14" fontId="71" numFmtId="0" xfId="0" applyAlignment="1" applyBorder="1" applyFont="1">
      <alignment horizontal="center" readingOrder="0" shrinkToFit="0" vertical="center" wrapText="1"/>
    </xf>
    <xf borderId="1" fillId="14" fontId="71" numFmtId="0" xfId="0" applyAlignment="1" applyBorder="1" applyFont="1">
      <alignment horizontal="center" readingOrder="0" shrinkToFit="0" vertical="center" wrapText="1"/>
    </xf>
    <xf borderId="20" fillId="34" fontId="72" numFmtId="0" xfId="0" applyAlignment="1" applyBorder="1" applyFill="1" applyFont="1">
      <alignment horizontal="center" readingOrder="0" shrinkToFit="0" vertical="center" wrapText="1"/>
    </xf>
    <xf borderId="1" fillId="34" fontId="72" numFmtId="0" xfId="0" applyAlignment="1" applyBorder="1" applyFont="1">
      <alignment horizontal="center" readingOrder="0" shrinkToFit="0" vertical="center" wrapText="1"/>
    </xf>
    <xf borderId="1" fillId="26" fontId="71" numFmtId="0" xfId="0" applyAlignment="1" applyBorder="1" applyFont="1">
      <alignment horizontal="center" readingOrder="0" shrinkToFit="0" vertical="center" wrapText="1"/>
    </xf>
    <xf borderId="13" fillId="26" fontId="71" numFmtId="0" xfId="0" applyAlignment="1" applyBorder="1" applyFont="1">
      <alignment horizontal="center" readingOrder="0" shrinkToFit="0" vertical="center" wrapText="1"/>
    </xf>
    <xf borderId="20" fillId="35" fontId="71" numFmtId="0" xfId="0" applyAlignment="1" applyBorder="1" applyFill="1" applyFont="1">
      <alignment horizontal="center" readingOrder="0" shrinkToFit="0" vertical="center" wrapText="1"/>
    </xf>
    <xf borderId="1" fillId="35" fontId="71" numFmtId="0" xfId="0" applyAlignment="1" applyBorder="1" applyFont="1">
      <alignment horizontal="center" readingOrder="0" shrinkToFit="0" vertical="center" wrapText="1"/>
    </xf>
    <xf borderId="20" fillId="35" fontId="71" numFmtId="0" xfId="0" applyAlignment="1" applyBorder="1" applyFont="1">
      <alignment horizontal="center" shrinkToFit="0" vertical="center" wrapText="1"/>
    </xf>
    <xf borderId="20" fillId="35" fontId="71" numFmtId="0" xfId="0" applyAlignment="1" applyBorder="1" applyFont="1">
      <alignment horizontal="center" readingOrder="0" vertical="center"/>
    </xf>
    <xf borderId="1" fillId="36" fontId="73" numFmtId="0" xfId="0" applyAlignment="1" applyBorder="1" applyFill="1" applyFont="1">
      <alignment horizontal="center" readingOrder="0" shrinkToFit="0" vertical="center" wrapText="1"/>
    </xf>
    <xf borderId="12" fillId="36" fontId="73" numFmtId="0" xfId="0" applyAlignment="1" applyBorder="1" applyFont="1">
      <alignment horizontal="center" shrinkToFit="0" vertical="center" wrapText="1"/>
    </xf>
    <xf borderId="1" fillId="36" fontId="71" numFmtId="0" xfId="0" applyAlignment="1" applyBorder="1" applyFont="1">
      <alignment horizontal="center" readingOrder="0" shrinkToFit="0" vertical="center" wrapText="1"/>
    </xf>
    <xf borderId="13" fillId="36" fontId="71" numFmtId="0" xfId="0" applyAlignment="1" applyBorder="1" applyFont="1">
      <alignment horizontal="center" readingOrder="0" shrinkToFit="0" vertical="center" wrapText="1"/>
    </xf>
    <xf borderId="20" fillId="37" fontId="71" numFmtId="0" xfId="0" applyAlignment="1" applyBorder="1" applyFill="1" applyFont="1">
      <alignment horizontal="center" readingOrder="0" shrinkToFit="0" vertical="center" wrapText="1"/>
    </xf>
    <xf borderId="1" fillId="37" fontId="71" numFmtId="0" xfId="0" applyAlignment="1" applyBorder="1" applyFont="1">
      <alignment horizontal="center" readingOrder="0" shrinkToFit="0" vertical="center" wrapText="1"/>
    </xf>
    <xf borderId="20" fillId="37" fontId="71" numFmtId="0" xfId="0" applyAlignment="1" applyBorder="1" applyFont="1">
      <alignment horizontal="center" shrinkToFit="0" vertical="center" wrapText="1"/>
    </xf>
    <xf borderId="1" fillId="38" fontId="71" numFmtId="0" xfId="0" applyAlignment="1" applyBorder="1" applyFill="1" applyFont="1">
      <alignment horizontal="center" readingOrder="0" shrinkToFit="0" vertical="center" wrapText="1"/>
    </xf>
    <xf borderId="12" fillId="38" fontId="71" numFmtId="0" xfId="0" applyAlignment="1" applyBorder="1" applyFont="1">
      <alignment horizontal="center" shrinkToFit="0" vertical="center" wrapText="1"/>
    </xf>
    <xf borderId="13" fillId="38" fontId="71" numFmtId="0" xfId="0" applyAlignment="1" applyBorder="1" applyFont="1">
      <alignment horizontal="center" readingOrder="0" shrinkToFit="0" vertical="center" wrapText="1"/>
    </xf>
    <xf borderId="1" fillId="39" fontId="72" numFmtId="0" xfId="0" applyAlignment="1" applyBorder="1" applyFill="1" applyFont="1">
      <alignment horizontal="center" readingOrder="0" shrinkToFit="0" vertical="center" wrapText="1"/>
    </xf>
    <xf borderId="1" fillId="39" fontId="74" numFmtId="0" xfId="0" applyAlignment="1" applyBorder="1" applyFont="1">
      <alignment horizontal="center" readingOrder="0" shrinkToFit="0" vertical="center" wrapText="1"/>
    </xf>
    <xf borderId="1" fillId="39" fontId="71" numFmtId="0" xfId="0" applyAlignment="1" applyBorder="1" applyFont="1">
      <alignment horizontal="center" readingOrder="0" shrinkToFit="0" vertical="center" wrapText="1"/>
    </xf>
    <xf borderId="1" fillId="39" fontId="71" numFmtId="0" xfId="0" applyAlignment="1" applyBorder="1" applyFont="1">
      <alignment horizontal="center" shrinkToFit="0" vertical="center" wrapText="1"/>
    </xf>
    <xf borderId="12" fillId="39" fontId="71" numFmtId="0" xfId="0" applyAlignment="1" applyBorder="1" applyFont="1">
      <alignment horizontal="center" readingOrder="0" shrinkToFit="0" vertical="center" wrapText="1"/>
    </xf>
    <xf borderId="1" fillId="40" fontId="73" numFmtId="0" xfId="0" applyAlignment="1" applyBorder="1" applyFill="1" applyFont="1">
      <alignment horizontal="center" readingOrder="0" shrinkToFit="0" vertical="center" wrapText="1"/>
    </xf>
    <xf borderId="1" fillId="40" fontId="73" numFmtId="0" xfId="0" applyAlignment="1" applyBorder="1" applyFont="1">
      <alignment horizontal="center" shrinkToFit="0" vertical="center" wrapText="1"/>
    </xf>
    <xf borderId="1" fillId="40" fontId="75" numFmtId="0" xfId="0" applyAlignment="1" applyBorder="1" applyFont="1">
      <alignment readingOrder="0"/>
    </xf>
    <xf borderId="1" fillId="40" fontId="73" numFmtId="0" xfId="0" applyBorder="1" applyFont="1"/>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1" fillId="41" fontId="1" numFmtId="0" xfId="0" applyAlignment="1" applyBorder="1" applyFill="1" applyFont="1">
      <alignment horizontal="center" readingOrder="0" shrinkToFit="0" vertical="center" wrapText="1"/>
    </xf>
    <xf borderId="1" fillId="41" fontId="1" numFmtId="0" xfId="0" applyAlignment="1" applyBorder="1" applyFont="1">
      <alignment horizontal="center" shrinkToFit="0" vertical="center" wrapText="1"/>
    </xf>
    <xf borderId="0" fillId="0" fontId="27" numFmtId="10" xfId="0" applyAlignment="1" applyFont="1" applyNumberFormat="1">
      <alignment horizontal="center" shrinkToFit="0" vertical="center" wrapText="1"/>
    </xf>
    <xf borderId="0" fillId="0" fontId="76" numFmtId="0" xfId="0" applyAlignment="1" applyFont="1">
      <alignment horizontal="center" readingOrder="0" shrinkToFit="0" vertical="center" wrapText="1"/>
    </xf>
    <xf borderId="0" fillId="0" fontId="33" numFmtId="0" xfId="0" applyAlignment="1" applyFont="1">
      <alignment horizontal="center" readingOrder="0"/>
    </xf>
    <xf borderId="0" fillId="0" fontId="0" numFmtId="165" xfId="0" applyAlignment="1" applyFont="1" applyNumberFormat="1">
      <alignment horizontal="center" readingOrder="0" vertical="center"/>
    </xf>
    <xf borderId="0" fillId="0" fontId="2" numFmtId="0" xfId="0" applyAlignment="1" applyFont="1">
      <alignment horizontal="left" readingOrder="0" vertical="center"/>
    </xf>
    <xf borderId="0" fillId="0" fontId="23" numFmtId="168" xfId="0" applyAlignment="1" applyFont="1" applyNumberFormat="1">
      <alignment horizontal="center" readingOrder="0" vertical="center"/>
    </xf>
    <xf borderId="30" fillId="0" fontId="23" numFmtId="0" xfId="0" applyAlignment="1" applyBorder="1" applyFont="1">
      <alignment readingOrder="0" vertical="center"/>
    </xf>
    <xf borderId="0" fillId="0" fontId="55" numFmtId="0" xfId="0" applyAlignment="1" applyFont="1">
      <alignment horizontal="center" readingOrder="0" vertical="center"/>
    </xf>
    <xf borderId="0" fillId="0" fontId="23" numFmtId="0" xfId="0" applyAlignment="1" applyFont="1">
      <alignment readingOrder="0" vertical="center"/>
    </xf>
    <xf borderId="0" fillId="12" fontId="23" numFmtId="0" xfId="0" applyAlignment="1" applyFont="1">
      <alignment horizontal="center" readingOrder="0" vertical="center"/>
    </xf>
    <xf borderId="0" fillId="0" fontId="55" numFmtId="0" xfId="0" applyAlignment="1" applyFont="1">
      <alignment readingOrder="0" vertical="center"/>
    </xf>
    <xf borderId="0" fillId="42" fontId="0" numFmtId="0" xfId="0" applyAlignment="1" applyFill="1" applyFont="1">
      <alignment horizontal="center" readingOrder="0" shrinkToFit="0" vertical="center" wrapText="1"/>
    </xf>
    <xf borderId="0" fillId="0" fontId="27" numFmtId="0" xfId="0" applyAlignment="1" applyFont="1">
      <alignment horizontal="center" shrinkToFit="0" vertical="center" wrapText="1"/>
    </xf>
    <xf borderId="0" fillId="0" fontId="22" numFmtId="0" xfId="0" applyFont="1"/>
    <xf borderId="0" fillId="43" fontId="15" numFmtId="0" xfId="0" applyAlignment="1" applyFill="1" applyFont="1">
      <alignment readingOrder="0" vertical="center"/>
    </xf>
    <xf borderId="0" fillId="0" fontId="22" numFmtId="0" xfId="0" applyAlignment="1" applyFont="1">
      <alignment readingOrder="0" shrinkToFit="0" vertical="center" wrapText="1"/>
    </xf>
    <xf borderId="48" fillId="44" fontId="77" numFmtId="0" xfId="0" applyAlignment="1" applyBorder="1" applyFill="1" applyFont="1">
      <alignment horizontal="left" readingOrder="0" shrinkToFit="0" vertical="center" wrapText="1"/>
    </xf>
    <xf borderId="49" fillId="0" fontId="16" numFmtId="0" xfId="0" applyBorder="1" applyFont="1"/>
    <xf borderId="50" fillId="0" fontId="16" numFmtId="0" xfId="0" applyBorder="1" applyFont="1"/>
    <xf borderId="51" fillId="31" fontId="78" numFmtId="0" xfId="0" applyAlignment="1" applyBorder="1" applyFont="1">
      <alignment horizontal="left" shrinkToFit="0" vertical="center" wrapText="1"/>
    </xf>
    <xf borderId="52" fillId="0" fontId="16" numFmtId="0" xfId="0" applyBorder="1" applyFont="1"/>
    <xf borderId="53" fillId="0" fontId="16" numFmtId="0" xfId="0" applyBorder="1" applyFont="1"/>
    <xf borderId="54" fillId="45" fontId="78" numFmtId="0" xfId="0" applyAlignment="1" applyBorder="1" applyFill="1" applyFont="1">
      <alignment horizontal="center" shrinkToFit="0" vertical="center" wrapText="1"/>
    </xf>
    <xf borderId="54" fillId="45" fontId="78" numFmtId="0" xfId="0" applyAlignment="1" applyBorder="1" applyFont="1">
      <alignment horizontal="left" shrinkToFit="0" vertical="center" wrapText="1"/>
    </xf>
    <xf borderId="0" fillId="45" fontId="78" numFmtId="0" xfId="0" applyAlignment="1" applyFont="1">
      <alignment horizontal="center" readingOrder="0" shrinkToFit="0" vertical="center" wrapText="1"/>
    </xf>
    <xf borderId="54" fillId="0" fontId="79" numFmtId="1" xfId="0" applyAlignment="1" applyBorder="1" applyFont="1" applyNumberFormat="1">
      <alignment horizontal="center" shrinkToFit="1" vertical="center" wrapText="0"/>
    </xf>
    <xf borderId="54" fillId="0" fontId="80" numFmtId="0" xfId="0" applyAlignment="1" applyBorder="1" applyFont="1">
      <alignment horizontal="left" shrinkToFit="0" vertical="center" wrapText="1"/>
    </xf>
    <xf borderId="54" fillId="0" fontId="79" numFmtId="2" xfId="0" applyAlignment="1" applyBorder="1" applyFont="1" applyNumberFormat="1">
      <alignment horizontal="center" shrinkToFit="1" vertical="center" wrapText="0"/>
    </xf>
    <xf borderId="54" fillId="0" fontId="79" numFmtId="2" xfId="0" applyAlignment="1" applyBorder="1" applyFont="1" applyNumberFormat="1">
      <alignment horizontal="center" readingOrder="0" shrinkToFit="1" vertical="center" wrapText="0"/>
    </xf>
    <xf borderId="0" fillId="0" fontId="79" numFmtId="2" xfId="0" applyAlignment="1" applyFont="1" applyNumberFormat="1">
      <alignment horizontal="center" readingOrder="0" shrinkToFit="1" vertical="center" wrapText="0"/>
    </xf>
    <xf borderId="55" fillId="0" fontId="79" numFmtId="1" xfId="0" applyAlignment="1" applyBorder="1" applyFont="1" applyNumberFormat="1">
      <alignment horizontal="center" shrinkToFit="1" vertical="center" wrapText="0"/>
    </xf>
    <xf borderId="55" fillId="0" fontId="80" numFmtId="0" xfId="0" applyAlignment="1" applyBorder="1" applyFont="1">
      <alignment horizontal="left" shrinkToFit="0" vertical="center" wrapText="1"/>
    </xf>
    <xf borderId="55" fillId="0" fontId="79" numFmtId="2" xfId="0" applyAlignment="1" applyBorder="1" applyFont="1" applyNumberFormat="1">
      <alignment horizontal="center" shrinkToFit="1" vertical="center" wrapText="0"/>
    </xf>
    <xf borderId="56" fillId="0" fontId="79" numFmtId="2" xfId="0" applyAlignment="1" applyBorder="1" applyFont="1" applyNumberFormat="1">
      <alignment horizontal="center" readingOrder="0" shrinkToFit="1" vertical="center" wrapText="0"/>
    </xf>
    <xf borderId="56" fillId="0" fontId="79" numFmtId="2" xfId="0" applyAlignment="1" applyBorder="1" applyFont="1" applyNumberFormat="1">
      <alignment horizontal="center" shrinkToFit="1" vertical="center" wrapText="0"/>
    </xf>
    <xf borderId="54" fillId="0" fontId="79" numFmtId="169" xfId="0" applyAlignment="1" applyBorder="1" applyFont="1" applyNumberFormat="1">
      <alignment horizontal="center" shrinkToFit="1" vertical="center" wrapText="0"/>
    </xf>
    <xf borderId="0" fillId="0" fontId="79" numFmtId="2" xfId="0" applyAlignment="1" applyFont="1" applyNumberFormat="1">
      <alignment horizontal="center" shrinkToFit="1" vertical="center" wrapText="0"/>
    </xf>
    <xf borderId="0" fillId="0" fontId="81" numFmtId="0" xfId="0" applyAlignment="1" applyFont="1">
      <alignment horizontal="center" readingOrder="0" shrinkToFit="0" wrapText="1"/>
    </xf>
    <xf borderId="57" fillId="0" fontId="79" numFmtId="1" xfId="0" applyAlignment="1" applyBorder="1" applyFont="1" applyNumberFormat="1">
      <alignment horizontal="center" shrinkToFit="1" vertical="center" wrapText="0"/>
    </xf>
    <xf borderId="57" fillId="0" fontId="80" numFmtId="0" xfId="0" applyAlignment="1" applyBorder="1" applyFont="1">
      <alignment horizontal="left" shrinkToFit="0" vertical="center" wrapText="1"/>
    </xf>
    <xf borderId="57" fillId="0" fontId="79" numFmtId="2" xfId="0" applyAlignment="1" applyBorder="1" applyFont="1" applyNumberFormat="1">
      <alignment horizontal="center" shrinkToFit="1" vertical="center" wrapText="0"/>
    </xf>
    <xf borderId="58" fillId="44" fontId="77" numFmtId="0" xfId="0" applyAlignment="1" applyBorder="1" applyFont="1">
      <alignment horizontal="left" readingOrder="0" shrinkToFit="0" vertical="center" wrapText="1"/>
    </xf>
    <xf borderId="59" fillId="0" fontId="16" numFmtId="0" xfId="0" applyBorder="1" applyFont="1"/>
    <xf borderId="60" fillId="0" fontId="16" numFmtId="0" xfId="0" applyBorder="1" applyFont="1"/>
    <xf borderId="57" fillId="0" fontId="79" numFmtId="2" xfId="0" applyAlignment="1" applyBorder="1" applyFont="1" applyNumberFormat="1">
      <alignment horizontal="center" readingOrder="0" shrinkToFit="1" vertical="center" wrapText="0"/>
    </xf>
    <xf borderId="54" fillId="0" fontId="79" numFmtId="1" xfId="0" applyAlignment="1" applyBorder="1" applyFont="1" applyNumberFormat="1">
      <alignment horizontal="left" shrinkToFit="1" vertical="center" wrapText="0"/>
    </xf>
    <xf borderId="0" fillId="0" fontId="5" numFmtId="0" xfId="0" applyAlignment="1" applyFont="1">
      <alignment horizontal="left" readingOrder="0" vertical="center"/>
    </xf>
    <xf borderId="0" fillId="0" fontId="5" numFmtId="0" xfId="0" applyAlignment="1" applyFont="1">
      <alignment vertical="center"/>
    </xf>
    <xf borderId="0" fillId="0" fontId="5" numFmtId="0" xfId="0" applyAlignment="1" applyFont="1">
      <alignment horizontal="center" readingOrder="0" vertical="center"/>
    </xf>
    <xf borderId="0" fillId="0" fontId="5" numFmtId="0" xfId="0" applyAlignment="1" applyFont="1">
      <alignment readingOrder="0" vertical="center"/>
    </xf>
    <xf borderId="0" fillId="0" fontId="4" numFmtId="0" xfId="0" applyAlignment="1" applyFont="1">
      <alignment shrinkToFit="0" vertical="center" wrapText="0"/>
    </xf>
    <xf borderId="0" fillId="0" fontId="6" numFmtId="0" xfId="0" applyAlignment="1" applyFont="1">
      <alignment horizontal="left" shrinkToFit="0" vertical="center" wrapText="0"/>
    </xf>
    <xf borderId="0" fillId="3" fontId="5" numFmtId="0" xfId="0" applyAlignment="1" applyFont="1">
      <alignment horizontal="center" vertical="center"/>
    </xf>
    <xf borderId="0" fillId="3" fontId="5" numFmtId="0" xfId="0" applyAlignment="1" applyFont="1">
      <alignment horizontal="center" readingOrder="0" vertical="center"/>
    </xf>
    <xf borderId="61" fillId="3" fontId="5" numFmtId="0" xfId="0" applyAlignment="1" applyBorder="1" applyFont="1">
      <alignment horizontal="center" readingOrder="0" vertical="center"/>
    </xf>
    <xf borderId="0" fillId="3" fontId="5" numFmtId="0" xfId="0" applyAlignment="1" applyFont="1">
      <alignment vertical="center"/>
    </xf>
    <xf borderId="0" fillId="5" fontId="4" numFmtId="0" xfId="0" applyAlignment="1" applyFont="1">
      <alignment shrinkToFit="0" vertical="center" wrapText="0"/>
    </xf>
    <xf borderId="0" fillId="0" fontId="4" numFmtId="0" xfId="0" applyAlignment="1" applyFont="1">
      <alignment vertical="center"/>
    </xf>
    <xf borderId="0" fillId="0" fontId="4" numFmtId="0" xfId="0" applyAlignment="1" applyFont="1">
      <alignment horizontal="center" vertical="center"/>
    </xf>
    <xf borderId="0" fillId="20" fontId="4" numFmtId="0" xfId="0" applyAlignment="1" applyFont="1">
      <alignment horizontal="center" readingOrder="0" vertical="center"/>
    </xf>
    <xf borderId="0" fillId="0" fontId="82" numFmtId="0" xfId="0" applyAlignment="1" applyFont="1">
      <alignment shrinkToFit="0" vertical="center" wrapText="0"/>
    </xf>
    <xf borderId="0" fillId="5" fontId="83" numFmtId="0" xfId="0" applyAlignment="1" applyFont="1">
      <alignment shrinkToFit="0" vertical="center" wrapText="0"/>
    </xf>
    <xf borderId="62" fillId="0" fontId="4" numFmtId="0" xfId="0" applyAlignment="1" applyBorder="1" applyFont="1">
      <alignment horizontal="center" readingOrder="0" vertical="center"/>
    </xf>
    <xf borderId="0" fillId="0" fontId="84" numFmtId="0" xfId="0" applyAlignment="1" applyFont="1">
      <alignment horizontal="center" readingOrder="0" vertical="center"/>
    </xf>
    <xf borderId="62" fillId="0" fontId="4" numFmtId="0" xfId="0" applyAlignment="1" applyBorder="1" applyFont="1">
      <alignment horizontal="center" vertical="center"/>
    </xf>
    <xf borderId="0" fillId="0" fontId="4" numFmtId="0" xfId="0" applyAlignment="1" applyFont="1">
      <alignment horizontal="right" readingOrder="0" vertical="center"/>
    </xf>
    <xf borderId="0" fillId="0" fontId="4" numFmtId="0" xfId="0" applyAlignment="1" applyFont="1">
      <alignment horizontal="left" readingOrder="0" vertical="center"/>
    </xf>
    <xf borderId="0" fillId="3" fontId="5" numFmtId="0" xfId="0" applyAlignment="1" applyFont="1">
      <alignment horizontal="right" readingOrder="0" vertical="center"/>
    </xf>
  </cellXfs>
  <cellStyles count="1">
    <cellStyle xfId="0" name="Normal" builtinId="0"/>
  </cellStyles>
  <dxfs count="30">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93C47D"/>
          <bgColor rgb="FF93C47D"/>
        </patternFill>
      </fill>
      <border/>
    </dxf>
    <dxf>
      <font/>
      <fill>
        <patternFill patternType="solid">
          <fgColor rgb="FFFFF2CC"/>
          <bgColor rgb="FFFFF2CC"/>
        </patternFill>
      </fill>
      <border/>
    </dxf>
    <dxf>
      <font>
        <color rgb="FFFFFFFF"/>
      </font>
      <fill>
        <patternFill patternType="solid">
          <fgColor rgb="FFFF0000"/>
          <bgColor rgb="FFFF0000"/>
        </patternFill>
      </fill>
      <border/>
    </dxf>
    <dxf>
      <font/>
      <fill>
        <patternFill patternType="solid">
          <fgColor rgb="FFF4CCCC"/>
          <bgColor rgb="FFF4CCCC"/>
        </patternFill>
      </fill>
      <border/>
    </dxf>
    <dxf>
      <font/>
      <fill>
        <patternFill patternType="solid">
          <fgColor rgb="FFB6D7A8"/>
          <bgColor rgb="FFB6D7A8"/>
        </patternFill>
      </fill>
      <border/>
    </dxf>
    <dxf>
      <font/>
      <fill>
        <patternFill patternType="solid">
          <fgColor rgb="FFEA9999"/>
          <bgColor rgb="FFEA9999"/>
        </patternFill>
      </fill>
      <border/>
    </dxf>
    <dxf>
      <font>
        <color rgb="FF000000"/>
      </font>
      <fill>
        <patternFill patternType="solid">
          <fgColor rgb="FFF0F8FF"/>
          <bgColor rgb="FFF0F8FF"/>
        </patternFill>
      </fill>
      <border/>
    </dxf>
    <dxf>
      <font>
        <color rgb="FF000000"/>
      </font>
      <fill>
        <patternFill patternType="solid">
          <fgColor rgb="FFFFFAFA"/>
          <bgColor rgb="FFFFFAFA"/>
        </patternFill>
      </fill>
      <border/>
    </dxf>
    <dxf>
      <font>
        <color rgb="FF000000"/>
      </font>
      <fill>
        <patternFill patternType="solid">
          <fgColor rgb="FFFFF5EE"/>
          <bgColor rgb="FFFFF5EE"/>
        </patternFill>
      </fill>
      <border/>
    </dxf>
    <dxf>
      <font>
        <color rgb="FF000000"/>
      </font>
      <fill>
        <patternFill patternType="solid">
          <fgColor rgb="FFF3F3F3"/>
          <bgColor rgb="FFF3F3F3"/>
        </patternFill>
      </fill>
      <border/>
    </dxf>
    <dxf>
      <font/>
      <fill>
        <patternFill patternType="solid">
          <fgColor rgb="FFBFE1F6"/>
          <bgColor rgb="FFBFE1F6"/>
        </patternFill>
      </fill>
      <border/>
    </dxf>
    <dxf>
      <font/>
      <fill>
        <patternFill patternType="solid">
          <fgColor rgb="FFC6DBE1"/>
          <bgColor rgb="FFC6DBE1"/>
        </patternFill>
      </fill>
      <border/>
    </dxf>
    <dxf>
      <font/>
      <fill>
        <patternFill patternType="solid">
          <fgColor rgb="FFFFC8AA"/>
          <bgColor rgb="FFFFC8AA"/>
        </patternFill>
      </fill>
      <border/>
    </dxf>
    <dxf>
      <font/>
      <fill>
        <patternFill patternType="solid">
          <fgColor rgb="FFFFE5A0"/>
          <bgColor rgb="FFFFE5A0"/>
        </patternFill>
      </fill>
      <border/>
    </dxf>
    <dxf>
      <font/>
      <fill>
        <patternFill patternType="solid">
          <fgColor rgb="FFD4EDBC"/>
          <bgColor rgb="FFD4EDBC"/>
        </patternFill>
      </fill>
      <border/>
    </dxf>
    <dxf>
      <font/>
      <fill>
        <patternFill patternType="solid">
          <fgColor rgb="FFE6CFF2"/>
          <bgColor rgb="FFE6CFF2"/>
        </patternFill>
      </fill>
      <border/>
    </dxf>
    <dxf>
      <font>
        <color rgb="FFFFFFFF"/>
      </font>
      <fill>
        <patternFill patternType="solid">
          <fgColor rgb="FFDB7093"/>
          <bgColor rgb="FFDB7093"/>
        </patternFill>
      </fill>
      <border/>
    </dxf>
    <dxf>
      <font>
        <color rgb="FFFFFFFF"/>
      </font>
      <fill>
        <patternFill patternType="solid">
          <fgColor rgb="FF11734B"/>
          <bgColor rgb="FF11734B"/>
        </patternFill>
      </fill>
      <border/>
    </dxf>
    <dxf>
      <font>
        <color rgb="FFFFFFFF"/>
      </font>
      <fill>
        <patternFill patternType="solid">
          <fgColor rgb="FF0A53A8"/>
          <bgColor rgb="FF0A53A8"/>
        </patternFill>
      </fill>
      <border/>
    </dxf>
    <dxf>
      <font>
        <color rgb="FFFFFFFF"/>
      </font>
      <fill>
        <patternFill patternType="solid">
          <fgColor rgb="FF5A3286"/>
          <bgColor rgb="FF5A3286"/>
        </patternFill>
      </fill>
      <border/>
    </dxf>
    <dxf>
      <font>
        <color rgb="FFFFFFFF"/>
      </font>
      <fill>
        <patternFill patternType="solid">
          <fgColor rgb="FFE01F1F"/>
          <bgColor rgb="FFE01F1F"/>
        </patternFill>
      </fill>
      <border/>
    </dxf>
    <dxf>
      <font>
        <color rgb="FF000000"/>
      </font>
      <fill>
        <patternFill patternType="solid">
          <fgColor rgb="FF1FE2DA"/>
          <bgColor rgb="FF1FE2DA"/>
        </patternFill>
      </fill>
      <border/>
    </dxf>
    <dxf>
      <font>
        <color rgb="FF000000"/>
      </font>
      <fill>
        <patternFill patternType="solid">
          <fgColor rgb="FFFF7A00"/>
          <bgColor rgb="FFFF7A00"/>
        </patternFill>
      </fill>
      <border/>
    </dxf>
    <dxf>
      <font>
        <color rgb="FF000000"/>
      </font>
      <fill>
        <patternFill patternType="solid">
          <fgColor rgb="FFD2F711"/>
          <bgColor rgb="FFD2F711"/>
        </patternFill>
      </fill>
      <border/>
    </dxf>
    <dxf>
      <font>
        <color rgb="FFFFFFFF"/>
      </font>
      <fill>
        <patternFill patternType="solid">
          <fgColor rgb="FF0000FF"/>
          <bgColor rgb="FF0000FF"/>
        </patternFill>
      </fill>
      <border/>
    </dxf>
    <dxf>
      <font/>
      <fill>
        <patternFill patternType="solid">
          <fgColor rgb="FFFFCFC9"/>
          <bgColor rgb="FFFFCFC9"/>
        </patternFill>
      </fill>
      <border/>
    </dxf>
    <dxf>
      <font/>
      <fill>
        <patternFill patternType="solid">
          <fgColor rgb="FFB7E1CD"/>
          <bgColor rgb="FFB7E1CD"/>
        </patternFill>
      </fill>
      <border/>
    </dxf>
  </dxfs>
  <tableStyles count="1">
    <tableStyle count="3" pivot="0" name="Dado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4.jpg"/></Relationships>
</file>

<file path=xl/drawings/_rels/drawing6.xml.rels><?xml version="1.0" encoding="UTF-8" standalone="yes"?><Relationships xmlns="http://schemas.openxmlformats.org/package/2006/relationships"><Relationship Id="rId1" Type="http://schemas.openxmlformats.org/officeDocument/2006/relationships/image" Target="../media/image4.jpg"/></Relationships>
</file>

<file path=xl/drawings/_rels/drawing7.xml.rels><?xml version="1.0" encoding="UTF-8" standalone="yes"?><Relationships xmlns="http://schemas.openxmlformats.org/package/2006/relationships"><Relationship Id="rId1" Type="http://schemas.openxmlformats.org/officeDocument/2006/relationships/image" Target="../media/image4.jpg"/></Relationships>
</file>

<file path=xl/drawings/_rels/drawing8.xml.rels><?xml version="1.0" encoding="UTF-8" standalone="yes"?><Relationships xmlns="http://schemas.openxmlformats.org/package/2006/relationships"><Relationship Id="rId1" Type="http://schemas.openxmlformats.org/officeDocument/2006/relationships/image" Target="../media/image4.jp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104775</xdr:rowOff>
    </xdr:from>
    <xdr:ext cx="4552950" cy="6858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95250</xdr:rowOff>
    </xdr:from>
    <xdr:ext cx="5133975" cy="771525"/>
    <xdr:pic>
      <xdr:nvPicPr>
        <xdr:cNvPr id="0" name="image2.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38100</xdr:rowOff>
    </xdr:from>
    <xdr:ext cx="5353050" cy="809625"/>
    <xdr:pic>
      <xdr:nvPicPr>
        <xdr:cNvPr id="0" name="image3.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333375</xdr:colOff>
      <xdr:row>0</xdr:row>
      <xdr:rowOff>180975</xdr:rowOff>
    </xdr:from>
    <xdr:ext cx="5076825" cy="762000"/>
    <xdr:pic>
      <xdr:nvPicPr>
        <xdr:cNvPr descr="Logo da Escola de Saúde Pública do Ceará e da Secretaria da Saúde do Ceará" id="0" name="image4.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209550</xdr:colOff>
      <xdr:row>0</xdr:row>
      <xdr:rowOff>76200</xdr:rowOff>
    </xdr:from>
    <xdr:ext cx="3676650" cy="561975"/>
    <xdr:pic>
      <xdr:nvPicPr>
        <xdr:cNvPr id="0" name="image5.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333375</xdr:colOff>
      <xdr:row>0</xdr:row>
      <xdr:rowOff>180975</xdr:rowOff>
    </xdr:from>
    <xdr:ext cx="5076825" cy="762000"/>
    <xdr:pic>
      <xdr:nvPicPr>
        <xdr:cNvPr descr="Logo da Escola de Saúde Pública do Ceará e da Secretaria da Saúde do Ceará" id="0" name="image4.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0</xdr:row>
      <xdr:rowOff>28575</xdr:rowOff>
    </xdr:from>
    <xdr:ext cx="5076825" cy="762000"/>
    <xdr:pic>
      <xdr:nvPicPr>
        <xdr:cNvPr descr="Logo da Escola de Saúde Pública do Ceará e da Secretaria da Saúde do Ceará" id="0" name="image4.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333375</xdr:colOff>
      <xdr:row>0</xdr:row>
      <xdr:rowOff>180975</xdr:rowOff>
    </xdr:from>
    <xdr:ext cx="5076825" cy="762000"/>
    <xdr:pic>
      <xdr:nvPicPr>
        <xdr:cNvPr descr="Logo da Escola de Saúde Pública do Ceará e da Secretaria da Saúde do Ceará" id="0" name="image4.jp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V1001" displayName="Table_1" name="Table_1" id="1">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Dad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spreadsheets/d/1Az4bNM67CdtQ4FRqR3Yg84flnYEYaxarXAlyu59Zz6s/edit?usp=sharing" TargetMode="External"/><Relationship Id="rId10" Type="http://schemas.openxmlformats.org/officeDocument/2006/relationships/hyperlink" Target="https://docs.google.com/spreadsheets/d/1l33J3zkuKNG1RT2IGnZUs1DNt9rJmYiYdZjgCCXeySE/edit?usp=sharing" TargetMode="External"/><Relationship Id="rId13" Type="http://schemas.openxmlformats.org/officeDocument/2006/relationships/drawing" Target="../drawings/drawing1.xml"/><Relationship Id="rId12" Type="http://schemas.openxmlformats.org/officeDocument/2006/relationships/hyperlink" Target="https://docs.google.com/spreadsheets/d/1Lp6iOK2c77ON_FyogXeCaNEUwjn6ya476NTsDyevOZA/edit?usp=sharing" TargetMode="External"/><Relationship Id="rId1" Type="http://schemas.openxmlformats.org/officeDocument/2006/relationships/hyperlink" Target="https://docs.google.com/spreadsheets/d/1t6Bw17doKIFsfMEH8xu7wgWPM2ojnpUSCOMcJIxVGt0/edit?usp=sharing" TargetMode="External"/><Relationship Id="rId2" Type="http://schemas.openxmlformats.org/officeDocument/2006/relationships/hyperlink" Target="https://docs.google.com/spreadsheets/d/1IneaaYmlvZRYkWmEa01LRzluwW5SxcfC9nyNHoBAGLA/edit?usp=sharing" TargetMode="External"/><Relationship Id="rId3" Type="http://schemas.openxmlformats.org/officeDocument/2006/relationships/hyperlink" Target="https://docs.google.com/spreadsheets/d/1onXjeKSBf4qsiI-Dx4-ldhayBp8-mX3eF3S8803xWjg/edit?usp=sharing" TargetMode="External"/><Relationship Id="rId4" Type="http://schemas.openxmlformats.org/officeDocument/2006/relationships/hyperlink" Target="https://docs.google.com/spreadsheets/d/1KgBTXpcsImBJbHdt4K205sog_rvAaRkZAUuAiGBHcfA/edit?usp=sharing" TargetMode="External"/><Relationship Id="rId9" Type="http://schemas.openxmlformats.org/officeDocument/2006/relationships/hyperlink" Target="https://docs.google.com/spreadsheets/d/1axjbt21yYOmO3OX7wXdpKkpdKFLqx2ZYnqW38RrMUXg/edit?usp=sharing" TargetMode="External"/><Relationship Id="rId15" Type="http://schemas.openxmlformats.org/officeDocument/2006/relationships/table" Target="../tables/table1.xml"/><Relationship Id="rId5" Type="http://schemas.openxmlformats.org/officeDocument/2006/relationships/hyperlink" Target="https://docs.google.com/spreadsheets/d/1Ma319BAaVCPPnscr0VhAeXrHsH4Akl8FaDBp7XGB29U/edit?usp=sharing" TargetMode="External"/><Relationship Id="rId6" Type="http://schemas.openxmlformats.org/officeDocument/2006/relationships/hyperlink" Target="https://docs.google.com/spreadsheets/d/1pkSPO24yrCIW9RekvTAwipj5K7t0Dvsz9yknCaWh1p0/edit?usp=sharing" TargetMode="External"/><Relationship Id="rId7" Type="http://schemas.openxmlformats.org/officeDocument/2006/relationships/hyperlink" Target="https://docs.google.com/spreadsheets/d/1KSlw6x46y1AhKNUyY7oMDpISBc7mXjni8HiaBhcNDIw/edit?usp=sharing" TargetMode="External"/><Relationship Id="rId8" Type="http://schemas.openxmlformats.org/officeDocument/2006/relationships/hyperlink" Target="https://docs.google.com/spreadsheets/d/1JLM5vWKFNrNrrKGzOSoEtaoPfeDgWF29r_lPlui8cuE/edit?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31ekHYtaztWGHRFBefA-o1IxgQMQyWQI/view?usp=drive_link" TargetMode="External"/><Relationship Id="rId84" Type="http://schemas.openxmlformats.org/officeDocument/2006/relationships/hyperlink" Target="https://drive.google.com/file/d/1Ta2mC_S0wZSEfwcaXlQQDD4hZts0uc4Q/view?usp=sharing" TargetMode="External"/><Relationship Id="rId83" Type="http://schemas.openxmlformats.org/officeDocument/2006/relationships/hyperlink" Target="https://www.google.com/calendar/event?eid=MWZ2aGxrY2hoNm05aGxuZmkzOW9xa3AyNjggZ2VkdWNAZXNwLmNlLmdvdi5icg" TargetMode="External"/><Relationship Id="rId42" Type="http://schemas.openxmlformats.org/officeDocument/2006/relationships/hyperlink" Target="https://drive.google.com/file/d/1o6S0nrNCiNbKjvOQCMuqljpoydO5J3Ty/view?usp=drive_link" TargetMode="External"/><Relationship Id="rId86" Type="http://schemas.openxmlformats.org/officeDocument/2006/relationships/hyperlink" Target="https://drive.google.com/file/d/1coIM9RvqvGHrzmvz-xzUYpAC9GLHQXZf/view?usp=sharing" TargetMode="External"/><Relationship Id="rId41" Type="http://schemas.openxmlformats.org/officeDocument/2006/relationships/hyperlink" Target="https://www.google.com/calendar/event?eid=ZGtjYThhdjY4ZWxqZGZiZGZpYTMydWQ3Z3MgZ2VkdWNAZXNwLmNlLmdvdi5icg" TargetMode="External"/><Relationship Id="rId85" Type="http://schemas.openxmlformats.org/officeDocument/2006/relationships/hyperlink" Target="https://www.google.com/calendar/event?eid=NDk5M3JwOXRlOXZvZzFpMGlodWRjcDJybDYgZ2VkdWNAZXNwLmNlLmdvdi5icg" TargetMode="External"/><Relationship Id="rId44" Type="http://schemas.openxmlformats.org/officeDocument/2006/relationships/hyperlink" Target="https://drive.google.com/file/d/14HH5NLtRedYFEHiaQzqz2CgD6r_nFwiE/view?usp=drive_link" TargetMode="External"/><Relationship Id="rId88" Type="http://schemas.openxmlformats.org/officeDocument/2006/relationships/hyperlink" Target="https://drive.google.com/file/d/1Tcm-ccaL79eLLG5nY2YFvvnYABae1OHw/view?usp=sharing" TargetMode="External"/><Relationship Id="rId43" Type="http://schemas.openxmlformats.org/officeDocument/2006/relationships/hyperlink" Target="https://www.google.com/calendar/event?eid=ZWxqc25ydmc1cG8yOThzM3Vobm8zbmhva2MgZ2VkdWNAZXNwLmNlLmdvdi5icg" TargetMode="External"/><Relationship Id="rId87" Type="http://schemas.openxmlformats.org/officeDocument/2006/relationships/hyperlink" Target="https://www.google.com/calendar/event?eid=N3U4MmxhMGtqNmQxcW91aGg3OW1nNThkcWwgZ2VkdWNAZXNwLmNlLmdvdi5icg" TargetMode="External"/><Relationship Id="rId46" Type="http://schemas.openxmlformats.org/officeDocument/2006/relationships/hyperlink" Target="https://forms.gle/iUXP4TXDwiA5YTwZ9" TargetMode="External"/><Relationship Id="rId45" Type="http://schemas.openxmlformats.org/officeDocument/2006/relationships/hyperlink" Target="https://www.google.com/calendar/event?eid=ZGw1NzE2YW5oajJsMDhzaGZsOHZzZHAzNGcgZ2VkdWNAZXNwLmNlLmdvdi5icg" TargetMode="External"/><Relationship Id="rId89" Type="http://schemas.openxmlformats.org/officeDocument/2006/relationships/hyperlink" Target="https://www.google.com/calendar/event?eid=Mjc5cGtsYzhrZDJvbG9nMGRwZnVwc3ZrcTIgZ2VkdWNAZXNwLmNlLmdvdi5icg" TargetMode="External"/><Relationship Id="rId80" Type="http://schemas.openxmlformats.org/officeDocument/2006/relationships/hyperlink" Target="https://drive.google.com/open?id=1wbtSJ4RgfPNYnewGCsx7hh-MNsvZ99EA" TargetMode="External"/><Relationship Id="rId82" Type="http://schemas.openxmlformats.org/officeDocument/2006/relationships/hyperlink" Target="https://drive.google.com/file/d/1wPMJFLTlFhxLG-8qYPOEmM4XyJV5gDGM/view?usp=sharing" TargetMode="External"/><Relationship Id="rId81" Type="http://schemas.openxmlformats.org/officeDocument/2006/relationships/hyperlink" Target="https://www.google.com/calendar/event?eid=dnNqdW04NDhoY2tubnVyMzBzdGx0bXEzZ3MgZ2VkdWNAZXNwLmNlLmdvdi5icg" TargetMode="External"/><Relationship Id="rId1" Type="http://schemas.openxmlformats.org/officeDocument/2006/relationships/comments" Target="../comments2.xml"/><Relationship Id="rId2" Type="http://schemas.openxmlformats.org/officeDocument/2006/relationships/hyperlink" Target="https://docs.google.com/spreadsheets/d/1KMm35E7VkyqYsGhZoMdZWmh3es5Eha_3pM88PLoxorc/edit?usp=sharing" TargetMode="External"/><Relationship Id="rId3" Type="http://schemas.openxmlformats.org/officeDocument/2006/relationships/hyperlink" Target="https://www.google.com/calendar/event?eid=OGJ1NzlqaG5rdXV2YzhqNmsybzNnbGJnbjAgZ2VkdWNAZXNwLmNlLmdvdi5icg" TargetMode="External"/><Relationship Id="rId4" Type="http://schemas.openxmlformats.org/officeDocument/2006/relationships/hyperlink" Target="https://drive.google.com/file/d/1hko20CB8ASlvzHg-SWiiX0cOLh3XxBP3/view?usp=drive_link" TargetMode="External"/><Relationship Id="rId9" Type="http://schemas.openxmlformats.org/officeDocument/2006/relationships/hyperlink" Target="https://drive.google.com/file/d/1ULx0xagtABcRUqyel-ksON1e5zWbknp-/view?usp=drive_link" TargetMode="External"/><Relationship Id="rId48" Type="http://schemas.openxmlformats.org/officeDocument/2006/relationships/hyperlink" Target="https://forms.gle/jaFgdZq2srV12h7u5" TargetMode="External"/><Relationship Id="rId47" Type="http://schemas.openxmlformats.org/officeDocument/2006/relationships/hyperlink" Target="https://www.google.com/calendar/event?eid=ZjJybW1kMGUwZjNhanVuY251MWFibTViazQgZ2VkdWNAZXNwLmNlLmdvdi5icg" TargetMode="External"/><Relationship Id="rId49" Type="http://schemas.openxmlformats.org/officeDocument/2006/relationships/hyperlink" Target="https://www.google.com/calendar/event?eid=N2ZyY3RtczhodjZqcmhrYzU5cXBwaXBqbXMgZ2VkdWNAZXNwLmNlLmdvdi5icg" TargetMode="External"/><Relationship Id="rId5" Type="http://schemas.openxmlformats.org/officeDocument/2006/relationships/hyperlink" Target="https://drive.google.com/file/d/1IWoODe5lZq0XYsg3STIyLaU2ExxwyUsJ/view?usp=drive_link" TargetMode="External"/><Relationship Id="rId6" Type="http://schemas.openxmlformats.org/officeDocument/2006/relationships/hyperlink" Target="https://www.google.com/calendar/event?eid=bXUwam80Z3BhajVpdjA5ZGszbGtxYnR2cDggZ2VkdWNAZXNwLmNlLmdvdi5icg" TargetMode="External"/><Relationship Id="rId7" Type="http://schemas.openxmlformats.org/officeDocument/2006/relationships/hyperlink" Target="https://drive.google.com/file/d/1hTFBVDvuE44sbvKZF5npPIvCfOx4e_Yy/view?usp=drive_link" TargetMode="External"/><Relationship Id="rId8" Type="http://schemas.openxmlformats.org/officeDocument/2006/relationships/hyperlink" Target="https://www.google.com/calendar/event?eid=dWtpZzlxYjVqdDE4dWQ3bHI0cmFocWs3OWMgZ2VkdWNAZXNwLmNlLmdvdi5icg" TargetMode="External"/><Relationship Id="rId73" Type="http://schemas.openxmlformats.org/officeDocument/2006/relationships/hyperlink" Target="https://drive.google.com/open?id=1S5nODzSVstGih0CHtZ3I38T0mrpSbVYg" TargetMode="External"/><Relationship Id="rId72" Type="http://schemas.openxmlformats.org/officeDocument/2006/relationships/hyperlink" Target="https://drive.google.com/open?id=189oF1yYqIWBq_5GxswfoWnfI9GdE31SN" TargetMode="External"/><Relationship Id="rId31" Type="http://schemas.openxmlformats.org/officeDocument/2006/relationships/hyperlink" Target="https://drive.google.com/file/d/1HrNbiFuiTuCjpNIMrSADRJVqMuxUvdWo/view?usp=drive_link" TargetMode="External"/><Relationship Id="rId75" Type="http://schemas.openxmlformats.org/officeDocument/2006/relationships/hyperlink" Target="https://drive.google.com/open?id=1DDZ6VhR5J9C8F7Imvzud9bKXFX6rDvPX" TargetMode="External"/><Relationship Id="rId30" Type="http://schemas.openxmlformats.org/officeDocument/2006/relationships/hyperlink" Target="https://www.google.com/calendar/event?eid=c3IxdmljZmU3MWc0Y2xqN2hrY3ZtNjhyazAgZ2VkdWNAZXNwLmNlLmdvdi5icg" TargetMode="External"/><Relationship Id="rId74" Type="http://schemas.openxmlformats.org/officeDocument/2006/relationships/hyperlink" Target="https://drive.google.com/open?id=13blGIeBVaXskPImilRilRe067ODFwJZ0" TargetMode="External"/><Relationship Id="rId33" Type="http://schemas.openxmlformats.org/officeDocument/2006/relationships/hyperlink" Target="https://drive.google.com/file/d/1cqXQYVQxgkjkVa7cIfD4pbYOl_mzW1l6/view?usp=drive_link" TargetMode="External"/><Relationship Id="rId77" Type="http://schemas.openxmlformats.org/officeDocument/2006/relationships/hyperlink" Target="https://drive.google.com/open?id=1fbxG-lCwAeKX7ApOYUN-LXGCqbUUwKvd" TargetMode="External"/><Relationship Id="rId32" Type="http://schemas.openxmlformats.org/officeDocument/2006/relationships/hyperlink" Target="https://www.google.com/calendar/event?eid=aWVhcWtjMHZzNnRjMHJ1MWFzNmY4N2ljZmsgZ2VkdWNAZXNwLmNlLmdvdi5icg" TargetMode="External"/><Relationship Id="rId76" Type="http://schemas.openxmlformats.org/officeDocument/2006/relationships/hyperlink" Target="https://drive.google.com/open?id=1xqtFj7eLS6cVBW_SACz29vph1FIjnkmJ" TargetMode="External"/><Relationship Id="rId35" Type="http://schemas.openxmlformats.org/officeDocument/2006/relationships/hyperlink" Target="https://www.google.com/calendar/event?eid=cmRzcmgyOWdoMTdpaGFiMWFsMXExaWIyOWcgZ2VkdWNAZXNwLmNlLmdvdi5icg" TargetMode="External"/><Relationship Id="rId79" Type="http://schemas.openxmlformats.org/officeDocument/2006/relationships/hyperlink" Target="https://drive.google.com/open?id=1pKDtxdoWxiC4ytIswoYQntUcZNZDtGw3" TargetMode="External"/><Relationship Id="rId34" Type="http://schemas.openxmlformats.org/officeDocument/2006/relationships/hyperlink" Target="https://drive.google.com/file/d/1Pg5Tr-eaVhNeBGULtbRvNLgaVoXF26lf/view?usp=drive_link" TargetMode="External"/><Relationship Id="rId78" Type="http://schemas.openxmlformats.org/officeDocument/2006/relationships/hyperlink" Target="https://drive.google.com/open?id=1jXNvJx8viYwRj44Je8MK7Ug_EiudWcYr" TargetMode="External"/><Relationship Id="rId71" Type="http://schemas.openxmlformats.org/officeDocument/2006/relationships/hyperlink" Target="https://calendar.google.com/calendar/u/1/r/month/2024/6/18" TargetMode="External"/><Relationship Id="rId70" Type="http://schemas.openxmlformats.org/officeDocument/2006/relationships/hyperlink" Target="https://drive.google.com/file/d/1eaMd69j05JEM2NyOqV4ksKlavmGepWvN/view?usp=drive_link" TargetMode="External"/><Relationship Id="rId37" Type="http://schemas.openxmlformats.org/officeDocument/2006/relationships/hyperlink" Target="https://www.google.com/calendar/event?eid=bWdqZGkzZThzMTc2OWYyY2Q0cjhnbXE1ZmsgZ2VkdWNAZXNwLmNlLmdvdi5icg" TargetMode="External"/><Relationship Id="rId36" Type="http://schemas.openxmlformats.org/officeDocument/2006/relationships/hyperlink" Target="https://drive.google.com/file/d/1grg16g6m96tPWnnuO2G4fi1BMNhHAFCY/view?usp=drive_link" TargetMode="External"/><Relationship Id="rId39" Type="http://schemas.openxmlformats.org/officeDocument/2006/relationships/hyperlink" Target="https://www.google.com/calendar/event?eid=cWQ2YzcwbzgyNDYzNDZxMmhyMzQzMzhnYzQgZ2VkdWNAZXNwLmNlLmdvdi5icg" TargetMode="External"/><Relationship Id="rId38" Type="http://schemas.openxmlformats.org/officeDocument/2006/relationships/hyperlink" Target="https://drive.google.com/file/d/1GmarAT8n_38u8scSZ9LWcDpb1AJdanpT/view?usp=drive_link" TargetMode="External"/><Relationship Id="rId62" Type="http://schemas.openxmlformats.org/officeDocument/2006/relationships/hyperlink" Target="https://drive.google.com/open?id=1edK7OVM3wNrNWjGTmVsyaJ-l31uv5vg1" TargetMode="External"/><Relationship Id="rId61" Type="http://schemas.openxmlformats.org/officeDocument/2006/relationships/hyperlink" Target="https://www.google.com/calendar/event?eid=NWt0M2loYTc1cWJ1aHNiaXIzMzhkYzdiZjIgc2FteWxsYS50ZWl4ZWlyYUBlc3AuY2UuZ292LmJy" TargetMode="External"/><Relationship Id="rId20" Type="http://schemas.openxmlformats.org/officeDocument/2006/relationships/hyperlink" Target="https://www.google.com/calendar/event?eid=c3JuOTZqY2M5bXFudW9wdnVpaW41dDEzbWcgZ2VkdWNAZXNwLmNlLmdvdi5icg" TargetMode="External"/><Relationship Id="rId64" Type="http://schemas.openxmlformats.org/officeDocument/2006/relationships/hyperlink" Target="https://www.google.com/calendar/event?eid=bzF2bWc2YnNtMmhobmxuYmRmamFidG05NTQgZ2VkdWNAZXNwLmNlLmdvdi5icg" TargetMode="External"/><Relationship Id="rId63" Type="http://schemas.openxmlformats.org/officeDocument/2006/relationships/hyperlink" Target="https://drive.google.com/open?id=1F3wmfN3LWytqdEI2EYsfoCuIzub4Aglz" TargetMode="External"/><Relationship Id="rId22" Type="http://schemas.openxmlformats.org/officeDocument/2006/relationships/hyperlink" Target="https://www.google.com/calendar/event?eid=MHVlYzYxNzFramh1bXB2aG1tbm9uazA3OWcgZ2VkdWNAZXNwLmNlLmdvdi5icg" TargetMode="External"/><Relationship Id="rId66" Type="http://schemas.openxmlformats.org/officeDocument/2006/relationships/hyperlink" Target="https://www.google.com/calendar/event?eid=dDE4M2Rxajlsa3Zkc3ZyZHRkYzA5MWRodTAgZ2VkdWNAZXNwLmNlLmdvdi5icg" TargetMode="External"/><Relationship Id="rId21" Type="http://schemas.openxmlformats.org/officeDocument/2006/relationships/hyperlink" Target="https://drive.google.com/file/d/1P6ogLrHBBL6t6PKsLWAQQA8E51hgqoKC/view?usp=drive_link" TargetMode="External"/><Relationship Id="rId65" Type="http://schemas.openxmlformats.org/officeDocument/2006/relationships/hyperlink" Target="https://drive.google.com/file/d/1PLJ-riwiEF3kEord1dZlOovvzXyvY1JG/view?usp=drive_link" TargetMode="External"/><Relationship Id="rId24" Type="http://schemas.openxmlformats.org/officeDocument/2006/relationships/hyperlink" Target="https://www.google.com/calendar/event?eid=YTNrNGVwa2QyMDNnbGQxYzc0cGZ2anIyNDQgZ2VkdWNAZXNwLmNlLmdvdi5icg" TargetMode="External"/><Relationship Id="rId68" Type="http://schemas.openxmlformats.org/officeDocument/2006/relationships/hyperlink" Target="https://drive.google.com/open?id=1woO2nWUM4lcgT8J658149kuBj6tRbSZe" TargetMode="External"/><Relationship Id="rId23" Type="http://schemas.openxmlformats.org/officeDocument/2006/relationships/hyperlink" Target="https://drive.google.com/file/d/1FW7z4STpBt8JJxqM-K7AZ-HV2kaDKwTP/view?usp=drive_link" TargetMode="External"/><Relationship Id="rId67" Type="http://schemas.openxmlformats.org/officeDocument/2006/relationships/hyperlink" Target="https://drive.google.com/open?id=1QUk6S_8TjROL0a-TlaCVxi09PEeeSMiJ" TargetMode="External"/><Relationship Id="rId60" Type="http://schemas.openxmlformats.org/officeDocument/2006/relationships/hyperlink" Target="https://drive.google.com/file/d/1F1zCrlzF8jf1F5V5ZI7g29xm-4YV4NQv/view?usp=drive_link" TargetMode="External"/><Relationship Id="rId26" Type="http://schemas.openxmlformats.org/officeDocument/2006/relationships/hyperlink" Target="https://www.google.com/calendar/event?eid=aG1ucGtxOGd0bnQ2cjZsMTkzajBsYWF2MTAgZ2VkdWNAZXNwLmNlLmdvdi5icg" TargetMode="External"/><Relationship Id="rId25" Type="http://schemas.openxmlformats.org/officeDocument/2006/relationships/hyperlink" Target="https://drive.google.com/file/d/1U62PjIfirWTcKFfmZrZqDEu8H_er7Xkh/view?usp=drive_link" TargetMode="External"/><Relationship Id="rId69" Type="http://schemas.openxmlformats.org/officeDocument/2006/relationships/hyperlink" Target="https://drive.google.com/open?id=1Gf5YlrmE6UT8zOXHNBPc4W5mrpku113h" TargetMode="External"/><Relationship Id="rId28" Type="http://schemas.openxmlformats.org/officeDocument/2006/relationships/hyperlink" Target="https://www.google.com/calendar/event?eid=MjY2bnBsaGlhdjNuajVvbmVqa2Y3YXI1czggZ2VkdWNAZXNwLmNlLmdvdi5icg" TargetMode="External"/><Relationship Id="rId27" Type="http://schemas.openxmlformats.org/officeDocument/2006/relationships/hyperlink" Target="https://drive.google.com/file/d/1ByS5eVamfWKfWCK1twfI3NJAMJJ4Igv1/view?usp=sharing" TargetMode="External"/><Relationship Id="rId29" Type="http://schemas.openxmlformats.org/officeDocument/2006/relationships/hyperlink" Target="https://drive.google.com/file/d/1xodLX6cYvJNc65NZ1PzBIrS2wU_aY8vm/view?usp=drive_link" TargetMode="External"/><Relationship Id="rId51" Type="http://schemas.openxmlformats.org/officeDocument/2006/relationships/hyperlink" Target="https://www.google.com/calendar/event?eid=Y3RpZHZzOHRjN3N0NHVrbzRvNDlvMDA2MWMgZ2VkdWNAZXNwLmNlLmdvdi5icg" TargetMode="External"/><Relationship Id="rId50" Type="http://schemas.openxmlformats.org/officeDocument/2006/relationships/hyperlink" Target="https://docs.google.com/forms/d/1VwP2MQsG8EThbq12iqUe8YKgMINDlOSA9NnkuoYkWzo/edit" TargetMode="External"/><Relationship Id="rId94" Type="http://schemas.openxmlformats.org/officeDocument/2006/relationships/vmlDrawing" Target="../drawings/vmlDrawing2.vml"/><Relationship Id="rId53" Type="http://schemas.openxmlformats.org/officeDocument/2006/relationships/hyperlink" Target="https://www.google.com/calendar/event?eid=Zzg4MTNobnJwNGk4Y3FqZmtoc3JtZjFwNWsgZ2VkdWNAZXNwLmNlLmdvdi5icg" TargetMode="External"/><Relationship Id="rId52" Type="http://schemas.openxmlformats.org/officeDocument/2006/relationships/hyperlink" Target="https://docs.google.com/forms/d/1FVJ3rEtEg0ZUWtWKsyVt4jyfLnbFrFNgqpXgt8SaUHo/edit" TargetMode="External"/><Relationship Id="rId11" Type="http://schemas.openxmlformats.org/officeDocument/2006/relationships/hyperlink" Target="https://drive.google.com/file/d/1jXX9vCJwHg6CbPSJ_AbkByTep4XxQV9n/view?usp=sharing" TargetMode="External"/><Relationship Id="rId55" Type="http://schemas.openxmlformats.org/officeDocument/2006/relationships/hyperlink" Target="https://www.google.com/calendar/event?eid=dWoyNWhzN2FwYzVsNDQ4MTBmdW0yYmkwcTQgZ2VkdWNAZXNwLmNlLmdvdi5icg" TargetMode="External"/><Relationship Id="rId10" Type="http://schemas.openxmlformats.org/officeDocument/2006/relationships/hyperlink" Target="https://drive.google.com/file/d/1AK6JyqGPvL99daO_UbUsut3SQrLoWQMW/view?usp=sharing" TargetMode="External"/><Relationship Id="rId54" Type="http://schemas.openxmlformats.org/officeDocument/2006/relationships/hyperlink" Target="https://docs.google.com/forms/d/1FVJ3rEtEg0ZUWtWKsyVt4jyfLnbFrFNgqpXgt8SaUHo/viewanalytics" TargetMode="External"/><Relationship Id="rId13" Type="http://schemas.openxmlformats.org/officeDocument/2006/relationships/hyperlink" Target="https://drive.google.com/file/d/1YNro_SdACeMAjMQBFZaDhK5zoJHN7l0P/view?usp=drive_link" TargetMode="External"/><Relationship Id="rId57" Type="http://schemas.openxmlformats.org/officeDocument/2006/relationships/hyperlink" Target="https://www.google.com/calendar/event?eid=OHJzb2t2dnR0YnQ4OHR0N3M3YzZpaGIyZDAgZ2VkdWNAZXNwLmNlLmdvdi5icg" TargetMode="External"/><Relationship Id="rId12" Type="http://schemas.openxmlformats.org/officeDocument/2006/relationships/hyperlink" Target="https://www.google.com/calendar/event?eid=bHY5b2lrajAya282bnE3YWRtNm8wbmppbGcgZ2VkdWNAZXNwLmNlLmdvdi5icg" TargetMode="External"/><Relationship Id="rId56" Type="http://schemas.openxmlformats.org/officeDocument/2006/relationships/hyperlink" Target="https://forms.gle/Exj44tTgupYkvZiK7" TargetMode="External"/><Relationship Id="rId91" Type="http://schemas.openxmlformats.org/officeDocument/2006/relationships/hyperlink" Target="https://www.google.com/calendar/event?eid=MXNjY2QxaGFhdDduaGVkdnJoNG85b2VxZ2EgY3Jpc3RpYW5lLm5vZ3VlaXJhQGVzcC5jZS5nb3YuYnI" TargetMode="External"/><Relationship Id="rId90" Type="http://schemas.openxmlformats.org/officeDocument/2006/relationships/hyperlink" Target="https://drive.google.com/file/d/1FA40_TTJLwdoZFMYL98IsnsXZBdxlXch/view?usp=sharing" TargetMode="External"/><Relationship Id="rId93" Type="http://schemas.openxmlformats.org/officeDocument/2006/relationships/drawing" Target="../drawings/drawing3.xml"/><Relationship Id="rId92" Type="http://schemas.openxmlformats.org/officeDocument/2006/relationships/hyperlink" Target="https://drive.google.com/file/d/1p98jU9JGE6kFFw3WjriKTsKx7qVrj68-/view?usp=drive_link" TargetMode="External"/><Relationship Id="rId15" Type="http://schemas.openxmlformats.org/officeDocument/2006/relationships/hyperlink" Target="https://drive.google.com/file/d/1lN0lQNbDPaa7_lNJ4kthu2xnqDej8p9i/view?usp=drive_link" TargetMode="External"/><Relationship Id="rId59" Type="http://schemas.openxmlformats.org/officeDocument/2006/relationships/hyperlink" Target="https://www.google.com/calendar/event?eid=ODRoc3BlcDRmbDdmcm9zbHFnOGQ0Z2cyN2cgZ2VkdWNAZXNwLmNlLmdvdi5icg" TargetMode="External"/><Relationship Id="rId14" Type="http://schemas.openxmlformats.org/officeDocument/2006/relationships/hyperlink" Target="https://www.google.com/calendar/event?eid=aWcyNm04dW9odGlxZzU3aHVjNTNvc2FvNTQgZ2VkdWNAZXNwLmNlLmdvdi5icg" TargetMode="External"/><Relationship Id="rId58" Type="http://schemas.openxmlformats.org/officeDocument/2006/relationships/hyperlink" Target="https://drive.google.com/file/d/1_wxtK_8-qh-xf118SN2Sng3sMZUziTDo/view?usp=drive_link" TargetMode="External"/><Relationship Id="rId17" Type="http://schemas.openxmlformats.org/officeDocument/2006/relationships/hyperlink" Target="https://drive.google.com/file/d/1UalAIkIIvXjZ5oPKR5WxxDYu-VxS3DzE/view?usp=drive_link" TargetMode="External"/><Relationship Id="rId16" Type="http://schemas.openxmlformats.org/officeDocument/2006/relationships/hyperlink" Target="https://www.google.com/calendar/event?eid=N2hzdTlzZzdocGJmNTV2ZjU0cHQ3b284YzIgaGlsbGFyeS5zaWx2YUBlc3AuY2UuZ292LmJy" TargetMode="External"/><Relationship Id="rId19" Type="http://schemas.openxmlformats.org/officeDocument/2006/relationships/hyperlink" Target="https://drive.google.com/file/d/1Yp6h8QCrZdS3M6syrgOY2f0En1m3i4mG/view?usp=drive_link" TargetMode="External"/><Relationship Id="rId18" Type="http://schemas.openxmlformats.org/officeDocument/2006/relationships/hyperlink" Target="https://www.google.com/calendar/event?eid=bDU2NDNwNzZrdnQ2MTJ1NTM4ZXE0NGNkcDQgZ2VkdWNAZXNwLmNlLmdvdi5ic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google.com/calendar/event?eid=ODRoc3BlcDRmbDdmcm9zbHFnOGQ0Z2cyN2cgZ2VkdWNAZXNwLmNlLmdvdi5icg" TargetMode="External"/><Relationship Id="rId42" Type="http://schemas.openxmlformats.org/officeDocument/2006/relationships/hyperlink" Target="https://www.google.com/calendar/event?eid=bzF2bWc2YnNtMmhobmxuYmRmamFidG05NTQgZ2VkdWNAZXNwLmNlLmdvdi5icg" TargetMode="External"/><Relationship Id="rId41" Type="http://schemas.openxmlformats.org/officeDocument/2006/relationships/hyperlink" Target="https://www.google.com/calendar/event?eid=NWt0M2loYTc1cWJ1aHNiaXIzMzhkYzdiZjIgc2FteWxsYS50ZWl4ZWlyYUBlc3AuY2UuZ292LmJy" TargetMode="External"/><Relationship Id="rId44" Type="http://schemas.openxmlformats.org/officeDocument/2006/relationships/hyperlink" Target="https://www.google.com/calendar/event?eid=dDE4M2Rxajlsa3Zkc3ZyZHRkYzA5MWRodTAgZ2VkdWNAZXNwLmNlLmdvdi5icg" TargetMode="External"/><Relationship Id="rId43" Type="http://schemas.openxmlformats.org/officeDocument/2006/relationships/hyperlink" Target="https://drive.google.com/file/d/1PLJ-riwiEF3kEord1dZlOovvzXyvY1JG/view?usp=drive_link" TargetMode="External"/><Relationship Id="rId46" Type="http://schemas.openxmlformats.org/officeDocument/2006/relationships/hyperlink" Target="https://calendar.google.com/calendar/u/1/r/month/2024/6/18" TargetMode="External"/><Relationship Id="rId45" Type="http://schemas.openxmlformats.org/officeDocument/2006/relationships/hyperlink" Target="https://drive.google.com/file/d/1eaMd69j05JEM2NyOqV4ksKlavmGepWvN/view?usp=drive_link" TargetMode="External"/><Relationship Id="rId1" Type="http://schemas.openxmlformats.org/officeDocument/2006/relationships/comments" Target="../comments3.xml"/><Relationship Id="rId2" Type="http://schemas.openxmlformats.org/officeDocument/2006/relationships/hyperlink" Target="https://docs.google.com/spreadsheets/d/1KMm35E7VkyqYsGhZoMdZWmh3es5Eha_3pM88PLoxorc/edit?usp=sharing" TargetMode="External"/><Relationship Id="rId3" Type="http://schemas.openxmlformats.org/officeDocument/2006/relationships/hyperlink" Target="https://www.google.com/calendar/event?eid=OGJ1NzlqaG5rdXV2YzhqNmsybzNnbGJnbjAgZ2VkdWNAZXNwLmNlLmdvdi5icg" TargetMode="External"/><Relationship Id="rId4" Type="http://schemas.openxmlformats.org/officeDocument/2006/relationships/hyperlink" Target="https://drive.google.com/file/d/1hko20CB8ASlvzHg-SWiiX0cOLh3XxBP3/view?usp=drive_link" TargetMode="External"/><Relationship Id="rId9" Type="http://schemas.openxmlformats.org/officeDocument/2006/relationships/hyperlink" Target="https://drive.google.com/file/d/1YNro_SdACeMAjMQBFZaDhK5zoJHN7l0P/view?usp=drive_link" TargetMode="External"/><Relationship Id="rId48" Type="http://schemas.openxmlformats.org/officeDocument/2006/relationships/hyperlink" Target="https://www.google.com/calendar/event?eid=OHZidnRxbGowcDhmcDcxcjlxcGs4cWs5aTQgZ2VkdWNAZXNwLmNlLmdvdi5icg" TargetMode="External"/><Relationship Id="rId47" Type="http://schemas.openxmlformats.org/officeDocument/2006/relationships/hyperlink" Target="https://www.google.com/calendar/event?eid=OTJiY2QxOTJhbWhibWx2bmlpZzdnYmE5b2sgZ2VkdWNAZXNwLmNlLmdvdi5icg" TargetMode="External"/><Relationship Id="rId49" Type="http://schemas.openxmlformats.org/officeDocument/2006/relationships/hyperlink" Target="https://www.google.com/calendar/event?eid=dnNqdW04NDhoY2tubnVyMzBzdGx0bXEzZ3MgZ2VkdWNAZXNwLmNlLmdvdi5icg" TargetMode="External"/><Relationship Id="rId5" Type="http://schemas.openxmlformats.org/officeDocument/2006/relationships/hyperlink" Target="https://www.google.com/calendar/event?eid=bXUwam80Z3BhajVpdjA5ZGszbGtxYnR2cDggZ2VkdWNAZXNwLmNlLmdvdi5icg" TargetMode="External"/><Relationship Id="rId6" Type="http://schemas.openxmlformats.org/officeDocument/2006/relationships/hyperlink" Target="https://www.google.com/calendar/event?eid=dWtpZzlxYjVqdDE4dWQ3bHI0cmFocWs3OWMgZ2VkdWNAZXNwLmNlLmdvdi5icg" TargetMode="External"/><Relationship Id="rId7" Type="http://schemas.openxmlformats.org/officeDocument/2006/relationships/hyperlink" Target="https://drive.google.com/file/d/1ULx0xagtABcRUqyel-ksON1e5zWbknp-/view?usp=drive_link" TargetMode="External"/><Relationship Id="rId8" Type="http://schemas.openxmlformats.org/officeDocument/2006/relationships/hyperlink" Target="https://www.google.com/calendar/event?eid=bHY5b2lrajAya282bnE3YWRtNm8wbmppbGcgZ2VkdWNAZXNwLmNlLmdvdi5icg" TargetMode="External"/><Relationship Id="rId31" Type="http://schemas.openxmlformats.org/officeDocument/2006/relationships/hyperlink" Target="https://www.google.com/calendar/event?eid=ZWxqc25ydmc1cG8yOThzM3Vobm8zbmhva2MgZ2VkdWNAZXNwLmNlLmdvdi5icg" TargetMode="External"/><Relationship Id="rId30" Type="http://schemas.openxmlformats.org/officeDocument/2006/relationships/hyperlink" Target="https://www.google.com/calendar/event?eid=ZGtjYThhdjY4ZWxqZGZiZGZpYTMydWQ3Z3MgZ2VkdWNAZXNwLmNlLmdvdi5icg" TargetMode="External"/><Relationship Id="rId33" Type="http://schemas.openxmlformats.org/officeDocument/2006/relationships/hyperlink" Target="https://www.google.com/calendar/event?eid=ZjJybW1kMGUwZjNhanVuY251MWFibTViazQgZ2VkdWNAZXNwLmNlLmdvdi5icg" TargetMode="External"/><Relationship Id="rId32" Type="http://schemas.openxmlformats.org/officeDocument/2006/relationships/hyperlink" Target="https://www.google.com/calendar/event?eid=ZGw1NzE2YW5oajJsMDhzaGZsOHZzZHAzNGcgZ2VkdWNAZXNwLmNlLmdvdi5icg" TargetMode="External"/><Relationship Id="rId35" Type="http://schemas.openxmlformats.org/officeDocument/2006/relationships/hyperlink" Target="https://www.google.com/calendar/event?eid=Y3RpZHZzOHRjN3N0NHVrbzRvNDlvMDA2MWMgZ2VkdWNAZXNwLmNlLmdvdi5icg" TargetMode="External"/><Relationship Id="rId34" Type="http://schemas.openxmlformats.org/officeDocument/2006/relationships/hyperlink" Target="https://www.google.com/calendar/event?eid=N2ZyY3RtczhodjZqcmhrYzU5cXBwaXBqbXMgZ2VkdWNAZXNwLmNlLmdvdi5icg" TargetMode="External"/><Relationship Id="rId37" Type="http://schemas.openxmlformats.org/officeDocument/2006/relationships/hyperlink" Target="https://www.google.com/calendar/event?eid=dWoyNWhzN2FwYzVsNDQ4MTBmdW0yYmkwcTQgZ2VkdWNAZXNwLmNlLmdvdi5icg" TargetMode="External"/><Relationship Id="rId36" Type="http://schemas.openxmlformats.org/officeDocument/2006/relationships/hyperlink" Target="https://www.google.com/calendar/event?eid=Zzg4MTNobnJwNGk4Y3FqZmtoc3JtZjFwNWsgZ2VkdWNAZXNwLmNlLmdvdi5icg" TargetMode="External"/><Relationship Id="rId39" Type="http://schemas.openxmlformats.org/officeDocument/2006/relationships/hyperlink" Target="https://drive.google.com/file/d/1_wxtK_8-qh-xf118SN2Sng3sMZUziTDo/view?usp=drive_link" TargetMode="External"/><Relationship Id="rId38" Type="http://schemas.openxmlformats.org/officeDocument/2006/relationships/hyperlink" Target="https://www.google.com/calendar/event?eid=OHJzb2t2dnR0YnQ4OHR0N3M3YzZpaGIyZDAgZ2VkdWNAZXNwLmNlLmdvdi5icg" TargetMode="External"/><Relationship Id="rId20" Type="http://schemas.openxmlformats.org/officeDocument/2006/relationships/hyperlink" Target="https://www.google.com/calendar/event?eid=YTNrNGVwa2QyMDNnbGQxYzc0cGZ2anIyNDQgZ2VkdWNAZXNwLmNlLmdvdi5icg" TargetMode="External"/><Relationship Id="rId22" Type="http://schemas.openxmlformats.org/officeDocument/2006/relationships/hyperlink" Target="https://www.google.com/calendar/event?eid=aG1ucGtxOGd0bnQ2cjZsMTkzajBsYWF2MTAgZ2VkdWNAZXNwLmNlLmdvdi5icg" TargetMode="External"/><Relationship Id="rId21" Type="http://schemas.openxmlformats.org/officeDocument/2006/relationships/hyperlink" Target="https://drive.google.com/file/d/1U62PjIfirWTcKFfmZrZqDEu8H_er7Xkh/view?usp=drive_link" TargetMode="External"/><Relationship Id="rId24" Type="http://schemas.openxmlformats.org/officeDocument/2006/relationships/hyperlink" Target="https://drive.google.com/file/d/1xodLX6cYvJNc65NZ1PzBIrS2wU_aY8vm/view?usp=drive_link" TargetMode="External"/><Relationship Id="rId23" Type="http://schemas.openxmlformats.org/officeDocument/2006/relationships/hyperlink" Target="https://www.google.com/calendar/event?eid=MjY2bnBsaGlhdjNuajVvbmVqa2Y3YXI1czggZ2VkdWNAZXNwLmNlLmdvdi5icg" TargetMode="External"/><Relationship Id="rId60" Type="http://schemas.openxmlformats.org/officeDocument/2006/relationships/vmlDrawing" Target="../drawings/vmlDrawing3.vml"/><Relationship Id="rId26" Type="http://schemas.openxmlformats.org/officeDocument/2006/relationships/hyperlink" Target="https://www.google.com/calendar/event?eid=aWVhcWtjMHZzNnRjMHJ1MWFzNmY4N2ljZmsgZ2VkdWNAZXNwLmNlLmdvdi5icg" TargetMode="External"/><Relationship Id="rId25" Type="http://schemas.openxmlformats.org/officeDocument/2006/relationships/hyperlink" Target="https://www.google.com/calendar/event?eid=c3IxdmljZmU3MWc0Y2xqN2hrY3ZtNjhyazAgZ2VkdWNAZXNwLmNlLmdvdi5icg" TargetMode="External"/><Relationship Id="rId28" Type="http://schemas.openxmlformats.org/officeDocument/2006/relationships/hyperlink" Target="https://www.google.com/calendar/event?eid=bWdqZGkzZThzMTc2OWYyY2Q0cjhnbXE1ZmsgZ2VkdWNAZXNwLmNlLmdvdi5icg" TargetMode="External"/><Relationship Id="rId27" Type="http://schemas.openxmlformats.org/officeDocument/2006/relationships/hyperlink" Target="https://www.google.com/calendar/event?eid=cmRzcmgyOWdoMTdpaGFiMWFsMXExaWIyOWcgZ2VkdWNAZXNwLmNlLmdvdi5icg" TargetMode="External"/><Relationship Id="rId29" Type="http://schemas.openxmlformats.org/officeDocument/2006/relationships/hyperlink" Target="https://www.google.com/calendar/event?eid=cWQ2YzcwbzgyNDYzNDZxMmhyMzQzMzhnYzQgZ2VkdWNAZXNwLmNlLmdvdi5icg" TargetMode="External"/><Relationship Id="rId51" Type="http://schemas.openxmlformats.org/officeDocument/2006/relationships/hyperlink" Target="https://www.google.com/calendar/event?eid=MWZ2aGxrY2hoNm05aGxuZmkzOW9xa3AyNjggZ2VkdWNAZXNwLmNlLmdvdi5icg" TargetMode="External"/><Relationship Id="rId50" Type="http://schemas.openxmlformats.org/officeDocument/2006/relationships/hyperlink" Target="https://drive.google.com/file/d/1wPMJFLTlFhxLG-8qYPOEmM4XyJV5gDGM/view?usp=sharing" TargetMode="External"/><Relationship Id="rId53" Type="http://schemas.openxmlformats.org/officeDocument/2006/relationships/hyperlink" Target="https://www.google.com/calendar/event?eid=NDk5M3JwOXRlOXZvZzFpMGlodWRjcDJybDYgZ2VkdWNAZXNwLmNlLmdvdi5icg" TargetMode="External"/><Relationship Id="rId52" Type="http://schemas.openxmlformats.org/officeDocument/2006/relationships/hyperlink" Target="https://drive.google.com/file/d/1Ta2mC_S0wZSEfwcaXlQQDD4hZts0uc4Q/view?usp=sharing" TargetMode="External"/><Relationship Id="rId11" Type="http://schemas.openxmlformats.org/officeDocument/2006/relationships/hyperlink" Target="https://drive.google.com/file/d/1lN0lQNbDPaa7_lNJ4kthu2xnqDej8p9i/view?usp=drive_link" TargetMode="External"/><Relationship Id="rId55" Type="http://schemas.openxmlformats.org/officeDocument/2006/relationships/hyperlink" Target="https://www.google.com/calendar/event?eid=N3U4MmxhMGtqNmQxcW91aGg3OW1nNThkcWwgZ2VkdWNAZXNwLmNlLmdvdi5icg" TargetMode="External"/><Relationship Id="rId10" Type="http://schemas.openxmlformats.org/officeDocument/2006/relationships/hyperlink" Target="https://www.google.com/calendar/event?eid=aWcyNm04dW9odGlxZzU3aHVjNTNvc2FvNTQgZ2VkdWNAZXNwLmNlLmdvdi5icg" TargetMode="External"/><Relationship Id="rId54" Type="http://schemas.openxmlformats.org/officeDocument/2006/relationships/hyperlink" Target="https://drive.google.com/file/d/1coIM9RvqvGHrzmvz-xzUYpAC9GLHQXZf/view?usp=sharing" TargetMode="External"/><Relationship Id="rId13" Type="http://schemas.openxmlformats.org/officeDocument/2006/relationships/hyperlink" Target="https://drive.google.com/file/d/1UalAIkIIvXjZ5oPKR5WxxDYu-VxS3DzE/view?usp=drive_link" TargetMode="External"/><Relationship Id="rId57" Type="http://schemas.openxmlformats.org/officeDocument/2006/relationships/hyperlink" Target="https://www.google.com/calendar/event?eid=Mjc5cGtsYzhrZDJvbG9nMGRwZnVwc3ZrcTIgZ2VkdWNAZXNwLmNlLmdvdi5icg" TargetMode="External"/><Relationship Id="rId12" Type="http://schemas.openxmlformats.org/officeDocument/2006/relationships/hyperlink" Target="https://www.google.com/calendar/event?eid=N2hzdTlzZzdocGJmNTV2ZjU0cHQ3b284YzIgaGlsbGFyeS5zaWx2YUBlc3AuY2UuZ292LmJy" TargetMode="External"/><Relationship Id="rId56" Type="http://schemas.openxmlformats.org/officeDocument/2006/relationships/hyperlink" Target="https://drive.google.com/file/d/1Tcm-ccaL79eLLG5nY2YFvvnYABae1OHw/view?usp=sharing" TargetMode="External"/><Relationship Id="rId15" Type="http://schemas.openxmlformats.org/officeDocument/2006/relationships/hyperlink" Target="https://drive.google.com/file/d/1Yp6h8QCrZdS3M6syrgOY2f0En1m3i4mG/view?usp=drive_link" TargetMode="External"/><Relationship Id="rId59" Type="http://schemas.openxmlformats.org/officeDocument/2006/relationships/drawing" Target="../drawings/drawing5.xml"/><Relationship Id="rId14" Type="http://schemas.openxmlformats.org/officeDocument/2006/relationships/hyperlink" Target="https://www.google.com/calendar/event?eid=bDU2NDNwNzZrdnQ2MTJ1NTM4ZXE0NGNkcDQgZ2VkdWNAZXNwLmNlLmdvdi5icg" TargetMode="External"/><Relationship Id="rId58" Type="http://schemas.openxmlformats.org/officeDocument/2006/relationships/hyperlink" Target="https://www.google.com/calendar/event?eid=MXNjY2QxaGFhdDduaGVkdnJoNG85b2VxZ2EgY3Jpc3RpYW5lLm5vZ3VlaXJhQGVzcC5jZS5nb3YuYnI" TargetMode="External"/><Relationship Id="rId17" Type="http://schemas.openxmlformats.org/officeDocument/2006/relationships/hyperlink" Target="https://drive.google.com/file/d/1P6ogLrHBBL6t6PKsLWAQQA8E51hgqoKC/view?usp=drive_link" TargetMode="External"/><Relationship Id="rId16" Type="http://schemas.openxmlformats.org/officeDocument/2006/relationships/hyperlink" Target="https://www.google.com/calendar/event?eid=c3JuOTZqY2M5bXFudW9wdnVpaW41dDEzbWcgZ2VkdWNAZXNwLmNlLmdvdi5icg" TargetMode="External"/><Relationship Id="rId19" Type="http://schemas.openxmlformats.org/officeDocument/2006/relationships/hyperlink" Target="https://drive.google.com/file/d/1FW7z4STpBt8JJxqM-K7AZ-HV2kaDKwTP/view?usp=drive_link" TargetMode="External"/><Relationship Id="rId18" Type="http://schemas.openxmlformats.org/officeDocument/2006/relationships/hyperlink" Target="https://www.google.com/calendar/event?eid=MHVlYzYxNzFramh1bXB2aG1tbm9uazA3OWcgZ2VkdWNAZXNwLmNlLmdvdi5ic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7.xml"/><Relationship Id="rId3"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calendar.google.com/calendar/u/1/r/month/2024/6/18" TargetMode="External"/><Relationship Id="rId3" Type="http://schemas.openxmlformats.org/officeDocument/2006/relationships/drawing" Target="../drawings/drawing8.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docs.google.com/spreadsheets/d/1t6Bw17doKIFsfMEH8xu7wgWPM2ojnpUSCOMcJIxVGt0/edit?usp=sharing" TargetMode="External"/><Relationship Id="rId3" Type="http://schemas.openxmlformats.org/officeDocument/2006/relationships/hyperlink" Target="https://docs.google.com/spreadsheets/d/1IneaaYmlvZRYkWmEa01LRzluwW5SxcfC9nyNHoBAGLA/edit?usp=sharing" TargetMode="External"/><Relationship Id="rId4" Type="http://schemas.openxmlformats.org/officeDocument/2006/relationships/hyperlink" Target="https://docs.google.com/spreadsheets/d/1onXjeKSBf4qsiI-Dx4-ldhayBp8-mX3eF3S8803xWjg/edit?usp=sharing" TargetMode="External"/><Relationship Id="rId9" Type="http://schemas.openxmlformats.org/officeDocument/2006/relationships/hyperlink" Target="https://docs.google.com/spreadsheets/d/1JLM5vWKFNrNrrKGzOSoEtaoPfeDgWF29r_lPlui8cuE/edit?usp=sharing" TargetMode="External"/><Relationship Id="rId5" Type="http://schemas.openxmlformats.org/officeDocument/2006/relationships/hyperlink" Target="https://docs.google.com/spreadsheets/d/1KgBTXpcsImBJbHdt4K205sog_rvAaRkZAUuAiGBHcfA/edit?usp=sharing" TargetMode="External"/><Relationship Id="rId6" Type="http://schemas.openxmlformats.org/officeDocument/2006/relationships/hyperlink" Target="https://docs.google.com/spreadsheets/d/1Ma319BAaVCPPnscr0VhAeXrHsH4Akl8FaDBp7XGB29U/edit?usp=sharing" TargetMode="External"/><Relationship Id="rId7" Type="http://schemas.openxmlformats.org/officeDocument/2006/relationships/hyperlink" Target="https://docs.google.com/spreadsheets/d/1pkSPO24yrCIW9RekvTAwipj5K7t0Dvsz9yknCaWh1p0/edit?usp=sharing" TargetMode="External"/><Relationship Id="rId8" Type="http://schemas.openxmlformats.org/officeDocument/2006/relationships/hyperlink" Target="https://docs.google.com/spreadsheets/d/1KSlw6x46y1AhKNUyY7oMDpISBc7mXjni8HiaBhcNDIw/edit?usp=sharing" TargetMode="External"/><Relationship Id="rId11" Type="http://schemas.openxmlformats.org/officeDocument/2006/relationships/hyperlink" Target="https://docs.google.com/spreadsheets/d/1l33J3zkuKNG1RT2IGnZUs1DNt9rJmYiYdZjgCCXeySE/edit?usp=sharing" TargetMode="External"/><Relationship Id="rId10" Type="http://schemas.openxmlformats.org/officeDocument/2006/relationships/hyperlink" Target="https://docs.google.com/spreadsheets/d/1axjbt21yYOmO3OX7wXdpKkpdKFLqx2ZYnqW38RrMUXg/edit?usp=sharing" TargetMode="External"/><Relationship Id="rId13" Type="http://schemas.openxmlformats.org/officeDocument/2006/relationships/hyperlink" Target="https://docs.google.com/spreadsheets/d/1Lp6iOK2c77ON_FyogXeCaNEUwjn6ya476NTsDyevOZA/edit?usp=sharing" TargetMode="External"/><Relationship Id="rId12" Type="http://schemas.openxmlformats.org/officeDocument/2006/relationships/hyperlink" Target="https://docs.google.com/spreadsheets/d/1Az4bNM67CdtQ4FRqR3Yg84flnYEYaxarXAlyu59Zz6s/edit?usp=sharing" TargetMode="External"/><Relationship Id="rId15" Type="http://schemas.openxmlformats.org/officeDocument/2006/relationships/vmlDrawing" Target="../drawings/vmlDrawing7.vml"/><Relationship Id="rId14"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1" width="15.5"/>
    <col customWidth="1" min="12" max="12" width="14.13"/>
    <col customWidth="1" min="13" max="13" width="15.0"/>
    <col customWidth="1" min="35" max="35" width="14.0"/>
    <col customWidth="1" min="38" max="38" width="45.5"/>
    <col customWidth="1" min="39" max="39" width="89.25"/>
    <col customWidth="1" min="40" max="40" width="69.63"/>
    <col customWidth="1" min="53" max="53" width="26.75"/>
    <col customWidth="1" min="54" max="54" width="61.13"/>
  </cols>
  <sheetData>
    <row r="1">
      <c r="A1" s="1" t="s">
        <v>0</v>
      </c>
      <c r="B1" s="1" t="s">
        <v>1</v>
      </c>
      <c r="C1" s="2" t="s">
        <v>2</v>
      </c>
      <c r="D1" s="2" t="s">
        <v>3</v>
      </c>
      <c r="E1" s="2" t="s">
        <v>4</v>
      </c>
      <c r="F1" s="2" t="s">
        <v>5</v>
      </c>
      <c r="G1" s="2" t="s">
        <v>6</v>
      </c>
      <c r="H1" s="3" t="s">
        <v>7</v>
      </c>
      <c r="I1" s="3" t="s">
        <v>8</v>
      </c>
      <c r="J1" s="2" t="s">
        <v>9</v>
      </c>
      <c r="K1" s="2" t="s">
        <v>10</v>
      </c>
      <c r="L1" s="1" t="s">
        <v>11</v>
      </c>
      <c r="M1" s="1" t="s">
        <v>12</v>
      </c>
      <c r="N1" s="1" t="s">
        <v>13</v>
      </c>
      <c r="O1" s="3" t="s">
        <v>14</v>
      </c>
      <c r="P1" s="3"/>
      <c r="Q1" s="3" t="s">
        <v>15</v>
      </c>
      <c r="R1" s="3" t="s">
        <v>16</v>
      </c>
      <c r="S1" s="3" t="s">
        <v>17</v>
      </c>
      <c r="T1" s="3" t="s">
        <v>18</v>
      </c>
      <c r="U1" s="3"/>
      <c r="V1" s="3"/>
      <c r="W1" s="4"/>
      <c r="X1" s="4"/>
      <c r="Y1" s="4"/>
      <c r="Z1" s="4"/>
      <c r="AA1" s="4"/>
      <c r="AB1" s="4"/>
      <c r="AC1" s="5" t="s">
        <v>19</v>
      </c>
      <c r="AD1" s="4"/>
      <c r="AE1" s="5" t="s">
        <v>20</v>
      </c>
      <c r="AF1" s="4"/>
      <c r="AG1" s="5" t="s">
        <v>21</v>
      </c>
      <c r="AH1" s="4"/>
      <c r="AI1" s="5" t="s">
        <v>22</v>
      </c>
      <c r="AJ1" s="4"/>
      <c r="AK1" s="4"/>
      <c r="AL1" s="4"/>
      <c r="AO1" s="4"/>
      <c r="AP1" s="4"/>
      <c r="AQ1" s="4"/>
      <c r="AR1" s="4"/>
      <c r="AS1" s="4"/>
      <c r="AT1" s="4"/>
      <c r="AU1" s="4"/>
      <c r="AV1" s="4"/>
      <c r="AW1" s="4"/>
      <c r="AX1" s="4"/>
      <c r="AY1" s="4"/>
      <c r="AZ1" s="4"/>
      <c r="BA1" s="4"/>
      <c r="BB1" s="4"/>
      <c r="BC1" s="4"/>
    </row>
    <row r="2">
      <c r="A2" s="6" t="s">
        <v>23</v>
      </c>
      <c r="B2" s="6" t="s">
        <v>24</v>
      </c>
      <c r="C2" s="7" t="s">
        <v>25</v>
      </c>
      <c r="D2" s="7" t="s">
        <v>26</v>
      </c>
      <c r="E2" s="7" t="s">
        <v>27</v>
      </c>
      <c r="F2" s="7" t="s">
        <v>28</v>
      </c>
      <c r="G2" s="7" t="s">
        <v>29</v>
      </c>
      <c r="H2" s="7" t="s">
        <v>30</v>
      </c>
      <c r="I2" s="8" t="s">
        <v>31</v>
      </c>
      <c r="J2" s="7" t="s">
        <v>32</v>
      </c>
      <c r="K2" s="7" t="s">
        <v>33</v>
      </c>
      <c r="L2" s="7" t="s">
        <v>34</v>
      </c>
      <c r="M2" s="7" t="s">
        <v>35</v>
      </c>
      <c r="N2" s="7" t="s">
        <v>36</v>
      </c>
      <c r="O2" s="9" t="s">
        <v>37</v>
      </c>
      <c r="P2" s="9"/>
      <c r="Q2" s="7" t="s">
        <v>38</v>
      </c>
      <c r="R2" s="9" t="s">
        <v>39</v>
      </c>
      <c r="S2" s="7" t="s">
        <v>40</v>
      </c>
      <c r="T2" s="7" t="s">
        <v>18</v>
      </c>
      <c r="U2" s="7"/>
      <c r="V2" s="7"/>
      <c r="W2" s="10"/>
      <c r="X2" s="10"/>
      <c r="Y2" s="10"/>
      <c r="Z2" s="10"/>
      <c r="AA2" s="10"/>
      <c r="AB2" s="10"/>
      <c r="AC2" s="11" t="s">
        <v>41</v>
      </c>
      <c r="AD2" s="12"/>
      <c r="AE2" s="11" t="s">
        <v>42</v>
      </c>
      <c r="AF2" s="4"/>
      <c r="AG2" s="13" t="s">
        <v>43</v>
      </c>
      <c r="AH2" s="4"/>
      <c r="AI2" s="11" t="s">
        <v>44</v>
      </c>
      <c r="AJ2" s="4"/>
      <c r="AK2" s="4"/>
      <c r="AL2" s="4"/>
      <c r="AO2" s="4"/>
      <c r="AP2" s="4"/>
      <c r="AQ2" s="4"/>
      <c r="AR2" s="4"/>
      <c r="AS2" s="4"/>
      <c r="AT2" s="4"/>
      <c r="AU2" s="4"/>
      <c r="AV2" s="4"/>
      <c r="AW2" s="4"/>
      <c r="AX2" s="4"/>
      <c r="AY2" s="4"/>
      <c r="AZ2" s="4"/>
      <c r="BA2" s="4"/>
      <c r="BB2" s="4"/>
      <c r="BC2" s="4"/>
    </row>
    <row r="3">
      <c r="A3" s="6" t="s">
        <v>45</v>
      </c>
      <c r="B3" s="6" t="s">
        <v>46</v>
      </c>
      <c r="C3" s="9"/>
      <c r="D3" s="7" t="s">
        <v>47</v>
      </c>
      <c r="E3" s="7" t="s">
        <v>48</v>
      </c>
      <c r="F3" s="7" t="s">
        <v>49</v>
      </c>
      <c r="H3" s="7" t="s">
        <v>50</v>
      </c>
      <c r="I3" s="8" t="s">
        <v>51</v>
      </c>
      <c r="J3" s="9"/>
      <c r="K3" s="9"/>
      <c r="L3" s="7" t="s">
        <v>52</v>
      </c>
      <c r="M3" s="7" t="s">
        <v>53</v>
      </c>
      <c r="N3" s="9"/>
      <c r="O3" s="9" t="s">
        <v>54</v>
      </c>
      <c r="P3" s="9"/>
      <c r="Q3" s="9" t="s">
        <v>55</v>
      </c>
      <c r="R3" s="9" t="s">
        <v>56</v>
      </c>
      <c r="S3" s="7" t="s">
        <v>57</v>
      </c>
      <c r="T3" s="7" t="s">
        <v>58</v>
      </c>
      <c r="U3" s="7"/>
      <c r="V3" s="7"/>
      <c r="W3" s="10"/>
      <c r="X3" s="10"/>
      <c r="Y3" s="10"/>
      <c r="Z3" s="10"/>
      <c r="AA3" s="10"/>
      <c r="AB3" s="10"/>
      <c r="AC3" s="11" t="s">
        <v>59</v>
      </c>
      <c r="AD3" s="4"/>
      <c r="AE3" s="11" t="s">
        <v>60</v>
      </c>
      <c r="AF3" s="4"/>
      <c r="AG3" s="14" t="s">
        <v>61</v>
      </c>
      <c r="AH3" s="4"/>
      <c r="AI3" s="11" t="s">
        <v>62</v>
      </c>
      <c r="AJ3" s="4"/>
      <c r="AK3" s="4"/>
      <c r="AL3" s="4"/>
      <c r="AO3" s="4"/>
      <c r="AP3" s="4"/>
      <c r="AQ3" s="4"/>
      <c r="AR3" s="4"/>
      <c r="AS3" s="4"/>
      <c r="AT3" s="4"/>
      <c r="AU3" s="4"/>
      <c r="AV3" s="4"/>
      <c r="AW3" s="4"/>
      <c r="AX3" s="4"/>
      <c r="AY3" s="4"/>
      <c r="AZ3" s="4"/>
      <c r="BA3" s="4"/>
      <c r="BB3" s="4"/>
      <c r="BC3" s="4"/>
    </row>
    <row r="4">
      <c r="A4" s="15" t="s">
        <v>63</v>
      </c>
      <c r="B4" s="6" t="s">
        <v>64</v>
      </c>
      <c r="C4" s="9"/>
      <c r="D4" s="7" t="s">
        <v>65</v>
      </c>
      <c r="E4" s="7" t="s">
        <v>66</v>
      </c>
      <c r="F4" s="9"/>
      <c r="G4" s="9"/>
      <c r="H4" s="7" t="s">
        <v>67</v>
      </c>
      <c r="I4" s="8" t="s">
        <v>68</v>
      </c>
      <c r="J4" s="9"/>
      <c r="K4" s="9"/>
      <c r="L4" s="9"/>
      <c r="M4" s="9"/>
      <c r="N4" s="9"/>
      <c r="O4" s="7" t="s">
        <v>69</v>
      </c>
      <c r="P4" s="9"/>
      <c r="Q4" s="9" t="s">
        <v>70</v>
      </c>
      <c r="R4" s="9" t="s">
        <v>71</v>
      </c>
      <c r="S4" s="9"/>
      <c r="T4" s="9"/>
      <c r="U4" s="9"/>
      <c r="V4" s="9"/>
      <c r="W4" s="10"/>
      <c r="X4" s="10"/>
      <c r="Y4" s="10"/>
      <c r="Z4" s="10"/>
      <c r="AA4" s="10"/>
      <c r="AB4" s="10"/>
      <c r="AC4" s="11" t="s">
        <v>72</v>
      </c>
      <c r="AD4" s="4"/>
      <c r="AE4" s="11" t="s">
        <v>73</v>
      </c>
      <c r="AF4" s="4"/>
      <c r="AG4" s="14" t="s">
        <v>74</v>
      </c>
      <c r="AH4" s="4"/>
      <c r="AI4" s="11" t="s">
        <v>75</v>
      </c>
      <c r="AJ4" s="4"/>
      <c r="AK4" s="4"/>
      <c r="AL4" s="4"/>
      <c r="AO4" s="4"/>
      <c r="AP4" s="4"/>
      <c r="AQ4" s="4"/>
      <c r="AR4" s="4"/>
      <c r="AS4" s="4"/>
      <c r="AT4" s="4"/>
      <c r="AU4" s="4"/>
      <c r="AV4" s="4"/>
      <c r="AW4" s="4"/>
      <c r="AX4" s="4"/>
      <c r="AY4" s="4"/>
      <c r="AZ4" s="4"/>
      <c r="BA4" s="4"/>
      <c r="BB4" s="4"/>
      <c r="BC4" s="4"/>
    </row>
    <row r="5">
      <c r="A5" s="7" t="s">
        <v>76</v>
      </c>
      <c r="B5" s="7" t="s">
        <v>77</v>
      </c>
      <c r="C5" s="9"/>
      <c r="D5" s="7" t="s">
        <v>78</v>
      </c>
      <c r="E5" s="9"/>
      <c r="F5" s="9"/>
      <c r="G5" s="9"/>
      <c r="H5" s="7" t="s">
        <v>79</v>
      </c>
      <c r="I5" s="8" t="s">
        <v>80</v>
      </c>
      <c r="J5" s="9"/>
      <c r="K5" s="9"/>
      <c r="L5" s="9"/>
      <c r="M5" s="9"/>
      <c r="N5" s="9"/>
      <c r="O5" s="7" t="s">
        <v>81</v>
      </c>
      <c r="P5" s="9"/>
      <c r="Q5" s="9" t="s">
        <v>82</v>
      </c>
      <c r="R5" s="9"/>
      <c r="S5" s="9"/>
      <c r="T5" s="9"/>
      <c r="U5" s="9"/>
      <c r="V5" s="9"/>
      <c r="W5" s="4"/>
      <c r="X5" s="4"/>
      <c r="Y5" s="4"/>
      <c r="Z5" s="4"/>
      <c r="AA5" s="4"/>
      <c r="AB5" s="4"/>
      <c r="AC5" s="4"/>
      <c r="AD5" s="4"/>
      <c r="AE5" s="11" t="s">
        <v>83</v>
      </c>
      <c r="AF5" s="4"/>
      <c r="AG5" s="14" t="s">
        <v>84</v>
      </c>
      <c r="AH5" s="4"/>
      <c r="AI5" s="4"/>
      <c r="AJ5" s="4"/>
      <c r="AK5" s="4"/>
      <c r="AL5" s="4"/>
      <c r="AO5" s="4"/>
      <c r="AP5" s="4"/>
      <c r="AQ5" s="4"/>
      <c r="AR5" s="4"/>
      <c r="AS5" s="4"/>
      <c r="AT5" s="4"/>
      <c r="AU5" s="4"/>
      <c r="AV5" s="4"/>
      <c r="AW5" s="4"/>
      <c r="AX5" s="4"/>
      <c r="AY5" s="4"/>
      <c r="AZ5" s="4"/>
      <c r="BA5" s="4"/>
      <c r="BB5" s="4"/>
      <c r="BC5" s="4"/>
    </row>
    <row r="6">
      <c r="A6" s="7" t="s">
        <v>85</v>
      </c>
      <c r="B6" s="7" t="s">
        <v>86</v>
      </c>
      <c r="C6" s="9"/>
      <c r="D6" s="9"/>
      <c r="E6" s="9"/>
      <c r="F6" s="9"/>
      <c r="G6" s="9"/>
      <c r="H6" s="7" t="s">
        <v>87</v>
      </c>
      <c r="I6" s="8" t="s">
        <v>88</v>
      </c>
      <c r="J6" s="9"/>
      <c r="K6" s="9"/>
      <c r="L6" s="2"/>
      <c r="M6" s="2"/>
      <c r="N6" s="2"/>
      <c r="O6" s="7" t="s">
        <v>89</v>
      </c>
      <c r="P6" s="9"/>
      <c r="Q6" s="9" t="s">
        <v>90</v>
      </c>
      <c r="R6" s="9"/>
      <c r="S6" s="9"/>
      <c r="T6" s="9"/>
      <c r="U6" s="9"/>
      <c r="V6" s="9"/>
      <c r="W6" s="16"/>
      <c r="X6" s="16"/>
      <c r="Y6" s="16"/>
      <c r="Z6" s="16"/>
      <c r="AA6" s="16"/>
      <c r="AB6" s="16"/>
      <c r="AC6" s="16"/>
      <c r="AD6" s="16"/>
      <c r="AE6" s="16"/>
      <c r="AF6" s="16"/>
      <c r="AG6" s="14" t="s">
        <v>91</v>
      </c>
      <c r="AH6" s="16"/>
      <c r="AI6" s="16"/>
      <c r="AJ6" s="16"/>
      <c r="AK6" s="16"/>
      <c r="AL6" s="16"/>
      <c r="AO6" s="16"/>
      <c r="AP6" s="16"/>
      <c r="AQ6" s="16"/>
      <c r="AR6" s="16"/>
      <c r="AS6" s="16"/>
      <c r="AT6" s="16"/>
      <c r="AU6" s="16"/>
      <c r="AV6" s="16"/>
      <c r="AW6" s="16" t="s">
        <v>92</v>
      </c>
      <c r="AX6" s="4"/>
      <c r="AY6" s="4"/>
      <c r="AZ6" s="4"/>
      <c r="BA6" s="16" t="s">
        <v>93</v>
      </c>
      <c r="BB6" s="16" t="s">
        <v>94</v>
      </c>
      <c r="BC6" s="4"/>
    </row>
    <row r="7">
      <c r="A7" s="7" t="s">
        <v>95</v>
      </c>
      <c r="B7" s="7" t="s">
        <v>96</v>
      </c>
      <c r="C7" s="9"/>
      <c r="D7" s="9"/>
      <c r="E7" s="9"/>
      <c r="F7" s="9"/>
      <c r="G7" s="9"/>
      <c r="H7" s="9"/>
      <c r="I7" s="8" t="s">
        <v>97</v>
      </c>
      <c r="J7" s="9"/>
      <c r="K7" s="9"/>
      <c r="L7" s="9"/>
      <c r="M7" s="9"/>
      <c r="N7" s="9"/>
      <c r="O7" s="9" t="s">
        <v>98</v>
      </c>
      <c r="P7" s="9"/>
      <c r="Q7" s="9" t="s">
        <v>99</v>
      </c>
      <c r="R7" s="9"/>
      <c r="S7" s="9"/>
      <c r="T7" s="9"/>
      <c r="U7" s="9"/>
      <c r="V7" s="9"/>
      <c r="W7" s="4"/>
      <c r="X7" s="4"/>
      <c r="Y7" s="4"/>
      <c r="Z7" s="4"/>
      <c r="AA7" s="4"/>
      <c r="AB7" s="4"/>
      <c r="AC7" s="4"/>
      <c r="AD7" s="4"/>
      <c r="AE7" s="4"/>
      <c r="AF7" s="4"/>
      <c r="AG7" s="14" t="s">
        <v>100</v>
      </c>
      <c r="AH7" s="4"/>
      <c r="AI7" s="4"/>
      <c r="AJ7" s="4"/>
      <c r="AK7" s="4"/>
      <c r="AL7" s="4"/>
      <c r="AO7" s="4"/>
      <c r="AP7" s="4"/>
      <c r="AQ7" s="4"/>
      <c r="AR7" s="4"/>
      <c r="AS7" s="4"/>
      <c r="AT7" s="4"/>
      <c r="AU7" s="4"/>
      <c r="AV7" s="4"/>
      <c r="AW7" s="4" t="str">
        <f t="array" ref="AW7:AW25">INDEX(A2:B20,,MATCH('Plano de capacitação - 2024'!A23,A1:B1,0))</f>
        <v>Diagnóstico laboratorial da esquistossomose mansoni e Geo helmintos</v>
      </c>
      <c r="AX7" s="4"/>
      <c r="AY7" s="4"/>
      <c r="AZ7" s="4"/>
      <c r="BA7" s="17" t="s">
        <v>0</v>
      </c>
      <c r="BB7" s="18" t="s">
        <v>23</v>
      </c>
      <c r="BC7" s="4"/>
    </row>
    <row r="8">
      <c r="A8" s="9"/>
      <c r="B8" s="7" t="s">
        <v>101</v>
      </c>
      <c r="C8" s="9"/>
      <c r="D8" s="9"/>
      <c r="E8" s="9"/>
      <c r="F8" s="9"/>
      <c r="G8" s="9"/>
      <c r="I8" s="8" t="s">
        <v>102</v>
      </c>
      <c r="J8" s="9"/>
      <c r="K8" s="9"/>
      <c r="L8" s="9"/>
      <c r="M8" s="9"/>
      <c r="N8" s="9"/>
      <c r="O8" s="9" t="s">
        <v>103</v>
      </c>
      <c r="P8" s="9"/>
      <c r="Q8" s="9" t="s">
        <v>104</v>
      </c>
      <c r="R8" s="9"/>
      <c r="S8" s="9"/>
      <c r="T8" s="9"/>
      <c r="U8" s="9"/>
      <c r="V8" s="9"/>
      <c r="W8" s="4"/>
      <c r="X8" s="4"/>
      <c r="Y8" s="4"/>
      <c r="Z8" s="10">
        <v>0.0</v>
      </c>
      <c r="AA8" s="10"/>
      <c r="AB8" s="10"/>
      <c r="AC8" s="4" t="str">
        <f>IF(Z8=0,"Especifique CH", IF(Z8&lt;80,Dados!AC2,IF(Z8=80,Dados!AC3,IF(Z8&lt;179,Dados!AC3,IF(Z8&gt;179,Dados!AC4)))))</f>
        <v>Especifique CH</v>
      </c>
      <c r="AD8" s="4"/>
      <c r="AE8" s="4"/>
      <c r="AF8" s="4"/>
      <c r="AG8" s="14" t="s">
        <v>105</v>
      </c>
      <c r="AH8" s="4"/>
      <c r="AI8" s="4"/>
      <c r="AJ8" s="4"/>
      <c r="AK8" s="4"/>
      <c r="AL8" s="4"/>
      <c r="AO8" s="4"/>
      <c r="AP8" s="4"/>
      <c r="AQ8" s="4"/>
      <c r="AR8" s="4"/>
      <c r="AS8" s="4"/>
      <c r="AT8" s="4"/>
      <c r="AU8" s="4"/>
      <c r="AV8" s="4"/>
      <c r="AW8" s="4" t="s">
        <v>45</v>
      </c>
      <c r="AX8" s="4"/>
      <c r="AY8" s="4"/>
      <c r="AZ8" s="4"/>
      <c r="BA8" s="17" t="s">
        <v>0</v>
      </c>
      <c r="BB8" s="18" t="s">
        <v>106</v>
      </c>
      <c r="BC8" s="4"/>
    </row>
    <row r="9">
      <c r="A9" s="9"/>
      <c r="B9" s="9"/>
      <c r="C9" s="9"/>
      <c r="D9" s="9"/>
      <c r="E9" s="9"/>
      <c r="F9" s="9"/>
      <c r="G9" s="9"/>
      <c r="H9" s="9"/>
      <c r="I9" s="8"/>
      <c r="J9" s="9"/>
      <c r="K9" s="9"/>
      <c r="L9" s="9"/>
      <c r="M9" s="9"/>
      <c r="N9" s="9"/>
      <c r="O9" s="7" t="s">
        <v>107</v>
      </c>
      <c r="P9" s="9"/>
      <c r="Q9" s="9" t="s">
        <v>108</v>
      </c>
      <c r="R9" s="9"/>
      <c r="S9" s="9"/>
      <c r="T9" s="9"/>
      <c r="U9" s="9"/>
      <c r="V9" s="9"/>
      <c r="W9" s="4"/>
      <c r="X9" s="4"/>
      <c r="Y9" s="4"/>
      <c r="Z9" s="4"/>
      <c r="AA9" s="4"/>
      <c r="AB9" s="4"/>
      <c r="AC9" s="4"/>
      <c r="AD9" s="4"/>
      <c r="AE9" s="4"/>
      <c r="AF9" s="4"/>
      <c r="AG9" s="14" t="s">
        <v>109</v>
      </c>
      <c r="AH9" s="4"/>
      <c r="AI9" s="4"/>
      <c r="AJ9" s="4"/>
      <c r="AK9" s="4"/>
      <c r="AL9" s="4"/>
      <c r="AO9" s="4"/>
      <c r="AP9" s="4"/>
      <c r="AQ9" s="4"/>
      <c r="AR9" s="4"/>
      <c r="AS9" s="4"/>
      <c r="AT9" s="4"/>
      <c r="AU9" s="4"/>
      <c r="AV9" s="4"/>
      <c r="AW9" s="4" t="s">
        <v>63</v>
      </c>
      <c r="AX9" s="4"/>
      <c r="AY9" s="4"/>
      <c r="AZ9" s="4"/>
      <c r="BA9" s="17" t="s">
        <v>0</v>
      </c>
      <c r="BB9" s="19" t="s">
        <v>110</v>
      </c>
      <c r="BC9" s="4"/>
    </row>
    <row r="10">
      <c r="A10" s="9"/>
      <c r="B10" s="9"/>
      <c r="C10" s="9"/>
      <c r="D10" s="9"/>
      <c r="E10" s="9"/>
      <c r="F10" s="9"/>
      <c r="G10" s="9"/>
      <c r="I10" s="8"/>
      <c r="J10" s="9"/>
      <c r="K10" s="9"/>
      <c r="L10" s="9"/>
      <c r="M10" s="9"/>
      <c r="N10" s="9"/>
      <c r="O10" s="9" t="s">
        <v>111</v>
      </c>
      <c r="P10" s="9"/>
      <c r="Q10" s="9" t="s">
        <v>112</v>
      </c>
      <c r="R10" s="9"/>
      <c r="S10" s="9"/>
      <c r="T10" s="9"/>
      <c r="U10" s="9"/>
      <c r="V10" s="9"/>
      <c r="W10" s="4"/>
      <c r="X10" s="4"/>
      <c r="Y10" s="4"/>
      <c r="Z10" s="4"/>
      <c r="AA10" s="4"/>
      <c r="AB10" s="4"/>
      <c r="AC10" s="4"/>
      <c r="AD10" s="4"/>
      <c r="AE10" s="4"/>
      <c r="AF10" s="4"/>
      <c r="AG10" s="14" t="s">
        <v>113</v>
      </c>
      <c r="AH10" s="4"/>
      <c r="AI10" s="4"/>
      <c r="AJ10" s="4"/>
      <c r="AK10" s="4"/>
      <c r="AL10" s="4"/>
      <c r="AO10" s="4"/>
      <c r="AP10" s="4"/>
      <c r="AQ10" s="4"/>
      <c r="AR10" s="4"/>
      <c r="AS10" s="4"/>
      <c r="AT10" s="4"/>
      <c r="AU10" s="4"/>
      <c r="AV10" s="4"/>
      <c r="AW10" s="4" t="s">
        <v>76</v>
      </c>
      <c r="AX10" s="4"/>
      <c r="AY10" s="4"/>
      <c r="AZ10" s="4"/>
      <c r="BA10" s="17"/>
      <c r="BB10" s="18"/>
      <c r="BC10" s="4"/>
    </row>
    <row r="11">
      <c r="A11" s="9"/>
      <c r="B11" s="9"/>
      <c r="C11" s="9"/>
      <c r="D11" s="9"/>
      <c r="E11" s="9"/>
      <c r="F11" s="9"/>
      <c r="G11" s="9"/>
      <c r="H11" s="9"/>
      <c r="I11" s="8"/>
      <c r="J11" s="9"/>
      <c r="K11" s="9"/>
      <c r="L11" s="9"/>
      <c r="M11" s="9"/>
      <c r="N11" s="9"/>
      <c r="O11" s="7" t="s">
        <v>114</v>
      </c>
      <c r="P11" s="9"/>
      <c r="Q11" s="9"/>
      <c r="R11" s="9"/>
      <c r="S11" s="9"/>
      <c r="T11" s="9"/>
      <c r="U11" s="9"/>
      <c r="V11" s="9"/>
      <c r="W11" s="4"/>
      <c r="X11" s="4"/>
      <c r="Y11" s="4"/>
      <c r="Z11" s="4"/>
      <c r="AA11" s="4"/>
      <c r="AB11" s="4"/>
      <c r="AC11" s="4"/>
      <c r="AD11" s="4"/>
      <c r="AE11" s="4"/>
      <c r="AF11" s="4"/>
      <c r="AG11" s="14" t="s">
        <v>115</v>
      </c>
      <c r="AH11" s="4"/>
      <c r="AI11" s="4"/>
      <c r="AJ11" s="4"/>
      <c r="AK11" s="4"/>
      <c r="AL11" s="4"/>
      <c r="AO11" s="4"/>
      <c r="AP11" s="4"/>
      <c r="AQ11" s="4"/>
      <c r="AR11" s="4"/>
      <c r="AS11" s="4"/>
      <c r="AT11" s="4"/>
      <c r="AU11" s="4"/>
      <c r="AV11" s="4"/>
      <c r="AW11" s="4" t="s">
        <v>85</v>
      </c>
      <c r="AX11" s="4"/>
      <c r="AY11" s="4"/>
      <c r="AZ11" s="4"/>
      <c r="BA11" s="17" t="s">
        <v>1</v>
      </c>
      <c r="BB11" s="18" t="s">
        <v>116</v>
      </c>
      <c r="BC11" s="4"/>
    </row>
    <row r="12">
      <c r="A12" s="9"/>
      <c r="B12" s="9"/>
      <c r="C12" s="9"/>
      <c r="D12" s="9"/>
      <c r="E12" s="9"/>
      <c r="F12" s="9"/>
      <c r="G12" s="9"/>
      <c r="H12" s="9"/>
      <c r="I12" s="8"/>
      <c r="J12" s="9"/>
      <c r="K12" s="9"/>
      <c r="L12" s="9"/>
      <c r="M12" s="9"/>
      <c r="N12" s="9"/>
      <c r="O12" s="7"/>
      <c r="P12" s="9"/>
      <c r="Q12" s="9"/>
      <c r="R12" s="9"/>
      <c r="S12" s="9"/>
      <c r="T12" s="9"/>
      <c r="U12" s="9"/>
      <c r="V12" s="9"/>
      <c r="W12" s="4"/>
      <c r="X12" s="4"/>
      <c r="Y12" s="4"/>
      <c r="Z12" s="4"/>
      <c r="AA12" s="4"/>
      <c r="AB12" s="4"/>
      <c r="AC12" s="4"/>
      <c r="AD12" s="4"/>
      <c r="AE12" s="4"/>
      <c r="AF12" s="4"/>
      <c r="AG12" s="14" t="s">
        <v>117</v>
      </c>
      <c r="AH12" s="4"/>
      <c r="AI12" s="4"/>
      <c r="AJ12" s="4"/>
      <c r="AK12" s="4"/>
      <c r="AL12" s="4"/>
      <c r="AO12" s="4"/>
      <c r="AP12" s="4"/>
      <c r="AQ12" s="4"/>
      <c r="AR12" s="4"/>
      <c r="AS12" s="4"/>
      <c r="AT12" s="4"/>
      <c r="AU12" s="4"/>
      <c r="AV12" s="4"/>
      <c r="AW12" s="4" t="s">
        <v>95</v>
      </c>
      <c r="AX12" s="4"/>
      <c r="AY12" s="4"/>
      <c r="AZ12" s="4"/>
      <c r="BA12" s="17" t="s">
        <v>1</v>
      </c>
      <c r="BB12" s="18" t="s">
        <v>46</v>
      </c>
      <c r="BC12" s="4"/>
    </row>
    <row r="13">
      <c r="A13" s="20"/>
      <c r="B13" s="20"/>
      <c r="C13" s="20"/>
      <c r="D13" s="20"/>
      <c r="E13" s="20"/>
      <c r="F13" s="20"/>
      <c r="G13" s="20"/>
      <c r="H13" s="20"/>
      <c r="I13" s="21"/>
      <c r="J13" s="20"/>
      <c r="K13" s="20"/>
      <c r="L13" s="20"/>
      <c r="M13" s="20"/>
      <c r="N13" s="20"/>
      <c r="O13" s="22"/>
      <c r="P13" s="20"/>
      <c r="Q13" s="20"/>
      <c r="R13" s="20"/>
      <c r="S13" s="20"/>
      <c r="T13" s="20"/>
      <c r="U13" s="20"/>
      <c r="V13" s="20"/>
      <c r="W13" s="4"/>
      <c r="X13" s="4"/>
      <c r="Y13" s="4"/>
      <c r="Z13" s="4"/>
      <c r="AA13" s="4"/>
      <c r="AB13" s="4"/>
      <c r="AC13" s="4"/>
      <c r="AD13" s="4"/>
      <c r="AE13" s="4"/>
      <c r="AF13" s="4"/>
      <c r="AG13" s="14" t="s">
        <v>118</v>
      </c>
      <c r="AH13" s="4"/>
      <c r="AI13" s="4"/>
      <c r="AJ13" s="4"/>
      <c r="AK13" s="4"/>
      <c r="AL13" s="4"/>
      <c r="AM13" s="4"/>
      <c r="AN13" s="4"/>
      <c r="AO13" s="4"/>
      <c r="AP13" s="4"/>
      <c r="AQ13" s="4"/>
      <c r="AR13" s="4"/>
      <c r="AS13" s="4"/>
      <c r="AT13" s="4"/>
      <c r="AU13" s="4"/>
      <c r="AV13" s="4"/>
      <c r="AW13" s="4"/>
      <c r="AX13" s="4"/>
      <c r="AY13" s="4"/>
      <c r="AZ13" s="4"/>
      <c r="BA13" s="17" t="s">
        <v>1</v>
      </c>
      <c r="BB13" s="18" t="s">
        <v>119</v>
      </c>
      <c r="BC13" s="4"/>
    </row>
    <row r="14">
      <c r="A14" s="20"/>
      <c r="B14" s="20"/>
      <c r="C14" s="20"/>
      <c r="D14" s="20"/>
      <c r="E14" s="20"/>
      <c r="F14" s="20"/>
      <c r="G14" s="20"/>
      <c r="H14" s="20"/>
      <c r="I14" s="21"/>
      <c r="J14" s="20"/>
      <c r="K14" s="20"/>
      <c r="L14" s="20"/>
      <c r="M14" s="20"/>
      <c r="N14" s="20"/>
      <c r="O14" s="22"/>
      <c r="P14" s="20"/>
      <c r="Q14" s="20"/>
      <c r="R14" s="20"/>
      <c r="S14" s="20"/>
      <c r="T14" s="20"/>
      <c r="U14" s="20"/>
      <c r="V14" s="20"/>
      <c r="W14" s="4"/>
      <c r="X14" s="4"/>
      <c r="Y14" s="4"/>
      <c r="Z14" s="4"/>
      <c r="AA14" s="4"/>
      <c r="AB14" s="4"/>
      <c r="AC14" s="4"/>
      <c r="AD14" s="4"/>
      <c r="AE14" s="4"/>
      <c r="AF14" s="4"/>
      <c r="AG14" s="10"/>
      <c r="AH14" s="4"/>
      <c r="AI14" s="4"/>
      <c r="AJ14" s="4"/>
      <c r="AK14" s="4"/>
      <c r="AL14" s="4"/>
      <c r="AM14" s="4"/>
      <c r="AN14" s="4"/>
      <c r="AO14" s="4"/>
      <c r="AP14" s="4"/>
      <c r="AQ14" s="4"/>
      <c r="AR14" s="4"/>
      <c r="AS14" s="4"/>
      <c r="AT14" s="4"/>
      <c r="AU14" s="4"/>
      <c r="AV14" s="4"/>
      <c r="AW14" s="4"/>
      <c r="AX14" s="4"/>
      <c r="AY14" s="4"/>
      <c r="AZ14" s="4"/>
      <c r="BA14" s="16" t="s">
        <v>2</v>
      </c>
      <c r="BB14" s="10" t="s">
        <v>120</v>
      </c>
      <c r="BC14" s="4"/>
    </row>
    <row r="15">
      <c r="A15" s="20"/>
      <c r="B15" s="20"/>
      <c r="C15" s="20"/>
      <c r="D15" s="20"/>
      <c r="E15" s="20"/>
      <c r="F15" s="20"/>
      <c r="G15" s="20"/>
      <c r="H15" s="20"/>
      <c r="I15" s="23"/>
      <c r="J15" s="20"/>
      <c r="K15" s="20"/>
      <c r="L15" s="20"/>
      <c r="M15" s="20"/>
      <c r="N15" s="20"/>
      <c r="O15" s="22"/>
      <c r="P15" s="20"/>
      <c r="Q15" s="20"/>
      <c r="R15" s="20"/>
      <c r="S15" s="20"/>
      <c r="T15" s="20"/>
      <c r="U15" s="20"/>
      <c r="V15" s="20"/>
      <c r="W15" s="4"/>
      <c r="X15" s="4"/>
      <c r="Y15" s="4"/>
      <c r="Z15" s="4"/>
      <c r="AA15" s="4"/>
      <c r="AB15" s="4"/>
      <c r="AC15" s="4"/>
      <c r="AD15" s="4"/>
      <c r="AE15" s="4"/>
      <c r="AF15" s="4"/>
      <c r="AG15" s="10"/>
      <c r="AH15" s="4"/>
      <c r="AI15" s="4"/>
      <c r="AJ15" s="4"/>
      <c r="AK15" s="4"/>
      <c r="AL15" s="24" t="s">
        <v>121</v>
      </c>
      <c r="AM15" s="25" t="s">
        <v>122</v>
      </c>
      <c r="AN15" s="26"/>
      <c r="AO15" s="27"/>
      <c r="AP15" s="27"/>
      <c r="AQ15" s="27"/>
      <c r="AR15" s="27"/>
      <c r="AS15" s="4"/>
      <c r="AT15" s="4"/>
      <c r="AU15" s="4"/>
      <c r="AV15" s="4"/>
      <c r="AW15" s="4"/>
      <c r="AX15" s="4"/>
      <c r="AY15" s="4"/>
      <c r="AZ15" s="4"/>
      <c r="BA15" s="16" t="s">
        <v>3</v>
      </c>
      <c r="BB15" s="4"/>
      <c r="BC15" s="4"/>
    </row>
    <row r="16">
      <c r="A16" s="20"/>
      <c r="B16" s="20"/>
      <c r="C16" s="20"/>
      <c r="D16" s="20"/>
      <c r="E16" s="20"/>
      <c r="F16" s="20"/>
      <c r="G16" s="20"/>
      <c r="H16" s="20"/>
      <c r="I16" s="23"/>
      <c r="J16" s="20"/>
      <c r="K16" s="20"/>
      <c r="L16" s="20"/>
      <c r="M16" s="20"/>
      <c r="N16" s="20"/>
      <c r="O16" s="22"/>
      <c r="P16" s="20"/>
      <c r="Q16" s="20"/>
      <c r="R16" s="20"/>
      <c r="S16" s="20"/>
      <c r="T16" s="20"/>
      <c r="U16" s="20"/>
      <c r="V16" s="20"/>
      <c r="W16" s="4"/>
      <c r="X16" s="4"/>
      <c r="Y16" s="4"/>
      <c r="Z16" s="4"/>
      <c r="AA16" s="4"/>
      <c r="AB16" s="4"/>
      <c r="AC16" s="4"/>
      <c r="AD16" s="4"/>
      <c r="AE16" s="4"/>
      <c r="AF16" s="4"/>
      <c r="AG16" s="10"/>
      <c r="AH16" s="4"/>
      <c r="AI16" s="4"/>
      <c r="AJ16" s="4"/>
      <c r="AK16" s="4"/>
      <c r="AL16" s="4"/>
      <c r="AM16" s="4"/>
      <c r="AN16" s="4"/>
      <c r="AO16" s="4"/>
      <c r="AP16" s="4"/>
      <c r="AQ16" s="4"/>
      <c r="AR16" s="4"/>
      <c r="AS16" s="4"/>
      <c r="AT16" s="4"/>
      <c r="AU16" s="4"/>
      <c r="AV16" s="4"/>
      <c r="AW16" s="4"/>
      <c r="AX16" s="4"/>
      <c r="AY16" s="4"/>
      <c r="AZ16" s="4"/>
      <c r="BA16" s="16" t="s">
        <v>3</v>
      </c>
      <c r="BB16" s="4"/>
      <c r="BC16" s="4"/>
    </row>
    <row r="17">
      <c r="A17" s="20"/>
      <c r="B17" s="20"/>
      <c r="C17" s="20"/>
      <c r="D17" s="20"/>
      <c r="E17" s="20"/>
      <c r="F17" s="20"/>
      <c r="G17" s="20"/>
      <c r="H17" s="20"/>
      <c r="I17" s="23"/>
      <c r="J17" s="20"/>
      <c r="K17" s="20"/>
      <c r="L17" s="20"/>
      <c r="M17" s="20"/>
      <c r="N17" s="20"/>
      <c r="O17" s="22"/>
      <c r="P17" s="20"/>
      <c r="Q17" s="20"/>
      <c r="R17" s="20"/>
      <c r="S17" s="20"/>
      <c r="T17" s="20"/>
      <c r="U17" s="20"/>
      <c r="V17" s="20"/>
      <c r="W17" s="4"/>
      <c r="X17" s="4"/>
      <c r="Y17" s="4"/>
      <c r="Z17" s="4"/>
      <c r="AA17" s="4"/>
      <c r="AB17" s="4"/>
      <c r="AC17" s="4"/>
      <c r="AD17" s="4"/>
      <c r="AE17" s="4"/>
      <c r="AF17" s="4"/>
      <c r="AG17" s="4"/>
      <c r="AH17" s="4"/>
      <c r="AI17" s="4"/>
      <c r="AJ17" s="4"/>
      <c r="AK17" s="4"/>
      <c r="AL17" s="4"/>
      <c r="AM17" s="28" t="s">
        <v>123</v>
      </c>
      <c r="AN17" s="29" t="s">
        <v>124</v>
      </c>
      <c r="AO17" s="4"/>
      <c r="AP17" s="4"/>
      <c r="AQ17" s="4"/>
      <c r="AR17" s="4"/>
      <c r="AS17" s="4"/>
      <c r="AT17" s="4"/>
      <c r="AU17" s="4"/>
      <c r="AV17" s="4"/>
      <c r="AW17" s="4"/>
      <c r="AX17" s="4"/>
      <c r="AY17" s="4"/>
      <c r="AZ17" s="4"/>
      <c r="BA17" s="16" t="s">
        <v>3</v>
      </c>
      <c r="BB17" s="4"/>
      <c r="BC17" s="4"/>
    </row>
    <row r="18">
      <c r="A18" s="20"/>
      <c r="B18" s="20"/>
      <c r="C18" s="20"/>
      <c r="D18" s="20"/>
      <c r="E18" s="20"/>
      <c r="F18" s="20"/>
      <c r="G18" s="20"/>
      <c r="H18" s="20"/>
      <c r="I18" s="23"/>
      <c r="J18" s="20"/>
      <c r="K18" s="20"/>
      <c r="L18" s="20"/>
      <c r="M18" s="20"/>
      <c r="N18" s="20"/>
      <c r="O18" s="22"/>
      <c r="P18" s="20"/>
      <c r="Q18" s="20"/>
      <c r="R18" s="20"/>
      <c r="S18" s="20"/>
      <c r="T18" s="20"/>
      <c r="U18" s="20"/>
      <c r="V18" s="20"/>
      <c r="W18" s="4"/>
      <c r="X18" s="4"/>
      <c r="Y18" s="4"/>
      <c r="Z18" s="4"/>
      <c r="AA18" s="4"/>
      <c r="AB18" s="4"/>
      <c r="AC18" s="4"/>
      <c r="AD18" s="4"/>
      <c r="AE18" s="4"/>
      <c r="AF18" s="4"/>
      <c r="AG18" s="4"/>
      <c r="AH18" s="4"/>
      <c r="AI18" s="4"/>
      <c r="AJ18" s="4"/>
      <c r="AK18" s="4"/>
      <c r="AL18" s="4"/>
      <c r="AM18" s="30" t="s">
        <v>125</v>
      </c>
      <c r="AN18" s="31" t="str">
        <f>IFERROR(__xludf.DUMMYFUNCTION("IMPORTRANGE(AM18, ""RESUMO!B1"")"),"#REF!")</f>
        <v>#REF!</v>
      </c>
      <c r="AO18" s="4"/>
      <c r="AP18" s="4"/>
      <c r="AQ18" s="4"/>
      <c r="AR18" s="4"/>
      <c r="AS18" s="4"/>
      <c r="AT18" s="4"/>
      <c r="AU18" s="4"/>
      <c r="AV18" s="4"/>
      <c r="AW18" s="4"/>
      <c r="AX18" s="4"/>
      <c r="AY18" s="4"/>
      <c r="AZ18" s="4"/>
      <c r="BA18" s="16" t="s">
        <v>3</v>
      </c>
      <c r="BB18" s="4"/>
      <c r="BC18" s="4"/>
    </row>
    <row r="19">
      <c r="A19" s="20"/>
      <c r="B19" s="20"/>
      <c r="C19" s="20"/>
      <c r="D19" s="20"/>
      <c r="E19" s="20"/>
      <c r="F19" s="20"/>
      <c r="G19" s="20"/>
      <c r="H19" s="20"/>
      <c r="I19" s="23"/>
      <c r="J19" s="20"/>
      <c r="K19" s="20"/>
      <c r="L19" s="20"/>
      <c r="M19" s="20"/>
      <c r="N19" s="20"/>
      <c r="O19" s="22"/>
      <c r="P19" s="20"/>
      <c r="Q19" s="20"/>
      <c r="R19" s="20"/>
      <c r="S19" s="20"/>
      <c r="T19" s="20"/>
      <c r="U19" s="20"/>
      <c r="V19" s="20"/>
      <c r="W19" s="4"/>
      <c r="X19" s="4"/>
      <c r="Y19" s="4"/>
      <c r="Z19" s="4"/>
      <c r="AA19" s="4"/>
      <c r="AB19" s="4"/>
      <c r="AC19" s="4"/>
      <c r="AD19" s="4"/>
      <c r="AE19" s="4"/>
      <c r="AF19" s="4"/>
      <c r="AG19" s="4"/>
      <c r="AH19" s="4"/>
      <c r="AI19" s="4"/>
      <c r="AJ19" s="4"/>
      <c r="AK19" s="4"/>
      <c r="AL19" s="32" t="s">
        <v>4</v>
      </c>
      <c r="AM19" s="33" t="s">
        <v>126</v>
      </c>
      <c r="AN19" s="31" t="str">
        <f>IFERROR(__xludf.DUMMYFUNCTION("IMPORTRANGE(AM19, ""RESUMO!B1"")"),"Qualificação em Sala de Vacina")</f>
        <v>Qualificação em Sala de Vacina</v>
      </c>
      <c r="AO19" s="4"/>
      <c r="AP19" s="4"/>
      <c r="AQ19" s="4"/>
      <c r="AR19" s="4"/>
      <c r="AS19" s="4"/>
      <c r="AT19" s="4"/>
      <c r="AU19" s="4"/>
      <c r="AV19" s="4"/>
      <c r="AW19" s="4"/>
      <c r="AX19" s="4"/>
      <c r="AY19" s="4"/>
      <c r="AZ19" s="4"/>
      <c r="BA19" s="16" t="s">
        <v>3</v>
      </c>
      <c r="BB19" s="4"/>
      <c r="BC19" s="4"/>
    </row>
    <row r="20">
      <c r="A20" s="20"/>
      <c r="B20" s="20"/>
      <c r="C20" s="20"/>
      <c r="D20" s="20"/>
      <c r="E20" s="20"/>
      <c r="F20" s="20"/>
      <c r="G20" s="20"/>
      <c r="H20" s="20"/>
      <c r="I20" s="23"/>
      <c r="J20" s="20"/>
      <c r="K20" s="20"/>
      <c r="L20" s="20"/>
      <c r="M20" s="20"/>
      <c r="N20" s="20"/>
      <c r="O20" s="22"/>
      <c r="P20" s="20"/>
      <c r="Q20" s="20"/>
      <c r="R20" s="20"/>
      <c r="S20" s="20"/>
      <c r="T20" s="20"/>
      <c r="U20" s="20"/>
      <c r="V20" s="20"/>
      <c r="W20" s="4"/>
      <c r="X20" s="4"/>
      <c r="Y20" s="4"/>
      <c r="Z20" s="4"/>
      <c r="AA20" s="4"/>
      <c r="AB20" s="4"/>
      <c r="AC20" s="4"/>
      <c r="AD20" s="4"/>
      <c r="AE20" s="4"/>
      <c r="AF20" s="4"/>
      <c r="AG20" s="4"/>
      <c r="AH20" s="4"/>
      <c r="AI20" s="4"/>
      <c r="AJ20" s="4"/>
      <c r="AK20" s="4"/>
      <c r="AL20" s="34" t="s">
        <v>5</v>
      </c>
      <c r="AM20" s="35" t="s">
        <v>127</v>
      </c>
      <c r="AN20" s="31" t="str">
        <f>IFERROR(__xludf.DUMMYFUNCTION("IMPORTRANGE(AM20, ""RESUMO!B1"")"),"Fortalecimento da Capacidade de Detecção e Respostas às Emergências em Saúde Pública")</f>
        <v>Fortalecimento da Capacidade de Detecção e Respostas às Emergências em Saúde Pública</v>
      </c>
      <c r="AO20" s="4"/>
      <c r="AP20" s="4"/>
      <c r="AQ20" s="4"/>
      <c r="AR20" s="4"/>
      <c r="AS20" s="4"/>
      <c r="AT20" s="4"/>
      <c r="AU20" s="4"/>
      <c r="AV20" s="4"/>
      <c r="AW20" s="4"/>
      <c r="AX20" s="4"/>
      <c r="AY20" s="4"/>
      <c r="AZ20" s="4"/>
      <c r="BA20" s="16" t="s">
        <v>3</v>
      </c>
      <c r="BB20" s="4"/>
      <c r="BC20" s="4"/>
    </row>
    <row r="21">
      <c r="A21" s="20"/>
      <c r="B21" s="20"/>
      <c r="C21" s="20"/>
      <c r="D21" s="20"/>
      <c r="E21" s="20"/>
      <c r="F21" s="20"/>
      <c r="G21" s="20"/>
      <c r="H21" s="20"/>
      <c r="I21" s="23"/>
      <c r="J21" s="20"/>
      <c r="K21" s="20"/>
      <c r="L21" s="20"/>
      <c r="M21" s="20"/>
      <c r="N21" s="20"/>
      <c r="O21" s="22"/>
      <c r="P21" s="20"/>
      <c r="Q21" s="20"/>
      <c r="R21" s="20"/>
      <c r="S21" s="20"/>
      <c r="T21" s="20"/>
      <c r="U21" s="20"/>
      <c r="V21" s="20"/>
      <c r="W21" s="4"/>
      <c r="X21" s="4"/>
      <c r="Y21" s="4"/>
      <c r="Z21" s="4"/>
      <c r="AA21" s="4"/>
      <c r="AB21" s="4"/>
      <c r="AC21" s="4"/>
      <c r="AD21" s="4"/>
      <c r="AE21" s="4"/>
      <c r="AF21" s="4"/>
      <c r="AG21" s="4"/>
      <c r="AH21" s="4"/>
      <c r="AI21" s="4"/>
      <c r="AJ21" s="4"/>
      <c r="AK21" s="4"/>
      <c r="AL21" s="34" t="s">
        <v>1</v>
      </c>
      <c r="AM21" s="33" t="s">
        <v>128</v>
      </c>
      <c r="AN21" s="31" t="str">
        <f>IFERROR(__xludf.DUMMYFUNCTION("IMPORTRANGE(AM21, ""RESUMO!B1"")"),"Projeto Epidemiologia em Serviço")</f>
        <v>Projeto Epidemiologia em Serviço</v>
      </c>
      <c r="AO21" s="4"/>
      <c r="AP21" s="4"/>
      <c r="AQ21" s="4"/>
      <c r="AR21" s="4"/>
      <c r="AS21" s="4"/>
      <c r="AT21" s="4"/>
      <c r="AU21" s="4"/>
      <c r="AV21" s="4"/>
      <c r="AW21" s="4"/>
      <c r="AX21" s="4"/>
      <c r="AY21" s="4"/>
      <c r="AZ21" s="4"/>
      <c r="BA21" s="16" t="s">
        <v>3</v>
      </c>
      <c r="BB21" s="4"/>
      <c r="BC21" s="4"/>
    </row>
    <row r="22">
      <c r="A22" s="20"/>
      <c r="B22" s="20"/>
      <c r="C22" s="20"/>
      <c r="D22" s="20"/>
      <c r="E22" s="20"/>
      <c r="F22" s="20"/>
      <c r="G22" s="20"/>
      <c r="H22" s="20"/>
      <c r="I22" s="23"/>
      <c r="J22" s="20"/>
      <c r="K22" s="20"/>
      <c r="L22" s="20"/>
      <c r="M22" s="20"/>
      <c r="N22" s="20"/>
      <c r="O22" s="22"/>
      <c r="P22" s="20"/>
      <c r="Q22" s="20"/>
      <c r="R22" s="20"/>
      <c r="S22" s="20"/>
      <c r="T22" s="20"/>
      <c r="U22" s="20"/>
      <c r="V22" s="20"/>
      <c r="W22" s="4"/>
      <c r="X22" s="4"/>
      <c r="Y22" s="4"/>
      <c r="Z22" s="4"/>
      <c r="AA22" s="4"/>
      <c r="AB22" s="4"/>
      <c r="AC22" s="4"/>
      <c r="AD22" s="4"/>
      <c r="AE22" s="4"/>
      <c r="AF22" s="4"/>
      <c r="AG22" s="4"/>
      <c r="AH22" s="4"/>
      <c r="AI22" s="4"/>
      <c r="AJ22" s="4"/>
      <c r="AK22" s="4"/>
      <c r="AL22" s="34" t="s">
        <v>2</v>
      </c>
      <c r="AM22" s="35" t="s">
        <v>129</v>
      </c>
      <c r="AN22" s="36" t="str">
        <f>IFERROR(__xludf.DUMMYFUNCTION("IMPORTRANGE(AM22, ""RESUMO!B1"")"),"Projeto IST/HIV/AIDS e Hepatites Virais")</f>
        <v>Projeto IST/HIV/AIDS e Hepatites Virais</v>
      </c>
      <c r="AO22" s="4"/>
      <c r="AP22" s="4"/>
      <c r="AQ22" s="4"/>
      <c r="AR22" s="4"/>
      <c r="AS22" s="4"/>
      <c r="AT22" s="4"/>
      <c r="AU22" s="4"/>
      <c r="AV22" s="4"/>
      <c r="AW22" s="4"/>
      <c r="AX22" s="4"/>
      <c r="AY22" s="4"/>
      <c r="AZ22" s="4"/>
      <c r="BA22" s="16" t="s">
        <v>4</v>
      </c>
      <c r="BB22" s="4"/>
      <c r="BC22" s="4"/>
    </row>
    <row r="23">
      <c r="A23" s="20"/>
      <c r="B23" s="20"/>
      <c r="C23" s="20"/>
      <c r="D23" s="20"/>
      <c r="E23" s="20"/>
      <c r="F23" s="20"/>
      <c r="G23" s="20"/>
      <c r="H23" s="20"/>
      <c r="I23" s="23"/>
      <c r="J23" s="20"/>
      <c r="K23" s="20"/>
      <c r="L23" s="20"/>
      <c r="M23" s="20"/>
      <c r="N23" s="20"/>
      <c r="O23" s="22"/>
      <c r="P23" s="20"/>
      <c r="Q23" s="20"/>
      <c r="R23" s="20"/>
      <c r="S23" s="20"/>
      <c r="T23" s="20"/>
      <c r="U23" s="20"/>
      <c r="V23" s="20"/>
      <c r="W23" s="4"/>
      <c r="X23" s="4"/>
      <c r="Y23" s="4"/>
      <c r="Z23" s="4"/>
      <c r="AA23" s="4"/>
      <c r="AB23" s="4"/>
      <c r="AC23" s="4"/>
      <c r="AD23" s="4"/>
      <c r="AE23" s="4"/>
      <c r="AF23" s="4"/>
      <c r="AG23" s="4"/>
      <c r="AH23" s="4"/>
      <c r="AI23" s="4"/>
      <c r="AJ23" s="4"/>
      <c r="AK23" s="4"/>
      <c r="AL23" s="34" t="s">
        <v>0</v>
      </c>
      <c r="AM23" s="37" t="s">
        <v>130</v>
      </c>
      <c r="AN23" s="31" t="str">
        <f>IFERROR(__xludf.DUMMYFUNCTION("IMPORTRANGE(AM23, ""RESUMO!B1"")"),"Vigilância e Controle das Endemias")</f>
        <v>Vigilância e Controle das Endemias</v>
      </c>
      <c r="AO23" s="4"/>
      <c r="AP23" s="4"/>
      <c r="AQ23" s="4"/>
      <c r="AR23" s="4"/>
      <c r="AS23" s="4"/>
      <c r="AT23" s="4"/>
      <c r="AU23" s="4"/>
      <c r="AV23" s="4"/>
      <c r="AW23" s="4"/>
      <c r="AX23" s="4"/>
      <c r="AY23" s="4"/>
      <c r="AZ23" s="4"/>
      <c r="BA23" s="16" t="s">
        <v>4</v>
      </c>
      <c r="BB23" s="4"/>
      <c r="BC23" s="4"/>
    </row>
    <row r="24">
      <c r="A24" s="20"/>
      <c r="B24" s="20"/>
      <c r="C24" s="20"/>
      <c r="D24" s="20"/>
      <c r="E24" s="20"/>
      <c r="F24" s="20"/>
      <c r="G24" s="20"/>
      <c r="H24" s="20"/>
      <c r="I24" s="23"/>
      <c r="J24" s="20"/>
      <c r="K24" s="20"/>
      <c r="L24" s="20"/>
      <c r="M24" s="20"/>
      <c r="N24" s="20"/>
      <c r="O24" s="22"/>
      <c r="P24" s="20"/>
      <c r="Q24" s="20"/>
      <c r="R24" s="20"/>
      <c r="S24" s="20"/>
      <c r="T24" s="20"/>
      <c r="U24" s="20"/>
      <c r="V24" s="20"/>
      <c r="W24" s="4"/>
      <c r="X24" s="4"/>
      <c r="Y24" s="4"/>
      <c r="Z24" s="4"/>
      <c r="AA24" s="4"/>
      <c r="AB24" s="4"/>
      <c r="AC24" s="4"/>
      <c r="AD24" s="4"/>
      <c r="AE24" s="4"/>
      <c r="AF24" s="4"/>
      <c r="AG24" s="4"/>
      <c r="AH24" s="4"/>
      <c r="AI24" s="4"/>
      <c r="AJ24" s="4"/>
      <c r="AK24" s="4"/>
      <c r="AL24" s="34" t="s">
        <v>3</v>
      </c>
      <c r="AM24" s="38" t="s">
        <v>131</v>
      </c>
      <c r="AN24" s="31" t="str">
        <f>IFERROR(__xludf.DUMMYFUNCTION("IMPORTRANGE(AM24, ""RESUMO!B1"")"),"Projeto de Capacitação em Vigilância Saúde do (a) Trabalhador (a)")</f>
        <v>Projeto de Capacitação em Vigilância Saúde do (a) Trabalhador (a)</v>
      </c>
      <c r="AO24" s="4"/>
      <c r="AP24" s="4"/>
      <c r="AQ24" s="4"/>
      <c r="AR24" s="4"/>
      <c r="AS24" s="4"/>
      <c r="AT24" s="4"/>
      <c r="AU24" s="4"/>
      <c r="AV24" s="4"/>
      <c r="AW24" s="4"/>
      <c r="AX24" s="4"/>
      <c r="AY24" s="4"/>
      <c r="AZ24" s="4"/>
      <c r="BA24" s="16" t="s">
        <v>5</v>
      </c>
      <c r="BB24" s="10" t="s">
        <v>28</v>
      </c>
      <c r="BC24" s="4"/>
    </row>
    <row r="25">
      <c r="A25" s="20"/>
      <c r="B25" s="20"/>
      <c r="C25" s="20"/>
      <c r="D25" s="20"/>
      <c r="E25" s="20"/>
      <c r="F25" s="20"/>
      <c r="G25" s="20"/>
      <c r="H25" s="20"/>
      <c r="I25" s="23"/>
      <c r="J25" s="20"/>
      <c r="K25" s="20"/>
      <c r="L25" s="20"/>
      <c r="M25" s="20"/>
      <c r="N25" s="20"/>
      <c r="O25" s="22"/>
      <c r="P25" s="20"/>
      <c r="Q25" s="20"/>
      <c r="R25" s="20"/>
      <c r="S25" s="20"/>
      <c r="T25" s="20"/>
      <c r="U25" s="20"/>
      <c r="V25" s="20"/>
      <c r="W25" s="4"/>
      <c r="X25" s="4"/>
      <c r="Y25" s="4"/>
      <c r="Z25" s="4"/>
      <c r="AA25" s="4"/>
      <c r="AB25" s="4"/>
      <c r="AC25" s="4"/>
      <c r="AD25" s="4"/>
      <c r="AE25" s="4"/>
      <c r="AF25" s="4"/>
      <c r="AG25" s="4"/>
      <c r="AH25" s="4"/>
      <c r="AI25" s="4"/>
      <c r="AJ25" s="4"/>
      <c r="AK25" s="4"/>
      <c r="AL25" s="34" t="s">
        <v>6</v>
      </c>
      <c r="AM25" s="37" t="s">
        <v>132</v>
      </c>
      <c r="AN25" s="31" t="str">
        <f>IFERROR(__xludf.DUMMYFUNCTION("IMPORTRANGE(AM25, ""RESUMO!B1"")"),"Qualificação em Vigilância Sanitária")</f>
        <v>Qualificação em Vigilância Sanitária</v>
      </c>
      <c r="AO25" s="4"/>
      <c r="AP25" s="4"/>
      <c r="AQ25" s="4"/>
      <c r="AR25" s="4"/>
      <c r="AS25" s="4"/>
      <c r="AT25" s="4"/>
      <c r="AU25" s="4"/>
      <c r="AV25" s="4"/>
      <c r="AW25" s="4"/>
      <c r="AX25" s="4"/>
      <c r="AY25" s="4"/>
      <c r="AZ25" s="4"/>
      <c r="BA25" s="16" t="s">
        <v>5</v>
      </c>
      <c r="BB25" s="10" t="s">
        <v>49</v>
      </c>
      <c r="BC25" s="4"/>
    </row>
    <row r="26">
      <c r="A26" s="20"/>
      <c r="B26" s="20"/>
      <c r="C26" s="20"/>
      <c r="D26" s="20"/>
      <c r="E26" s="20"/>
      <c r="F26" s="20"/>
      <c r="G26" s="20"/>
      <c r="H26" s="20"/>
      <c r="I26" s="23"/>
      <c r="J26" s="20"/>
      <c r="K26" s="20"/>
      <c r="L26" s="20"/>
      <c r="M26" s="20"/>
      <c r="N26" s="20"/>
      <c r="O26" s="22"/>
      <c r="P26" s="20"/>
      <c r="Q26" s="20"/>
      <c r="R26" s="20"/>
      <c r="S26" s="20"/>
      <c r="T26" s="20"/>
      <c r="U26" s="20"/>
      <c r="V26" s="20"/>
      <c r="W26" s="4"/>
      <c r="X26" s="4"/>
      <c r="Y26" s="4"/>
      <c r="Z26" s="4"/>
      <c r="AA26" s="4"/>
      <c r="AB26" s="4"/>
      <c r="AC26" s="4"/>
      <c r="AD26" s="4"/>
      <c r="AE26" s="4"/>
      <c r="AF26" s="4"/>
      <c r="AG26" s="4"/>
      <c r="AH26" s="4"/>
      <c r="AI26" s="4"/>
      <c r="AJ26" s="4"/>
      <c r="AK26" s="4"/>
      <c r="AL26" s="34" t="s">
        <v>14</v>
      </c>
      <c r="AM26" s="33" t="s">
        <v>133</v>
      </c>
      <c r="AN26" s="31" t="str">
        <f>IFERROR(__xludf.DUMMYFUNCTION("IMPORTRANGE(AM26, ""RESUMO!B1"")"),"Projeto de Educação Permanente em Transplante")</f>
        <v>Projeto de Educação Permanente em Transplante</v>
      </c>
      <c r="AO26" s="4"/>
      <c r="AP26" s="4"/>
      <c r="AQ26" s="4"/>
      <c r="AR26" s="4"/>
      <c r="AS26" s="4"/>
      <c r="AT26" s="4"/>
      <c r="AU26" s="4"/>
      <c r="AV26" s="4"/>
      <c r="AW26" s="4"/>
      <c r="AX26" s="4"/>
      <c r="AY26" s="4"/>
      <c r="AZ26" s="4"/>
      <c r="BA26" s="16" t="s">
        <v>6</v>
      </c>
      <c r="BB26" s="10" t="s">
        <v>134</v>
      </c>
      <c r="BC26" s="4"/>
    </row>
    <row r="27">
      <c r="A27" s="20"/>
      <c r="B27" s="20"/>
      <c r="C27" s="20"/>
      <c r="D27" s="20"/>
      <c r="E27" s="20"/>
      <c r="F27" s="20"/>
      <c r="G27" s="20"/>
      <c r="H27" s="20"/>
      <c r="I27" s="23"/>
      <c r="J27" s="20"/>
      <c r="K27" s="20"/>
      <c r="L27" s="20"/>
      <c r="M27" s="20"/>
      <c r="N27" s="20"/>
      <c r="O27" s="22"/>
      <c r="P27" s="20"/>
      <c r="Q27" s="20"/>
      <c r="R27" s="20"/>
      <c r="S27" s="20"/>
      <c r="T27" s="20"/>
      <c r="U27" s="20"/>
      <c r="V27" s="20"/>
      <c r="W27" s="4"/>
      <c r="X27" s="4"/>
      <c r="Y27" s="4"/>
      <c r="Z27" s="4"/>
      <c r="AA27" s="4"/>
      <c r="AB27" s="4"/>
      <c r="AC27" s="4"/>
      <c r="AD27" s="4"/>
      <c r="AE27" s="4"/>
      <c r="AF27" s="4"/>
      <c r="AG27" s="4"/>
      <c r="AH27" s="4"/>
      <c r="AI27" s="4"/>
      <c r="AJ27" s="4"/>
      <c r="AK27" s="4"/>
      <c r="AL27" s="39" t="s">
        <v>7</v>
      </c>
      <c r="AM27" s="35" t="s">
        <v>135</v>
      </c>
      <c r="AN27" s="31" t="str">
        <f>IFERROR(__xludf.DUMMYFUNCTION("IMPORTRANGE(AM27, ""RESUMO!B1"")"),"RESE - Projeto de Apoio à Implementação da Educação Permanente em Saúde no Ceará")</f>
        <v>RESE - Projeto de Apoio à Implementação da Educação Permanente em Saúde no Ceará</v>
      </c>
      <c r="AO27" s="4"/>
      <c r="AP27" s="4"/>
      <c r="AQ27" s="4"/>
      <c r="AR27" s="4"/>
      <c r="AS27" s="4"/>
      <c r="AT27" s="4"/>
      <c r="AU27" s="4"/>
      <c r="AV27" s="4"/>
      <c r="AW27" s="4"/>
      <c r="AX27" s="4"/>
      <c r="AY27" s="4"/>
      <c r="AZ27" s="4"/>
      <c r="BA27" s="16" t="s">
        <v>6</v>
      </c>
      <c r="BB27" s="10" t="s">
        <v>136</v>
      </c>
      <c r="BC27" s="4"/>
    </row>
    <row r="28">
      <c r="A28" s="20"/>
      <c r="B28" s="20"/>
      <c r="C28" s="20"/>
      <c r="D28" s="20"/>
      <c r="E28" s="20"/>
      <c r="F28" s="20"/>
      <c r="G28" s="20"/>
      <c r="H28" s="20"/>
      <c r="I28" s="23"/>
      <c r="J28" s="20"/>
      <c r="K28" s="20"/>
      <c r="L28" s="20"/>
      <c r="M28" s="20"/>
      <c r="N28" s="20"/>
      <c r="O28" s="22"/>
      <c r="P28" s="20"/>
      <c r="Q28" s="20"/>
      <c r="R28" s="20"/>
      <c r="S28" s="20"/>
      <c r="T28" s="20"/>
      <c r="U28" s="20"/>
      <c r="V28" s="20"/>
      <c r="W28" s="4"/>
      <c r="X28" s="4"/>
      <c r="Y28" s="4"/>
      <c r="Z28" s="4"/>
      <c r="AA28" s="4"/>
      <c r="AB28" s="4"/>
      <c r="AC28" s="4"/>
      <c r="AD28" s="4"/>
      <c r="AE28" s="4"/>
      <c r="AF28" s="4"/>
      <c r="AG28" s="4"/>
      <c r="AH28" s="4"/>
      <c r="AI28" s="4"/>
      <c r="AJ28" s="4"/>
      <c r="AK28" s="4"/>
      <c r="AL28" s="34" t="s">
        <v>137</v>
      </c>
      <c r="AM28" s="35" t="s">
        <v>138</v>
      </c>
      <c r="AN28" s="31" t="str">
        <f>IFERROR(__xludf.DUMMYFUNCTION("IMPORTRANGE(AM28, ""RESUMO!B1"")"),"PERFORSM - Percursos Formativos no Campo da Saúde Mental")</f>
        <v>PERFORSM - Percursos Formativos no Campo da Saúde Mental</v>
      </c>
      <c r="AO28" s="4"/>
      <c r="AP28" s="4"/>
      <c r="AQ28" s="4"/>
      <c r="AR28" s="4"/>
      <c r="AS28" s="4"/>
      <c r="AT28" s="4"/>
      <c r="AU28" s="4"/>
      <c r="AV28" s="4"/>
      <c r="AW28" s="4"/>
      <c r="AX28" s="4"/>
      <c r="AY28" s="4"/>
      <c r="AZ28" s="4"/>
      <c r="BA28" s="4"/>
      <c r="BB28" s="4"/>
      <c r="BC28" s="4"/>
    </row>
    <row r="29">
      <c r="A29" s="20"/>
      <c r="B29" s="20"/>
      <c r="C29" s="20"/>
      <c r="D29" s="20"/>
      <c r="E29" s="20"/>
      <c r="F29" s="20"/>
      <c r="G29" s="20"/>
      <c r="H29" s="20"/>
      <c r="I29" s="23"/>
      <c r="J29" s="20"/>
      <c r="K29" s="20"/>
      <c r="L29" s="20"/>
      <c r="M29" s="20"/>
      <c r="N29" s="20"/>
      <c r="O29" s="22"/>
      <c r="P29" s="20"/>
      <c r="Q29" s="20"/>
      <c r="R29" s="20"/>
      <c r="S29" s="20"/>
      <c r="T29" s="20"/>
      <c r="U29" s="20"/>
      <c r="V29" s="20"/>
      <c r="W29" s="4"/>
      <c r="X29" s="4"/>
      <c r="Y29" s="4"/>
      <c r="Z29" s="4"/>
      <c r="AA29" s="4"/>
      <c r="AB29" s="4"/>
      <c r="AC29" s="4"/>
      <c r="AD29" s="4"/>
      <c r="AE29" s="4"/>
      <c r="AF29" s="4"/>
      <c r="AG29" s="4"/>
      <c r="AH29" s="4"/>
      <c r="AI29" s="4"/>
      <c r="AJ29" s="4"/>
      <c r="AK29" s="4"/>
      <c r="AL29" s="40" t="s">
        <v>18</v>
      </c>
      <c r="AM29" s="41" t="s">
        <v>139</v>
      </c>
      <c r="AN29" s="31" t="str">
        <f>IFERROR(__xludf.DUMMYFUNCTION("IMPORTRANGE(AM29, ""RESUMO!B1"")"),"Ciclo de Atualização em Manejo Clínico e Diagnóstico Laboratorial das Arboviroses")</f>
        <v>Ciclo de Atualização em Manejo Clínico e Diagnóstico Laboratorial das Arboviroses</v>
      </c>
      <c r="AO29" s="4"/>
      <c r="AP29" s="4"/>
      <c r="AQ29" s="4"/>
      <c r="AR29" s="4"/>
      <c r="AS29" s="4"/>
      <c r="AT29" s="4"/>
      <c r="AU29" s="4"/>
      <c r="AV29" s="4"/>
      <c r="AW29" s="4"/>
      <c r="AX29" s="4"/>
      <c r="AY29" s="4"/>
      <c r="AZ29" s="4"/>
      <c r="BA29" s="4"/>
      <c r="BB29" s="4"/>
      <c r="BC29" s="4"/>
    </row>
    <row r="30">
      <c r="A30" s="20"/>
      <c r="B30" s="20"/>
      <c r="C30" s="20"/>
      <c r="D30" s="20"/>
      <c r="E30" s="20"/>
      <c r="F30" s="20"/>
      <c r="G30" s="20"/>
      <c r="H30" s="20"/>
      <c r="I30" s="23"/>
      <c r="J30" s="20"/>
      <c r="K30" s="20"/>
      <c r="L30" s="20"/>
      <c r="M30" s="20"/>
      <c r="N30" s="20"/>
      <c r="O30" s="22"/>
      <c r="P30" s="20"/>
      <c r="Q30" s="20"/>
      <c r="R30" s="20"/>
      <c r="S30" s="20"/>
      <c r="T30" s="20"/>
      <c r="U30" s="20"/>
      <c r="V30" s="20"/>
      <c r="W30" s="4"/>
      <c r="X30" s="4"/>
      <c r="Y30" s="4"/>
      <c r="Z30" s="4"/>
      <c r="AA30" s="4"/>
      <c r="AB30" s="4"/>
      <c r="AC30" s="4"/>
      <c r="AD30" s="4"/>
      <c r="AE30" s="4"/>
      <c r="AF30" s="4"/>
      <c r="AG30" s="4"/>
      <c r="AH30" s="4"/>
      <c r="AI30" s="4"/>
      <c r="AJ30" s="4"/>
      <c r="AK30" s="4"/>
      <c r="AL30" s="34" t="s">
        <v>140</v>
      </c>
      <c r="AM30" s="41" t="s">
        <v>141</v>
      </c>
      <c r="AN30" s="31" t="str">
        <f>IFERROR(__xludf.DUMMYFUNCTION("IMPORTRANGE(AM30, ""RESUMO!B1"")"),"Projeto de Educação Permanente em Urgência e Emergência")</f>
        <v>Projeto de Educação Permanente em Urgência e Emergência</v>
      </c>
      <c r="AO30" s="4"/>
      <c r="AP30" s="4"/>
      <c r="AQ30" s="4"/>
      <c r="AR30" s="4"/>
      <c r="AS30" s="4"/>
      <c r="AT30" s="4"/>
      <c r="AU30" s="4"/>
      <c r="AV30" s="4"/>
      <c r="AW30" s="4"/>
      <c r="AX30" s="4"/>
      <c r="AY30" s="4"/>
      <c r="AZ30" s="4"/>
      <c r="BA30" s="4"/>
      <c r="BB30" s="4"/>
      <c r="BC30" s="4"/>
    </row>
    <row r="31">
      <c r="A31" s="20"/>
      <c r="B31" s="20"/>
      <c r="C31" s="20"/>
      <c r="D31" s="20"/>
      <c r="E31" s="20"/>
      <c r="F31" s="20"/>
      <c r="G31" s="20"/>
      <c r="H31" s="20"/>
      <c r="I31" s="23"/>
      <c r="J31" s="20"/>
      <c r="K31" s="20"/>
      <c r="L31" s="20"/>
      <c r="M31" s="20"/>
      <c r="N31" s="20"/>
      <c r="O31" s="22"/>
      <c r="P31" s="20"/>
      <c r="Q31" s="20"/>
      <c r="R31" s="20"/>
      <c r="S31" s="20"/>
      <c r="T31" s="20"/>
      <c r="U31" s="20"/>
      <c r="V31" s="20"/>
      <c r="W31" s="4"/>
      <c r="X31" s="4"/>
      <c r="Y31" s="4"/>
      <c r="Z31" s="4"/>
      <c r="AA31" s="4"/>
      <c r="AB31" s="4"/>
      <c r="AC31" s="4"/>
      <c r="AD31" s="4"/>
      <c r="AE31" s="4"/>
      <c r="AF31" s="4"/>
      <c r="AG31" s="4"/>
      <c r="AH31" s="4"/>
      <c r="AI31" s="4"/>
      <c r="AJ31" s="4"/>
      <c r="AK31" s="4"/>
      <c r="AL31" s="39" t="s">
        <v>10</v>
      </c>
      <c r="AN31" s="4"/>
      <c r="AO31" s="4"/>
      <c r="AP31" s="4"/>
      <c r="AQ31" s="4"/>
      <c r="AR31" s="4"/>
      <c r="AS31" s="4"/>
      <c r="AT31" s="4"/>
      <c r="AU31" s="4"/>
      <c r="AV31" s="4"/>
      <c r="AW31" s="4"/>
      <c r="AX31" s="4"/>
      <c r="AY31" s="4"/>
      <c r="AZ31" s="4"/>
      <c r="BA31" s="4"/>
      <c r="BB31" s="4"/>
      <c r="BC31" s="4"/>
    </row>
    <row r="32">
      <c r="A32" s="20"/>
      <c r="B32" s="20"/>
      <c r="C32" s="20"/>
      <c r="D32" s="20"/>
      <c r="E32" s="20"/>
      <c r="F32" s="20"/>
      <c r="G32" s="20"/>
      <c r="H32" s="20"/>
      <c r="I32" s="23"/>
      <c r="J32" s="20"/>
      <c r="K32" s="20"/>
      <c r="L32" s="20"/>
      <c r="M32" s="20"/>
      <c r="N32" s="20"/>
      <c r="O32" s="22"/>
      <c r="P32" s="20"/>
      <c r="Q32" s="20"/>
      <c r="R32" s="20"/>
      <c r="S32" s="20"/>
      <c r="T32" s="20"/>
      <c r="U32" s="20"/>
      <c r="V32" s="20"/>
      <c r="W32" s="4"/>
      <c r="X32" s="4"/>
      <c r="Y32" s="4"/>
      <c r="Z32" s="4"/>
      <c r="AA32" s="4"/>
      <c r="AB32" s="4"/>
      <c r="AC32" s="4"/>
      <c r="AD32" s="4"/>
      <c r="AE32" s="4"/>
      <c r="AF32" s="4"/>
      <c r="AG32" s="4"/>
      <c r="AH32" s="4"/>
      <c r="AI32" s="4"/>
      <c r="AJ32" s="4"/>
      <c r="AK32" s="4"/>
      <c r="AL32" s="34" t="s">
        <v>12</v>
      </c>
      <c r="AM32" s="4"/>
      <c r="AN32" s="4"/>
      <c r="AO32" s="4"/>
      <c r="AP32" s="4"/>
      <c r="AQ32" s="4"/>
      <c r="AR32" s="4"/>
      <c r="AS32" s="4"/>
      <c r="AT32" s="4"/>
      <c r="AU32" s="4"/>
      <c r="AV32" s="4"/>
      <c r="AW32" s="4"/>
      <c r="AX32" s="4"/>
      <c r="AY32" s="4"/>
      <c r="AZ32" s="4"/>
      <c r="BA32" s="4"/>
      <c r="BB32" s="4"/>
      <c r="BC32" s="4"/>
    </row>
    <row r="33">
      <c r="A33" s="20"/>
      <c r="B33" s="20"/>
      <c r="C33" s="20"/>
      <c r="D33" s="20"/>
      <c r="E33" s="20"/>
      <c r="F33" s="20"/>
      <c r="G33" s="20"/>
      <c r="H33" s="20"/>
      <c r="I33" s="23"/>
      <c r="J33" s="20"/>
      <c r="K33" s="20"/>
      <c r="L33" s="20"/>
      <c r="M33" s="20"/>
      <c r="N33" s="20"/>
      <c r="O33" s="22"/>
      <c r="P33" s="20"/>
      <c r="Q33" s="20"/>
      <c r="R33" s="20"/>
      <c r="S33" s="20"/>
      <c r="T33" s="20"/>
      <c r="U33" s="20"/>
      <c r="V33" s="20"/>
      <c r="W33" s="4"/>
      <c r="X33" s="4"/>
      <c r="Y33" s="4"/>
      <c r="Z33" s="4"/>
      <c r="AA33" s="4"/>
      <c r="AB33" s="4"/>
      <c r="AC33" s="4"/>
      <c r="AD33" s="4"/>
      <c r="AE33" s="4"/>
      <c r="AF33" s="4"/>
      <c r="AG33" s="4"/>
      <c r="AH33" s="4"/>
      <c r="AI33" s="4"/>
      <c r="AJ33" s="4"/>
      <c r="AK33" s="4"/>
      <c r="AL33" s="34" t="s">
        <v>13</v>
      </c>
      <c r="AM33" s="4"/>
      <c r="AN33" s="4"/>
      <c r="AO33" s="4"/>
      <c r="AP33" s="4"/>
      <c r="AQ33" s="4"/>
      <c r="AR33" s="4"/>
      <c r="AS33" s="4"/>
      <c r="AT33" s="4"/>
      <c r="AU33" s="4"/>
      <c r="AV33" s="4"/>
      <c r="AW33" s="4"/>
      <c r="AX33" s="4"/>
      <c r="AY33" s="4"/>
      <c r="AZ33" s="4"/>
      <c r="BA33" s="4"/>
      <c r="BB33" s="4"/>
      <c r="BC33" s="4"/>
    </row>
    <row r="34">
      <c r="A34" s="20"/>
      <c r="B34" s="20"/>
      <c r="C34" s="20"/>
      <c r="D34" s="20"/>
      <c r="E34" s="20"/>
      <c r="F34" s="20"/>
      <c r="G34" s="20"/>
      <c r="H34" s="20"/>
      <c r="I34" s="23"/>
      <c r="J34" s="20"/>
      <c r="K34" s="20"/>
      <c r="L34" s="20"/>
      <c r="M34" s="20"/>
      <c r="N34" s="20"/>
      <c r="O34" s="22"/>
      <c r="P34" s="20"/>
      <c r="Q34" s="20"/>
      <c r="R34" s="20"/>
      <c r="S34" s="20"/>
      <c r="T34" s="20"/>
      <c r="U34" s="20"/>
      <c r="V34" s="20"/>
      <c r="W34" s="4"/>
      <c r="X34" s="4"/>
      <c r="Y34" s="4"/>
      <c r="Z34" s="4"/>
      <c r="AA34" s="4"/>
      <c r="AB34" s="4"/>
      <c r="AC34" s="4"/>
      <c r="AD34" s="4"/>
      <c r="AE34" s="4"/>
      <c r="AF34" s="4"/>
      <c r="AG34" s="4"/>
      <c r="AH34" s="4"/>
      <c r="AI34" s="4"/>
      <c r="AJ34" s="4"/>
      <c r="AK34" s="4"/>
      <c r="AL34" s="34" t="s">
        <v>9</v>
      </c>
      <c r="AM34" s="4"/>
      <c r="AN34" s="4"/>
      <c r="AO34" s="4"/>
      <c r="AP34" s="4"/>
      <c r="AQ34" s="4"/>
      <c r="AR34" s="4"/>
      <c r="AS34" s="4"/>
      <c r="AT34" s="4"/>
      <c r="AU34" s="4"/>
      <c r="AV34" s="4"/>
      <c r="AW34" s="4"/>
      <c r="AX34" s="4"/>
      <c r="AY34" s="4"/>
      <c r="AZ34" s="4"/>
      <c r="BA34" s="4"/>
      <c r="BB34" s="4"/>
      <c r="BC34" s="4"/>
    </row>
    <row r="35">
      <c r="A35" s="20"/>
      <c r="B35" s="20"/>
      <c r="C35" s="20"/>
      <c r="D35" s="20"/>
      <c r="E35" s="20"/>
      <c r="F35" s="20"/>
      <c r="G35" s="20"/>
      <c r="H35" s="20"/>
      <c r="I35" s="23"/>
      <c r="J35" s="20"/>
      <c r="K35" s="20"/>
      <c r="L35" s="20"/>
      <c r="M35" s="20"/>
      <c r="N35" s="20"/>
      <c r="O35" s="22"/>
      <c r="P35" s="20"/>
      <c r="Q35" s="20"/>
      <c r="R35" s="20"/>
      <c r="S35" s="20"/>
      <c r="T35" s="20"/>
      <c r="U35" s="20"/>
      <c r="V35" s="20"/>
      <c r="W35" s="4"/>
      <c r="X35" s="4"/>
      <c r="Y35" s="4"/>
      <c r="Z35" s="4"/>
      <c r="AA35" s="4"/>
      <c r="AB35" s="4"/>
      <c r="AC35" s="4"/>
      <c r="AD35" s="4"/>
      <c r="AE35" s="4"/>
      <c r="AF35" s="4"/>
      <c r="AG35" s="4"/>
      <c r="AH35" s="4"/>
      <c r="AI35" s="4"/>
      <c r="AJ35" s="4"/>
      <c r="AK35" s="4"/>
      <c r="AL35" s="34" t="s">
        <v>15</v>
      </c>
      <c r="AM35" s="4"/>
      <c r="AN35" s="4"/>
      <c r="AO35" s="4"/>
      <c r="AP35" s="4"/>
      <c r="AQ35" s="4"/>
      <c r="AR35" s="4"/>
      <c r="AS35" s="4"/>
      <c r="AT35" s="4"/>
      <c r="AU35" s="4"/>
      <c r="AV35" s="4"/>
      <c r="AW35" s="4"/>
      <c r="AX35" s="4"/>
      <c r="AY35" s="4"/>
      <c r="AZ35" s="4"/>
      <c r="BA35" s="4"/>
      <c r="BB35" s="4"/>
      <c r="BC35" s="4"/>
    </row>
    <row r="36">
      <c r="A36" s="20"/>
      <c r="B36" s="20"/>
      <c r="C36" s="20"/>
      <c r="D36" s="20"/>
      <c r="E36" s="20"/>
      <c r="F36" s="20"/>
      <c r="G36" s="20"/>
      <c r="H36" s="20"/>
      <c r="I36" s="23"/>
      <c r="J36" s="20"/>
      <c r="K36" s="20"/>
      <c r="L36" s="20"/>
      <c r="M36" s="20"/>
      <c r="N36" s="20"/>
      <c r="O36" s="22"/>
      <c r="P36" s="20"/>
      <c r="Q36" s="20"/>
      <c r="R36" s="20"/>
      <c r="S36" s="20"/>
      <c r="T36" s="20"/>
      <c r="U36" s="20"/>
      <c r="V36" s="20"/>
      <c r="W36" s="4"/>
      <c r="X36" s="4"/>
      <c r="Y36" s="4"/>
      <c r="Z36" s="4"/>
      <c r="AA36" s="4"/>
      <c r="AB36" s="4"/>
      <c r="AC36" s="4"/>
      <c r="AD36" s="4"/>
      <c r="AE36" s="4"/>
      <c r="AF36" s="4"/>
      <c r="AG36" s="4"/>
      <c r="AH36" s="4"/>
      <c r="AI36" s="4"/>
      <c r="AJ36" s="4"/>
      <c r="AK36" s="4"/>
      <c r="AL36" s="34" t="s">
        <v>16</v>
      </c>
      <c r="AM36" s="4"/>
      <c r="AN36" s="4"/>
      <c r="AO36" s="4"/>
      <c r="AP36" s="4"/>
      <c r="AQ36" s="4"/>
      <c r="AR36" s="4"/>
      <c r="AS36" s="4"/>
      <c r="AT36" s="4"/>
      <c r="AU36" s="4"/>
      <c r="AV36" s="4"/>
      <c r="AW36" s="4"/>
      <c r="AX36" s="4"/>
      <c r="AY36" s="4"/>
      <c r="AZ36" s="4"/>
      <c r="BA36" s="4"/>
      <c r="BB36" s="4"/>
      <c r="BC36" s="4"/>
    </row>
    <row r="37">
      <c r="A37" s="20"/>
      <c r="B37" s="20"/>
      <c r="C37" s="20"/>
      <c r="D37" s="20"/>
      <c r="E37" s="20"/>
      <c r="F37" s="20"/>
      <c r="G37" s="20"/>
      <c r="H37" s="20"/>
      <c r="I37" s="23"/>
      <c r="J37" s="20"/>
      <c r="K37" s="20"/>
      <c r="L37" s="20"/>
      <c r="M37" s="20"/>
      <c r="N37" s="20"/>
      <c r="O37" s="22"/>
      <c r="P37" s="20"/>
      <c r="Q37" s="20"/>
      <c r="R37" s="20"/>
      <c r="S37" s="20"/>
      <c r="T37" s="20"/>
      <c r="U37" s="20"/>
      <c r="V37" s="20"/>
      <c r="W37" s="4"/>
      <c r="X37" s="4"/>
      <c r="Y37" s="4"/>
      <c r="Z37" s="4"/>
      <c r="AA37" s="4"/>
      <c r="AB37" s="4"/>
      <c r="AC37" s="4"/>
      <c r="AD37" s="4"/>
      <c r="AE37" s="4"/>
      <c r="AF37" s="4"/>
      <c r="AG37" s="4"/>
      <c r="AH37" s="4"/>
      <c r="AI37" s="4"/>
      <c r="AJ37" s="4"/>
      <c r="AK37" s="4"/>
      <c r="AL37" s="34" t="s">
        <v>17</v>
      </c>
      <c r="AM37" s="4"/>
      <c r="AN37" s="4"/>
      <c r="AO37" s="4"/>
      <c r="AP37" s="4"/>
      <c r="AQ37" s="4"/>
      <c r="AR37" s="4"/>
      <c r="AS37" s="4"/>
      <c r="AT37" s="4"/>
      <c r="AU37" s="4"/>
      <c r="AV37" s="4"/>
      <c r="AW37" s="4"/>
      <c r="AX37" s="4"/>
      <c r="AY37" s="4"/>
      <c r="AZ37" s="4"/>
      <c r="BA37" s="4"/>
      <c r="BB37" s="4"/>
      <c r="BC37" s="4"/>
    </row>
    <row r="38">
      <c r="A38" s="20"/>
      <c r="B38" s="20"/>
      <c r="C38" s="20"/>
      <c r="D38" s="20"/>
      <c r="E38" s="20"/>
      <c r="F38" s="20"/>
      <c r="G38" s="20"/>
      <c r="H38" s="20"/>
      <c r="I38" s="23"/>
      <c r="J38" s="20"/>
      <c r="K38" s="20"/>
      <c r="L38" s="20"/>
      <c r="M38" s="20"/>
      <c r="N38" s="20"/>
      <c r="O38" s="22"/>
      <c r="P38" s="20"/>
      <c r="Q38" s="20"/>
      <c r="R38" s="20"/>
      <c r="S38" s="20"/>
      <c r="T38" s="20"/>
      <c r="U38" s="20"/>
      <c r="V38" s="20"/>
      <c r="W38" s="4"/>
      <c r="X38" s="4"/>
      <c r="Y38" s="4"/>
      <c r="Z38" s="4"/>
      <c r="AA38" s="4"/>
      <c r="AB38" s="4"/>
      <c r="AC38" s="4"/>
      <c r="AD38" s="4"/>
      <c r="AE38" s="4"/>
      <c r="AF38" s="4"/>
      <c r="AG38" s="4"/>
      <c r="AH38" s="4"/>
      <c r="AI38" s="4"/>
      <c r="AJ38" s="4"/>
      <c r="AK38" s="4"/>
      <c r="AL38" s="34"/>
      <c r="AO38" s="4"/>
      <c r="AP38" s="4"/>
      <c r="AQ38" s="4"/>
      <c r="AR38" s="4"/>
      <c r="AS38" s="4"/>
      <c r="AT38" s="4"/>
      <c r="AU38" s="4"/>
      <c r="AV38" s="4"/>
      <c r="AW38" s="4"/>
      <c r="AX38" s="4"/>
      <c r="AY38" s="4"/>
      <c r="AZ38" s="4"/>
      <c r="BA38" s="4"/>
      <c r="BB38" s="4"/>
      <c r="BC38" s="4"/>
    </row>
    <row r="39">
      <c r="A39" s="20"/>
      <c r="B39" s="20"/>
      <c r="C39" s="20"/>
      <c r="D39" s="20"/>
      <c r="E39" s="20"/>
      <c r="F39" s="20"/>
      <c r="G39" s="20"/>
      <c r="H39" s="20"/>
      <c r="I39" s="23"/>
      <c r="J39" s="20"/>
      <c r="K39" s="20"/>
      <c r="L39" s="20"/>
      <c r="M39" s="20"/>
      <c r="N39" s="20"/>
      <c r="O39" s="22"/>
      <c r="P39" s="20"/>
      <c r="Q39" s="20"/>
      <c r="R39" s="20"/>
      <c r="S39" s="20"/>
      <c r="T39" s="20"/>
      <c r="U39" s="20"/>
      <c r="V39" s="20"/>
      <c r="W39" s="4"/>
      <c r="X39" s="4"/>
      <c r="Y39" s="4"/>
      <c r="Z39" s="4"/>
      <c r="AA39" s="4"/>
      <c r="AB39" s="4"/>
      <c r="AC39" s="4"/>
      <c r="AD39" s="4"/>
      <c r="AE39" s="4"/>
      <c r="AF39" s="4"/>
      <c r="AG39" s="4"/>
      <c r="AH39" s="4"/>
      <c r="AI39" s="4"/>
      <c r="AJ39" s="4"/>
      <c r="AK39" s="4"/>
      <c r="AO39" s="4"/>
      <c r="AP39" s="4"/>
      <c r="AQ39" s="4"/>
      <c r="AR39" s="4"/>
      <c r="AS39" s="4"/>
      <c r="AT39" s="4"/>
      <c r="AU39" s="4"/>
      <c r="AV39" s="4"/>
      <c r="AW39" s="4"/>
      <c r="AX39" s="4"/>
      <c r="AY39" s="4"/>
      <c r="AZ39" s="4"/>
      <c r="BA39" s="4"/>
      <c r="BB39" s="4"/>
      <c r="BC39" s="4"/>
    </row>
    <row r="40">
      <c r="A40" s="20"/>
      <c r="B40" s="20"/>
      <c r="C40" s="20"/>
      <c r="D40" s="20"/>
      <c r="E40" s="20"/>
      <c r="F40" s="20"/>
      <c r="G40" s="20"/>
      <c r="H40" s="20"/>
      <c r="I40" s="23"/>
      <c r="J40" s="20"/>
      <c r="K40" s="20"/>
      <c r="L40" s="20"/>
      <c r="M40" s="20"/>
      <c r="N40" s="20"/>
      <c r="O40" s="22"/>
      <c r="P40" s="20"/>
      <c r="Q40" s="20"/>
      <c r="R40" s="20"/>
      <c r="S40" s="20"/>
      <c r="T40" s="20"/>
      <c r="U40" s="20"/>
      <c r="V40" s="20"/>
      <c r="W40" s="4"/>
      <c r="X40" s="4"/>
      <c r="Y40" s="4"/>
      <c r="Z40" s="4"/>
      <c r="AA40" s="4"/>
      <c r="AB40" s="4"/>
      <c r="AC40" s="4"/>
      <c r="AD40" s="4"/>
      <c r="AE40" s="4"/>
      <c r="AF40" s="4"/>
      <c r="AG40" s="4"/>
      <c r="AH40" s="4"/>
      <c r="AI40" s="4"/>
      <c r="AJ40" s="4"/>
      <c r="AK40" s="4"/>
      <c r="AO40" s="4"/>
      <c r="AP40" s="4"/>
      <c r="AQ40" s="4"/>
      <c r="AR40" s="4"/>
      <c r="AS40" s="4"/>
      <c r="AT40" s="4"/>
      <c r="AU40" s="4"/>
      <c r="AV40" s="4"/>
      <c r="AW40" s="4"/>
      <c r="AX40" s="4"/>
      <c r="AY40" s="4"/>
      <c r="AZ40" s="4"/>
      <c r="BA40" s="4"/>
      <c r="BB40" s="4"/>
      <c r="BC40" s="4"/>
    </row>
    <row r="41">
      <c r="A41" s="20"/>
      <c r="B41" s="20"/>
      <c r="C41" s="20"/>
      <c r="D41" s="20"/>
      <c r="E41" s="20"/>
      <c r="F41" s="20"/>
      <c r="G41" s="20"/>
      <c r="H41" s="20"/>
      <c r="I41" s="23"/>
      <c r="J41" s="20"/>
      <c r="K41" s="20"/>
      <c r="L41" s="20"/>
      <c r="M41" s="20"/>
      <c r="N41" s="20"/>
      <c r="O41" s="22"/>
      <c r="P41" s="20"/>
      <c r="Q41" s="20"/>
      <c r="R41" s="20"/>
      <c r="S41" s="20"/>
      <c r="T41" s="20"/>
      <c r="U41" s="20"/>
      <c r="V41" s="20"/>
      <c r="W41" s="4"/>
      <c r="X41" s="4"/>
      <c r="Y41" s="4"/>
      <c r="Z41" s="4"/>
      <c r="AA41" s="4"/>
      <c r="AB41" s="4"/>
      <c r="AC41" s="4"/>
      <c r="AD41" s="4"/>
      <c r="AE41" s="4"/>
      <c r="AF41" s="4"/>
      <c r="AG41" s="4"/>
      <c r="AH41" s="4"/>
      <c r="AI41" s="4"/>
      <c r="AJ41" s="4"/>
      <c r="AK41" s="4"/>
      <c r="AO41" s="4"/>
      <c r="AP41" s="4"/>
      <c r="AQ41" s="4"/>
      <c r="AR41" s="4"/>
      <c r="AS41" s="4"/>
      <c r="AT41" s="4"/>
      <c r="AU41" s="4"/>
      <c r="AV41" s="4"/>
      <c r="AW41" s="4"/>
      <c r="AX41" s="4"/>
      <c r="AY41" s="4"/>
      <c r="AZ41" s="4"/>
      <c r="BA41" s="4"/>
      <c r="BB41" s="4"/>
      <c r="BC41" s="4"/>
    </row>
    <row r="42">
      <c r="A42" s="20"/>
      <c r="B42" s="20"/>
      <c r="C42" s="20"/>
      <c r="D42" s="20"/>
      <c r="E42" s="20"/>
      <c r="F42" s="20"/>
      <c r="G42" s="20"/>
      <c r="H42" s="20"/>
      <c r="I42" s="23"/>
      <c r="J42" s="20"/>
      <c r="K42" s="20"/>
      <c r="L42" s="20"/>
      <c r="M42" s="20"/>
      <c r="N42" s="20"/>
      <c r="O42" s="22"/>
      <c r="P42" s="20"/>
      <c r="Q42" s="20"/>
      <c r="R42" s="20"/>
      <c r="S42" s="20"/>
      <c r="T42" s="20"/>
      <c r="U42" s="20"/>
      <c r="V42" s="20"/>
      <c r="W42" s="4"/>
      <c r="X42" s="4"/>
      <c r="Y42" s="4"/>
      <c r="Z42" s="4"/>
      <c r="AA42" s="4"/>
      <c r="AB42" s="4"/>
      <c r="AC42" s="4"/>
      <c r="AD42" s="4"/>
      <c r="AE42" s="4"/>
      <c r="AF42" s="4"/>
      <c r="AG42" s="4"/>
      <c r="AH42" s="4"/>
      <c r="AI42" s="4"/>
      <c r="AJ42" s="4"/>
      <c r="AK42" s="4"/>
      <c r="AO42" s="4"/>
      <c r="AP42" s="4"/>
      <c r="AQ42" s="4"/>
      <c r="AR42" s="4"/>
      <c r="AS42" s="4"/>
      <c r="AT42" s="4"/>
      <c r="AU42" s="4"/>
      <c r="AV42" s="4"/>
      <c r="AW42" s="4"/>
      <c r="AX42" s="4"/>
      <c r="AY42" s="4"/>
      <c r="AZ42" s="4"/>
      <c r="BA42" s="4"/>
      <c r="BB42" s="4"/>
      <c r="BC42" s="4"/>
    </row>
    <row r="43">
      <c r="A43" s="20"/>
      <c r="B43" s="20"/>
      <c r="C43" s="20"/>
      <c r="D43" s="20"/>
      <c r="E43" s="20"/>
      <c r="F43" s="20"/>
      <c r="G43" s="20"/>
      <c r="H43" s="20"/>
      <c r="I43" s="23"/>
      <c r="J43" s="20"/>
      <c r="K43" s="20"/>
      <c r="L43" s="20"/>
      <c r="M43" s="20"/>
      <c r="N43" s="20"/>
      <c r="O43" s="22"/>
      <c r="P43" s="20"/>
      <c r="Q43" s="20"/>
      <c r="R43" s="20"/>
      <c r="S43" s="20"/>
      <c r="T43" s="20"/>
      <c r="U43" s="20"/>
      <c r="V43" s="20"/>
      <c r="W43" s="4"/>
      <c r="X43" s="4"/>
      <c r="Y43" s="4"/>
      <c r="Z43" s="4"/>
      <c r="AA43" s="4"/>
      <c r="AB43" s="4"/>
      <c r="AC43" s="4"/>
      <c r="AD43" s="4"/>
      <c r="AE43" s="4"/>
      <c r="AF43" s="4"/>
      <c r="AG43" s="4"/>
      <c r="AH43" s="4"/>
      <c r="AI43" s="4"/>
      <c r="AJ43" s="4"/>
      <c r="AK43" s="4"/>
      <c r="AO43" s="4"/>
      <c r="AP43" s="4"/>
      <c r="AQ43" s="4"/>
      <c r="AR43" s="4"/>
      <c r="AS43" s="4"/>
      <c r="AT43" s="4"/>
      <c r="AU43" s="4"/>
      <c r="AV43" s="4"/>
      <c r="AW43" s="4"/>
      <c r="AX43" s="4"/>
      <c r="AY43" s="4"/>
      <c r="AZ43" s="4"/>
      <c r="BA43" s="4"/>
      <c r="BB43" s="4"/>
      <c r="BC43" s="4"/>
    </row>
    <row r="44">
      <c r="A44" s="20"/>
      <c r="B44" s="20"/>
      <c r="C44" s="20"/>
      <c r="D44" s="20"/>
      <c r="E44" s="20"/>
      <c r="F44" s="20"/>
      <c r="G44" s="20"/>
      <c r="H44" s="20"/>
      <c r="I44" s="23"/>
      <c r="J44" s="20"/>
      <c r="K44" s="20"/>
      <c r="L44" s="20"/>
      <c r="M44" s="20"/>
      <c r="N44" s="20"/>
      <c r="O44" s="22"/>
      <c r="P44" s="20"/>
      <c r="Q44" s="20"/>
      <c r="R44" s="20"/>
      <c r="S44" s="20"/>
      <c r="T44" s="20"/>
      <c r="U44" s="20"/>
      <c r="V44" s="20"/>
      <c r="W44" s="4"/>
      <c r="X44" s="4"/>
      <c r="Y44" s="4"/>
      <c r="Z44" s="4"/>
      <c r="AA44" s="4"/>
      <c r="AB44" s="4"/>
      <c r="AC44" s="4"/>
      <c r="AD44" s="4"/>
      <c r="AE44" s="4"/>
      <c r="AF44" s="4"/>
      <c r="AG44" s="4"/>
      <c r="AH44" s="4"/>
      <c r="AI44" s="4"/>
      <c r="AJ44" s="4"/>
      <c r="AK44" s="4"/>
      <c r="AO44" s="4"/>
      <c r="AP44" s="4"/>
      <c r="AQ44" s="4"/>
      <c r="AR44" s="4"/>
      <c r="AS44" s="4"/>
      <c r="AT44" s="4"/>
      <c r="AU44" s="4"/>
      <c r="AV44" s="4"/>
      <c r="AW44" s="4"/>
      <c r="AX44" s="4"/>
      <c r="AY44" s="4"/>
      <c r="AZ44" s="4"/>
      <c r="BA44" s="4"/>
      <c r="BB44" s="4"/>
      <c r="BC44" s="4"/>
    </row>
    <row r="45">
      <c r="A45" s="20"/>
      <c r="B45" s="20"/>
      <c r="C45" s="20"/>
      <c r="D45" s="20"/>
      <c r="E45" s="20"/>
      <c r="F45" s="20"/>
      <c r="G45" s="20"/>
      <c r="H45" s="20"/>
      <c r="I45" s="23"/>
      <c r="J45" s="20"/>
      <c r="K45" s="20"/>
      <c r="L45" s="20"/>
      <c r="M45" s="20"/>
      <c r="N45" s="20"/>
      <c r="O45" s="22"/>
      <c r="P45" s="20"/>
      <c r="Q45" s="20"/>
      <c r="R45" s="20"/>
      <c r="S45" s="20"/>
      <c r="T45" s="20"/>
      <c r="U45" s="20"/>
      <c r="V45" s="20"/>
      <c r="W45" s="4"/>
      <c r="X45" s="4"/>
      <c r="Y45" s="4"/>
      <c r="Z45" s="4"/>
      <c r="AA45" s="4"/>
      <c r="AB45" s="4"/>
      <c r="AC45" s="4"/>
      <c r="AD45" s="4"/>
      <c r="AE45" s="4"/>
      <c r="AF45" s="4"/>
      <c r="AG45" s="4"/>
      <c r="AH45" s="4"/>
      <c r="AI45" s="4"/>
      <c r="AJ45" s="4"/>
      <c r="AK45" s="4"/>
      <c r="AO45" s="4"/>
      <c r="AP45" s="4"/>
      <c r="AQ45" s="4"/>
      <c r="AR45" s="4"/>
      <c r="AS45" s="4"/>
      <c r="AT45" s="4"/>
      <c r="AU45" s="4"/>
      <c r="AV45" s="4"/>
      <c r="AW45" s="4"/>
      <c r="AX45" s="4"/>
      <c r="AY45" s="4"/>
      <c r="AZ45" s="4"/>
      <c r="BA45" s="4"/>
      <c r="BB45" s="4"/>
      <c r="BC45" s="4"/>
    </row>
    <row r="46">
      <c r="A46" s="20"/>
      <c r="B46" s="20"/>
      <c r="C46" s="20"/>
      <c r="D46" s="20"/>
      <c r="E46" s="20"/>
      <c r="F46" s="20"/>
      <c r="G46" s="20"/>
      <c r="H46" s="20"/>
      <c r="I46" s="23"/>
      <c r="J46" s="20"/>
      <c r="K46" s="20"/>
      <c r="L46" s="20"/>
      <c r="M46" s="20"/>
      <c r="N46" s="20"/>
      <c r="O46" s="22"/>
      <c r="P46" s="20"/>
      <c r="Q46" s="20"/>
      <c r="R46" s="20"/>
      <c r="S46" s="20"/>
      <c r="T46" s="20"/>
      <c r="U46" s="20"/>
      <c r="V46" s="20"/>
      <c r="W46" s="4"/>
      <c r="X46" s="4"/>
      <c r="Y46" s="4"/>
      <c r="Z46" s="4"/>
      <c r="AA46" s="4"/>
      <c r="AB46" s="4"/>
      <c r="AC46" s="4"/>
      <c r="AD46" s="4"/>
      <c r="AE46" s="4"/>
      <c r="AF46" s="4"/>
      <c r="AG46" s="4"/>
      <c r="AH46" s="4"/>
      <c r="AI46" s="4"/>
      <c r="AJ46" s="4"/>
      <c r="AK46" s="4"/>
      <c r="AO46" s="4"/>
      <c r="AP46" s="4"/>
      <c r="AQ46" s="4"/>
      <c r="AR46" s="4"/>
      <c r="AS46" s="4"/>
      <c r="AT46" s="4"/>
      <c r="AU46" s="4"/>
      <c r="AV46" s="4"/>
      <c r="AW46" s="4"/>
      <c r="AX46" s="4"/>
      <c r="AY46" s="4"/>
      <c r="AZ46" s="4"/>
      <c r="BA46" s="4"/>
      <c r="BB46" s="4"/>
      <c r="BC46" s="4"/>
    </row>
    <row r="47">
      <c r="A47" s="20"/>
      <c r="B47" s="20"/>
      <c r="C47" s="20"/>
      <c r="D47" s="20"/>
      <c r="E47" s="20"/>
      <c r="F47" s="20"/>
      <c r="G47" s="20"/>
      <c r="H47" s="20"/>
      <c r="I47" s="23"/>
      <c r="J47" s="20"/>
      <c r="K47" s="20"/>
      <c r="L47" s="20"/>
      <c r="M47" s="20"/>
      <c r="N47" s="20"/>
      <c r="O47" s="22"/>
      <c r="P47" s="20"/>
      <c r="Q47" s="20"/>
      <c r="R47" s="20"/>
      <c r="S47" s="20"/>
      <c r="T47" s="20"/>
      <c r="U47" s="20"/>
      <c r="V47" s="20"/>
      <c r="W47" s="4"/>
      <c r="X47" s="4"/>
      <c r="Y47" s="4"/>
      <c r="Z47" s="4"/>
      <c r="AA47" s="4"/>
      <c r="AB47" s="4"/>
      <c r="AC47" s="4"/>
      <c r="AD47" s="4"/>
      <c r="AE47" s="4"/>
      <c r="AF47" s="4"/>
      <c r="AG47" s="4"/>
      <c r="AH47" s="4"/>
      <c r="AI47" s="4"/>
      <c r="AJ47" s="4"/>
      <c r="AK47" s="4"/>
      <c r="AO47" s="4"/>
      <c r="AP47" s="4"/>
      <c r="AQ47" s="4"/>
      <c r="AR47" s="4"/>
      <c r="AS47" s="4"/>
      <c r="AT47" s="4"/>
      <c r="AU47" s="4"/>
      <c r="AV47" s="4"/>
      <c r="AW47" s="4"/>
      <c r="AX47" s="4"/>
      <c r="AY47" s="4"/>
      <c r="AZ47" s="4"/>
      <c r="BA47" s="4"/>
      <c r="BB47" s="4"/>
      <c r="BC47" s="4"/>
    </row>
    <row r="48">
      <c r="A48" s="20"/>
      <c r="B48" s="20"/>
      <c r="C48" s="20"/>
      <c r="D48" s="20"/>
      <c r="E48" s="20"/>
      <c r="F48" s="20"/>
      <c r="G48" s="20"/>
      <c r="H48" s="20"/>
      <c r="I48" s="23"/>
      <c r="J48" s="20"/>
      <c r="K48" s="20"/>
      <c r="L48" s="20"/>
      <c r="M48" s="20"/>
      <c r="N48" s="20"/>
      <c r="O48" s="22"/>
      <c r="P48" s="20"/>
      <c r="Q48" s="20"/>
      <c r="R48" s="20"/>
      <c r="S48" s="20"/>
      <c r="T48" s="20"/>
      <c r="U48" s="20"/>
      <c r="V48" s="20"/>
      <c r="W48" s="4"/>
      <c r="X48" s="4"/>
      <c r="Y48" s="4"/>
      <c r="Z48" s="4"/>
      <c r="AA48" s="4"/>
      <c r="AB48" s="4"/>
      <c r="AC48" s="4"/>
      <c r="AD48" s="4"/>
      <c r="AE48" s="4"/>
      <c r="AF48" s="4"/>
      <c r="AG48" s="4"/>
      <c r="AH48" s="4"/>
      <c r="AI48" s="4"/>
      <c r="AJ48" s="4"/>
      <c r="AK48" s="4"/>
      <c r="AO48" s="4"/>
      <c r="AP48" s="4"/>
      <c r="AQ48" s="4"/>
      <c r="AR48" s="4"/>
      <c r="AS48" s="4"/>
      <c r="AT48" s="4"/>
      <c r="AU48" s="4"/>
      <c r="AV48" s="4"/>
      <c r="AW48" s="4"/>
      <c r="AX48" s="4"/>
      <c r="AY48" s="4"/>
      <c r="AZ48" s="4"/>
      <c r="BA48" s="4"/>
      <c r="BB48" s="4"/>
      <c r="BC48" s="4"/>
    </row>
    <row r="49">
      <c r="A49" s="20"/>
      <c r="B49" s="20"/>
      <c r="C49" s="20"/>
      <c r="D49" s="20"/>
      <c r="E49" s="20"/>
      <c r="F49" s="20"/>
      <c r="G49" s="20"/>
      <c r="H49" s="20"/>
      <c r="I49" s="23"/>
      <c r="J49" s="20"/>
      <c r="K49" s="20"/>
      <c r="L49" s="20"/>
      <c r="M49" s="20"/>
      <c r="N49" s="20"/>
      <c r="O49" s="22"/>
      <c r="P49" s="20"/>
      <c r="Q49" s="20"/>
      <c r="R49" s="20"/>
      <c r="S49" s="20"/>
      <c r="T49" s="20"/>
      <c r="U49" s="20"/>
      <c r="V49" s="20"/>
      <c r="W49" s="4"/>
      <c r="X49" s="4"/>
      <c r="Y49" s="4"/>
      <c r="Z49" s="4"/>
      <c r="AA49" s="4"/>
      <c r="AB49" s="4"/>
      <c r="AC49" s="4"/>
      <c r="AD49" s="4"/>
      <c r="AE49" s="4"/>
      <c r="AF49" s="4"/>
      <c r="AG49" s="4"/>
      <c r="AH49" s="4"/>
      <c r="AI49" s="4"/>
      <c r="AJ49" s="4"/>
      <c r="AK49" s="4"/>
      <c r="AO49" s="4"/>
      <c r="AP49" s="4"/>
      <c r="AQ49" s="4"/>
      <c r="AR49" s="4"/>
      <c r="AS49" s="4"/>
      <c r="AT49" s="4"/>
      <c r="AU49" s="4"/>
      <c r="AV49" s="4"/>
      <c r="AW49" s="4"/>
      <c r="AX49" s="4"/>
      <c r="AY49" s="4"/>
      <c r="AZ49" s="4"/>
      <c r="BA49" s="4"/>
      <c r="BB49" s="4"/>
      <c r="BC49" s="4"/>
    </row>
    <row r="50">
      <c r="A50" s="20"/>
      <c r="B50" s="20"/>
      <c r="C50" s="20"/>
      <c r="D50" s="20"/>
      <c r="E50" s="20"/>
      <c r="F50" s="20"/>
      <c r="G50" s="20"/>
      <c r="H50" s="20"/>
      <c r="I50" s="23"/>
      <c r="J50" s="20"/>
      <c r="K50" s="20"/>
      <c r="L50" s="20"/>
      <c r="M50" s="20"/>
      <c r="N50" s="20"/>
      <c r="O50" s="22"/>
      <c r="P50" s="20"/>
      <c r="Q50" s="20"/>
      <c r="R50" s="20"/>
      <c r="S50" s="20"/>
      <c r="T50" s="20"/>
      <c r="U50" s="20"/>
      <c r="V50" s="20"/>
      <c r="W50" s="4"/>
      <c r="X50" s="4"/>
      <c r="Y50" s="4"/>
      <c r="Z50" s="4"/>
      <c r="AA50" s="4"/>
      <c r="AB50" s="4"/>
      <c r="AC50" s="4"/>
      <c r="AD50" s="4"/>
      <c r="AE50" s="4"/>
      <c r="AF50" s="4"/>
      <c r="AG50" s="4"/>
      <c r="AH50" s="4"/>
      <c r="AI50" s="4"/>
      <c r="AJ50" s="4"/>
      <c r="AK50" s="4"/>
      <c r="AO50" s="4"/>
      <c r="AP50" s="4"/>
      <c r="AQ50" s="4"/>
      <c r="AR50" s="4"/>
      <c r="AS50" s="4"/>
      <c r="AT50" s="4"/>
      <c r="AU50" s="4"/>
      <c r="AV50" s="4"/>
      <c r="AW50" s="4"/>
      <c r="AX50" s="4"/>
      <c r="AY50" s="4"/>
      <c r="AZ50" s="4"/>
      <c r="BA50" s="4"/>
      <c r="BB50" s="4"/>
      <c r="BC50" s="4"/>
    </row>
    <row r="51">
      <c r="A51" s="20"/>
      <c r="B51" s="20"/>
      <c r="C51" s="20"/>
      <c r="D51" s="20"/>
      <c r="E51" s="20"/>
      <c r="F51" s="20"/>
      <c r="G51" s="20"/>
      <c r="H51" s="20"/>
      <c r="I51" s="23"/>
      <c r="J51" s="20"/>
      <c r="K51" s="20"/>
      <c r="L51" s="20"/>
      <c r="M51" s="20"/>
      <c r="N51" s="20"/>
      <c r="O51" s="22"/>
      <c r="P51" s="20"/>
      <c r="Q51" s="20"/>
      <c r="R51" s="20"/>
      <c r="S51" s="20"/>
      <c r="T51" s="20"/>
      <c r="U51" s="20"/>
      <c r="V51" s="20"/>
      <c r="W51" s="4"/>
      <c r="X51" s="4"/>
      <c r="Y51" s="4"/>
      <c r="Z51" s="4"/>
      <c r="AA51" s="4"/>
      <c r="AB51" s="4"/>
      <c r="AC51" s="4"/>
      <c r="AD51" s="4"/>
      <c r="AE51" s="4"/>
      <c r="AF51" s="4"/>
      <c r="AG51" s="4"/>
      <c r="AH51" s="4"/>
      <c r="AI51" s="4"/>
      <c r="AJ51" s="4"/>
      <c r="AK51" s="4"/>
      <c r="AO51" s="4"/>
      <c r="AP51" s="4"/>
      <c r="AQ51" s="4"/>
      <c r="AR51" s="4"/>
      <c r="AS51" s="4"/>
      <c r="AT51" s="4"/>
      <c r="AU51" s="4"/>
      <c r="AV51" s="4"/>
      <c r="AW51" s="4"/>
      <c r="AX51" s="4"/>
      <c r="AY51" s="4"/>
      <c r="AZ51" s="4"/>
      <c r="BA51" s="4"/>
      <c r="BB51" s="4"/>
      <c r="BC51" s="4"/>
    </row>
    <row r="52">
      <c r="A52" s="20"/>
      <c r="B52" s="20"/>
      <c r="C52" s="20"/>
      <c r="D52" s="20"/>
      <c r="E52" s="20"/>
      <c r="F52" s="20"/>
      <c r="G52" s="20"/>
      <c r="H52" s="20"/>
      <c r="I52" s="23"/>
      <c r="J52" s="20"/>
      <c r="K52" s="20"/>
      <c r="L52" s="20"/>
      <c r="M52" s="20"/>
      <c r="N52" s="20"/>
      <c r="O52" s="22"/>
      <c r="P52" s="20"/>
      <c r="Q52" s="20"/>
      <c r="R52" s="20"/>
      <c r="S52" s="20"/>
      <c r="T52" s="20"/>
      <c r="U52" s="20"/>
      <c r="V52" s="20"/>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row>
    <row r="53">
      <c r="A53" s="20"/>
      <c r="B53" s="20"/>
      <c r="C53" s="20"/>
      <c r="D53" s="20"/>
      <c r="E53" s="20"/>
      <c r="F53" s="20"/>
      <c r="G53" s="20"/>
      <c r="H53" s="20"/>
      <c r="I53" s="23"/>
      <c r="J53" s="20"/>
      <c r="K53" s="20"/>
      <c r="L53" s="20"/>
      <c r="M53" s="20"/>
      <c r="N53" s="20"/>
      <c r="O53" s="22"/>
      <c r="P53" s="20"/>
      <c r="Q53" s="20"/>
      <c r="R53" s="20"/>
      <c r="S53" s="20"/>
      <c r="T53" s="20"/>
      <c r="U53" s="20"/>
      <c r="V53" s="20"/>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row>
    <row r="54">
      <c r="A54" s="20"/>
      <c r="B54" s="20"/>
      <c r="C54" s="20"/>
      <c r="D54" s="20"/>
      <c r="E54" s="20"/>
      <c r="F54" s="20"/>
      <c r="G54" s="20"/>
      <c r="H54" s="20"/>
      <c r="I54" s="23"/>
      <c r="J54" s="20"/>
      <c r="K54" s="20"/>
      <c r="L54" s="20"/>
      <c r="M54" s="20"/>
      <c r="N54" s="20"/>
      <c r="O54" s="22"/>
      <c r="P54" s="20"/>
      <c r="Q54" s="20"/>
      <c r="R54" s="20"/>
      <c r="S54" s="20"/>
      <c r="T54" s="20"/>
      <c r="U54" s="20"/>
      <c r="V54" s="20"/>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row>
    <row r="55">
      <c r="A55" s="20"/>
      <c r="B55" s="20"/>
      <c r="C55" s="20"/>
      <c r="D55" s="20"/>
      <c r="E55" s="20"/>
      <c r="F55" s="20"/>
      <c r="G55" s="20"/>
      <c r="H55" s="20"/>
      <c r="I55" s="23"/>
      <c r="J55" s="20"/>
      <c r="K55" s="20"/>
      <c r="L55" s="20"/>
      <c r="M55" s="20"/>
      <c r="N55" s="20"/>
      <c r="O55" s="22"/>
      <c r="P55" s="20"/>
      <c r="Q55" s="20"/>
      <c r="R55" s="20"/>
      <c r="S55" s="20"/>
      <c r="T55" s="20"/>
      <c r="U55" s="20"/>
      <c r="V55" s="20"/>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row>
    <row r="56">
      <c r="A56" s="20"/>
      <c r="B56" s="20"/>
      <c r="C56" s="20"/>
      <c r="D56" s="20"/>
      <c r="E56" s="20"/>
      <c r="F56" s="20"/>
      <c r="G56" s="20"/>
      <c r="H56" s="20"/>
      <c r="I56" s="23"/>
      <c r="J56" s="20"/>
      <c r="K56" s="20"/>
      <c r="L56" s="20"/>
      <c r="M56" s="20"/>
      <c r="N56" s="20"/>
      <c r="O56" s="22"/>
      <c r="P56" s="20"/>
      <c r="Q56" s="20"/>
      <c r="R56" s="20"/>
      <c r="S56" s="20"/>
      <c r="T56" s="20"/>
      <c r="U56" s="20"/>
      <c r="V56" s="20"/>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row>
    <row r="57">
      <c r="A57" s="20"/>
      <c r="B57" s="20"/>
      <c r="C57" s="20"/>
      <c r="D57" s="20"/>
      <c r="E57" s="20"/>
      <c r="F57" s="20"/>
      <c r="G57" s="20"/>
      <c r="H57" s="20"/>
      <c r="I57" s="23"/>
      <c r="J57" s="20"/>
      <c r="K57" s="20"/>
      <c r="L57" s="20"/>
      <c r="M57" s="20"/>
      <c r="N57" s="20"/>
      <c r="O57" s="22"/>
      <c r="P57" s="20"/>
      <c r="Q57" s="20"/>
      <c r="R57" s="20"/>
      <c r="S57" s="20"/>
      <c r="T57" s="20"/>
      <c r="U57" s="20"/>
      <c r="V57" s="20"/>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row>
    <row r="58">
      <c r="A58" s="20"/>
      <c r="B58" s="20"/>
      <c r="C58" s="20"/>
      <c r="D58" s="20"/>
      <c r="E58" s="20"/>
      <c r="F58" s="20"/>
      <c r="G58" s="20"/>
      <c r="H58" s="20"/>
      <c r="I58" s="23"/>
      <c r="J58" s="20"/>
      <c r="K58" s="20"/>
      <c r="L58" s="20"/>
      <c r="M58" s="20"/>
      <c r="N58" s="20"/>
      <c r="O58" s="22"/>
      <c r="P58" s="20"/>
      <c r="Q58" s="20"/>
      <c r="R58" s="20"/>
      <c r="S58" s="20"/>
      <c r="T58" s="20"/>
      <c r="U58" s="20"/>
      <c r="V58" s="20"/>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row>
    <row r="59">
      <c r="A59" s="20"/>
      <c r="B59" s="20"/>
      <c r="C59" s="20"/>
      <c r="D59" s="20"/>
      <c r="E59" s="20"/>
      <c r="F59" s="20"/>
      <c r="G59" s="20"/>
      <c r="H59" s="20"/>
      <c r="I59" s="23"/>
      <c r="J59" s="20"/>
      <c r="K59" s="20"/>
      <c r="L59" s="20"/>
      <c r="M59" s="20"/>
      <c r="N59" s="20"/>
      <c r="O59" s="22"/>
      <c r="P59" s="20"/>
      <c r="Q59" s="20"/>
      <c r="R59" s="20"/>
      <c r="S59" s="20"/>
      <c r="T59" s="20"/>
      <c r="U59" s="20"/>
      <c r="V59" s="20"/>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row>
    <row r="60">
      <c r="A60" s="20"/>
      <c r="B60" s="20"/>
      <c r="C60" s="20"/>
      <c r="D60" s="20"/>
      <c r="E60" s="20"/>
      <c r="F60" s="20"/>
      <c r="G60" s="20"/>
      <c r="H60" s="20"/>
      <c r="I60" s="23"/>
      <c r="J60" s="20"/>
      <c r="K60" s="20"/>
      <c r="L60" s="20"/>
      <c r="M60" s="20"/>
      <c r="N60" s="20"/>
      <c r="O60" s="22"/>
      <c r="P60" s="20"/>
      <c r="Q60" s="20"/>
      <c r="R60" s="20"/>
      <c r="S60" s="20"/>
      <c r="T60" s="20"/>
      <c r="U60" s="20"/>
      <c r="V60" s="20"/>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row>
    <row r="61">
      <c r="A61" s="20"/>
      <c r="B61" s="20"/>
      <c r="C61" s="20"/>
      <c r="D61" s="20"/>
      <c r="E61" s="20"/>
      <c r="F61" s="20"/>
      <c r="G61" s="20"/>
      <c r="H61" s="20"/>
      <c r="I61" s="23"/>
      <c r="J61" s="20"/>
      <c r="K61" s="20"/>
      <c r="L61" s="20"/>
      <c r="M61" s="20"/>
      <c r="N61" s="20"/>
      <c r="O61" s="22"/>
      <c r="P61" s="20"/>
      <c r="Q61" s="20"/>
      <c r="R61" s="20"/>
      <c r="S61" s="20"/>
      <c r="T61" s="20"/>
      <c r="U61" s="20"/>
      <c r="V61" s="20"/>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row>
    <row r="62">
      <c r="A62" s="20"/>
      <c r="B62" s="20"/>
      <c r="C62" s="20"/>
      <c r="D62" s="20"/>
      <c r="E62" s="20"/>
      <c r="F62" s="20"/>
      <c r="G62" s="20"/>
      <c r="H62" s="20"/>
      <c r="I62" s="23"/>
      <c r="J62" s="20"/>
      <c r="K62" s="20"/>
      <c r="L62" s="20"/>
      <c r="M62" s="20"/>
      <c r="N62" s="20"/>
      <c r="O62" s="22"/>
      <c r="P62" s="20"/>
      <c r="Q62" s="20"/>
      <c r="R62" s="20"/>
      <c r="S62" s="20"/>
      <c r="T62" s="20"/>
      <c r="U62" s="20"/>
      <c r="V62" s="20"/>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row>
    <row r="63">
      <c r="A63" s="20"/>
      <c r="B63" s="20"/>
      <c r="C63" s="20"/>
      <c r="D63" s="20"/>
      <c r="E63" s="20"/>
      <c r="F63" s="20"/>
      <c r="G63" s="20"/>
      <c r="H63" s="20"/>
      <c r="I63" s="23"/>
      <c r="J63" s="20"/>
      <c r="K63" s="20"/>
      <c r="L63" s="20"/>
      <c r="M63" s="20"/>
      <c r="N63" s="20"/>
      <c r="O63" s="22"/>
      <c r="P63" s="20"/>
      <c r="Q63" s="20"/>
      <c r="R63" s="20"/>
      <c r="S63" s="20"/>
      <c r="T63" s="20"/>
      <c r="U63" s="20"/>
      <c r="V63" s="20"/>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row>
    <row r="64">
      <c r="A64" s="20"/>
      <c r="B64" s="20"/>
      <c r="C64" s="20"/>
      <c r="D64" s="20"/>
      <c r="E64" s="20"/>
      <c r="F64" s="20"/>
      <c r="G64" s="20"/>
      <c r="H64" s="20"/>
      <c r="I64" s="23"/>
      <c r="J64" s="20"/>
      <c r="K64" s="20"/>
      <c r="L64" s="20"/>
      <c r="M64" s="20"/>
      <c r="N64" s="20"/>
      <c r="O64" s="22"/>
      <c r="P64" s="20"/>
      <c r="Q64" s="20"/>
      <c r="R64" s="20"/>
      <c r="S64" s="20"/>
      <c r="T64" s="20"/>
      <c r="U64" s="20"/>
      <c r="V64" s="20"/>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row>
    <row r="65">
      <c r="A65" s="20"/>
      <c r="B65" s="20"/>
      <c r="C65" s="20"/>
      <c r="D65" s="20"/>
      <c r="E65" s="20"/>
      <c r="F65" s="20"/>
      <c r="G65" s="20"/>
      <c r="H65" s="20"/>
      <c r="I65" s="23"/>
      <c r="J65" s="20"/>
      <c r="K65" s="20"/>
      <c r="L65" s="20"/>
      <c r="M65" s="20"/>
      <c r="N65" s="20"/>
      <c r="O65" s="22"/>
      <c r="P65" s="20"/>
      <c r="Q65" s="20"/>
      <c r="R65" s="20"/>
      <c r="S65" s="20"/>
      <c r="T65" s="20"/>
      <c r="U65" s="20"/>
      <c r="V65" s="20"/>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row>
    <row r="66">
      <c r="A66" s="20"/>
      <c r="B66" s="20"/>
      <c r="C66" s="20"/>
      <c r="D66" s="20"/>
      <c r="E66" s="20"/>
      <c r="F66" s="20"/>
      <c r="G66" s="20"/>
      <c r="H66" s="20"/>
      <c r="I66" s="23"/>
      <c r="J66" s="20"/>
      <c r="K66" s="20"/>
      <c r="L66" s="20"/>
      <c r="M66" s="20"/>
      <c r="N66" s="20"/>
      <c r="O66" s="22"/>
      <c r="P66" s="20"/>
      <c r="Q66" s="20"/>
      <c r="R66" s="20"/>
      <c r="S66" s="20"/>
      <c r="T66" s="20"/>
      <c r="U66" s="20"/>
      <c r="V66" s="20"/>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row>
    <row r="67">
      <c r="A67" s="20"/>
      <c r="B67" s="20"/>
      <c r="C67" s="20"/>
      <c r="D67" s="20"/>
      <c r="E67" s="20"/>
      <c r="F67" s="20"/>
      <c r="G67" s="20"/>
      <c r="H67" s="20"/>
      <c r="I67" s="23"/>
      <c r="J67" s="20"/>
      <c r="K67" s="20"/>
      <c r="L67" s="20"/>
      <c r="M67" s="20"/>
      <c r="N67" s="20"/>
      <c r="O67" s="22"/>
      <c r="P67" s="20"/>
      <c r="Q67" s="20"/>
      <c r="R67" s="20"/>
      <c r="S67" s="20"/>
      <c r="T67" s="20"/>
      <c r="U67" s="20"/>
      <c r="V67" s="20"/>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row>
    <row r="68">
      <c r="A68" s="20"/>
      <c r="B68" s="20"/>
      <c r="C68" s="20"/>
      <c r="D68" s="20"/>
      <c r="E68" s="20"/>
      <c r="F68" s="20"/>
      <c r="G68" s="20"/>
      <c r="H68" s="20"/>
      <c r="I68" s="23"/>
      <c r="J68" s="20"/>
      <c r="K68" s="20"/>
      <c r="L68" s="20"/>
      <c r="M68" s="20"/>
      <c r="N68" s="20"/>
      <c r="O68" s="22"/>
      <c r="P68" s="20"/>
      <c r="Q68" s="20"/>
      <c r="R68" s="20"/>
      <c r="S68" s="20"/>
      <c r="T68" s="20"/>
      <c r="U68" s="20"/>
      <c r="V68" s="20"/>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row>
    <row r="69">
      <c r="A69" s="20"/>
      <c r="B69" s="20"/>
      <c r="C69" s="20"/>
      <c r="D69" s="20"/>
      <c r="E69" s="20"/>
      <c r="F69" s="20"/>
      <c r="G69" s="20"/>
      <c r="H69" s="20"/>
      <c r="I69" s="23"/>
      <c r="J69" s="20"/>
      <c r="K69" s="20"/>
      <c r="L69" s="20"/>
      <c r="M69" s="20"/>
      <c r="N69" s="20"/>
      <c r="O69" s="22"/>
      <c r="P69" s="20"/>
      <c r="Q69" s="20"/>
      <c r="R69" s="20"/>
      <c r="S69" s="20"/>
      <c r="T69" s="20"/>
      <c r="U69" s="20"/>
      <c r="V69" s="20"/>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row>
    <row r="70">
      <c r="A70" s="20"/>
      <c r="B70" s="20"/>
      <c r="C70" s="20"/>
      <c r="D70" s="20"/>
      <c r="E70" s="20"/>
      <c r="F70" s="20"/>
      <c r="G70" s="20"/>
      <c r="H70" s="20"/>
      <c r="I70" s="23"/>
      <c r="J70" s="20"/>
      <c r="K70" s="20"/>
      <c r="L70" s="20"/>
      <c r="M70" s="20"/>
      <c r="N70" s="20"/>
      <c r="O70" s="22"/>
      <c r="P70" s="20"/>
      <c r="Q70" s="20"/>
      <c r="R70" s="20"/>
      <c r="S70" s="20"/>
      <c r="T70" s="20"/>
      <c r="U70" s="20"/>
      <c r="V70" s="20"/>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row>
    <row r="71">
      <c r="A71" s="20"/>
      <c r="B71" s="20"/>
      <c r="C71" s="20"/>
      <c r="D71" s="20"/>
      <c r="E71" s="20"/>
      <c r="F71" s="20"/>
      <c r="G71" s="20"/>
      <c r="H71" s="20"/>
      <c r="I71" s="23"/>
      <c r="J71" s="20"/>
      <c r="K71" s="20"/>
      <c r="L71" s="20"/>
      <c r="M71" s="20"/>
      <c r="N71" s="20"/>
      <c r="O71" s="22"/>
      <c r="P71" s="20"/>
      <c r="Q71" s="20"/>
      <c r="R71" s="20"/>
      <c r="S71" s="20"/>
      <c r="T71" s="20"/>
      <c r="U71" s="20"/>
      <c r="V71" s="20"/>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row>
    <row r="72">
      <c r="A72" s="20"/>
      <c r="B72" s="20"/>
      <c r="C72" s="20"/>
      <c r="D72" s="20"/>
      <c r="E72" s="20"/>
      <c r="F72" s="20"/>
      <c r="G72" s="20"/>
      <c r="H72" s="20"/>
      <c r="I72" s="23"/>
      <c r="J72" s="20"/>
      <c r="K72" s="20"/>
      <c r="L72" s="20"/>
      <c r="M72" s="20"/>
      <c r="N72" s="20"/>
      <c r="O72" s="22"/>
      <c r="P72" s="20"/>
      <c r="Q72" s="20"/>
      <c r="R72" s="20"/>
      <c r="S72" s="20"/>
      <c r="T72" s="20"/>
      <c r="U72" s="20"/>
      <c r="V72" s="20"/>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row>
    <row r="73">
      <c r="A73" s="20"/>
      <c r="B73" s="20"/>
      <c r="C73" s="20"/>
      <c r="D73" s="20"/>
      <c r="E73" s="20"/>
      <c r="F73" s="20"/>
      <c r="G73" s="20"/>
      <c r="H73" s="20"/>
      <c r="I73" s="23"/>
      <c r="J73" s="20"/>
      <c r="K73" s="20"/>
      <c r="L73" s="20"/>
      <c r="M73" s="20"/>
      <c r="N73" s="20"/>
      <c r="O73" s="22"/>
      <c r="P73" s="20"/>
      <c r="Q73" s="20"/>
      <c r="R73" s="20"/>
      <c r="S73" s="20"/>
      <c r="T73" s="20"/>
      <c r="U73" s="20"/>
      <c r="V73" s="20"/>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row>
    <row r="74">
      <c r="A74" s="20"/>
      <c r="B74" s="20"/>
      <c r="C74" s="20"/>
      <c r="D74" s="20"/>
      <c r="E74" s="20"/>
      <c r="F74" s="20"/>
      <c r="G74" s="20"/>
      <c r="H74" s="20"/>
      <c r="I74" s="23"/>
      <c r="J74" s="20"/>
      <c r="K74" s="20"/>
      <c r="L74" s="20"/>
      <c r="M74" s="20"/>
      <c r="N74" s="20"/>
      <c r="O74" s="22"/>
      <c r="P74" s="20"/>
      <c r="Q74" s="20"/>
      <c r="R74" s="20"/>
      <c r="S74" s="20"/>
      <c r="T74" s="20"/>
      <c r="U74" s="20"/>
      <c r="V74" s="20"/>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row>
    <row r="75">
      <c r="A75" s="20"/>
      <c r="B75" s="20"/>
      <c r="C75" s="20"/>
      <c r="D75" s="20"/>
      <c r="E75" s="20"/>
      <c r="F75" s="20"/>
      <c r="G75" s="20"/>
      <c r="H75" s="20"/>
      <c r="I75" s="23"/>
      <c r="J75" s="20"/>
      <c r="K75" s="20"/>
      <c r="L75" s="20"/>
      <c r="M75" s="20"/>
      <c r="N75" s="20"/>
      <c r="O75" s="22"/>
      <c r="P75" s="20"/>
      <c r="Q75" s="20"/>
      <c r="R75" s="20"/>
      <c r="S75" s="20"/>
      <c r="T75" s="20"/>
      <c r="U75" s="20"/>
      <c r="V75" s="20"/>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row>
    <row r="76">
      <c r="A76" s="20"/>
      <c r="B76" s="20"/>
      <c r="C76" s="20"/>
      <c r="D76" s="20"/>
      <c r="E76" s="20"/>
      <c r="F76" s="20"/>
      <c r="G76" s="20"/>
      <c r="H76" s="20"/>
      <c r="I76" s="23"/>
      <c r="J76" s="20"/>
      <c r="K76" s="20"/>
      <c r="L76" s="20"/>
      <c r="M76" s="20"/>
      <c r="N76" s="20"/>
      <c r="O76" s="22"/>
      <c r="P76" s="20"/>
      <c r="Q76" s="20"/>
      <c r="R76" s="20"/>
      <c r="S76" s="20"/>
      <c r="T76" s="20"/>
      <c r="U76" s="20"/>
      <c r="V76" s="20"/>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row>
    <row r="77">
      <c r="A77" s="20"/>
      <c r="B77" s="20"/>
      <c r="C77" s="20"/>
      <c r="D77" s="20"/>
      <c r="E77" s="20"/>
      <c r="F77" s="20"/>
      <c r="G77" s="20"/>
      <c r="H77" s="20"/>
      <c r="I77" s="23"/>
      <c r="J77" s="20"/>
      <c r="K77" s="20"/>
      <c r="L77" s="20"/>
      <c r="M77" s="20"/>
      <c r="N77" s="20"/>
      <c r="O77" s="22"/>
      <c r="P77" s="20"/>
      <c r="Q77" s="20"/>
      <c r="R77" s="20"/>
      <c r="S77" s="20"/>
      <c r="T77" s="20"/>
      <c r="U77" s="20"/>
      <c r="V77" s="20"/>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row>
    <row r="78">
      <c r="A78" s="20"/>
      <c r="B78" s="20"/>
      <c r="C78" s="20"/>
      <c r="D78" s="20"/>
      <c r="E78" s="20"/>
      <c r="F78" s="20"/>
      <c r="G78" s="20"/>
      <c r="H78" s="20"/>
      <c r="I78" s="23"/>
      <c r="J78" s="20"/>
      <c r="K78" s="20"/>
      <c r="L78" s="20"/>
      <c r="M78" s="20"/>
      <c r="N78" s="20"/>
      <c r="O78" s="22"/>
      <c r="P78" s="20"/>
      <c r="Q78" s="20"/>
      <c r="R78" s="20"/>
      <c r="S78" s="20"/>
      <c r="T78" s="20"/>
      <c r="U78" s="20"/>
      <c r="V78" s="20"/>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row>
    <row r="79">
      <c r="A79" s="20"/>
      <c r="B79" s="20"/>
      <c r="C79" s="20"/>
      <c r="D79" s="20"/>
      <c r="E79" s="20"/>
      <c r="F79" s="20"/>
      <c r="G79" s="20"/>
      <c r="H79" s="20"/>
      <c r="I79" s="23"/>
      <c r="J79" s="20"/>
      <c r="K79" s="20"/>
      <c r="L79" s="20"/>
      <c r="M79" s="20"/>
      <c r="N79" s="20"/>
      <c r="O79" s="22"/>
      <c r="P79" s="20"/>
      <c r="Q79" s="20"/>
      <c r="R79" s="20"/>
      <c r="S79" s="20"/>
      <c r="T79" s="20"/>
      <c r="U79" s="20"/>
      <c r="V79" s="20"/>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row>
    <row r="80">
      <c r="A80" s="20"/>
      <c r="B80" s="20"/>
      <c r="C80" s="20"/>
      <c r="D80" s="20"/>
      <c r="E80" s="20"/>
      <c r="F80" s="20"/>
      <c r="G80" s="20"/>
      <c r="H80" s="20"/>
      <c r="I80" s="23"/>
      <c r="J80" s="20"/>
      <c r="K80" s="20"/>
      <c r="L80" s="20"/>
      <c r="M80" s="20"/>
      <c r="N80" s="20"/>
      <c r="O80" s="22"/>
      <c r="P80" s="20"/>
      <c r="Q80" s="20"/>
      <c r="R80" s="20"/>
      <c r="S80" s="20"/>
      <c r="T80" s="20"/>
      <c r="U80" s="20"/>
      <c r="V80" s="20"/>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row>
    <row r="81">
      <c r="A81" s="20"/>
      <c r="B81" s="20"/>
      <c r="C81" s="20"/>
      <c r="D81" s="20"/>
      <c r="E81" s="20"/>
      <c r="F81" s="20"/>
      <c r="G81" s="20"/>
      <c r="H81" s="20"/>
      <c r="I81" s="23"/>
      <c r="J81" s="20"/>
      <c r="K81" s="20"/>
      <c r="L81" s="20"/>
      <c r="M81" s="20"/>
      <c r="N81" s="20"/>
      <c r="O81" s="22"/>
      <c r="P81" s="20"/>
      <c r="Q81" s="20"/>
      <c r="R81" s="20"/>
      <c r="S81" s="20"/>
      <c r="T81" s="20"/>
      <c r="U81" s="20"/>
      <c r="V81" s="20"/>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row>
    <row r="82">
      <c r="A82" s="20"/>
      <c r="B82" s="20"/>
      <c r="C82" s="20"/>
      <c r="D82" s="20"/>
      <c r="E82" s="20"/>
      <c r="F82" s="20"/>
      <c r="G82" s="20"/>
      <c r="H82" s="20"/>
      <c r="I82" s="23"/>
      <c r="J82" s="20"/>
      <c r="K82" s="20"/>
      <c r="L82" s="20"/>
      <c r="M82" s="20"/>
      <c r="N82" s="20"/>
      <c r="O82" s="22"/>
      <c r="P82" s="20"/>
      <c r="Q82" s="20"/>
      <c r="R82" s="20"/>
      <c r="S82" s="20"/>
      <c r="T82" s="20"/>
      <c r="U82" s="20"/>
      <c r="V82" s="20"/>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row>
    <row r="83">
      <c r="A83" s="20"/>
      <c r="B83" s="20"/>
      <c r="C83" s="20"/>
      <c r="D83" s="20"/>
      <c r="E83" s="20"/>
      <c r="F83" s="20"/>
      <c r="G83" s="20"/>
      <c r="H83" s="20"/>
      <c r="I83" s="23"/>
      <c r="J83" s="20"/>
      <c r="K83" s="20"/>
      <c r="L83" s="20"/>
      <c r="M83" s="20"/>
      <c r="N83" s="20"/>
      <c r="O83" s="22"/>
      <c r="P83" s="20"/>
      <c r="Q83" s="20"/>
      <c r="R83" s="20"/>
      <c r="S83" s="20"/>
      <c r="T83" s="20"/>
      <c r="U83" s="20"/>
      <c r="V83" s="20"/>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row>
    <row r="84">
      <c r="A84" s="20"/>
      <c r="B84" s="20"/>
      <c r="C84" s="20"/>
      <c r="D84" s="20"/>
      <c r="E84" s="20"/>
      <c r="F84" s="20"/>
      <c r="G84" s="20"/>
      <c r="H84" s="20"/>
      <c r="I84" s="23"/>
      <c r="J84" s="20"/>
      <c r="K84" s="20"/>
      <c r="L84" s="20"/>
      <c r="M84" s="20"/>
      <c r="N84" s="20"/>
      <c r="O84" s="22"/>
      <c r="P84" s="20"/>
      <c r="Q84" s="20"/>
      <c r="R84" s="20"/>
      <c r="S84" s="20"/>
      <c r="T84" s="20"/>
      <c r="U84" s="20"/>
      <c r="V84" s="20"/>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row>
    <row r="85">
      <c r="A85" s="20"/>
      <c r="B85" s="20"/>
      <c r="C85" s="20"/>
      <c r="D85" s="20"/>
      <c r="E85" s="20"/>
      <c r="F85" s="20"/>
      <c r="G85" s="20"/>
      <c r="H85" s="20"/>
      <c r="I85" s="23"/>
      <c r="J85" s="20"/>
      <c r="K85" s="20"/>
      <c r="L85" s="20"/>
      <c r="M85" s="20"/>
      <c r="N85" s="20"/>
      <c r="O85" s="22"/>
      <c r="P85" s="20"/>
      <c r="Q85" s="20"/>
      <c r="R85" s="20"/>
      <c r="S85" s="20"/>
      <c r="T85" s="20"/>
      <c r="U85" s="20"/>
      <c r="V85" s="20"/>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row>
    <row r="86">
      <c r="A86" s="20"/>
      <c r="B86" s="20"/>
      <c r="C86" s="20"/>
      <c r="D86" s="20"/>
      <c r="E86" s="20"/>
      <c r="F86" s="20"/>
      <c r="G86" s="20"/>
      <c r="H86" s="20"/>
      <c r="I86" s="23"/>
      <c r="J86" s="20"/>
      <c r="K86" s="20"/>
      <c r="L86" s="20"/>
      <c r="M86" s="20"/>
      <c r="N86" s="20"/>
      <c r="O86" s="22"/>
      <c r="P86" s="20"/>
      <c r="Q86" s="20"/>
      <c r="R86" s="20"/>
      <c r="S86" s="20"/>
      <c r="T86" s="20"/>
      <c r="U86" s="20"/>
      <c r="V86" s="20"/>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row>
    <row r="87">
      <c r="A87" s="20"/>
      <c r="B87" s="20"/>
      <c r="C87" s="20"/>
      <c r="D87" s="20"/>
      <c r="E87" s="20"/>
      <c r="F87" s="20"/>
      <c r="G87" s="20"/>
      <c r="H87" s="20"/>
      <c r="I87" s="23"/>
      <c r="J87" s="20"/>
      <c r="K87" s="20"/>
      <c r="L87" s="20"/>
      <c r="M87" s="20"/>
      <c r="N87" s="20"/>
      <c r="O87" s="22"/>
      <c r="P87" s="20"/>
      <c r="Q87" s="20"/>
      <c r="R87" s="20"/>
      <c r="S87" s="20"/>
      <c r="T87" s="20"/>
      <c r="U87" s="20"/>
      <c r="V87" s="20"/>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row>
    <row r="88">
      <c r="A88" s="20"/>
      <c r="B88" s="20"/>
      <c r="C88" s="20"/>
      <c r="D88" s="20"/>
      <c r="E88" s="20"/>
      <c r="F88" s="20"/>
      <c r="G88" s="20"/>
      <c r="H88" s="20"/>
      <c r="I88" s="23"/>
      <c r="J88" s="20"/>
      <c r="K88" s="20"/>
      <c r="L88" s="20"/>
      <c r="M88" s="20"/>
      <c r="N88" s="20"/>
      <c r="O88" s="22"/>
      <c r="P88" s="20"/>
      <c r="Q88" s="20"/>
      <c r="R88" s="20"/>
      <c r="S88" s="20"/>
      <c r="T88" s="20"/>
      <c r="U88" s="20"/>
      <c r="V88" s="20"/>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row>
    <row r="89">
      <c r="A89" s="20"/>
      <c r="B89" s="20"/>
      <c r="C89" s="20"/>
      <c r="D89" s="20"/>
      <c r="E89" s="20"/>
      <c r="F89" s="20"/>
      <c r="G89" s="20"/>
      <c r="H89" s="20"/>
      <c r="I89" s="23"/>
      <c r="J89" s="20"/>
      <c r="K89" s="20"/>
      <c r="L89" s="20"/>
      <c r="M89" s="20"/>
      <c r="N89" s="20"/>
      <c r="O89" s="22"/>
      <c r="P89" s="20"/>
      <c r="Q89" s="20"/>
      <c r="R89" s="20"/>
      <c r="S89" s="20"/>
      <c r="T89" s="20"/>
      <c r="U89" s="20"/>
      <c r="V89" s="20"/>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row>
    <row r="90">
      <c r="A90" s="20"/>
      <c r="B90" s="20"/>
      <c r="C90" s="20"/>
      <c r="D90" s="20"/>
      <c r="E90" s="20"/>
      <c r="F90" s="20"/>
      <c r="G90" s="20"/>
      <c r="H90" s="20"/>
      <c r="I90" s="23"/>
      <c r="J90" s="20"/>
      <c r="K90" s="20"/>
      <c r="L90" s="20"/>
      <c r="M90" s="20"/>
      <c r="N90" s="20"/>
      <c r="O90" s="22"/>
      <c r="P90" s="20"/>
      <c r="Q90" s="20"/>
      <c r="R90" s="20"/>
      <c r="S90" s="20"/>
      <c r="T90" s="20"/>
      <c r="U90" s="20"/>
      <c r="V90" s="20"/>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row>
    <row r="91">
      <c r="A91" s="20"/>
      <c r="B91" s="20"/>
      <c r="C91" s="20"/>
      <c r="D91" s="20"/>
      <c r="E91" s="20"/>
      <c r="F91" s="20"/>
      <c r="G91" s="20"/>
      <c r="H91" s="20"/>
      <c r="I91" s="23"/>
      <c r="J91" s="20"/>
      <c r="K91" s="20"/>
      <c r="L91" s="20"/>
      <c r="M91" s="20"/>
      <c r="N91" s="20"/>
      <c r="O91" s="22"/>
      <c r="P91" s="20"/>
      <c r="Q91" s="20"/>
      <c r="R91" s="20"/>
      <c r="S91" s="20"/>
      <c r="T91" s="20"/>
      <c r="U91" s="20"/>
      <c r="V91" s="20"/>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row>
    <row r="92">
      <c r="A92" s="20"/>
      <c r="B92" s="20"/>
      <c r="C92" s="20"/>
      <c r="D92" s="20"/>
      <c r="E92" s="20"/>
      <c r="F92" s="20"/>
      <c r="G92" s="20"/>
      <c r="H92" s="20"/>
      <c r="I92" s="23"/>
      <c r="J92" s="20"/>
      <c r="K92" s="20"/>
      <c r="L92" s="20"/>
      <c r="M92" s="20"/>
      <c r="N92" s="20"/>
      <c r="O92" s="22"/>
      <c r="P92" s="20"/>
      <c r="Q92" s="20"/>
      <c r="R92" s="20"/>
      <c r="S92" s="20"/>
      <c r="T92" s="20"/>
      <c r="U92" s="20"/>
      <c r="V92" s="20"/>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row>
    <row r="93">
      <c r="A93" s="20"/>
      <c r="B93" s="20"/>
      <c r="C93" s="20"/>
      <c r="D93" s="20"/>
      <c r="E93" s="20"/>
      <c r="F93" s="20"/>
      <c r="G93" s="20"/>
      <c r="H93" s="20"/>
      <c r="I93" s="23"/>
      <c r="J93" s="20"/>
      <c r="K93" s="20"/>
      <c r="L93" s="20"/>
      <c r="M93" s="20"/>
      <c r="N93" s="20"/>
      <c r="O93" s="22"/>
      <c r="P93" s="20"/>
      <c r="Q93" s="20"/>
      <c r="R93" s="20"/>
      <c r="S93" s="20"/>
      <c r="T93" s="20"/>
      <c r="U93" s="20"/>
      <c r="V93" s="20"/>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row>
    <row r="94">
      <c r="A94" s="20"/>
      <c r="B94" s="20"/>
      <c r="C94" s="20"/>
      <c r="D94" s="20"/>
      <c r="E94" s="20"/>
      <c r="F94" s="20"/>
      <c r="G94" s="20"/>
      <c r="H94" s="20"/>
      <c r="I94" s="23"/>
      <c r="J94" s="20"/>
      <c r="K94" s="20"/>
      <c r="L94" s="20"/>
      <c r="M94" s="20"/>
      <c r="N94" s="20"/>
      <c r="O94" s="22"/>
      <c r="P94" s="20"/>
      <c r="Q94" s="20"/>
      <c r="R94" s="20"/>
      <c r="S94" s="20"/>
      <c r="T94" s="20"/>
      <c r="U94" s="20"/>
      <c r="V94" s="20"/>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row>
    <row r="95">
      <c r="A95" s="20"/>
      <c r="B95" s="20"/>
      <c r="C95" s="20"/>
      <c r="D95" s="20"/>
      <c r="E95" s="20"/>
      <c r="F95" s="20"/>
      <c r="G95" s="20"/>
      <c r="H95" s="20"/>
      <c r="I95" s="23"/>
      <c r="J95" s="20"/>
      <c r="K95" s="20"/>
      <c r="L95" s="20"/>
      <c r="M95" s="20"/>
      <c r="N95" s="20"/>
      <c r="O95" s="22"/>
      <c r="P95" s="20"/>
      <c r="Q95" s="20"/>
      <c r="R95" s="20"/>
      <c r="S95" s="20"/>
      <c r="T95" s="20"/>
      <c r="U95" s="20"/>
      <c r="V95" s="20"/>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row>
    <row r="96">
      <c r="A96" s="20"/>
      <c r="B96" s="20"/>
      <c r="C96" s="20"/>
      <c r="D96" s="20"/>
      <c r="E96" s="20"/>
      <c r="F96" s="20"/>
      <c r="G96" s="20"/>
      <c r="H96" s="20"/>
      <c r="I96" s="23"/>
      <c r="J96" s="20"/>
      <c r="K96" s="20"/>
      <c r="L96" s="20"/>
      <c r="M96" s="20"/>
      <c r="N96" s="20"/>
      <c r="O96" s="22"/>
      <c r="P96" s="20"/>
      <c r="Q96" s="20"/>
      <c r="R96" s="20"/>
      <c r="S96" s="20"/>
      <c r="T96" s="20"/>
      <c r="U96" s="20"/>
      <c r="V96" s="20"/>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row>
    <row r="97">
      <c r="A97" s="20"/>
      <c r="B97" s="20"/>
      <c r="C97" s="20"/>
      <c r="D97" s="20"/>
      <c r="E97" s="20"/>
      <c r="F97" s="20"/>
      <c r="G97" s="20"/>
      <c r="H97" s="20"/>
      <c r="I97" s="23"/>
      <c r="J97" s="20"/>
      <c r="K97" s="20"/>
      <c r="L97" s="20"/>
      <c r="M97" s="20"/>
      <c r="N97" s="20"/>
      <c r="O97" s="22"/>
      <c r="P97" s="20"/>
      <c r="Q97" s="20"/>
      <c r="R97" s="20"/>
      <c r="S97" s="20"/>
      <c r="T97" s="20"/>
      <c r="U97" s="20"/>
      <c r="V97" s="20"/>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row>
    <row r="98">
      <c r="A98" s="20"/>
      <c r="B98" s="20"/>
      <c r="C98" s="20"/>
      <c r="D98" s="20"/>
      <c r="E98" s="20"/>
      <c r="F98" s="20"/>
      <c r="G98" s="20"/>
      <c r="H98" s="20"/>
      <c r="I98" s="23"/>
      <c r="J98" s="20"/>
      <c r="K98" s="20"/>
      <c r="L98" s="20"/>
      <c r="M98" s="20"/>
      <c r="N98" s="20"/>
      <c r="O98" s="22"/>
      <c r="P98" s="20"/>
      <c r="Q98" s="20"/>
      <c r="R98" s="20"/>
      <c r="S98" s="20"/>
      <c r="T98" s="20"/>
      <c r="U98" s="20"/>
      <c r="V98" s="20"/>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row>
    <row r="99">
      <c r="A99" s="20"/>
      <c r="B99" s="20"/>
      <c r="C99" s="20"/>
      <c r="D99" s="20"/>
      <c r="E99" s="20"/>
      <c r="F99" s="20"/>
      <c r="G99" s="20"/>
      <c r="H99" s="20"/>
      <c r="I99" s="23"/>
      <c r="J99" s="20"/>
      <c r="K99" s="20"/>
      <c r="L99" s="20"/>
      <c r="M99" s="20"/>
      <c r="N99" s="20"/>
      <c r="O99" s="22"/>
      <c r="P99" s="20"/>
      <c r="Q99" s="20"/>
      <c r="R99" s="20"/>
      <c r="S99" s="20"/>
      <c r="T99" s="20"/>
      <c r="U99" s="20"/>
      <c r="V99" s="20"/>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row>
    <row r="100">
      <c r="A100" s="20"/>
      <c r="B100" s="20"/>
      <c r="C100" s="20"/>
      <c r="D100" s="20"/>
      <c r="E100" s="20"/>
      <c r="F100" s="20"/>
      <c r="G100" s="20"/>
      <c r="H100" s="20"/>
      <c r="I100" s="23"/>
      <c r="J100" s="20"/>
      <c r="K100" s="20"/>
      <c r="L100" s="20"/>
      <c r="M100" s="20"/>
      <c r="N100" s="20"/>
      <c r="O100" s="22"/>
      <c r="P100" s="20"/>
      <c r="Q100" s="20"/>
      <c r="R100" s="20"/>
      <c r="S100" s="20"/>
      <c r="T100" s="20"/>
      <c r="U100" s="20"/>
      <c r="V100" s="20"/>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row>
    <row r="101">
      <c r="A101" s="20"/>
      <c r="B101" s="20"/>
      <c r="C101" s="20"/>
      <c r="D101" s="20"/>
      <c r="E101" s="20"/>
      <c r="F101" s="20"/>
      <c r="G101" s="20"/>
      <c r="H101" s="20"/>
      <c r="I101" s="23"/>
      <c r="J101" s="20"/>
      <c r="K101" s="20"/>
      <c r="L101" s="20"/>
      <c r="M101" s="20"/>
      <c r="N101" s="20"/>
      <c r="O101" s="22"/>
      <c r="P101" s="20"/>
      <c r="Q101" s="20"/>
      <c r="R101" s="20"/>
      <c r="S101" s="20"/>
      <c r="T101" s="20"/>
      <c r="U101" s="20"/>
      <c r="V101" s="20"/>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row>
    <row r="102">
      <c r="A102" s="20"/>
      <c r="B102" s="20"/>
      <c r="C102" s="20"/>
      <c r="D102" s="20"/>
      <c r="E102" s="20"/>
      <c r="F102" s="20"/>
      <c r="G102" s="20"/>
      <c r="H102" s="20"/>
      <c r="I102" s="23"/>
      <c r="J102" s="20"/>
      <c r="K102" s="20"/>
      <c r="L102" s="20"/>
      <c r="M102" s="20"/>
      <c r="N102" s="20"/>
      <c r="O102" s="22"/>
      <c r="P102" s="20"/>
      <c r="Q102" s="20"/>
      <c r="R102" s="20"/>
      <c r="S102" s="20"/>
      <c r="T102" s="20"/>
      <c r="U102" s="20"/>
      <c r="V102" s="20"/>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row>
    <row r="103">
      <c r="A103" s="20"/>
      <c r="B103" s="20"/>
      <c r="C103" s="20"/>
      <c r="D103" s="20"/>
      <c r="E103" s="20"/>
      <c r="F103" s="20"/>
      <c r="G103" s="20"/>
      <c r="H103" s="20"/>
      <c r="I103" s="23"/>
      <c r="J103" s="20"/>
      <c r="K103" s="20"/>
      <c r="L103" s="20"/>
      <c r="M103" s="20"/>
      <c r="N103" s="20"/>
      <c r="O103" s="22"/>
      <c r="P103" s="20"/>
      <c r="Q103" s="20"/>
      <c r="R103" s="20"/>
      <c r="S103" s="20"/>
      <c r="T103" s="20"/>
      <c r="U103" s="20"/>
      <c r="V103" s="20"/>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row>
    <row r="104">
      <c r="A104" s="20"/>
      <c r="B104" s="20"/>
      <c r="C104" s="20"/>
      <c r="D104" s="20"/>
      <c r="E104" s="20"/>
      <c r="F104" s="20"/>
      <c r="G104" s="20"/>
      <c r="H104" s="20"/>
      <c r="I104" s="23"/>
      <c r="J104" s="20"/>
      <c r="K104" s="20"/>
      <c r="L104" s="20"/>
      <c r="M104" s="20"/>
      <c r="N104" s="20"/>
      <c r="O104" s="22"/>
      <c r="P104" s="20"/>
      <c r="Q104" s="20"/>
      <c r="R104" s="20"/>
      <c r="S104" s="20"/>
      <c r="T104" s="20"/>
      <c r="U104" s="20"/>
      <c r="V104" s="20"/>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row>
    <row r="105">
      <c r="A105" s="20"/>
      <c r="B105" s="20"/>
      <c r="C105" s="20"/>
      <c r="D105" s="20"/>
      <c r="E105" s="20"/>
      <c r="F105" s="20"/>
      <c r="G105" s="20"/>
      <c r="H105" s="20"/>
      <c r="I105" s="23"/>
      <c r="J105" s="20"/>
      <c r="K105" s="20"/>
      <c r="L105" s="20"/>
      <c r="M105" s="20"/>
      <c r="N105" s="20"/>
      <c r="O105" s="22"/>
      <c r="P105" s="20"/>
      <c r="Q105" s="20"/>
      <c r="R105" s="20"/>
      <c r="S105" s="20"/>
      <c r="T105" s="20"/>
      <c r="U105" s="20"/>
      <c r="V105" s="20"/>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row>
    <row r="106">
      <c r="A106" s="20"/>
      <c r="B106" s="20"/>
      <c r="C106" s="20"/>
      <c r="D106" s="20"/>
      <c r="E106" s="20"/>
      <c r="F106" s="20"/>
      <c r="G106" s="20"/>
      <c r="H106" s="20"/>
      <c r="I106" s="23"/>
      <c r="J106" s="20"/>
      <c r="K106" s="20"/>
      <c r="L106" s="20"/>
      <c r="M106" s="20"/>
      <c r="N106" s="20"/>
      <c r="O106" s="22"/>
      <c r="P106" s="20"/>
      <c r="Q106" s="20"/>
      <c r="R106" s="20"/>
      <c r="S106" s="20"/>
      <c r="T106" s="20"/>
      <c r="U106" s="20"/>
      <c r="V106" s="20"/>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row>
    <row r="107">
      <c r="A107" s="20"/>
      <c r="B107" s="20"/>
      <c r="C107" s="20"/>
      <c r="D107" s="20"/>
      <c r="E107" s="20"/>
      <c r="F107" s="20"/>
      <c r="G107" s="20"/>
      <c r="H107" s="20"/>
      <c r="I107" s="23"/>
      <c r="J107" s="20"/>
      <c r="K107" s="20"/>
      <c r="L107" s="20"/>
      <c r="M107" s="20"/>
      <c r="N107" s="20"/>
      <c r="O107" s="22"/>
      <c r="P107" s="20"/>
      <c r="Q107" s="20"/>
      <c r="R107" s="20"/>
      <c r="S107" s="20"/>
      <c r="T107" s="20"/>
      <c r="U107" s="20"/>
      <c r="V107" s="20"/>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row>
    <row r="108">
      <c r="A108" s="20"/>
      <c r="B108" s="20"/>
      <c r="C108" s="20"/>
      <c r="D108" s="20"/>
      <c r="E108" s="20"/>
      <c r="F108" s="20"/>
      <c r="G108" s="20"/>
      <c r="H108" s="20"/>
      <c r="I108" s="23"/>
      <c r="J108" s="20"/>
      <c r="K108" s="20"/>
      <c r="L108" s="20"/>
      <c r="M108" s="20"/>
      <c r="N108" s="20"/>
      <c r="O108" s="22"/>
      <c r="P108" s="20"/>
      <c r="Q108" s="20"/>
      <c r="R108" s="20"/>
      <c r="S108" s="20"/>
      <c r="T108" s="20"/>
      <c r="U108" s="20"/>
      <c r="V108" s="20"/>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row>
    <row r="109">
      <c r="A109" s="20"/>
      <c r="B109" s="20"/>
      <c r="C109" s="20"/>
      <c r="D109" s="20"/>
      <c r="E109" s="20"/>
      <c r="F109" s="20"/>
      <c r="G109" s="20"/>
      <c r="H109" s="20"/>
      <c r="I109" s="23"/>
      <c r="J109" s="20"/>
      <c r="K109" s="20"/>
      <c r="L109" s="20"/>
      <c r="M109" s="20"/>
      <c r="N109" s="20"/>
      <c r="O109" s="22"/>
      <c r="P109" s="20"/>
      <c r="Q109" s="20"/>
      <c r="R109" s="20"/>
      <c r="S109" s="20"/>
      <c r="T109" s="20"/>
      <c r="U109" s="20"/>
      <c r="V109" s="20"/>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row>
    <row r="110">
      <c r="A110" s="20"/>
      <c r="B110" s="20"/>
      <c r="C110" s="20"/>
      <c r="D110" s="20"/>
      <c r="E110" s="20"/>
      <c r="F110" s="20"/>
      <c r="G110" s="20"/>
      <c r="H110" s="20"/>
      <c r="I110" s="23"/>
      <c r="J110" s="20"/>
      <c r="K110" s="20"/>
      <c r="L110" s="20"/>
      <c r="M110" s="20"/>
      <c r="N110" s="20"/>
      <c r="O110" s="22"/>
      <c r="P110" s="20"/>
      <c r="Q110" s="20"/>
      <c r="R110" s="20"/>
      <c r="S110" s="20"/>
      <c r="T110" s="20"/>
      <c r="U110" s="20"/>
      <c r="V110" s="20"/>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row>
    <row r="111">
      <c r="A111" s="20"/>
      <c r="B111" s="20"/>
      <c r="C111" s="20"/>
      <c r="D111" s="20"/>
      <c r="E111" s="20"/>
      <c r="F111" s="20"/>
      <c r="G111" s="20"/>
      <c r="H111" s="20"/>
      <c r="I111" s="23"/>
      <c r="J111" s="20"/>
      <c r="K111" s="20"/>
      <c r="L111" s="20"/>
      <c r="M111" s="20"/>
      <c r="N111" s="20"/>
      <c r="O111" s="22"/>
      <c r="P111" s="20"/>
      <c r="Q111" s="20"/>
      <c r="R111" s="20"/>
      <c r="S111" s="20"/>
      <c r="T111" s="20"/>
      <c r="U111" s="20"/>
      <c r="V111" s="20"/>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row>
    <row r="112">
      <c r="A112" s="20"/>
      <c r="B112" s="20"/>
      <c r="C112" s="20"/>
      <c r="D112" s="20"/>
      <c r="E112" s="20"/>
      <c r="F112" s="20"/>
      <c r="G112" s="20"/>
      <c r="H112" s="20"/>
      <c r="I112" s="23"/>
      <c r="J112" s="20"/>
      <c r="K112" s="20"/>
      <c r="L112" s="20"/>
      <c r="M112" s="20"/>
      <c r="N112" s="20"/>
      <c r="O112" s="22"/>
      <c r="P112" s="20"/>
      <c r="Q112" s="20"/>
      <c r="R112" s="20"/>
      <c r="S112" s="20"/>
      <c r="T112" s="20"/>
      <c r="U112" s="20"/>
      <c r="V112" s="20"/>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row>
    <row r="113">
      <c r="A113" s="20"/>
      <c r="B113" s="20"/>
      <c r="C113" s="20"/>
      <c r="D113" s="20"/>
      <c r="E113" s="20"/>
      <c r="F113" s="20"/>
      <c r="G113" s="20"/>
      <c r="H113" s="20"/>
      <c r="I113" s="23"/>
      <c r="J113" s="20"/>
      <c r="K113" s="20"/>
      <c r="L113" s="20"/>
      <c r="M113" s="20"/>
      <c r="N113" s="20"/>
      <c r="O113" s="22"/>
      <c r="P113" s="20"/>
      <c r="Q113" s="20"/>
      <c r="R113" s="20"/>
      <c r="S113" s="20"/>
      <c r="T113" s="20"/>
      <c r="U113" s="20"/>
      <c r="V113" s="20"/>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row>
    <row r="114">
      <c r="A114" s="20"/>
      <c r="B114" s="20"/>
      <c r="C114" s="20"/>
      <c r="D114" s="20"/>
      <c r="E114" s="20"/>
      <c r="F114" s="20"/>
      <c r="G114" s="20"/>
      <c r="H114" s="20"/>
      <c r="I114" s="23"/>
      <c r="J114" s="20"/>
      <c r="K114" s="20"/>
      <c r="L114" s="20"/>
      <c r="M114" s="20"/>
      <c r="N114" s="20"/>
      <c r="O114" s="22"/>
      <c r="P114" s="20"/>
      <c r="Q114" s="20"/>
      <c r="R114" s="20"/>
      <c r="S114" s="20"/>
      <c r="T114" s="20"/>
      <c r="U114" s="20"/>
      <c r="V114" s="20"/>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row>
    <row r="115">
      <c r="A115" s="20"/>
      <c r="B115" s="20"/>
      <c r="C115" s="20"/>
      <c r="D115" s="20"/>
      <c r="E115" s="20"/>
      <c r="F115" s="20"/>
      <c r="G115" s="20"/>
      <c r="H115" s="20"/>
      <c r="I115" s="23"/>
      <c r="J115" s="20"/>
      <c r="K115" s="20"/>
      <c r="L115" s="20"/>
      <c r="M115" s="20"/>
      <c r="N115" s="20"/>
      <c r="O115" s="22"/>
      <c r="P115" s="20"/>
      <c r="Q115" s="20"/>
      <c r="R115" s="20"/>
      <c r="S115" s="20"/>
      <c r="T115" s="20"/>
      <c r="U115" s="20"/>
      <c r="V115" s="20"/>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row>
    <row r="116">
      <c r="A116" s="20"/>
      <c r="B116" s="20"/>
      <c r="C116" s="20"/>
      <c r="D116" s="20"/>
      <c r="E116" s="20"/>
      <c r="F116" s="20"/>
      <c r="G116" s="20"/>
      <c r="H116" s="20"/>
      <c r="I116" s="23"/>
      <c r="J116" s="20"/>
      <c r="K116" s="20"/>
      <c r="L116" s="20"/>
      <c r="M116" s="20"/>
      <c r="N116" s="20"/>
      <c r="O116" s="22"/>
      <c r="P116" s="20"/>
      <c r="Q116" s="20"/>
      <c r="R116" s="20"/>
      <c r="S116" s="20"/>
      <c r="T116" s="20"/>
      <c r="U116" s="20"/>
      <c r="V116" s="20"/>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row>
    <row r="117">
      <c r="A117" s="20"/>
      <c r="B117" s="20"/>
      <c r="C117" s="20"/>
      <c r="D117" s="20"/>
      <c r="E117" s="20"/>
      <c r="F117" s="20"/>
      <c r="G117" s="20"/>
      <c r="H117" s="20"/>
      <c r="I117" s="23"/>
      <c r="J117" s="20"/>
      <c r="K117" s="20"/>
      <c r="L117" s="20"/>
      <c r="M117" s="20"/>
      <c r="N117" s="20"/>
      <c r="O117" s="22"/>
      <c r="P117" s="20"/>
      <c r="Q117" s="20"/>
      <c r="R117" s="20"/>
      <c r="S117" s="20"/>
      <c r="T117" s="20"/>
      <c r="U117" s="20"/>
      <c r="V117" s="20"/>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row>
    <row r="118">
      <c r="A118" s="20"/>
      <c r="B118" s="20"/>
      <c r="C118" s="20"/>
      <c r="D118" s="20"/>
      <c r="E118" s="20"/>
      <c r="F118" s="20"/>
      <c r="G118" s="20"/>
      <c r="H118" s="20"/>
      <c r="I118" s="23"/>
      <c r="J118" s="20"/>
      <c r="K118" s="20"/>
      <c r="L118" s="20"/>
      <c r="M118" s="20"/>
      <c r="N118" s="20"/>
      <c r="O118" s="22"/>
      <c r="P118" s="20"/>
      <c r="Q118" s="20"/>
      <c r="R118" s="20"/>
      <c r="S118" s="20"/>
      <c r="T118" s="20"/>
      <c r="U118" s="20"/>
      <c r="V118" s="20"/>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row>
    <row r="119">
      <c r="A119" s="20"/>
      <c r="B119" s="20"/>
      <c r="C119" s="20"/>
      <c r="D119" s="20"/>
      <c r="E119" s="20"/>
      <c r="F119" s="20"/>
      <c r="G119" s="20"/>
      <c r="H119" s="20"/>
      <c r="I119" s="23"/>
      <c r="J119" s="20"/>
      <c r="K119" s="20"/>
      <c r="L119" s="20"/>
      <c r="M119" s="20"/>
      <c r="N119" s="20"/>
      <c r="O119" s="22"/>
      <c r="P119" s="20"/>
      <c r="Q119" s="20"/>
      <c r="R119" s="20"/>
      <c r="S119" s="20"/>
      <c r="T119" s="20"/>
      <c r="U119" s="20"/>
      <c r="V119" s="20"/>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row>
    <row r="120">
      <c r="A120" s="20"/>
      <c r="B120" s="20"/>
      <c r="C120" s="20"/>
      <c r="D120" s="20"/>
      <c r="E120" s="20"/>
      <c r="F120" s="20"/>
      <c r="G120" s="20"/>
      <c r="H120" s="20"/>
      <c r="I120" s="23"/>
      <c r="J120" s="20"/>
      <c r="K120" s="20"/>
      <c r="L120" s="20"/>
      <c r="M120" s="20"/>
      <c r="N120" s="20"/>
      <c r="O120" s="22"/>
      <c r="P120" s="20"/>
      <c r="Q120" s="20"/>
      <c r="R120" s="20"/>
      <c r="S120" s="20"/>
      <c r="T120" s="20"/>
      <c r="U120" s="20"/>
      <c r="V120" s="20"/>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row>
    <row r="121">
      <c r="A121" s="20"/>
      <c r="B121" s="20"/>
      <c r="C121" s="20"/>
      <c r="D121" s="20"/>
      <c r="E121" s="20"/>
      <c r="F121" s="20"/>
      <c r="G121" s="20"/>
      <c r="H121" s="20"/>
      <c r="I121" s="23"/>
      <c r="J121" s="20"/>
      <c r="K121" s="20"/>
      <c r="L121" s="20"/>
      <c r="M121" s="20"/>
      <c r="N121" s="20"/>
      <c r="O121" s="22"/>
      <c r="P121" s="20"/>
      <c r="Q121" s="20"/>
      <c r="R121" s="20"/>
      <c r="S121" s="20"/>
      <c r="T121" s="20"/>
      <c r="U121" s="20"/>
      <c r="V121" s="20"/>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row>
    <row r="122">
      <c r="A122" s="20"/>
      <c r="B122" s="20"/>
      <c r="C122" s="20"/>
      <c r="D122" s="20"/>
      <c r="E122" s="20"/>
      <c r="F122" s="20"/>
      <c r="G122" s="20"/>
      <c r="H122" s="20"/>
      <c r="I122" s="23"/>
      <c r="J122" s="20"/>
      <c r="K122" s="20"/>
      <c r="L122" s="20"/>
      <c r="M122" s="20"/>
      <c r="N122" s="20"/>
      <c r="O122" s="22"/>
      <c r="P122" s="20"/>
      <c r="Q122" s="20"/>
      <c r="R122" s="20"/>
      <c r="S122" s="20"/>
      <c r="T122" s="20"/>
      <c r="U122" s="20"/>
      <c r="V122" s="20"/>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row>
    <row r="123">
      <c r="A123" s="20"/>
      <c r="B123" s="20"/>
      <c r="C123" s="20"/>
      <c r="D123" s="20"/>
      <c r="E123" s="20"/>
      <c r="F123" s="20"/>
      <c r="G123" s="20"/>
      <c r="H123" s="20"/>
      <c r="I123" s="23"/>
      <c r="J123" s="20"/>
      <c r="K123" s="20"/>
      <c r="L123" s="20"/>
      <c r="M123" s="20"/>
      <c r="N123" s="20"/>
      <c r="O123" s="22"/>
      <c r="P123" s="20"/>
      <c r="Q123" s="20"/>
      <c r="R123" s="20"/>
      <c r="S123" s="20"/>
      <c r="T123" s="20"/>
      <c r="U123" s="20"/>
      <c r="V123" s="20"/>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row>
    <row r="124">
      <c r="A124" s="20"/>
      <c r="B124" s="20"/>
      <c r="C124" s="20"/>
      <c r="D124" s="20"/>
      <c r="E124" s="20"/>
      <c r="F124" s="20"/>
      <c r="G124" s="20"/>
      <c r="H124" s="20"/>
      <c r="I124" s="23"/>
      <c r="J124" s="20"/>
      <c r="K124" s="20"/>
      <c r="L124" s="20"/>
      <c r="M124" s="20"/>
      <c r="N124" s="20"/>
      <c r="O124" s="22"/>
      <c r="P124" s="20"/>
      <c r="Q124" s="20"/>
      <c r="R124" s="20"/>
      <c r="S124" s="20"/>
      <c r="T124" s="20"/>
      <c r="U124" s="20"/>
      <c r="V124" s="20"/>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row>
    <row r="125">
      <c r="A125" s="20"/>
      <c r="B125" s="20"/>
      <c r="C125" s="20"/>
      <c r="D125" s="20"/>
      <c r="E125" s="20"/>
      <c r="F125" s="20"/>
      <c r="G125" s="20"/>
      <c r="H125" s="20"/>
      <c r="I125" s="23"/>
      <c r="J125" s="20"/>
      <c r="K125" s="20"/>
      <c r="L125" s="20"/>
      <c r="M125" s="20"/>
      <c r="N125" s="20"/>
      <c r="O125" s="22"/>
      <c r="P125" s="20"/>
      <c r="Q125" s="20"/>
      <c r="R125" s="20"/>
      <c r="S125" s="20"/>
      <c r="T125" s="20"/>
      <c r="U125" s="20"/>
      <c r="V125" s="20"/>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row>
    <row r="126">
      <c r="A126" s="20"/>
      <c r="B126" s="20"/>
      <c r="C126" s="20"/>
      <c r="D126" s="20"/>
      <c r="E126" s="20"/>
      <c r="F126" s="20"/>
      <c r="G126" s="20"/>
      <c r="H126" s="20"/>
      <c r="I126" s="23"/>
      <c r="J126" s="20"/>
      <c r="K126" s="20"/>
      <c r="L126" s="20"/>
      <c r="M126" s="20"/>
      <c r="N126" s="20"/>
      <c r="O126" s="22"/>
      <c r="P126" s="20"/>
      <c r="Q126" s="20"/>
      <c r="R126" s="20"/>
      <c r="S126" s="20"/>
      <c r="T126" s="20"/>
      <c r="U126" s="20"/>
      <c r="V126" s="20"/>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row>
    <row r="127">
      <c r="A127" s="20"/>
      <c r="B127" s="20"/>
      <c r="C127" s="20"/>
      <c r="D127" s="20"/>
      <c r="E127" s="20"/>
      <c r="F127" s="20"/>
      <c r="G127" s="20"/>
      <c r="H127" s="20"/>
      <c r="I127" s="23"/>
      <c r="J127" s="20"/>
      <c r="K127" s="20"/>
      <c r="L127" s="20"/>
      <c r="M127" s="20"/>
      <c r="N127" s="20"/>
      <c r="O127" s="22"/>
      <c r="P127" s="20"/>
      <c r="Q127" s="20"/>
      <c r="R127" s="20"/>
      <c r="S127" s="20"/>
      <c r="T127" s="20"/>
      <c r="U127" s="20"/>
      <c r="V127" s="20"/>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row>
    <row r="128">
      <c r="A128" s="20"/>
      <c r="B128" s="20"/>
      <c r="C128" s="20"/>
      <c r="D128" s="20"/>
      <c r="E128" s="20"/>
      <c r="F128" s="20"/>
      <c r="G128" s="20"/>
      <c r="H128" s="20"/>
      <c r="I128" s="23"/>
      <c r="J128" s="20"/>
      <c r="K128" s="20"/>
      <c r="L128" s="20"/>
      <c r="M128" s="20"/>
      <c r="N128" s="20"/>
      <c r="O128" s="22"/>
      <c r="P128" s="20"/>
      <c r="Q128" s="20"/>
      <c r="R128" s="20"/>
      <c r="S128" s="20"/>
      <c r="T128" s="20"/>
      <c r="U128" s="20"/>
      <c r="V128" s="20"/>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row>
    <row r="129">
      <c r="A129" s="20"/>
      <c r="B129" s="20"/>
      <c r="C129" s="20"/>
      <c r="D129" s="20"/>
      <c r="E129" s="20"/>
      <c r="F129" s="20"/>
      <c r="G129" s="20"/>
      <c r="H129" s="20"/>
      <c r="I129" s="23"/>
      <c r="J129" s="20"/>
      <c r="K129" s="20"/>
      <c r="L129" s="20"/>
      <c r="M129" s="20"/>
      <c r="N129" s="20"/>
      <c r="O129" s="22"/>
      <c r="P129" s="20"/>
      <c r="Q129" s="20"/>
      <c r="R129" s="20"/>
      <c r="S129" s="20"/>
      <c r="T129" s="20"/>
      <c r="U129" s="20"/>
      <c r="V129" s="20"/>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row>
    <row r="130">
      <c r="A130" s="20"/>
      <c r="B130" s="20"/>
      <c r="C130" s="20"/>
      <c r="D130" s="20"/>
      <c r="E130" s="20"/>
      <c r="F130" s="20"/>
      <c r="G130" s="20"/>
      <c r="H130" s="20"/>
      <c r="I130" s="23"/>
      <c r="J130" s="20"/>
      <c r="K130" s="20"/>
      <c r="L130" s="20"/>
      <c r="M130" s="20"/>
      <c r="N130" s="20"/>
      <c r="O130" s="22"/>
      <c r="P130" s="20"/>
      <c r="Q130" s="20"/>
      <c r="R130" s="20"/>
      <c r="S130" s="20"/>
      <c r="T130" s="20"/>
      <c r="U130" s="20"/>
      <c r="V130" s="20"/>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row>
    <row r="131">
      <c r="A131" s="20"/>
      <c r="B131" s="20"/>
      <c r="C131" s="20"/>
      <c r="D131" s="20"/>
      <c r="E131" s="20"/>
      <c r="F131" s="20"/>
      <c r="G131" s="20"/>
      <c r="H131" s="20"/>
      <c r="I131" s="23"/>
      <c r="J131" s="20"/>
      <c r="K131" s="20"/>
      <c r="L131" s="20"/>
      <c r="M131" s="20"/>
      <c r="N131" s="20"/>
      <c r="O131" s="22"/>
      <c r="P131" s="20"/>
      <c r="Q131" s="20"/>
      <c r="R131" s="20"/>
      <c r="S131" s="20"/>
      <c r="T131" s="20"/>
      <c r="U131" s="20"/>
      <c r="V131" s="20"/>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row>
    <row r="132">
      <c r="A132" s="20"/>
      <c r="B132" s="20"/>
      <c r="C132" s="20"/>
      <c r="D132" s="20"/>
      <c r="E132" s="20"/>
      <c r="F132" s="20"/>
      <c r="G132" s="20"/>
      <c r="H132" s="20"/>
      <c r="I132" s="23"/>
      <c r="J132" s="20"/>
      <c r="K132" s="20"/>
      <c r="L132" s="20"/>
      <c r="M132" s="20"/>
      <c r="N132" s="20"/>
      <c r="O132" s="22"/>
      <c r="P132" s="20"/>
      <c r="Q132" s="20"/>
      <c r="R132" s="20"/>
      <c r="S132" s="20"/>
      <c r="T132" s="20"/>
      <c r="U132" s="20"/>
      <c r="V132" s="20"/>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row>
    <row r="133">
      <c r="A133" s="20"/>
      <c r="B133" s="20"/>
      <c r="C133" s="20"/>
      <c r="D133" s="20"/>
      <c r="E133" s="20"/>
      <c r="F133" s="20"/>
      <c r="G133" s="20"/>
      <c r="H133" s="20"/>
      <c r="I133" s="23"/>
      <c r="J133" s="20"/>
      <c r="K133" s="20"/>
      <c r="L133" s="20"/>
      <c r="M133" s="20"/>
      <c r="N133" s="20"/>
      <c r="O133" s="22"/>
      <c r="P133" s="20"/>
      <c r="Q133" s="20"/>
      <c r="R133" s="20"/>
      <c r="S133" s="20"/>
      <c r="T133" s="20"/>
      <c r="U133" s="20"/>
      <c r="V133" s="20"/>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row>
    <row r="134">
      <c r="A134" s="20"/>
      <c r="B134" s="20"/>
      <c r="C134" s="20"/>
      <c r="D134" s="20"/>
      <c r="E134" s="20"/>
      <c r="F134" s="20"/>
      <c r="G134" s="20"/>
      <c r="H134" s="20"/>
      <c r="I134" s="23"/>
      <c r="J134" s="20"/>
      <c r="K134" s="20"/>
      <c r="L134" s="20"/>
      <c r="M134" s="20"/>
      <c r="N134" s="20"/>
      <c r="O134" s="22"/>
      <c r="P134" s="20"/>
      <c r="Q134" s="20"/>
      <c r="R134" s="20"/>
      <c r="S134" s="20"/>
      <c r="T134" s="20"/>
      <c r="U134" s="20"/>
      <c r="V134" s="20"/>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row>
    <row r="135">
      <c r="A135" s="20"/>
      <c r="B135" s="20"/>
      <c r="C135" s="20"/>
      <c r="D135" s="20"/>
      <c r="E135" s="20"/>
      <c r="F135" s="20"/>
      <c r="G135" s="20"/>
      <c r="H135" s="20"/>
      <c r="I135" s="23"/>
      <c r="J135" s="20"/>
      <c r="K135" s="20"/>
      <c r="L135" s="20"/>
      <c r="M135" s="20"/>
      <c r="N135" s="20"/>
      <c r="O135" s="22"/>
      <c r="P135" s="20"/>
      <c r="Q135" s="20"/>
      <c r="R135" s="20"/>
      <c r="S135" s="20"/>
      <c r="T135" s="20"/>
      <c r="U135" s="20"/>
      <c r="V135" s="20"/>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row>
    <row r="136">
      <c r="A136" s="20"/>
      <c r="B136" s="20"/>
      <c r="C136" s="20"/>
      <c r="D136" s="20"/>
      <c r="E136" s="20"/>
      <c r="F136" s="20"/>
      <c r="G136" s="20"/>
      <c r="H136" s="20"/>
      <c r="I136" s="23"/>
      <c r="J136" s="20"/>
      <c r="K136" s="20"/>
      <c r="L136" s="20"/>
      <c r="M136" s="20"/>
      <c r="N136" s="20"/>
      <c r="O136" s="22"/>
      <c r="P136" s="20"/>
      <c r="Q136" s="20"/>
      <c r="R136" s="20"/>
      <c r="S136" s="20"/>
      <c r="T136" s="20"/>
      <c r="U136" s="20"/>
      <c r="V136" s="20"/>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row>
    <row r="137">
      <c r="A137" s="20"/>
      <c r="B137" s="20"/>
      <c r="C137" s="20"/>
      <c r="D137" s="20"/>
      <c r="E137" s="20"/>
      <c r="F137" s="20"/>
      <c r="G137" s="20"/>
      <c r="H137" s="20"/>
      <c r="I137" s="23"/>
      <c r="J137" s="20"/>
      <c r="K137" s="20"/>
      <c r="L137" s="20"/>
      <c r="M137" s="20"/>
      <c r="N137" s="20"/>
      <c r="O137" s="22"/>
      <c r="P137" s="20"/>
      <c r="Q137" s="20"/>
      <c r="R137" s="20"/>
      <c r="S137" s="20"/>
      <c r="T137" s="20"/>
      <c r="U137" s="20"/>
      <c r="V137" s="20"/>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row>
    <row r="138">
      <c r="A138" s="20"/>
      <c r="B138" s="20"/>
      <c r="C138" s="20"/>
      <c r="D138" s="20"/>
      <c r="E138" s="20"/>
      <c r="F138" s="20"/>
      <c r="G138" s="20"/>
      <c r="H138" s="20"/>
      <c r="I138" s="23"/>
      <c r="J138" s="20"/>
      <c r="K138" s="20"/>
      <c r="L138" s="20"/>
      <c r="M138" s="20"/>
      <c r="N138" s="20"/>
      <c r="O138" s="22"/>
      <c r="P138" s="20"/>
      <c r="Q138" s="20"/>
      <c r="R138" s="20"/>
      <c r="S138" s="20"/>
      <c r="T138" s="20"/>
      <c r="U138" s="20"/>
      <c r="V138" s="20"/>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row>
    <row r="139">
      <c r="A139" s="20"/>
      <c r="B139" s="20"/>
      <c r="C139" s="20"/>
      <c r="D139" s="20"/>
      <c r="E139" s="20"/>
      <c r="F139" s="20"/>
      <c r="G139" s="20"/>
      <c r="H139" s="20"/>
      <c r="I139" s="23"/>
      <c r="J139" s="20"/>
      <c r="K139" s="20"/>
      <c r="L139" s="20"/>
      <c r="M139" s="20"/>
      <c r="N139" s="20"/>
      <c r="O139" s="22"/>
      <c r="P139" s="20"/>
      <c r="Q139" s="20"/>
      <c r="R139" s="20"/>
      <c r="S139" s="20"/>
      <c r="T139" s="20"/>
      <c r="U139" s="20"/>
      <c r="V139" s="20"/>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row>
    <row r="140">
      <c r="A140" s="20"/>
      <c r="B140" s="20"/>
      <c r="C140" s="20"/>
      <c r="D140" s="20"/>
      <c r="E140" s="20"/>
      <c r="F140" s="20"/>
      <c r="G140" s="20"/>
      <c r="H140" s="20"/>
      <c r="I140" s="23"/>
      <c r="J140" s="20"/>
      <c r="K140" s="20"/>
      <c r="L140" s="20"/>
      <c r="M140" s="20"/>
      <c r="N140" s="20"/>
      <c r="O140" s="22"/>
      <c r="P140" s="20"/>
      <c r="Q140" s="20"/>
      <c r="R140" s="20"/>
      <c r="S140" s="20"/>
      <c r="T140" s="20"/>
      <c r="U140" s="20"/>
      <c r="V140" s="20"/>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row>
    <row r="141">
      <c r="A141" s="20"/>
      <c r="B141" s="20"/>
      <c r="C141" s="20"/>
      <c r="D141" s="20"/>
      <c r="E141" s="20"/>
      <c r="F141" s="20"/>
      <c r="G141" s="20"/>
      <c r="H141" s="20"/>
      <c r="I141" s="23"/>
      <c r="J141" s="20"/>
      <c r="K141" s="20"/>
      <c r="L141" s="20"/>
      <c r="M141" s="20"/>
      <c r="N141" s="20"/>
      <c r="O141" s="22"/>
      <c r="P141" s="20"/>
      <c r="Q141" s="20"/>
      <c r="R141" s="20"/>
      <c r="S141" s="20"/>
      <c r="T141" s="20"/>
      <c r="U141" s="20"/>
      <c r="V141" s="20"/>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row>
    <row r="142">
      <c r="A142" s="20"/>
      <c r="B142" s="20"/>
      <c r="C142" s="20"/>
      <c r="D142" s="20"/>
      <c r="E142" s="20"/>
      <c r="F142" s="20"/>
      <c r="G142" s="20"/>
      <c r="H142" s="20"/>
      <c r="I142" s="23"/>
      <c r="J142" s="20"/>
      <c r="K142" s="20"/>
      <c r="L142" s="20"/>
      <c r="M142" s="20"/>
      <c r="N142" s="20"/>
      <c r="O142" s="22"/>
      <c r="P142" s="20"/>
      <c r="Q142" s="20"/>
      <c r="R142" s="20"/>
      <c r="S142" s="20"/>
      <c r="T142" s="20"/>
      <c r="U142" s="20"/>
      <c r="V142" s="20"/>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row>
    <row r="143">
      <c r="A143" s="20"/>
      <c r="B143" s="20"/>
      <c r="C143" s="20"/>
      <c r="D143" s="20"/>
      <c r="E143" s="20"/>
      <c r="F143" s="20"/>
      <c r="G143" s="20"/>
      <c r="H143" s="20"/>
      <c r="I143" s="23"/>
      <c r="J143" s="20"/>
      <c r="K143" s="20"/>
      <c r="L143" s="20"/>
      <c r="M143" s="20"/>
      <c r="N143" s="20"/>
      <c r="O143" s="22"/>
      <c r="P143" s="20"/>
      <c r="Q143" s="20"/>
      <c r="R143" s="20"/>
      <c r="S143" s="20"/>
      <c r="T143" s="20"/>
      <c r="U143" s="20"/>
      <c r="V143" s="20"/>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row>
    <row r="144">
      <c r="A144" s="20"/>
      <c r="B144" s="20"/>
      <c r="C144" s="20"/>
      <c r="D144" s="20"/>
      <c r="E144" s="20"/>
      <c r="F144" s="20"/>
      <c r="G144" s="20"/>
      <c r="H144" s="20"/>
      <c r="I144" s="23"/>
      <c r="J144" s="20"/>
      <c r="K144" s="20"/>
      <c r="L144" s="20"/>
      <c r="M144" s="20"/>
      <c r="N144" s="20"/>
      <c r="O144" s="22"/>
      <c r="P144" s="20"/>
      <c r="Q144" s="20"/>
      <c r="R144" s="20"/>
      <c r="S144" s="20"/>
      <c r="T144" s="20"/>
      <c r="U144" s="20"/>
      <c r="V144" s="20"/>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row>
    <row r="145">
      <c r="A145" s="20"/>
      <c r="B145" s="20"/>
      <c r="C145" s="20"/>
      <c r="D145" s="20"/>
      <c r="E145" s="20"/>
      <c r="F145" s="20"/>
      <c r="G145" s="20"/>
      <c r="H145" s="20"/>
      <c r="I145" s="23"/>
      <c r="J145" s="20"/>
      <c r="K145" s="20"/>
      <c r="L145" s="20"/>
      <c r="M145" s="20"/>
      <c r="N145" s="20"/>
      <c r="O145" s="22"/>
      <c r="P145" s="20"/>
      <c r="Q145" s="20"/>
      <c r="R145" s="20"/>
      <c r="S145" s="20"/>
      <c r="T145" s="20"/>
      <c r="U145" s="20"/>
      <c r="V145" s="20"/>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row>
    <row r="146">
      <c r="A146" s="20"/>
      <c r="B146" s="20"/>
      <c r="C146" s="20"/>
      <c r="D146" s="20"/>
      <c r="E146" s="20"/>
      <c r="F146" s="20"/>
      <c r="G146" s="20"/>
      <c r="H146" s="20"/>
      <c r="I146" s="23"/>
      <c r="J146" s="20"/>
      <c r="K146" s="20"/>
      <c r="L146" s="20"/>
      <c r="M146" s="20"/>
      <c r="N146" s="20"/>
      <c r="O146" s="22"/>
      <c r="P146" s="20"/>
      <c r="Q146" s="20"/>
      <c r="R146" s="20"/>
      <c r="S146" s="20"/>
      <c r="T146" s="20"/>
      <c r="U146" s="20"/>
      <c r="V146" s="20"/>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row>
    <row r="147">
      <c r="A147" s="20"/>
      <c r="B147" s="20"/>
      <c r="C147" s="20"/>
      <c r="D147" s="20"/>
      <c r="E147" s="20"/>
      <c r="F147" s="20"/>
      <c r="G147" s="20"/>
      <c r="H147" s="20"/>
      <c r="I147" s="23"/>
      <c r="J147" s="20"/>
      <c r="K147" s="20"/>
      <c r="L147" s="20"/>
      <c r="M147" s="20"/>
      <c r="N147" s="20"/>
      <c r="O147" s="22"/>
      <c r="P147" s="20"/>
      <c r="Q147" s="20"/>
      <c r="R147" s="20"/>
      <c r="S147" s="20"/>
      <c r="T147" s="20"/>
      <c r="U147" s="20"/>
      <c r="V147" s="20"/>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row>
    <row r="148">
      <c r="A148" s="20"/>
      <c r="B148" s="20"/>
      <c r="C148" s="20"/>
      <c r="D148" s="20"/>
      <c r="E148" s="20"/>
      <c r="F148" s="20"/>
      <c r="G148" s="20"/>
      <c r="H148" s="20"/>
      <c r="I148" s="23"/>
      <c r="J148" s="20"/>
      <c r="K148" s="20"/>
      <c r="L148" s="20"/>
      <c r="M148" s="20"/>
      <c r="N148" s="20"/>
      <c r="O148" s="22"/>
      <c r="P148" s="20"/>
      <c r="Q148" s="20"/>
      <c r="R148" s="20"/>
      <c r="S148" s="20"/>
      <c r="T148" s="20"/>
      <c r="U148" s="20"/>
      <c r="V148" s="20"/>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row>
    <row r="149">
      <c r="A149" s="20"/>
      <c r="B149" s="20"/>
      <c r="C149" s="20"/>
      <c r="D149" s="20"/>
      <c r="E149" s="20"/>
      <c r="F149" s="20"/>
      <c r="G149" s="20"/>
      <c r="H149" s="20"/>
      <c r="I149" s="23"/>
      <c r="J149" s="20"/>
      <c r="K149" s="20"/>
      <c r="L149" s="20"/>
      <c r="M149" s="20"/>
      <c r="N149" s="20"/>
      <c r="O149" s="22"/>
      <c r="P149" s="20"/>
      <c r="Q149" s="20"/>
      <c r="R149" s="20"/>
      <c r="S149" s="20"/>
      <c r="T149" s="20"/>
      <c r="U149" s="20"/>
      <c r="V149" s="20"/>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row>
    <row r="150">
      <c r="A150" s="20"/>
      <c r="B150" s="20"/>
      <c r="C150" s="20"/>
      <c r="D150" s="20"/>
      <c r="E150" s="20"/>
      <c r="F150" s="20"/>
      <c r="G150" s="20"/>
      <c r="H150" s="20"/>
      <c r="I150" s="23"/>
      <c r="J150" s="20"/>
      <c r="K150" s="20"/>
      <c r="L150" s="20"/>
      <c r="M150" s="20"/>
      <c r="N150" s="20"/>
      <c r="O150" s="22"/>
      <c r="P150" s="20"/>
      <c r="Q150" s="20"/>
      <c r="R150" s="20"/>
      <c r="S150" s="20"/>
      <c r="T150" s="20"/>
      <c r="U150" s="20"/>
      <c r="V150" s="20"/>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row>
    <row r="151">
      <c r="A151" s="20"/>
      <c r="B151" s="20"/>
      <c r="C151" s="20"/>
      <c r="D151" s="20"/>
      <c r="E151" s="20"/>
      <c r="F151" s="20"/>
      <c r="G151" s="20"/>
      <c r="H151" s="20"/>
      <c r="I151" s="23"/>
      <c r="J151" s="20"/>
      <c r="K151" s="20"/>
      <c r="L151" s="20"/>
      <c r="M151" s="20"/>
      <c r="N151" s="20"/>
      <c r="O151" s="22"/>
      <c r="P151" s="20"/>
      <c r="Q151" s="20"/>
      <c r="R151" s="20"/>
      <c r="S151" s="20"/>
      <c r="T151" s="20"/>
      <c r="U151" s="20"/>
      <c r="V151" s="20"/>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row>
    <row r="152">
      <c r="A152" s="20"/>
      <c r="B152" s="20"/>
      <c r="C152" s="20"/>
      <c r="D152" s="20"/>
      <c r="E152" s="20"/>
      <c r="F152" s="20"/>
      <c r="G152" s="20"/>
      <c r="H152" s="20"/>
      <c r="I152" s="23"/>
      <c r="J152" s="20"/>
      <c r="K152" s="20"/>
      <c r="L152" s="20"/>
      <c r="M152" s="20"/>
      <c r="N152" s="20"/>
      <c r="O152" s="22"/>
      <c r="P152" s="20"/>
      <c r="Q152" s="20"/>
      <c r="R152" s="20"/>
      <c r="S152" s="20"/>
      <c r="T152" s="20"/>
      <c r="U152" s="20"/>
      <c r="V152" s="20"/>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row>
    <row r="153">
      <c r="A153" s="20"/>
      <c r="B153" s="20"/>
      <c r="C153" s="20"/>
      <c r="D153" s="20"/>
      <c r="E153" s="20"/>
      <c r="F153" s="20"/>
      <c r="G153" s="20"/>
      <c r="H153" s="20"/>
      <c r="I153" s="23"/>
      <c r="J153" s="20"/>
      <c r="K153" s="20"/>
      <c r="L153" s="20"/>
      <c r="M153" s="20"/>
      <c r="N153" s="20"/>
      <c r="O153" s="22"/>
      <c r="P153" s="20"/>
      <c r="Q153" s="20"/>
      <c r="R153" s="20"/>
      <c r="S153" s="20"/>
      <c r="T153" s="20"/>
      <c r="U153" s="20"/>
      <c r="V153" s="20"/>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row>
    <row r="154">
      <c r="A154" s="20"/>
      <c r="B154" s="20"/>
      <c r="C154" s="20"/>
      <c r="D154" s="20"/>
      <c r="E154" s="20"/>
      <c r="F154" s="20"/>
      <c r="G154" s="20"/>
      <c r="H154" s="20"/>
      <c r="I154" s="23"/>
      <c r="J154" s="20"/>
      <c r="K154" s="20"/>
      <c r="L154" s="20"/>
      <c r="M154" s="20"/>
      <c r="N154" s="20"/>
      <c r="O154" s="22"/>
      <c r="P154" s="20"/>
      <c r="Q154" s="20"/>
      <c r="R154" s="20"/>
      <c r="S154" s="20"/>
      <c r="T154" s="20"/>
      <c r="U154" s="20"/>
      <c r="V154" s="20"/>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row>
    <row r="155">
      <c r="A155" s="20"/>
      <c r="B155" s="20"/>
      <c r="C155" s="20"/>
      <c r="D155" s="20"/>
      <c r="E155" s="20"/>
      <c r="F155" s="20"/>
      <c r="G155" s="20"/>
      <c r="H155" s="20"/>
      <c r="I155" s="23"/>
      <c r="J155" s="20"/>
      <c r="K155" s="20"/>
      <c r="L155" s="20"/>
      <c r="M155" s="20"/>
      <c r="N155" s="20"/>
      <c r="O155" s="22"/>
      <c r="P155" s="20"/>
      <c r="Q155" s="20"/>
      <c r="R155" s="20"/>
      <c r="S155" s="20"/>
      <c r="T155" s="20"/>
      <c r="U155" s="20"/>
      <c r="V155" s="20"/>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row>
    <row r="156">
      <c r="A156" s="20"/>
      <c r="B156" s="20"/>
      <c r="C156" s="20"/>
      <c r="D156" s="20"/>
      <c r="E156" s="20"/>
      <c r="F156" s="20"/>
      <c r="G156" s="20"/>
      <c r="H156" s="20"/>
      <c r="I156" s="23"/>
      <c r="J156" s="20"/>
      <c r="K156" s="20"/>
      <c r="L156" s="20"/>
      <c r="M156" s="20"/>
      <c r="N156" s="20"/>
      <c r="O156" s="22"/>
      <c r="P156" s="20"/>
      <c r="Q156" s="20"/>
      <c r="R156" s="20"/>
      <c r="S156" s="20"/>
      <c r="T156" s="20"/>
      <c r="U156" s="20"/>
      <c r="V156" s="20"/>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row>
    <row r="157">
      <c r="A157" s="20"/>
      <c r="B157" s="20"/>
      <c r="C157" s="20"/>
      <c r="D157" s="20"/>
      <c r="E157" s="20"/>
      <c r="F157" s="20"/>
      <c r="G157" s="20"/>
      <c r="H157" s="20"/>
      <c r="I157" s="23"/>
      <c r="J157" s="20"/>
      <c r="K157" s="20"/>
      <c r="L157" s="20"/>
      <c r="M157" s="20"/>
      <c r="N157" s="20"/>
      <c r="O157" s="22"/>
      <c r="P157" s="20"/>
      <c r="Q157" s="20"/>
      <c r="R157" s="20"/>
      <c r="S157" s="20"/>
      <c r="T157" s="20"/>
      <c r="U157" s="20"/>
      <c r="V157" s="20"/>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row>
    <row r="158">
      <c r="A158" s="20"/>
      <c r="B158" s="20"/>
      <c r="C158" s="20"/>
      <c r="D158" s="20"/>
      <c r="E158" s="20"/>
      <c r="F158" s="20"/>
      <c r="G158" s="20"/>
      <c r="H158" s="20"/>
      <c r="I158" s="23"/>
      <c r="J158" s="20"/>
      <c r="K158" s="20"/>
      <c r="L158" s="20"/>
      <c r="M158" s="20"/>
      <c r="N158" s="20"/>
      <c r="O158" s="22"/>
      <c r="P158" s="20"/>
      <c r="Q158" s="20"/>
      <c r="R158" s="20"/>
      <c r="S158" s="20"/>
      <c r="T158" s="20"/>
      <c r="U158" s="20"/>
      <c r="V158" s="20"/>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row>
    <row r="159">
      <c r="A159" s="20"/>
      <c r="B159" s="20"/>
      <c r="C159" s="20"/>
      <c r="D159" s="20"/>
      <c r="E159" s="20"/>
      <c r="F159" s="20"/>
      <c r="G159" s="20"/>
      <c r="H159" s="20"/>
      <c r="I159" s="23"/>
      <c r="J159" s="20"/>
      <c r="K159" s="20"/>
      <c r="L159" s="20"/>
      <c r="M159" s="20"/>
      <c r="N159" s="20"/>
      <c r="O159" s="22"/>
      <c r="P159" s="20"/>
      <c r="Q159" s="20"/>
      <c r="R159" s="20"/>
      <c r="S159" s="20"/>
      <c r="T159" s="20"/>
      <c r="U159" s="20"/>
      <c r="V159" s="20"/>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row>
    <row r="160">
      <c r="A160" s="20"/>
      <c r="B160" s="20"/>
      <c r="C160" s="20"/>
      <c r="D160" s="20"/>
      <c r="E160" s="20"/>
      <c r="F160" s="20"/>
      <c r="G160" s="20"/>
      <c r="H160" s="20"/>
      <c r="I160" s="23"/>
      <c r="J160" s="20"/>
      <c r="K160" s="20"/>
      <c r="L160" s="20"/>
      <c r="M160" s="20"/>
      <c r="N160" s="20"/>
      <c r="O160" s="22"/>
      <c r="P160" s="20"/>
      <c r="Q160" s="20"/>
      <c r="R160" s="20"/>
      <c r="S160" s="20"/>
      <c r="T160" s="20"/>
      <c r="U160" s="20"/>
      <c r="V160" s="20"/>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row>
    <row r="161">
      <c r="A161" s="20"/>
      <c r="B161" s="20"/>
      <c r="C161" s="20"/>
      <c r="D161" s="20"/>
      <c r="E161" s="20"/>
      <c r="F161" s="20"/>
      <c r="G161" s="20"/>
      <c r="H161" s="20"/>
      <c r="I161" s="23"/>
      <c r="J161" s="20"/>
      <c r="K161" s="20"/>
      <c r="L161" s="20"/>
      <c r="M161" s="20"/>
      <c r="N161" s="20"/>
      <c r="O161" s="22"/>
      <c r="P161" s="20"/>
      <c r="Q161" s="20"/>
      <c r="R161" s="20"/>
      <c r="S161" s="20"/>
      <c r="T161" s="20"/>
      <c r="U161" s="20"/>
      <c r="V161" s="20"/>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row>
    <row r="162">
      <c r="A162" s="20"/>
      <c r="B162" s="20"/>
      <c r="C162" s="20"/>
      <c r="D162" s="20"/>
      <c r="E162" s="20"/>
      <c r="F162" s="20"/>
      <c r="G162" s="20"/>
      <c r="H162" s="20"/>
      <c r="I162" s="23"/>
      <c r="J162" s="20"/>
      <c r="K162" s="20"/>
      <c r="L162" s="20"/>
      <c r="M162" s="20"/>
      <c r="N162" s="20"/>
      <c r="O162" s="22"/>
      <c r="P162" s="20"/>
      <c r="Q162" s="20"/>
      <c r="R162" s="20"/>
      <c r="S162" s="20"/>
      <c r="T162" s="20"/>
      <c r="U162" s="20"/>
      <c r="V162" s="20"/>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row>
    <row r="163">
      <c r="A163" s="20"/>
      <c r="B163" s="20"/>
      <c r="C163" s="20"/>
      <c r="D163" s="20"/>
      <c r="E163" s="20"/>
      <c r="F163" s="20"/>
      <c r="G163" s="20"/>
      <c r="H163" s="20"/>
      <c r="I163" s="23"/>
      <c r="J163" s="20"/>
      <c r="K163" s="20"/>
      <c r="L163" s="20"/>
      <c r="M163" s="20"/>
      <c r="N163" s="20"/>
      <c r="O163" s="22"/>
      <c r="P163" s="20"/>
      <c r="Q163" s="20"/>
      <c r="R163" s="20"/>
      <c r="S163" s="20"/>
      <c r="T163" s="20"/>
      <c r="U163" s="20"/>
      <c r="V163" s="20"/>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row>
    <row r="164">
      <c r="A164" s="20"/>
      <c r="B164" s="20"/>
      <c r="C164" s="20"/>
      <c r="D164" s="20"/>
      <c r="E164" s="20"/>
      <c r="F164" s="20"/>
      <c r="G164" s="20"/>
      <c r="H164" s="20"/>
      <c r="I164" s="23"/>
      <c r="J164" s="20"/>
      <c r="K164" s="20"/>
      <c r="L164" s="20"/>
      <c r="M164" s="20"/>
      <c r="N164" s="20"/>
      <c r="O164" s="22"/>
      <c r="P164" s="20"/>
      <c r="Q164" s="20"/>
      <c r="R164" s="20"/>
      <c r="S164" s="20"/>
      <c r="T164" s="20"/>
      <c r="U164" s="20"/>
      <c r="V164" s="20"/>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row>
    <row r="165">
      <c r="A165" s="20"/>
      <c r="B165" s="20"/>
      <c r="C165" s="20"/>
      <c r="D165" s="20"/>
      <c r="E165" s="20"/>
      <c r="F165" s="20"/>
      <c r="G165" s="20"/>
      <c r="H165" s="20"/>
      <c r="I165" s="23"/>
      <c r="J165" s="20"/>
      <c r="K165" s="20"/>
      <c r="L165" s="20"/>
      <c r="M165" s="20"/>
      <c r="N165" s="20"/>
      <c r="O165" s="22"/>
      <c r="P165" s="20"/>
      <c r="Q165" s="20"/>
      <c r="R165" s="20"/>
      <c r="S165" s="20"/>
      <c r="T165" s="20"/>
      <c r="U165" s="20"/>
      <c r="V165" s="20"/>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row>
    <row r="166">
      <c r="A166" s="20"/>
      <c r="B166" s="20"/>
      <c r="C166" s="20"/>
      <c r="D166" s="20"/>
      <c r="E166" s="20"/>
      <c r="F166" s="20"/>
      <c r="G166" s="20"/>
      <c r="H166" s="20"/>
      <c r="I166" s="23"/>
      <c r="J166" s="20"/>
      <c r="K166" s="20"/>
      <c r="L166" s="20"/>
      <c r="M166" s="20"/>
      <c r="N166" s="20"/>
      <c r="O166" s="22"/>
      <c r="P166" s="20"/>
      <c r="Q166" s="20"/>
      <c r="R166" s="20"/>
      <c r="S166" s="20"/>
      <c r="T166" s="20"/>
      <c r="U166" s="20"/>
      <c r="V166" s="20"/>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row>
    <row r="167">
      <c r="A167" s="20"/>
      <c r="B167" s="20"/>
      <c r="C167" s="20"/>
      <c r="D167" s="20"/>
      <c r="E167" s="20"/>
      <c r="F167" s="20"/>
      <c r="G167" s="20"/>
      <c r="H167" s="20"/>
      <c r="I167" s="23"/>
      <c r="J167" s="20"/>
      <c r="K167" s="20"/>
      <c r="L167" s="20"/>
      <c r="M167" s="20"/>
      <c r="N167" s="20"/>
      <c r="O167" s="22"/>
      <c r="P167" s="20"/>
      <c r="Q167" s="20"/>
      <c r="R167" s="20"/>
      <c r="S167" s="20"/>
      <c r="T167" s="20"/>
      <c r="U167" s="20"/>
      <c r="V167" s="20"/>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row>
    <row r="168">
      <c r="A168" s="20"/>
      <c r="B168" s="20"/>
      <c r="C168" s="20"/>
      <c r="D168" s="20"/>
      <c r="E168" s="20"/>
      <c r="F168" s="20"/>
      <c r="G168" s="20"/>
      <c r="H168" s="20"/>
      <c r="I168" s="23"/>
      <c r="J168" s="20"/>
      <c r="K168" s="20"/>
      <c r="L168" s="20"/>
      <c r="M168" s="20"/>
      <c r="N168" s="20"/>
      <c r="O168" s="22"/>
      <c r="P168" s="20"/>
      <c r="Q168" s="20"/>
      <c r="R168" s="20"/>
      <c r="S168" s="20"/>
      <c r="T168" s="20"/>
      <c r="U168" s="20"/>
      <c r="V168" s="20"/>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row>
    <row r="169">
      <c r="A169" s="20"/>
      <c r="B169" s="20"/>
      <c r="C169" s="20"/>
      <c r="D169" s="20"/>
      <c r="E169" s="20"/>
      <c r="F169" s="20"/>
      <c r="G169" s="20"/>
      <c r="H169" s="20"/>
      <c r="I169" s="23"/>
      <c r="J169" s="20"/>
      <c r="K169" s="20"/>
      <c r="L169" s="20"/>
      <c r="M169" s="20"/>
      <c r="N169" s="20"/>
      <c r="O169" s="22"/>
      <c r="P169" s="20"/>
      <c r="Q169" s="20"/>
      <c r="R169" s="20"/>
      <c r="S169" s="20"/>
      <c r="T169" s="20"/>
      <c r="U169" s="20"/>
      <c r="V169" s="20"/>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row>
    <row r="170">
      <c r="A170" s="20"/>
      <c r="B170" s="20"/>
      <c r="C170" s="20"/>
      <c r="D170" s="20"/>
      <c r="E170" s="20"/>
      <c r="F170" s="20"/>
      <c r="G170" s="20"/>
      <c r="H170" s="20"/>
      <c r="I170" s="23"/>
      <c r="J170" s="20"/>
      <c r="K170" s="20"/>
      <c r="L170" s="20"/>
      <c r="M170" s="20"/>
      <c r="N170" s="20"/>
      <c r="O170" s="22"/>
      <c r="P170" s="20"/>
      <c r="Q170" s="20"/>
      <c r="R170" s="20"/>
      <c r="S170" s="20"/>
      <c r="T170" s="20"/>
      <c r="U170" s="20"/>
      <c r="V170" s="20"/>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row>
    <row r="171">
      <c r="A171" s="20"/>
      <c r="B171" s="20"/>
      <c r="C171" s="20"/>
      <c r="D171" s="20"/>
      <c r="E171" s="20"/>
      <c r="F171" s="20"/>
      <c r="G171" s="20"/>
      <c r="H171" s="20"/>
      <c r="I171" s="23"/>
      <c r="J171" s="20"/>
      <c r="K171" s="20"/>
      <c r="L171" s="20"/>
      <c r="M171" s="20"/>
      <c r="N171" s="20"/>
      <c r="O171" s="22"/>
      <c r="P171" s="20"/>
      <c r="Q171" s="20"/>
      <c r="R171" s="20"/>
      <c r="S171" s="20"/>
      <c r="T171" s="20"/>
      <c r="U171" s="20"/>
      <c r="V171" s="20"/>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row>
    <row r="172">
      <c r="A172" s="20"/>
      <c r="B172" s="20"/>
      <c r="C172" s="20"/>
      <c r="D172" s="20"/>
      <c r="E172" s="20"/>
      <c r="F172" s="20"/>
      <c r="G172" s="20"/>
      <c r="H172" s="20"/>
      <c r="I172" s="23"/>
      <c r="J172" s="20"/>
      <c r="K172" s="20"/>
      <c r="L172" s="20"/>
      <c r="M172" s="20"/>
      <c r="N172" s="20"/>
      <c r="O172" s="22"/>
      <c r="P172" s="20"/>
      <c r="Q172" s="20"/>
      <c r="R172" s="20"/>
      <c r="S172" s="20"/>
      <c r="T172" s="20"/>
      <c r="U172" s="20"/>
      <c r="V172" s="20"/>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row>
    <row r="173">
      <c r="A173" s="20"/>
      <c r="B173" s="20"/>
      <c r="C173" s="20"/>
      <c r="D173" s="20"/>
      <c r="E173" s="20"/>
      <c r="F173" s="20"/>
      <c r="G173" s="20"/>
      <c r="H173" s="20"/>
      <c r="I173" s="23"/>
      <c r="J173" s="20"/>
      <c r="K173" s="20"/>
      <c r="L173" s="20"/>
      <c r="M173" s="20"/>
      <c r="N173" s="20"/>
      <c r="O173" s="22"/>
      <c r="P173" s="20"/>
      <c r="Q173" s="20"/>
      <c r="R173" s="20"/>
      <c r="S173" s="20"/>
      <c r="T173" s="20"/>
      <c r="U173" s="20"/>
      <c r="V173" s="20"/>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row>
    <row r="174">
      <c r="A174" s="20"/>
      <c r="B174" s="20"/>
      <c r="C174" s="20"/>
      <c r="D174" s="20"/>
      <c r="E174" s="20"/>
      <c r="F174" s="20"/>
      <c r="G174" s="20"/>
      <c r="H174" s="20"/>
      <c r="I174" s="23"/>
      <c r="J174" s="20"/>
      <c r="K174" s="20"/>
      <c r="L174" s="20"/>
      <c r="M174" s="20"/>
      <c r="N174" s="20"/>
      <c r="O174" s="22"/>
      <c r="P174" s="20"/>
      <c r="Q174" s="20"/>
      <c r="R174" s="20"/>
      <c r="S174" s="20"/>
      <c r="T174" s="20"/>
      <c r="U174" s="20"/>
      <c r="V174" s="20"/>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row>
    <row r="175">
      <c r="A175" s="20"/>
      <c r="B175" s="20"/>
      <c r="C175" s="20"/>
      <c r="D175" s="20"/>
      <c r="E175" s="20"/>
      <c r="F175" s="20"/>
      <c r="G175" s="20"/>
      <c r="H175" s="20"/>
      <c r="I175" s="23"/>
      <c r="J175" s="20"/>
      <c r="K175" s="20"/>
      <c r="L175" s="20"/>
      <c r="M175" s="20"/>
      <c r="N175" s="20"/>
      <c r="O175" s="22"/>
      <c r="P175" s="20"/>
      <c r="Q175" s="20"/>
      <c r="R175" s="20"/>
      <c r="S175" s="20"/>
      <c r="T175" s="20"/>
      <c r="U175" s="20"/>
      <c r="V175" s="20"/>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row>
    <row r="176">
      <c r="A176" s="20"/>
      <c r="B176" s="20"/>
      <c r="C176" s="20"/>
      <c r="D176" s="20"/>
      <c r="E176" s="20"/>
      <c r="F176" s="20"/>
      <c r="G176" s="20"/>
      <c r="H176" s="20"/>
      <c r="I176" s="23"/>
      <c r="J176" s="20"/>
      <c r="K176" s="20"/>
      <c r="L176" s="20"/>
      <c r="M176" s="20"/>
      <c r="N176" s="20"/>
      <c r="O176" s="22"/>
      <c r="P176" s="20"/>
      <c r="Q176" s="20"/>
      <c r="R176" s="20"/>
      <c r="S176" s="20"/>
      <c r="T176" s="20"/>
      <c r="U176" s="20"/>
      <c r="V176" s="20"/>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row>
    <row r="177">
      <c r="A177" s="20"/>
      <c r="B177" s="20"/>
      <c r="C177" s="20"/>
      <c r="D177" s="20"/>
      <c r="E177" s="20"/>
      <c r="F177" s="20"/>
      <c r="G177" s="20"/>
      <c r="H177" s="20"/>
      <c r="I177" s="23"/>
      <c r="J177" s="20"/>
      <c r="K177" s="20"/>
      <c r="L177" s="20"/>
      <c r="M177" s="20"/>
      <c r="N177" s="20"/>
      <c r="O177" s="22"/>
      <c r="P177" s="20"/>
      <c r="Q177" s="20"/>
      <c r="R177" s="20"/>
      <c r="S177" s="20"/>
      <c r="T177" s="20"/>
      <c r="U177" s="20"/>
      <c r="V177" s="20"/>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row>
    <row r="178">
      <c r="A178" s="20"/>
      <c r="B178" s="20"/>
      <c r="C178" s="20"/>
      <c r="D178" s="20"/>
      <c r="E178" s="20"/>
      <c r="F178" s="20"/>
      <c r="G178" s="20"/>
      <c r="H178" s="20"/>
      <c r="I178" s="23"/>
      <c r="J178" s="20"/>
      <c r="K178" s="20"/>
      <c r="L178" s="20"/>
      <c r="M178" s="20"/>
      <c r="N178" s="20"/>
      <c r="O178" s="22"/>
      <c r="P178" s="20"/>
      <c r="Q178" s="20"/>
      <c r="R178" s="20"/>
      <c r="S178" s="20"/>
      <c r="T178" s="20"/>
      <c r="U178" s="20"/>
      <c r="V178" s="20"/>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row>
    <row r="179">
      <c r="A179" s="20"/>
      <c r="B179" s="20"/>
      <c r="C179" s="20"/>
      <c r="D179" s="20"/>
      <c r="E179" s="20"/>
      <c r="F179" s="20"/>
      <c r="G179" s="20"/>
      <c r="H179" s="20"/>
      <c r="I179" s="23"/>
      <c r="J179" s="20"/>
      <c r="K179" s="20"/>
      <c r="L179" s="20"/>
      <c r="M179" s="20"/>
      <c r="N179" s="20"/>
      <c r="O179" s="22"/>
      <c r="P179" s="20"/>
      <c r="Q179" s="20"/>
      <c r="R179" s="20"/>
      <c r="S179" s="20"/>
      <c r="T179" s="20"/>
      <c r="U179" s="20"/>
      <c r="V179" s="20"/>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row>
    <row r="180">
      <c r="A180" s="20"/>
      <c r="B180" s="20"/>
      <c r="C180" s="20"/>
      <c r="D180" s="20"/>
      <c r="E180" s="20"/>
      <c r="F180" s="20"/>
      <c r="G180" s="20"/>
      <c r="H180" s="20"/>
      <c r="I180" s="23"/>
      <c r="J180" s="20"/>
      <c r="K180" s="20"/>
      <c r="L180" s="20"/>
      <c r="M180" s="20"/>
      <c r="N180" s="20"/>
      <c r="O180" s="22"/>
      <c r="P180" s="20"/>
      <c r="Q180" s="20"/>
      <c r="R180" s="20"/>
      <c r="S180" s="20"/>
      <c r="T180" s="20"/>
      <c r="U180" s="20"/>
      <c r="V180" s="20"/>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row>
    <row r="181">
      <c r="A181" s="20"/>
      <c r="B181" s="20"/>
      <c r="C181" s="20"/>
      <c r="D181" s="20"/>
      <c r="E181" s="20"/>
      <c r="F181" s="20"/>
      <c r="G181" s="20"/>
      <c r="H181" s="20"/>
      <c r="I181" s="23"/>
      <c r="J181" s="20"/>
      <c r="K181" s="20"/>
      <c r="L181" s="20"/>
      <c r="M181" s="20"/>
      <c r="N181" s="20"/>
      <c r="O181" s="22"/>
      <c r="P181" s="20"/>
      <c r="Q181" s="20"/>
      <c r="R181" s="20"/>
      <c r="S181" s="20"/>
      <c r="T181" s="20"/>
      <c r="U181" s="20"/>
      <c r="V181" s="20"/>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row>
    <row r="182">
      <c r="A182" s="20"/>
      <c r="B182" s="20"/>
      <c r="C182" s="20"/>
      <c r="D182" s="20"/>
      <c r="E182" s="20"/>
      <c r="F182" s="20"/>
      <c r="G182" s="20"/>
      <c r="H182" s="20"/>
      <c r="I182" s="23"/>
      <c r="J182" s="20"/>
      <c r="K182" s="20"/>
      <c r="L182" s="20"/>
      <c r="M182" s="20"/>
      <c r="N182" s="20"/>
      <c r="O182" s="22"/>
      <c r="P182" s="20"/>
      <c r="Q182" s="20"/>
      <c r="R182" s="20"/>
      <c r="S182" s="20"/>
      <c r="T182" s="20"/>
      <c r="U182" s="20"/>
      <c r="V182" s="20"/>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row>
    <row r="183">
      <c r="A183" s="20"/>
      <c r="B183" s="20"/>
      <c r="C183" s="20"/>
      <c r="D183" s="20"/>
      <c r="E183" s="20"/>
      <c r="F183" s="20"/>
      <c r="G183" s="20"/>
      <c r="H183" s="20"/>
      <c r="I183" s="23"/>
      <c r="J183" s="20"/>
      <c r="K183" s="20"/>
      <c r="L183" s="20"/>
      <c r="M183" s="20"/>
      <c r="N183" s="20"/>
      <c r="O183" s="22"/>
      <c r="P183" s="20"/>
      <c r="Q183" s="20"/>
      <c r="R183" s="20"/>
      <c r="S183" s="20"/>
      <c r="T183" s="20"/>
      <c r="U183" s="20"/>
      <c r="V183" s="20"/>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row>
    <row r="184">
      <c r="A184" s="20"/>
      <c r="B184" s="20"/>
      <c r="C184" s="20"/>
      <c r="D184" s="20"/>
      <c r="E184" s="20"/>
      <c r="F184" s="20"/>
      <c r="G184" s="20"/>
      <c r="H184" s="20"/>
      <c r="I184" s="23"/>
      <c r="J184" s="20"/>
      <c r="K184" s="20"/>
      <c r="L184" s="20"/>
      <c r="M184" s="20"/>
      <c r="N184" s="20"/>
      <c r="O184" s="22"/>
      <c r="P184" s="20"/>
      <c r="Q184" s="20"/>
      <c r="R184" s="20"/>
      <c r="S184" s="20"/>
      <c r="T184" s="20"/>
      <c r="U184" s="20"/>
      <c r="V184" s="20"/>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row>
    <row r="185">
      <c r="A185" s="20"/>
      <c r="B185" s="20"/>
      <c r="C185" s="20"/>
      <c r="D185" s="20"/>
      <c r="E185" s="20"/>
      <c r="F185" s="20"/>
      <c r="G185" s="20"/>
      <c r="H185" s="20"/>
      <c r="I185" s="23"/>
      <c r="J185" s="20"/>
      <c r="K185" s="20"/>
      <c r="L185" s="20"/>
      <c r="M185" s="20"/>
      <c r="N185" s="20"/>
      <c r="O185" s="22"/>
      <c r="P185" s="20"/>
      <c r="Q185" s="20"/>
      <c r="R185" s="20"/>
      <c r="S185" s="20"/>
      <c r="T185" s="20"/>
      <c r="U185" s="20"/>
      <c r="V185" s="20"/>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row>
    <row r="186">
      <c r="A186" s="20"/>
      <c r="B186" s="20"/>
      <c r="C186" s="20"/>
      <c r="D186" s="20"/>
      <c r="E186" s="20"/>
      <c r="F186" s="20"/>
      <c r="G186" s="20"/>
      <c r="H186" s="20"/>
      <c r="I186" s="23"/>
      <c r="J186" s="20"/>
      <c r="K186" s="20"/>
      <c r="L186" s="20"/>
      <c r="M186" s="20"/>
      <c r="N186" s="20"/>
      <c r="O186" s="22"/>
      <c r="P186" s="20"/>
      <c r="Q186" s="20"/>
      <c r="R186" s="20"/>
      <c r="S186" s="20"/>
      <c r="T186" s="20"/>
      <c r="U186" s="20"/>
      <c r="V186" s="20"/>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row>
    <row r="187">
      <c r="A187" s="20"/>
      <c r="B187" s="20"/>
      <c r="C187" s="20"/>
      <c r="D187" s="20"/>
      <c r="E187" s="20"/>
      <c r="F187" s="20"/>
      <c r="G187" s="20"/>
      <c r="H187" s="20"/>
      <c r="I187" s="23"/>
      <c r="J187" s="20"/>
      <c r="K187" s="20"/>
      <c r="L187" s="20"/>
      <c r="M187" s="20"/>
      <c r="N187" s="20"/>
      <c r="O187" s="22"/>
      <c r="P187" s="20"/>
      <c r="Q187" s="20"/>
      <c r="R187" s="20"/>
      <c r="S187" s="20"/>
      <c r="T187" s="20"/>
      <c r="U187" s="20"/>
      <c r="V187" s="20"/>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row>
    <row r="188">
      <c r="A188" s="20"/>
      <c r="B188" s="20"/>
      <c r="C188" s="20"/>
      <c r="D188" s="20"/>
      <c r="E188" s="20"/>
      <c r="F188" s="20"/>
      <c r="G188" s="20"/>
      <c r="H188" s="20"/>
      <c r="I188" s="23"/>
      <c r="J188" s="20"/>
      <c r="K188" s="20"/>
      <c r="L188" s="20"/>
      <c r="M188" s="20"/>
      <c r="N188" s="20"/>
      <c r="O188" s="22"/>
      <c r="P188" s="20"/>
      <c r="Q188" s="20"/>
      <c r="R188" s="20"/>
      <c r="S188" s="20"/>
      <c r="T188" s="20"/>
      <c r="U188" s="20"/>
      <c r="V188" s="20"/>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row>
    <row r="189">
      <c r="A189" s="20"/>
      <c r="B189" s="20"/>
      <c r="C189" s="20"/>
      <c r="D189" s="20"/>
      <c r="E189" s="20"/>
      <c r="F189" s="20"/>
      <c r="G189" s="20"/>
      <c r="H189" s="20"/>
      <c r="I189" s="23"/>
      <c r="J189" s="20"/>
      <c r="K189" s="20"/>
      <c r="L189" s="20"/>
      <c r="M189" s="20"/>
      <c r="N189" s="20"/>
      <c r="O189" s="22"/>
      <c r="P189" s="20"/>
      <c r="Q189" s="20"/>
      <c r="R189" s="20"/>
      <c r="S189" s="20"/>
      <c r="T189" s="20"/>
      <c r="U189" s="20"/>
      <c r="V189" s="20"/>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row>
    <row r="190">
      <c r="A190" s="20"/>
      <c r="B190" s="20"/>
      <c r="C190" s="20"/>
      <c r="D190" s="20"/>
      <c r="E190" s="20"/>
      <c r="F190" s="20"/>
      <c r="G190" s="20"/>
      <c r="H190" s="20"/>
      <c r="I190" s="23"/>
      <c r="J190" s="20"/>
      <c r="K190" s="20"/>
      <c r="L190" s="20"/>
      <c r="M190" s="20"/>
      <c r="N190" s="20"/>
      <c r="O190" s="22"/>
      <c r="P190" s="20"/>
      <c r="Q190" s="20"/>
      <c r="R190" s="20"/>
      <c r="S190" s="20"/>
      <c r="T190" s="20"/>
      <c r="U190" s="20"/>
      <c r="V190" s="20"/>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row>
    <row r="191">
      <c r="A191" s="20"/>
      <c r="B191" s="20"/>
      <c r="C191" s="20"/>
      <c r="D191" s="20"/>
      <c r="E191" s="20"/>
      <c r="F191" s="20"/>
      <c r="G191" s="20"/>
      <c r="H191" s="20"/>
      <c r="I191" s="23"/>
      <c r="J191" s="20"/>
      <c r="K191" s="20"/>
      <c r="L191" s="20"/>
      <c r="M191" s="20"/>
      <c r="N191" s="20"/>
      <c r="O191" s="22"/>
      <c r="P191" s="20"/>
      <c r="Q191" s="20"/>
      <c r="R191" s="20"/>
      <c r="S191" s="20"/>
      <c r="T191" s="20"/>
      <c r="U191" s="20"/>
      <c r="V191" s="20"/>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row>
    <row r="192">
      <c r="A192" s="20"/>
      <c r="B192" s="20"/>
      <c r="C192" s="20"/>
      <c r="D192" s="20"/>
      <c r="E192" s="20"/>
      <c r="F192" s="20"/>
      <c r="G192" s="20"/>
      <c r="H192" s="20"/>
      <c r="I192" s="23"/>
      <c r="J192" s="20"/>
      <c r="K192" s="20"/>
      <c r="L192" s="20"/>
      <c r="M192" s="20"/>
      <c r="N192" s="20"/>
      <c r="O192" s="22"/>
      <c r="P192" s="20"/>
      <c r="Q192" s="20"/>
      <c r="R192" s="20"/>
      <c r="S192" s="20"/>
      <c r="T192" s="20"/>
      <c r="U192" s="20"/>
      <c r="V192" s="20"/>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row>
    <row r="193">
      <c r="A193" s="20"/>
      <c r="B193" s="20"/>
      <c r="C193" s="20"/>
      <c r="D193" s="20"/>
      <c r="E193" s="20"/>
      <c r="F193" s="20"/>
      <c r="G193" s="20"/>
      <c r="H193" s="20"/>
      <c r="I193" s="23"/>
      <c r="J193" s="20"/>
      <c r="K193" s="20"/>
      <c r="L193" s="20"/>
      <c r="M193" s="20"/>
      <c r="N193" s="20"/>
      <c r="O193" s="22"/>
      <c r="P193" s="20"/>
      <c r="Q193" s="20"/>
      <c r="R193" s="20"/>
      <c r="S193" s="20"/>
      <c r="T193" s="20"/>
      <c r="U193" s="20"/>
      <c r="V193" s="20"/>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row>
    <row r="194">
      <c r="A194" s="20"/>
      <c r="B194" s="20"/>
      <c r="C194" s="20"/>
      <c r="D194" s="20"/>
      <c r="E194" s="20"/>
      <c r="F194" s="20"/>
      <c r="G194" s="20"/>
      <c r="H194" s="20"/>
      <c r="I194" s="23"/>
      <c r="J194" s="20"/>
      <c r="K194" s="20"/>
      <c r="L194" s="20"/>
      <c r="M194" s="20"/>
      <c r="N194" s="20"/>
      <c r="O194" s="22"/>
      <c r="P194" s="20"/>
      <c r="Q194" s="20"/>
      <c r="R194" s="20"/>
      <c r="S194" s="20"/>
      <c r="T194" s="20"/>
      <c r="U194" s="20"/>
      <c r="V194" s="20"/>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row>
    <row r="195">
      <c r="A195" s="20"/>
      <c r="B195" s="20"/>
      <c r="C195" s="20"/>
      <c r="D195" s="20"/>
      <c r="E195" s="20"/>
      <c r="F195" s="20"/>
      <c r="G195" s="20"/>
      <c r="H195" s="20"/>
      <c r="I195" s="23"/>
      <c r="J195" s="20"/>
      <c r="K195" s="20"/>
      <c r="L195" s="20"/>
      <c r="M195" s="20"/>
      <c r="N195" s="20"/>
      <c r="O195" s="22"/>
      <c r="P195" s="20"/>
      <c r="Q195" s="20"/>
      <c r="R195" s="20"/>
      <c r="S195" s="20"/>
      <c r="T195" s="20"/>
      <c r="U195" s="20"/>
      <c r="V195" s="20"/>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row>
    <row r="196">
      <c r="A196" s="20"/>
      <c r="B196" s="20"/>
      <c r="C196" s="20"/>
      <c r="D196" s="20"/>
      <c r="E196" s="20"/>
      <c r="F196" s="20"/>
      <c r="G196" s="20"/>
      <c r="H196" s="20"/>
      <c r="I196" s="23"/>
      <c r="J196" s="20"/>
      <c r="K196" s="20"/>
      <c r="L196" s="20"/>
      <c r="M196" s="20"/>
      <c r="N196" s="20"/>
      <c r="O196" s="22"/>
      <c r="P196" s="20"/>
      <c r="Q196" s="20"/>
      <c r="R196" s="20"/>
      <c r="S196" s="20"/>
      <c r="T196" s="20"/>
      <c r="U196" s="20"/>
      <c r="V196" s="20"/>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row>
    <row r="197">
      <c r="A197" s="20"/>
      <c r="B197" s="20"/>
      <c r="C197" s="20"/>
      <c r="D197" s="20"/>
      <c r="E197" s="20"/>
      <c r="F197" s="20"/>
      <c r="G197" s="20"/>
      <c r="H197" s="20"/>
      <c r="I197" s="23"/>
      <c r="J197" s="20"/>
      <c r="K197" s="20"/>
      <c r="L197" s="20"/>
      <c r="M197" s="20"/>
      <c r="N197" s="20"/>
      <c r="O197" s="22"/>
      <c r="P197" s="20"/>
      <c r="Q197" s="20"/>
      <c r="R197" s="20"/>
      <c r="S197" s="20"/>
      <c r="T197" s="20"/>
      <c r="U197" s="20"/>
      <c r="V197" s="20"/>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row>
    <row r="198">
      <c r="A198" s="20"/>
      <c r="B198" s="20"/>
      <c r="C198" s="20"/>
      <c r="D198" s="20"/>
      <c r="E198" s="20"/>
      <c r="F198" s="20"/>
      <c r="G198" s="20"/>
      <c r="H198" s="20"/>
      <c r="I198" s="23"/>
      <c r="J198" s="20"/>
      <c r="K198" s="20"/>
      <c r="L198" s="20"/>
      <c r="M198" s="20"/>
      <c r="N198" s="20"/>
      <c r="O198" s="22"/>
      <c r="P198" s="20"/>
      <c r="Q198" s="20"/>
      <c r="R198" s="20"/>
      <c r="S198" s="20"/>
      <c r="T198" s="20"/>
      <c r="U198" s="20"/>
      <c r="V198" s="20"/>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row>
    <row r="199">
      <c r="A199" s="20"/>
      <c r="B199" s="20"/>
      <c r="C199" s="20"/>
      <c r="D199" s="20"/>
      <c r="E199" s="20"/>
      <c r="F199" s="20"/>
      <c r="G199" s="20"/>
      <c r="H199" s="20"/>
      <c r="I199" s="23"/>
      <c r="J199" s="20"/>
      <c r="K199" s="20"/>
      <c r="L199" s="20"/>
      <c r="M199" s="20"/>
      <c r="N199" s="20"/>
      <c r="O199" s="22"/>
      <c r="P199" s="20"/>
      <c r="Q199" s="20"/>
      <c r="R199" s="20"/>
      <c r="S199" s="20"/>
      <c r="T199" s="20"/>
      <c r="U199" s="20"/>
      <c r="V199" s="20"/>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row>
    <row r="200">
      <c r="A200" s="20"/>
      <c r="B200" s="20"/>
      <c r="C200" s="20"/>
      <c r="D200" s="20"/>
      <c r="E200" s="20"/>
      <c r="F200" s="20"/>
      <c r="G200" s="20"/>
      <c r="H200" s="20"/>
      <c r="I200" s="23"/>
      <c r="J200" s="20"/>
      <c r="K200" s="20"/>
      <c r="L200" s="20"/>
      <c r="M200" s="20"/>
      <c r="N200" s="20"/>
      <c r="O200" s="22"/>
      <c r="P200" s="20"/>
      <c r="Q200" s="20"/>
      <c r="R200" s="20"/>
      <c r="S200" s="20"/>
      <c r="T200" s="20"/>
      <c r="U200" s="20"/>
      <c r="V200" s="20"/>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row>
    <row r="201">
      <c r="A201" s="20"/>
      <c r="B201" s="20"/>
      <c r="C201" s="20"/>
      <c r="D201" s="20"/>
      <c r="E201" s="20"/>
      <c r="F201" s="20"/>
      <c r="G201" s="20"/>
      <c r="H201" s="20"/>
      <c r="I201" s="23"/>
      <c r="J201" s="20"/>
      <c r="K201" s="20"/>
      <c r="L201" s="20"/>
      <c r="M201" s="20"/>
      <c r="N201" s="20"/>
      <c r="O201" s="22"/>
      <c r="P201" s="20"/>
      <c r="Q201" s="20"/>
      <c r="R201" s="20"/>
      <c r="S201" s="20"/>
      <c r="T201" s="20"/>
      <c r="U201" s="20"/>
      <c r="V201" s="20"/>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row>
    <row r="202">
      <c r="A202" s="20"/>
      <c r="B202" s="20"/>
      <c r="C202" s="20"/>
      <c r="D202" s="20"/>
      <c r="E202" s="20"/>
      <c r="F202" s="20"/>
      <c r="G202" s="20"/>
      <c r="H202" s="20"/>
      <c r="I202" s="23"/>
      <c r="J202" s="20"/>
      <c r="K202" s="20"/>
      <c r="L202" s="20"/>
      <c r="M202" s="20"/>
      <c r="N202" s="20"/>
      <c r="O202" s="22"/>
      <c r="P202" s="20"/>
      <c r="Q202" s="20"/>
      <c r="R202" s="20"/>
      <c r="S202" s="20"/>
      <c r="T202" s="20"/>
      <c r="U202" s="20"/>
      <c r="V202" s="20"/>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row>
    <row r="203">
      <c r="A203" s="20"/>
      <c r="B203" s="20"/>
      <c r="C203" s="20"/>
      <c r="D203" s="20"/>
      <c r="E203" s="20"/>
      <c r="F203" s="20"/>
      <c r="G203" s="20"/>
      <c r="H203" s="20"/>
      <c r="I203" s="23"/>
      <c r="J203" s="20"/>
      <c r="K203" s="20"/>
      <c r="L203" s="20"/>
      <c r="M203" s="20"/>
      <c r="N203" s="20"/>
      <c r="O203" s="22"/>
      <c r="P203" s="20"/>
      <c r="Q203" s="20"/>
      <c r="R203" s="20"/>
      <c r="S203" s="20"/>
      <c r="T203" s="20"/>
      <c r="U203" s="20"/>
      <c r="V203" s="20"/>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row>
    <row r="204">
      <c r="A204" s="20"/>
      <c r="B204" s="20"/>
      <c r="C204" s="20"/>
      <c r="D204" s="20"/>
      <c r="E204" s="20"/>
      <c r="F204" s="20"/>
      <c r="G204" s="20"/>
      <c r="H204" s="20"/>
      <c r="I204" s="23"/>
      <c r="J204" s="20"/>
      <c r="K204" s="20"/>
      <c r="L204" s="20"/>
      <c r="M204" s="20"/>
      <c r="N204" s="20"/>
      <c r="O204" s="22"/>
      <c r="P204" s="20"/>
      <c r="Q204" s="20"/>
      <c r="R204" s="20"/>
      <c r="S204" s="20"/>
      <c r="T204" s="20"/>
      <c r="U204" s="20"/>
      <c r="V204" s="20"/>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row>
    <row r="205">
      <c r="A205" s="20"/>
      <c r="B205" s="20"/>
      <c r="C205" s="20"/>
      <c r="D205" s="20"/>
      <c r="E205" s="20"/>
      <c r="F205" s="20"/>
      <c r="G205" s="20"/>
      <c r="H205" s="20"/>
      <c r="I205" s="23"/>
      <c r="J205" s="20"/>
      <c r="K205" s="20"/>
      <c r="L205" s="20"/>
      <c r="M205" s="20"/>
      <c r="N205" s="20"/>
      <c r="O205" s="22"/>
      <c r="P205" s="20"/>
      <c r="Q205" s="20"/>
      <c r="R205" s="20"/>
      <c r="S205" s="20"/>
      <c r="T205" s="20"/>
      <c r="U205" s="20"/>
      <c r="V205" s="20"/>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row>
    <row r="206">
      <c r="A206" s="20"/>
      <c r="B206" s="20"/>
      <c r="C206" s="20"/>
      <c r="D206" s="20"/>
      <c r="E206" s="20"/>
      <c r="F206" s="20"/>
      <c r="G206" s="20"/>
      <c r="H206" s="20"/>
      <c r="I206" s="23"/>
      <c r="J206" s="20"/>
      <c r="K206" s="20"/>
      <c r="L206" s="20"/>
      <c r="M206" s="20"/>
      <c r="N206" s="20"/>
      <c r="O206" s="22"/>
      <c r="P206" s="20"/>
      <c r="Q206" s="20"/>
      <c r="R206" s="20"/>
      <c r="S206" s="20"/>
      <c r="T206" s="20"/>
      <c r="U206" s="20"/>
      <c r="V206" s="20"/>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row>
    <row r="207">
      <c r="A207" s="20"/>
      <c r="B207" s="20"/>
      <c r="C207" s="20"/>
      <c r="D207" s="20"/>
      <c r="E207" s="20"/>
      <c r="F207" s="20"/>
      <c r="G207" s="20"/>
      <c r="H207" s="20"/>
      <c r="I207" s="23"/>
      <c r="J207" s="20"/>
      <c r="K207" s="20"/>
      <c r="L207" s="20"/>
      <c r="M207" s="20"/>
      <c r="N207" s="20"/>
      <c r="O207" s="22"/>
      <c r="P207" s="20"/>
      <c r="Q207" s="20"/>
      <c r="R207" s="20"/>
      <c r="S207" s="20"/>
      <c r="T207" s="20"/>
      <c r="U207" s="20"/>
      <c r="V207" s="20"/>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row>
    <row r="208">
      <c r="A208" s="20"/>
      <c r="B208" s="20"/>
      <c r="C208" s="20"/>
      <c r="D208" s="20"/>
      <c r="E208" s="20"/>
      <c r="F208" s="20"/>
      <c r="G208" s="20"/>
      <c r="H208" s="20"/>
      <c r="I208" s="23"/>
      <c r="J208" s="20"/>
      <c r="K208" s="20"/>
      <c r="L208" s="20"/>
      <c r="M208" s="20"/>
      <c r="N208" s="20"/>
      <c r="O208" s="22"/>
      <c r="P208" s="20"/>
      <c r="Q208" s="20"/>
      <c r="R208" s="20"/>
      <c r="S208" s="20"/>
      <c r="T208" s="20"/>
      <c r="U208" s="20"/>
      <c r="V208" s="20"/>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row>
    <row r="209">
      <c r="A209" s="20"/>
      <c r="B209" s="20"/>
      <c r="C209" s="20"/>
      <c r="D209" s="20"/>
      <c r="E209" s="20"/>
      <c r="F209" s="20"/>
      <c r="G209" s="20"/>
      <c r="H209" s="20"/>
      <c r="I209" s="23"/>
      <c r="J209" s="20"/>
      <c r="K209" s="20"/>
      <c r="L209" s="20"/>
      <c r="M209" s="20"/>
      <c r="N209" s="20"/>
      <c r="O209" s="22"/>
      <c r="P209" s="20"/>
      <c r="Q209" s="20"/>
      <c r="R209" s="20"/>
      <c r="S209" s="20"/>
      <c r="T209" s="20"/>
      <c r="U209" s="20"/>
      <c r="V209" s="20"/>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row>
    <row r="210">
      <c r="A210" s="20"/>
      <c r="B210" s="20"/>
      <c r="C210" s="20"/>
      <c r="D210" s="20"/>
      <c r="E210" s="20"/>
      <c r="F210" s="20"/>
      <c r="G210" s="20"/>
      <c r="H210" s="20"/>
      <c r="I210" s="23"/>
      <c r="J210" s="20"/>
      <c r="K210" s="20"/>
      <c r="L210" s="20"/>
      <c r="M210" s="20"/>
      <c r="N210" s="20"/>
      <c r="O210" s="22"/>
      <c r="P210" s="20"/>
      <c r="Q210" s="20"/>
      <c r="R210" s="20"/>
      <c r="S210" s="20"/>
      <c r="T210" s="20"/>
      <c r="U210" s="20"/>
      <c r="V210" s="20"/>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row>
    <row r="211">
      <c r="A211" s="20"/>
      <c r="B211" s="20"/>
      <c r="C211" s="20"/>
      <c r="D211" s="20"/>
      <c r="E211" s="20"/>
      <c r="F211" s="20"/>
      <c r="G211" s="20"/>
      <c r="H211" s="20"/>
      <c r="I211" s="23"/>
      <c r="J211" s="20"/>
      <c r="K211" s="20"/>
      <c r="L211" s="20"/>
      <c r="M211" s="20"/>
      <c r="N211" s="20"/>
      <c r="O211" s="22"/>
      <c r="P211" s="20"/>
      <c r="Q211" s="20"/>
      <c r="R211" s="20"/>
      <c r="S211" s="20"/>
      <c r="T211" s="20"/>
      <c r="U211" s="20"/>
      <c r="V211" s="20"/>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row>
    <row r="212">
      <c r="A212" s="20"/>
      <c r="B212" s="20"/>
      <c r="C212" s="20"/>
      <c r="D212" s="20"/>
      <c r="E212" s="20"/>
      <c r="F212" s="20"/>
      <c r="G212" s="20"/>
      <c r="H212" s="20"/>
      <c r="I212" s="23"/>
      <c r="J212" s="20"/>
      <c r="K212" s="20"/>
      <c r="L212" s="20"/>
      <c r="M212" s="20"/>
      <c r="N212" s="20"/>
      <c r="O212" s="22"/>
      <c r="P212" s="20"/>
      <c r="Q212" s="20"/>
      <c r="R212" s="20"/>
      <c r="S212" s="20"/>
      <c r="T212" s="20"/>
      <c r="U212" s="20"/>
      <c r="V212" s="20"/>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row>
    <row r="213">
      <c r="A213" s="20"/>
      <c r="B213" s="20"/>
      <c r="C213" s="20"/>
      <c r="D213" s="20"/>
      <c r="E213" s="20"/>
      <c r="F213" s="20"/>
      <c r="G213" s="20"/>
      <c r="H213" s="20"/>
      <c r="I213" s="23"/>
      <c r="J213" s="20"/>
      <c r="K213" s="20"/>
      <c r="L213" s="20"/>
      <c r="M213" s="20"/>
      <c r="N213" s="20"/>
      <c r="O213" s="22"/>
      <c r="P213" s="20"/>
      <c r="Q213" s="20"/>
      <c r="R213" s="20"/>
      <c r="S213" s="20"/>
      <c r="T213" s="20"/>
      <c r="U213" s="20"/>
      <c r="V213" s="20"/>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row>
    <row r="214">
      <c r="A214" s="20"/>
      <c r="B214" s="20"/>
      <c r="C214" s="20"/>
      <c r="D214" s="20"/>
      <c r="E214" s="20"/>
      <c r="F214" s="20"/>
      <c r="G214" s="20"/>
      <c r="H214" s="20"/>
      <c r="I214" s="23"/>
      <c r="J214" s="20"/>
      <c r="K214" s="20"/>
      <c r="L214" s="20"/>
      <c r="M214" s="20"/>
      <c r="N214" s="20"/>
      <c r="O214" s="22"/>
      <c r="P214" s="20"/>
      <c r="Q214" s="20"/>
      <c r="R214" s="20"/>
      <c r="S214" s="20"/>
      <c r="T214" s="20"/>
      <c r="U214" s="20"/>
      <c r="V214" s="20"/>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row>
    <row r="215">
      <c r="A215" s="20"/>
      <c r="B215" s="20"/>
      <c r="C215" s="20"/>
      <c r="D215" s="20"/>
      <c r="E215" s="20"/>
      <c r="F215" s="20"/>
      <c r="G215" s="20"/>
      <c r="H215" s="20"/>
      <c r="I215" s="23"/>
      <c r="J215" s="20"/>
      <c r="K215" s="20"/>
      <c r="L215" s="20"/>
      <c r="M215" s="20"/>
      <c r="N215" s="20"/>
      <c r="O215" s="22"/>
      <c r="P215" s="20"/>
      <c r="Q215" s="20"/>
      <c r="R215" s="20"/>
      <c r="S215" s="20"/>
      <c r="T215" s="20"/>
      <c r="U215" s="20"/>
      <c r="V215" s="20"/>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row>
    <row r="216">
      <c r="A216" s="20"/>
      <c r="B216" s="20"/>
      <c r="C216" s="20"/>
      <c r="D216" s="20"/>
      <c r="E216" s="20"/>
      <c r="F216" s="20"/>
      <c r="G216" s="20"/>
      <c r="H216" s="20"/>
      <c r="I216" s="23"/>
      <c r="J216" s="20"/>
      <c r="K216" s="20"/>
      <c r="L216" s="20"/>
      <c r="M216" s="20"/>
      <c r="N216" s="20"/>
      <c r="O216" s="22"/>
      <c r="P216" s="20"/>
      <c r="Q216" s="20"/>
      <c r="R216" s="20"/>
      <c r="S216" s="20"/>
      <c r="T216" s="20"/>
      <c r="U216" s="20"/>
      <c r="V216" s="20"/>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row>
    <row r="217">
      <c r="A217" s="20"/>
      <c r="B217" s="20"/>
      <c r="C217" s="20"/>
      <c r="D217" s="20"/>
      <c r="E217" s="20"/>
      <c r="F217" s="20"/>
      <c r="G217" s="20"/>
      <c r="H217" s="20"/>
      <c r="I217" s="23"/>
      <c r="J217" s="20"/>
      <c r="K217" s="20"/>
      <c r="L217" s="20"/>
      <c r="M217" s="20"/>
      <c r="N217" s="20"/>
      <c r="O217" s="22"/>
      <c r="P217" s="20"/>
      <c r="Q217" s="20"/>
      <c r="R217" s="20"/>
      <c r="S217" s="20"/>
      <c r="T217" s="20"/>
      <c r="U217" s="20"/>
      <c r="V217" s="20"/>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row>
    <row r="218">
      <c r="A218" s="20"/>
      <c r="B218" s="20"/>
      <c r="C218" s="20"/>
      <c r="D218" s="20"/>
      <c r="E218" s="20"/>
      <c r="F218" s="20"/>
      <c r="G218" s="20"/>
      <c r="H218" s="20"/>
      <c r="I218" s="23"/>
      <c r="J218" s="20"/>
      <c r="K218" s="20"/>
      <c r="L218" s="20"/>
      <c r="M218" s="20"/>
      <c r="N218" s="20"/>
      <c r="O218" s="22"/>
      <c r="P218" s="20"/>
      <c r="Q218" s="20"/>
      <c r="R218" s="20"/>
      <c r="S218" s="20"/>
      <c r="T218" s="20"/>
      <c r="U218" s="20"/>
      <c r="V218" s="20"/>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row>
    <row r="219">
      <c r="A219" s="20"/>
      <c r="B219" s="20"/>
      <c r="C219" s="20"/>
      <c r="D219" s="20"/>
      <c r="E219" s="20"/>
      <c r="F219" s="20"/>
      <c r="G219" s="20"/>
      <c r="H219" s="20"/>
      <c r="I219" s="23"/>
      <c r="J219" s="20"/>
      <c r="K219" s="20"/>
      <c r="L219" s="20"/>
      <c r="M219" s="20"/>
      <c r="N219" s="20"/>
      <c r="O219" s="22"/>
      <c r="P219" s="20"/>
      <c r="Q219" s="20"/>
      <c r="R219" s="20"/>
      <c r="S219" s="20"/>
      <c r="T219" s="20"/>
      <c r="U219" s="20"/>
      <c r="V219" s="20"/>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row>
    <row r="220">
      <c r="A220" s="20"/>
      <c r="B220" s="20"/>
      <c r="C220" s="20"/>
      <c r="D220" s="20"/>
      <c r="E220" s="20"/>
      <c r="F220" s="20"/>
      <c r="G220" s="20"/>
      <c r="H220" s="20"/>
      <c r="I220" s="23"/>
      <c r="J220" s="20"/>
      <c r="K220" s="20"/>
      <c r="L220" s="20"/>
      <c r="M220" s="20"/>
      <c r="N220" s="20"/>
      <c r="O220" s="22"/>
      <c r="P220" s="20"/>
      <c r="Q220" s="20"/>
      <c r="R220" s="20"/>
      <c r="S220" s="20"/>
      <c r="T220" s="20"/>
      <c r="U220" s="20"/>
      <c r="V220" s="20"/>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row>
    <row r="221">
      <c r="A221" s="20"/>
      <c r="B221" s="20"/>
      <c r="C221" s="20"/>
      <c r="D221" s="20"/>
      <c r="E221" s="20"/>
      <c r="F221" s="20"/>
      <c r="G221" s="20"/>
      <c r="H221" s="20"/>
      <c r="I221" s="23"/>
      <c r="J221" s="20"/>
      <c r="K221" s="20"/>
      <c r="L221" s="20"/>
      <c r="M221" s="20"/>
      <c r="N221" s="20"/>
      <c r="O221" s="22"/>
      <c r="P221" s="20"/>
      <c r="Q221" s="20"/>
      <c r="R221" s="20"/>
      <c r="S221" s="20"/>
      <c r="T221" s="20"/>
      <c r="U221" s="20"/>
      <c r="V221" s="20"/>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row>
    <row r="222">
      <c r="A222" s="20"/>
      <c r="B222" s="20"/>
      <c r="C222" s="20"/>
      <c r="D222" s="20"/>
      <c r="E222" s="20"/>
      <c r="F222" s="20"/>
      <c r="G222" s="20"/>
      <c r="H222" s="20"/>
      <c r="I222" s="23"/>
      <c r="J222" s="20"/>
      <c r="K222" s="20"/>
      <c r="L222" s="20"/>
      <c r="M222" s="20"/>
      <c r="N222" s="20"/>
      <c r="O222" s="22"/>
      <c r="P222" s="20"/>
      <c r="Q222" s="20"/>
      <c r="R222" s="20"/>
      <c r="S222" s="20"/>
      <c r="T222" s="20"/>
      <c r="U222" s="20"/>
      <c r="V222" s="20"/>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row>
    <row r="223">
      <c r="A223" s="20"/>
      <c r="B223" s="20"/>
      <c r="C223" s="20"/>
      <c r="D223" s="20"/>
      <c r="E223" s="20"/>
      <c r="F223" s="20"/>
      <c r="G223" s="20"/>
      <c r="H223" s="20"/>
      <c r="I223" s="23"/>
      <c r="J223" s="20"/>
      <c r="K223" s="20"/>
      <c r="L223" s="20"/>
      <c r="M223" s="20"/>
      <c r="N223" s="20"/>
      <c r="O223" s="22"/>
      <c r="P223" s="20"/>
      <c r="Q223" s="20"/>
      <c r="R223" s="20"/>
      <c r="S223" s="20"/>
      <c r="T223" s="20"/>
      <c r="U223" s="20"/>
      <c r="V223" s="20"/>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row>
    <row r="224">
      <c r="A224" s="20"/>
      <c r="B224" s="20"/>
      <c r="C224" s="20"/>
      <c r="D224" s="20"/>
      <c r="E224" s="20"/>
      <c r="F224" s="20"/>
      <c r="G224" s="20"/>
      <c r="H224" s="20"/>
      <c r="I224" s="23"/>
      <c r="J224" s="20"/>
      <c r="K224" s="20"/>
      <c r="L224" s="20"/>
      <c r="M224" s="20"/>
      <c r="N224" s="20"/>
      <c r="O224" s="22"/>
      <c r="P224" s="20"/>
      <c r="Q224" s="20"/>
      <c r="R224" s="20"/>
      <c r="S224" s="20"/>
      <c r="T224" s="20"/>
      <c r="U224" s="20"/>
      <c r="V224" s="20"/>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row>
    <row r="225">
      <c r="A225" s="20"/>
      <c r="B225" s="20"/>
      <c r="C225" s="20"/>
      <c r="D225" s="20"/>
      <c r="E225" s="20"/>
      <c r="F225" s="20"/>
      <c r="G225" s="20"/>
      <c r="H225" s="20"/>
      <c r="I225" s="23"/>
      <c r="J225" s="20"/>
      <c r="K225" s="20"/>
      <c r="L225" s="20"/>
      <c r="M225" s="20"/>
      <c r="N225" s="20"/>
      <c r="O225" s="22"/>
      <c r="P225" s="20"/>
      <c r="Q225" s="20"/>
      <c r="R225" s="20"/>
      <c r="S225" s="20"/>
      <c r="T225" s="20"/>
      <c r="U225" s="20"/>
      <c r="V225" s="20"/>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row>
    <row r="226">
      <c r="A226" s="20"/>
      <c r="B226" s="20"/>
      <c r="C226" s="20"/>
      <c r="D226" s="20"/>
      <c r="E226" s="20"/>
      <c r="F226" s="20"/>
      <c r="G226" s="20"/>
      <c r="H226" s="20"/>
      <c r="I226" s="23"/>
      <c r="J226" s="20"/>
      <c r="K226" s="20"/>
      <c r="L226" s="20"/>
      <c r="M226" s="20"/>
      <c r="N226" s="20"/>
      <c r="O226" s="22"/>
      <c r="P226" s="20"/>
      <c r="Q226" s="20"/>
      <c r="R226" s="20"/>
      <c r="S226" s="20"/>
      <c r="T226" s="20"/>
      <c r="U226" s="20"/>
      <c r="V226" s="20"/>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row>
    <row r="227">
      <c r="A227" s="20"/>
      <c r="B227" s="20"/>
      <c r="C227" s="20"/>
      <c r="D227" s="20"/>
      <c r="E227" s="20"/>
      <c r="F227" s="20"/>
      <c r="G227" s="20"/>
      <c r="H227" s="20"/>
      <c r="I227" s="23"/>
      <c r="J227" s="20"/>
      <c r="K227" s="20"/>
      <c r="L227" s="20"/>
      <c r="M227" s="20"/>
      <c r="N227" s="20"/>
      <c r="O227" s="22"/>
      <c r="P227" s="20"/>
      <c r="Q227" s="20"/>
      <c r="R227" s="20"/>
      <c r="S227" s="20"/>
      <c r="T227" s="20"/>
      <c r="U227" s="20"/>
      <c r="V227" s="20"/>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row>
    <row r="228">
      <c r="A228" s="20"/>
      <c r="B228" s="20"/>
      <c r="C228" s="20"/>
      <c r="D228" s="20"/>
      <c r="E228" s="20"/>
      <c r="F228" s="20"/>
      <c r="G228" s="20"/>
      <c r="H228" s="20"/>
      <c r="I228" s="23"/>
      <c r="J228" s="20"/>
      <c r="K228" s="20"/>
      <c r="L228" s="20"/>
      <c r="M228" s="20"/>
      <c r="N228" s="20"/>
      <c r="O228" s="22"/>
      <c r="P228" s="20"/>
      <c r="Q228" s="20"/>
      <c r="R228" s="20"/>
      <c r="S228" s="20"/>
      <c r="T228" s="20"/>
      <c r="U228" s="20"/>
      <c r="V228" s="20"/>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row>
    <row r="229">
      <c r="A229" s="20"/>
      <c r="B229" s="20"/>
      <c r="C229" s="20"/>
      <c r="D229" s="20"/>
      <c r="E229" s="20"/>
      <c r="F229" s="20"/>
      <c r="G229" s="20"/>
      <c r="H229" s="20"/>
      <c r="I229" s="23"/>
      <c r="J229" s="20"/>
      <c r="K229" s="20"/>
      <c r="L229" s="20"/>
      <c r="M229" s="20"/>
      <c r="N229" s="20"/>
      <c r="O229" s="22"/>
      <c r="P229" s="20"/>
      <c r="Q229" s="20"/>
      <c r="R229" s="20"/>
      <c r="S229" s="20"/>
      <c r="T229" s="20"/>
      <c r="U229" s="20"/>
      <c r="V229" s="20"/>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row>
    <row r="230">
      <c r="A230" s="20"/>
      <c r="B230" s="20"/>
      <c r="C230" s="20"/>
      <c r="D230" s="20"/>
      <c r="E230" s="20"/>
      <c r="F230" s="20"/>
      <c r="G230" s="20"/>
      <c r="H230" s="20"/>
      <c r="I230" s="23"/>
      <c r="J230" s="20"/>
      <c r="K230" s="20"/>
      <c r="L230" s="20"/>
      <c r="M230" s="20"/>
      <c r="N230" s="20"/>
      <c r="O230" s="22"/>
      <c r="P230" s="20"/>
      <c r="Q230" s="20"/>
      <c r="R230" s="20"/>
      <c r="S230" s="20"/>
      <c r="T230" s="20"/>
      <c r="U230" s="20"/>
      <c r="V230" s="20"/>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row>
    <row r="231">
      <c r="A231" s="20"/>
      <c r="B231" s="20"/>
      <c r="C231" s="20"/>
      <c r="D231" s="20"/>
      <c r="E231" s="20"/>
      <c r="F231" s="20"/>
      <c r="G231" s="20"/>
      <c r="H231" s="20"/>
      <c r="I231" s="23"/>
      <c r="J231" s="20"/>
      <c r="K231" s="20"/>
      <c r="L231" s="20"/>
      <c r="M231" s="20"/>
      <c r="N231" s="20"/>
      <c r="O231" s="22"/>
      <c r="P231" s="20"/>
      <c r="Q231" s="20"/>
      <c r="R231" s="20"/>
      <c r="S231" s="20"/>
      <c r="T231" s="20"/>
      <c r="U231" s="20"/>
      <c r="V231" s="20"/>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row>
    <row r="232">
      <c r="A232" s="20"/>
      <c r="B232" s="20"/>
      <c r="C232" s="20"/>
      <c r="D232" s="20"/>
      <c r="E232" s="20"/>
      <c r="F232" s="20"/>
      <c r="G232" s="20"/>
      <c r="H232" s="20"/>
      <c r="I232" s="23"/>
      <c r="J232" s="20"/>
      <c r="K232" s="20"/>
      <c r="L232" s="20"/>
      <c r="M232" s="20"/>
      <c r="N232" s="20"/>
      <c r="O232" s="22"/>
      <c r="P232" s="20"/>
      <c r="Q232" s="20"/>
      <c r="R232" s="20"/>
      <c r="S232" s="20"/>
      <c r="T232" s="20"/>
      <c r="U232" s="20"/>
      <c r="V232" s="20"/>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row>
    <row r="233">
      <c r="A233" s="20"/>
      <c r="B233" s="20"/>
      <c r="C233" s="20"/>
      <c r="D233" s="20"/>
      <c r="E233" s="20"/>
      <c r="F233" s="20"/>
      <c r="G233" s="20"/>
      <c r="H233" s="20"/>
      <c r="I233" s="23"/>
      <c r="J233" s="20"/>
      <c r="K233" s="20"/>
      <c r="L233" s="20"/>
      <c r="M233" s="20"/>
      <c r="N233" s="20"/>
      <c r="O233" s="22"/>
      <c r="P233" s="20"/>
      <c r="Q233" s="20"/>
      <c r="R233" s="20"/>
      <c r="S233" s="20"/>
      <c r="T233" s="20"/>
      <c r="U233" s="20"/>
      <c r="V233" s="20"/>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row>
    <row r="234">
      <c r="A234" s="20"/>
      <c r="B234" s="20"/>
      <c r="C234" s="20"/>
      <c r="D234" s="20"/>
      <c r="E234" s="20"/>
      <c r="F234" s="20"/>
      <c r="G234" s="20"/>
      <c r="H234" s="20"/>
      <c r="I234" s="23"/>
      <c r="J234" s="20"/>
      <c r="K234" s="20"/>
      <c r="L234" s="20"/>
      <c r="M234" s="20"/>
      <c r="N234" s="20"/>
      <c r="O234" s="22"/>
      <c r="P234" s="20"/>
      <c r="Q234" s="20"/>
      <c r="R234" s="20"/>
      <c r="S234" s="20"/>
      <c r="T234" s="20"/>
      <c r="U234" s="20"/>
      <c r="V234" s="20"/>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row>
    <row r="235">
      <c r="A235" s="20"/>
      <c r="B235" s="20"/>
      <c r="C235" s="20"/>
      <c r="D235" s="20"/>
      <c r="E235" s="20"/>
      <c r="F235" s="20"/>
      <c r="G235" s="20"/>
      <c r="H235" s="20"/>
      <c r="I235" s="23"/>
      <c r="J235" s="20"/>
      <c r="K235" s="20"/>
      <c r="L235" s="20"/>
      <c r="M235" s="20"/>
      <c r="N235" s="20"/>
      <c r="O235" s="22"/>
      <c r="P235" s="20"/>
      <c r="Q235" s="20"/>
      <c r="R235" s="20"/>
      <c r="S235" s="20"/>
      <c r="T235" s="20"/>
      <c r="U235" s="20"/>
      <c r="V235" s="20"/>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row>
    <row r="236">
      <c r="A236" s="20"/>
      <c r="B236" s="20"/>
      <c r="C236" s="20"/>
      <c r="D236" s="20"/>
      <c r="E236" s="20"/>
      <c r="F236" s="20"/>
      <c r="G236" s="20"/>
      <c r="H236" s="20"/>
      <c r="I236" s="23"/>
      <c r="J236" s="20"/>
      <c r="K236" s="20"/>
      <c r="L236" s="20"/>
      <c r="M236" s="20"/>
      <c r="N236" s="20"/>
      <c r="O236" s="22"/>
      <c r="P236" s="20"/>
      <c r="Q236" s="20"/>
      <c r="R236" s="20"/>
      <c r="S236" s="20"/>
      <c r="T236" s="20"/>
      <c r="U236" s="20"/>
      <c r="V236" s="20"/>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row>
    <row r="237">
      <c r="A237" s="20"/>
      <c r="B237" s="20"/>
      <c r="C237" s="20"/>
      <c r="D237" s="20"/>
      <c r="E237" s="20"/>
      <c r="F237" s="20"/>
      <c r="G237" s="20"/>
      <c r="H237" s="20"/>
      <c r="I237" s="23"/>
      <c r="J237" s="20"/>
      <c r="K237" s="20"/>
      <c r="L237" s="20"/>
      <c r="M237" s="20"/>
      <c r="N237" s="20"/>
      <c r="O237" s="22"/>
      <c r="P237" s="20"/>
      <c r="Q237" s="20"/>
      <c r="R237" s="20"/>
      <c r="S237" s="20"/>
      <c r="T237" s="20"/>
      <c r="U237" s="20"/>
      <c r="V237" s="20"/>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row>
    <row r="238">
      <c r="A238" s="20"/>
      <c r="B238" s="20"/>
      <c r="C238" s="20"/>
      <c r="D238" s="20"/>
      <c r="E238" s="20"/>
      <c r="F238" s="20"/>
      <c r="G238" s="20"/>
      <c r="H238" s="20"/>
      <c r="I238" s="23"/>
      <c r="J238" s="20"/>
      <c r="K238" s="20"/>
      <c r="L238" s="20"/>
      <c r="M238" s="20"/>
      <c r="N238" s="20"/>
      <c r="O238" s="22"/>
      <c r="P238" s="20"/>
      <c r="Q238" s="20"/>
      <c r="R238" s="20"/>
      <c r="S238" s="20"/>
      <c r="T238" s="20"/>
      <c r="U238" s="20"/>
      <c r="V238" s="20"/>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row>
    <row r="239">
      <c r="A239" s="20"/>
      <c r="B239" s="20"/>
      <c r="C239" s="20"/>
      <c r="D239" s="20"/>
      <c r="E239" s="20"/>
      <c r="F239" s="20"/>
      <c r="G239" s="20"/>
      <c r="H239" s="20"/>
      <c r="I239" s="23"/>
      <c r="J239" s="20"/>
      <c r="K239" s="20"/>
      <c r="L239" s="20"/>
      <c r="M239" s="20"/>
      <c r="N239" s="20"/>
      <c r="O239" s="22"/>
      <c r="P239" s="20"/>
      <c r="Q239" s="20"/>
      <c r="R239" s="20"/>
      <c r="S239" s="20"/>
      <c r="T239" s="20"/>
      <c r="U239" s="20"/>
      <c r="V239" s="20"/>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row>
    <row r="240">
      <c r="A240" s="20"/>
      <c r="B240" s="20"/>
      <c r="C240" s="20"/>
      <c r="D240" s="20"/>
      <c r="E240" s="20"/>
      <c r="F240" s="20"/>
      <c r="G240" s="20"/>
      <c r="H240" s="20"/>
      <c r="I240" s="23"/>
      <c r="J240" s="20"/>
      <c r="K240" s="20"/>
      <c r="L240" s="20"/>
      <c r="M240" s="20"/>
      <c r="N240" s="20"/>
      <c r="O240" s="22"/>
      <c r="P240" s="20"/>
      <c r="Q240" s="20"/>
      <c r="R240" s="20"/>
      <c r="S240" s="20"/>
      <c r="T240" s="20"/>
      <c r="U240" s="20"/>
      <c r="V240" s="20"/>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row>
    <row r="241">
      <c r="A241" s="20"/>
      <c r="B241" s="20"/>
      <c r="C241" s="20"/>
      <c r="D241" s="20"/>
      <c r="E241" s="20"/>
      <c r="F241" s="20"/>
      <c r="G241" s="20"/>
      <c r="H241" s="20"/>
      <c r="I241" s="23"/>
      <c r="J241" s="20"/>
      <c r="K241" s="20"/>
      <c r="L241" s="20"/>
      <c r="M241" s="20"/>
      <c r="N241" s="20"/>
      <c r="O241" s="22"/>
      <c r="P241" s="20"/>
      <c r="Q241" s="20"/>
      <c r="R241" s="20"/>
      <c r="S241" s="20"/>
      <c r="T241" s="20"/>
      <c r="U241" s="20"/>
      <c r="V241" s="20"/>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row>
    <row r="242">
      <c r="A242" s="20"/>
      <c r="B242" s="20"/>
      <c r="C242" s="20"/>
      <c r="D242" s="20"/>
      <c r="E242" s="20"/>
      <c r="F242" s="20"/>
      <c r="G242" s="20"/>
      <c r="H242" s="20"/>
      <c r="I242" s="23"/>
      <c r="J242" s="20"/>
      <c r="K242" s="20"/>
      <c r="L242" s="20"/>
      <c r="M242" s="20"/>
      <c r="N242" s="20"/>
      <c r="O242" s="22"/>
      <c r="P242" s="20"/>
      <c r="Q242" s="20"/>
      <c r="R242" s="20"/>
      <c r="S242" s="20"/>
      <c r="T242" s="20"/>
      <c r="U242" s="20"/>
      <c r="V242" s="20"/>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row>
    <row r="243">
      <c r="A243" s="20"/>
      <c r="B243" s="20"/>
      <c r="C243" s="20"/>
      <c r="D243" s="20"/>
      <c r="E243" s="20"/>
      <c r="F243" s="20"/>
      <c r="G243" s="20"/>
      <c r="H243" s="20"/>
      <c r="I243" s="23"/>
      <c r="J243" s="20"/>
      <c r="K243" s="20"/>
      <c r="L243" s="20"/>
      <c r="M243" s="20"/>
      <c r="N243" s="20"/>
      <c r="O243" s="22"/>
      <c r="P243" s="20"/>
      <c r="Q243" s="20"/>
      <c r="R243" s="20"/>
      <c r="S243" s="20"/>
      <c r="T243" s="20"/>
      <c r="U243" s="20"/>
      <c r="V243" s="20"/>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row>
    <row r="244">
      <c r="A244" s="20"/>
      <c r="B244" s="20"/>
      <c r="C244" s="20"/>
      <c r="D244" s="20"/>
      <c r="E244" s="20"/>
      <c r="F244" s="20"/>
      <c r="G244" s="20"/>
      <c r="H244" s="20"/>
      <c r="I244" s="23"/>
      <c r="J244" s="20"/>
      <c r="K244" s="20"/>
      <c r="L244" s="20"/>
      <c r="M244" s="20"/>
      <c r="N244" s="20"/>
      <c r="O244" s="22"/>
      <c r="P244" s="20"/>
      <c r="Q244" s="20"/>
      <c r="R244" s="20"/>
      <c r="S244" s="20"/>
      <c r="T244" s="20"/>
      <c r="U244" s="20"/>
      <c r="V244" s="20"/>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row>
    <row r="245">
      <c r="A245" s="20"/>
      <c r="B245" s="20"/>
      <c r="C245" s="20"/>
      <c r="D245" s="20"/>
      <c r="E245" s="20"/>
      <c r="F245" s="20"/>
      <c r="G245" s="20"/>
      <c r="H245" s="20"/>
      <c r="I245" s="23"/>
      <c r="J245" s="20"/>
      <c r="K245" s="20"/>
      <c r="L245" s="20"/>
      <c r="M245" s="20"/>
      <c r="N245" s="20"/>
      <c r="O245" s="22"/>
      <c r="P245" s="20"/>
      <c r="Q245" s="20"/>
      <c r="R245" s="20"/>
      <c r="S245" s="20"/>
      <c r="T245" s="20"/>
      <c r="U245" s="20"/>
      <c r="V245" s="20"/>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row>
    <row r="246">
      <c r="A246" s="20"/>
      <c r="B246" s="20"/>
      <c r="C246" s="20"/>
      <c r="D246" s="20"/>
      <c r="E246" s="20"/>
      <c r="F246" s="20"/>
      <c r="G246" s="20"/>
      <c r="H246" s="20"/>
      <c r="I246" s="23"/>
      <c r="J246" s="20"/>
      <c r="K246" s="20"/>
      <c r="L246" s="20"/>
      <c r="M246" s="20"/>
      <c r="N246" s="20"/>
      <c r="O246" s="22"/>
      <c r="P246" s="20"/>
      <c r="Q246" s="20"/>
      <c r="R246" s="20"/>
      <c r="S246" s="20"/>
      <c r="T246" s="20"/>
      <c r="U246" s="20"/>
      <c r="V246" s="20"/>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row>
    <row r="247">
      <c r="A247" s="20"/>
      <c r="B247" s="20"/>
      <c r="C247" s="20"/>
      <c r="D247" s="20"/>
      <c r="E247" s="20"/>
      <c r="F247" s="20"/>
      <c r="G247" s="20"/>
      <c r="H247" s="20"/>
      <c r="I247" s="23"/>
      <c r="J247" s="20"/>
      <c r="K247" s="20"/>
      <c r="L247" s="20"/>
      <c r="M247" s="20"/>
      <c r="N247" s="20"/>
      <c r="O247" s="22"/>
      <c r="P247" s="20"/>
      <c r="Q247" s="20"/>
      <c r="R247" s="20"/>
      <c r="S247" s="20"/>
      <c r="T247" s="20"/>
      <c r="U247" s="20"/>
      <c r="V247" s="20"/>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row>
    <row r="248">
      <c r="A248" s="20"/>
      <c r="B248" s="20"/>
      <c r="C248" s="20"/>
      <c r="D248" s="20"/>
      <c r="E248" s="20"/>
      <c r="F248" s="20"/>
      <c r="G248" s="20"/>
      <c r="H248" s="20"/>
      <c r="I248" s="23"/>
      <c r="J248" s="20"/>
      <c r="K248" s="20"/>
      <c r="L248" s="20"/>
      <c r="M248" s="20"/>
      <c r="N248" s="20"/>
      <c r="O248" s="22"/>
      <c r="P248" s="20"/>
      <c r="Q248" s="20"/>
      <c r="R248" s="20"/>
      <c r="S248" s="20"/>
      <c r="T248" s="20"/>
      <c r="U248" s="20"/>
      <c r="V248" s="20"/>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row>
    <row r="249">
      <c r="A249" s="20"/>
      <c r="B249" s="20"/>
      <c r="C249" s="20"/>
      <c r="D249" s="20"/>
      <c r="E249" s="20"/>
      <c r="F249" s="20"/>
      <c r="G249" s="20"/>
      <c r="H249" s="20"/>
      <c r="I249" s="23"/>
      <c r="J249" s="20"/>
      <c r="K249" s="20"/>
      <c r="L249" s="20"/>
      <c r="M249" s="20"/>
      <c r="N249" s="20"/>
      <c r="O249" s="22"/>
      <c r="P249" s="20"/>
      <c r="Q249" s="20"/>
      <c r="R249" s="20"/>
      <c r="S249" s="20"/>
      <c r="T249" s="20"/>
      <c r="U249" s="20"/>
      <c r="V249" s="20"/>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row>
    <row r="250">
      <c r="A250" s="20"/>
      <c r="B250" s="20"/>
      <c r="C250" s="20"/>
      <c r="D250" s="20"/>
      <c r="E250" s="20"/>
      <c r="F250" s="20"/>
      <c r="G250" s="20"/>
      <c r="H250" s="20"/>
      <c r="I250" s="23"/>
      <c r="J250" s="20"/>
      <c r="K250" s="20"/>
      <c r="L250" s="20"/>
      <c r="M250" s="20"/>
      <c r="N250" s="20"/>
      <c r="O250" s="22"/>
      <c r="P250" s="20"/>
      <c r="Q250" s="20"/>
      <c r="R250" s="20"/>
      <c r="S250" s="20"/>
      <c r="T250" s="20"/>
      <c r="U250" s="20"/>
      <c r="V250" s="20"/>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row>
    <row r="251">
      <c r="A251" s="20"/>
      <c r="B251" s="20"/>
      <c r="C251" s="20"/>
      <c r="D251" s="20"/>
      <c r="E251" s="20"/>
      <c r="F251" s="20"/>
      <c r="G251" s="20"/>
      <c r="H251" s="20"/>
      <c r="I251" s="23"/>
      <c r="J251" s="20"/>
      <c r="K251" s="20"/>
      <c r="L251" s="20"/>
      <c r="M251" s="20"/>
      <c r="N251" s="20"/>
      <c r="O251" s="22"/>
      <c r="P251" s="20"/>
      <c r="Q251" s="20"/>
      <c r="R251" s="20"/>
      <c r="S251" s="20"/>
      <c r="T251" s="20"/>
      <c r="U251" s="20"/>
      <c r="V251" s="20"/>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row>
    <row r="252">
      <c r="A252" s="20"/>
      <c r="B252" s="20"/>
      <c r="C252" s="20"/>
      <c r="D252" s="20"/>
      <c r="E252" s="20"/>
      <c r="F252" s="20"/>
      <c r="G252" s="20"/>
      <c r="H252" s="20"/>
      <c r="I252" s="23"/>
      <c r="J252" s="20"/>
      <c r="K252" s="20"/>
      <c r="L252" s="20"/>
      <c r="M252" s="20"/>
      <c r="N252" s="20"/>
      <c r="O252" s="22"/>
      <c r="P252" s="20"/>
      <c r="Q252" s="20"/>
      <c r="R252" s="20"/>
      <c r="S252" s="20"/>
      <c r="T252" s="20"/>
      <c r="U252" s="20"/>
      <c r="V252" s="20"/>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row>
    <row r="253">
      <c r="A253" s="20"/>
      <c r="B253" s="20"/>
      <c r="C253" s="20"/>
      <c r="D253" s="20"/>
      <c r="E253" s="20"/>
      <c r="F253" s="20"/>
      <c r="G253" s="20"/>
      <c r="H253" s="20"/>
      <c r="I253" s="23"/>
      <c r="J253" s="20"/>
      <c r="K253" s="20"/>
      <c r="L253" s="20"/>
      <c r="M253" s="20"/>
      <c r="N253" s="20"/>
      <c r="O253" s="22"/>
      <c r="P253" s="20"/>
      <c r="Q253" s="20"/>
      <c r="R253" s="20"/>
      <c r="S253" s="20"/>
      <c r="T253" s="20"/>
      <c r="U253" s="20"/>
      <c r="V253" s="20"/>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row>
    <row r="254">
      <c r="A254" s="20"/>
      <c r="B254" s="20"/>
      <c r="C254" s="20"/>
      <c r="D254" s="20"/>
      <c r="E254" s="20"/>
      <c r="F254" s="20"/>
      <c r="G254" s="20"/>
      <c r="H254" s="20"/>
      <c r="I254" s="23"/>
      <c r="J254" s="20"/>
      <c r="K254" s="20"/>
      <c r="L254" s="20"/>
      <c r="M254" s="20"/>
      <c r="N254" s="20"/>
      <c r="O254" s="22"/>
      <c r="P254" s="20"/>
      <c r="Q254" s="20"/>
      <c r="R254" s="20"/>
      <c r="S254" s="20"/>
      <c r="T254" s="20"/>
      <c r="U254" s="20"/>
      <c r="V254" s="20"/>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row>
    <row r="255">
      <c r="A255" s="20"/>
      <c r="B255" s="20"/>
      <c r="C255" s="20"/>
      <c r="D255" s="20"/>
      <c r="E255" s="20"/>
      <c r="F255" s="20"/>
      <c r="G255" s="20"/>
      <c r="H255" s="20"/>
      <c r="I255" s="23"/>
      <c r="J255" s="20"/>
      <c r="K255" s="20"/>
      <c r="L255" s="20"/>
      <c r="M255" s="20"/>
      <c r="N255" s="20"/>
      <c r="O255" s="22"/>
      <c r="P255" s="20"/>
      <c r="Q255" s="20"/>
      <c r="R255" s="20"/>
      <c r="S255" s="20"/>
      <c r="T255" s="20"/>
      <c r="U255" s="20"/>
      <c r="V255" s="20"/>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row>
    <row r="256">
      <c r="A256" s="20"/>
      <c r="B256" s="20"/>
      <c r="C256" s="20"/>
      <c r="D256" s="20"/>
      <c r="E256" s="20"/>
      <c r="F256" s="20"/>
      <c r="G256" s="20"/>
      <c r="H256" s="20"/>
      <c r="I256" s="23"/>
      <c r="J256" s="20"/>
      <c r="K256" s="20"/>
      <c r="L256" s="20"/>
      <c r="M256" s="20"/>
      <c r="N256" s="20"/>
      <c r="O256" s="22"/>
      <c r="P256" s="20"/>
      <c r="Q256" s="20"/>
      <c r="R256" s="20"/>
      <c r="S256" s="20"/>
      <c r="T256" s="20"/>
      <c r="U256" s="20"/>
      <c r="V256" s="20"/>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row>
    <row r="257">
      <c r="A257" s="20"/>
      <c r="B257" s="20"/>
      <c r="C257" s="20"/>
      <c r="D257" s="20"/>
      <c r="E257" s="20"/>
      <c r="F257" s="20"/>
      <c r="G257" s="20"/>
      <c r="H257" s="20"/>
      <c r="I257" s="23"/>
      <c r="J257" s="20"/>
      <c r="K257" s="20"/>
      <c r="L257" s="20"/>
      <c r="M257" s="20"/>
      <c r="N257" s="20"/>
      <c r="O257" s="22"/>
      <c r="P257" s="20"/>
      <c r="Q257" s="20"/>
      <c r="R257" s="20"/>
      <c r="S257" s="20"/>
      <c r="T257" s="20"/>
      <c r="U257" s="20"/>
      <c r="V257" s="20"/>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row>
    <row r="258">
      <c r="A258" s="20"/>
      <c r="B258" s="20"/>
      <c r="C258" s="20"/>
      <c r="D258" s="20"/>
      <c r="E258" s="20"/>
      <c r="F258" s="20"/>
      <c r="G258" s="20"/>
      <c r="H258" s="20"/>
      <c r="I258" s="23"/>
      <c r="J258" s="20"/>
      <c r="K258" s="20"/>
      <c r="L258" s="20"/>
      <c r="M258" s="20"/>
      <c r="N258" s="20"/>
      <c r="O258" s="22"/>
      <c r="P258" s="20"/>
      <c r="Q258" s="20"/>
      <c r="R258" s="20"/>
      <c r="S258" s="20"/>
      <c r="T258" s="20"/>
      <c r="U258" s="20"/>
      <c r="V258" s="20"/>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row>
    <row r="259">
      <c r="A259" s="20"/>
      <c r="B259" s="20"/>
      <c r="C259" s="20"/>
      <c r="D259" s="20"/>
      <c r="E259" s="20"/>
      <c r="F259" s="20"/>
      <c r="G259" s="20"/>
      <c r="H259" s="20"/>
      <c r="I259" s="23"/>
      <c r="J259" s="20"/>
      <c r="K259" s="20"/>
      <c r="L259" s="20"/>
      <c r="M259" s="20"/>
      <c r="N259" s="20"/>
      <c r="O259" s="22"/>
      <c r="P259" s="20"/>
      <c r="Q259" s="20"/>
      <c r="R259" s="20"/>
      <c r="S259" s="20"/>
      <c r="T259" s="20"/>
      <c r="U259" s="20"/>
      <c r="V259" s="20"/>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row>
    <row r="260">
      <c r="A260" s="20"/>
      <c r="B260" s="20"/>
      <c r="C260" s="20"/>
      <c r="D260" s="20"/>
      <c r="E260" s="20"/>
      <c r="F260" s="20"/>
      <c r="G260" s="20"/>
      <c r="H260" s="20"/>
      <c r="I260" s="23"/>
      <c r="J260" s="20"/>
      <c r="K260" s="20"/>
      <c r="L260" s="20"/>
      <c r="M260" s="20"/>
      <c r="N260" s="20"/>
      <c r="O260" s="22"/>
      <c r="P260" s="20"/>
      <c r="Q260" s="20"/>
      <c r="R260" s="20"/>
      <c r="S260" s="20"/>
      <c r="T260" s="20"/>
      <c r="U260" s="20"/>
      <c r="V260" s="20"/>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row>
    <row r="261">
      <c r="A261" s="20"/>
      <c r="B261" s="20"/>
      <c r="C261" s="20"/>
      <c r="D261" s="20"/>
      <c r="E261" s="20"/>
      <c r="F261" s="20"/>
      <c r="G261" s="20"/>
      <c r="H261" s="20"/>
      <c r="I261" s="23"/>
      <c r="J261" s="20"/>
      <c r="K261" s="20"/>
      <c r="L261" s="20"/>
      <c r="M261" s="20"/>
      <c r="N261" s="20"/>
      <c r="O261" s="22"/>
      <c r="P261" s="20"/>
      <c r="Q261" s="20"/>
      <c r="R261" s="20"/>
      <c r="S261" s="20"/>
      <c r="T261" s="20"/>
      <c r="U261" s="20"/>
      <c r="V261" s="20"/>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row>
    <row r="262">
      <c r="A262" s="20"/>
      <c r="B262" s="20"/>
      <c r="C262" s="20"/>
      <c r="D262" s="20"/>
      <c r="E262" s="20"/>
      <c r="F262" s="20"/>
      <c r="G262" s="20"/>
      <c r="H262" s="20"/>
      <c r="I262" s="23"/>
      <c r="J262" s="20"/>
      <c r="K262" s="20"/>
      <c r="L262" s="20"/>
      <c r="M262" s="20"/>
      <c r="N262" s="20"/>
      <c r="O262" s="22"/>
      <c r="P262" s="20"/>
      <c r="Q262" s="20"/>
      <c r="R262" s="20"/>
      <c r="S262" s="20"/>
      <c r="T262" s="20"/>
      <c r="U262" s="20"/>
      <c r="V262" s="20"/>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row>
    <row r="263">
      <c r="A263" s="20"/>
      <c r="B263" s="20"/>
      <c r="C263" s="20"/>
      <c r="D263" s="20"/>
      <c r="E263" s="20"/>
      <c r="F263" s="20"/>
      <c r="G263" s="20"/>
      <c r="H263" s="20"/>
      <c r="I263" s="23"/>
      <c r="J263" s="20"/>
      <c r="K263" s="20"/>
      <c r="L263" s="20"/>
      <c r="M263" s="20"/>
      <c r="N263" s="20"/>
      <c r="O263" s="22"/>
      <c r="P263" s="20"/>
      <c r="Q263" s="20"/>
      <c r="R263" s="20"/>
      <c r="S263" s="20"/>
      <c r="T263" s="20"/>
      <c r="U263" s="20"/>
      <c r="V263" s="20"/>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row>
    <row r="264">
      <c r="A264" s="20"/>
      <c r="B264" s="20"/>
      <c r="C264" s="20"/>
      <c r="D264" s="20"/>
      <c r="E264" s="20"/>
      <c r="F264" s="20"/>
      <c r="G264" s="20"/>
      <c r="H264" s="20"/>
      <c r="I264" s="23"/>
      <c r="J264" s="20"/>
      <c r="K264" s="20"/>
      <c r="L264" s="20"/>
      <c r="M264" s="20"/>
      <c r="N264" s="20"/>
      <c r="O264" s="22"/>
      <c r="P264" s="20"/>
      <c r="Q264" s="20"/>
      <c r="R264" s="20"/>
      <c r="S264" s="20"/>
      <c r="T264" s="20"/>
      <c r="U264" s="20"/>
      <c r="V264" s="20"/>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row>
    <row r="265">
      <c r="A265" s="20"/>
      <c r="B265" s="20"/>
      <c r="C265" s="20"/>
      <c r="D265" s="20"/>
      <c r="E265" s="20"/>
      <c r="F265" s="20"/>
      <c r="G265" s="20"/>
      <c r="H265" s="20"/>
      <c r="I265" s="23"/>
      <c r="J265" s="20"/>
      <c r="K265" s="20"/>
      <c r="L265" s="20"/>
      <c r="M265" s="20"/>
      <c r="N265" s="20"/>
      <c r="O265" s="22"/>
      <c r="P265" s="20"/>
      <c r="Q265" s="20"/>
      <c r="R265" s="20"/>
      <c r="S265" s="20"/>
      <c r="T265" s="20"/>
      <c r="U265" s="20"/>
      <c r="V265" s="20"/>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row>
    <row r="266">
      <c r="A266" s="20"/>
      <c r="B266" s="20"/>
      <c r="C266" s="20"/>
      <c r="D266" s="20"/>
      <c r="E266" s="20"/>
      <c r="F266" s="20"/>
      <c r="G266" s="20"/>
      <c r="H266" s="20"/>
      <c r="I266" s="23"/>
      <c r="J266" s="20"/>
      <c r="K266" s="20"/>
      <c r="L266" s="20"/>
      <c r="M266" s="20"/>
      <c r="N266" s="20"/>
      <c r="O266" s="22"/>
      <c r="P266" s="20"/>
      <c r="Q266" s="20"/>
      <c r="R266" s="20"/>
      <c r="S266" s="20"/>
      <c r="T266" s="20"/>
      <c r="U266" s="20"/>
      <c r="V266" s="20"/>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row>
    <row r="267">
      <c r="A267" s="20"/>
      <c r="B267" s="20"/>
      <c r="C267" s="20"/>
      <c r="D267" s="20"/>
      <c r="E267" s="20"/>
      <c r="F267" s="20"/>
      <c r="G267" s="20"/>
      <c r="H267" s="20"/>
      <c r="I267" s="23"/>
      <c r="J267" s="20"/>
      <c r="K267" s="20"/>
      <c r="L267" s="20"/>
      <c r="M267" s="20"/>
      <c r="N267" s="20"/>
      <c r="O267" s="22"/>
      <c r="P267" s="20"/>
      <c r="Q267" s="20"/>
      <c r="R267" s="20"/>
      <c r="S267" s="20"/>
      <c r="T267" s="20"/>
      <c r="U267" s="20"/>
      <c r="V267" s="20"/>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row>
    <row r="268">
      <c r="A268" s="20"/>
      <c r="B268" s="20"/>
      <c r="C268" s="20"/>
      <c r="D268" s="20"/>
      <c r="E268" s="20"/>
      <c r="F268" s="20"/>
      <c r="G268" s="20"/>
      <c r="H268" s="20"/>
      <c r="I268" s="23"/>
      <c r="J268" s="20"/>
      <c r="K268" s="20"/>
      <c r="L268" s="20"/>
      <c r="M268" s="20"/>
      <c r="N268" s="20"/>
      <c r="O268" s="22"/>
      <c r="P268" s="20"/>
      <c r="Q268" s="20"/>
      <c r="R268" s="20"/>
      <c r="S268" s="20"/>
      <c r="T268" s="20"/>
      <c r="U268" s="20"/>
      <c r="V268" s="20"/>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row>
    <row r="269">
      <c r="A269" s="20"/>
      <c r="B269" s="20"/>
      <c r="C269" s="20"/>
      <c r="D269" s="20"/>
      <c r="E269" s="20"/>
      <c r="F269" s="20"/>
      <c r="G269" s="20"/>
      <c r="H269" s="20"/>
      <c r="I269" s="23"/>
      <c r="J269" s="20"/>
      <c r="K269" s="20"/>
      <c r="L269" s="20"/>
      <c r="M269" s="20"/>
      <c r="N269" s="20"/>
      <c r="O269" s="22"/>
      <c r="P269" s="20"/>
      <c r="Q269" s="20"/>
      <c r="R269" s="20"/>
      <c r="S269" s="20"/>
      <c r="T269" s="20"/>
      <c r="U269" s="20"/>
      <c r="V269" s="20"/>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row>
    <row r="270">
      <c r="A270" s="20"/>
      <c r="B270" s="20"/>
      <c r="C270" s="20"/>
      <c r="D270" s="20"/>
      <c r="E270" s="20"/>
      <c r="F270" s="20"/>
      <c r="G270" s="20"/>
      <c r="H270" s="20"/>
      <c r="I270" s="23"/>
      <c r="J270" s="20"/>
      <c r="K270" s="20"/>
      <c r="L270" s="20"/>
      <c r="M270" s="20"/>
      <c r="N270" s="20"/>
      <c r="O270" s="22"/>
      <c r="P270" s="20"/>
      <c r="Q270" s="20"/>
      <c r="R270" s="20"/>
      <c r="S270" s="20"/>
      <c r="T270" s="20"/>
      <c r="U270" s="20"/>
      <c r="V270" s="20"/>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row>
    <row r="271">
      <c r="A271" s="20"/>
      <c r="B271" s="20"/>
      <c r="C271" s="20"/>
      <c r="D271" s="20"/>
      <c r="E271" s="20"/>
      <c r="F271" s="20"/>
      <c r="G271" s="20"/>
      <c r="H271" s="20"/>
      <c r="I271" s="23"/>
      <c r="J271" s="20"/>
      <c r="K271" s="20"/>
      <c r="L271" s="20"/>
      <c r="M271" s="20"/>
      <c r="N271" s="20"/>
      <c r="O271" s="22"/>
      <c r="P271" s="20"/>
      <c r="Q271" s="20"/>
      <c r="R271" s="20"/>
      <c r="S271" s="20"/>
      <c r="T271" s="20"/>
      <c r="U271" s="20"/>
      <c r="V271" s="20"/>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row>
    <row r="272">
      <c r="A272" s="20"/>
      <c r="B272" s="20"/>
      <c r="C272" s="20"/>
      <c r="D272" s="20"/>
      <c r="E272" s="20"/>
      <c r="F272" s="20"/>
      <c r="G272" s="20"/>
      <c r="H272" s="20"/>
      <c r="I272" s="23"/>
      <c r="J272" s="20"/>
      <c r="K272" s="20"/>
      <c r="L272" s="20"/>
      <c r="M272" s="20"/>
      <c r="N272" s="20"/>
      <c r="O272" s="22"/>
      <c r="P272" s="20"/>
      <c r="Q272" s="20"/>
      <c r="R272" s="20"/>
      <c r="S272" s="20"/>
      <c r="T272" s="20"/>
      <c r="U272" s="20"/>
      <c r="V272" s="20"/>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row>
    <row r="273">
      <c r="A273" s="20"/>
      <c r="B273" s="20"/>
      <c r="C273" s="20"/>
      <c r="D273" s="20"/>
      <c r="E273" s="20"/>
      <c r="F273" s="20"/>
      <c r="G273" s="20"/>
      <c r="H273" s="20"/>
      <c r="I273" s="23"/>
      <c r="J273" s="20"/>
      <c r="K273" s="20"/>
      <c r="L273" s="20"/>
      <c r="M273" s="20"/>
      <c r="N273" s="20"/>
      <c r="O273" s="22"/>
      <c r="P273" s="20"/>
      <c r="Q273" s="20"/>
      <c r="R273" s="20"/>
      <c r="S273" s="20"/>
      <c r="T273" s="20"/>
      <c r="U273" s="20"/>
      <c r="V273" s="20"/>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row>
    <row r="274">
      <c r="A274" s="20"/>
      <c r="B274" s="20"/>
      <c r="C274" s="20"/>
      <c r="D274" s="20"/>
      <c r="E274" s="20"/>
      <c r="F274" s="20"/>
      <c r="G274" s="20"/>
      <c r="H274" s="20"/>
      <c r="I274" s="23"/>
      <c r="J274" s="20"/>
      <c r="K274" s="20"/>
      <c r="L274" s="20"/>
      <c r="M274" s="20"/>
      <c r="N274" s="20"/>
      <c r="O274" s="22"/>
      <c r="P274" s="20"/>
      <c r="Q274" s="20"/>
      <c r="R274" s="20"/>
      <c r="S274" s="20"/>
      <c r="T274" s="20"/>
      <c r="U274" s="20"/>
      <c r="V274" s="20"/>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row>
    <row r="275">
      <c r="A275" s="20"/>
      <c r="B275" s="20"/>
      <c r="C275" s="20"/>
      <c r="D275" s="20"/>
      <c r="E275" s="20"/>
      <c r="F275" s="20"/>
      <c r="G275" s="20"/>
      <c r="H275" s="20"/>
      <c r="I275" s="23"/>
      <c r="J275" s="20"/>
      <c r="K275" s="20"/>
      <c r="L275" s="20"/>
      <c r="M275" s="20"/>
      <c r="N275" s="20"/>
      <c r="O275" s="22"/>
      <c r="P275" s="20"/>
      <c r="Q275" s="20"/>
      <c r="R275" s="20"/>
      <c r="S275" s="20"/>
      <c r="T275" s="20"/>
      <c r="U275" s="20"/>
      <c r="V275" s="20"/>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row>
    <row r="276">
      <c r="A276" s="20"/>
      <c r="B276" s="20"/>
      <c r="C276" s="20"/>
      <c r="D276" s="20"/>
      <c r="E276" s="20"/>
      <c r="F276" s="20"/>
      <c r="G276" s="20"/>
      <c r="H276" s="20"/>
      <c r="I276" s="23"/>
      <c r="J276" s="20"/>
      <c r="K276" s="20"/>
      <c r="L276" s="20"/>
      <c r="M276" s="20"/>
      <c r="N276" s="20"/>
      <c r="O276" s="22"/>
      <c r="P276" s="20"/>
      <c r="Q276" s="20"/>
      <c r="R276" s="20"/>
      <c r="S276" s="20"/>
      <c r="T276" s="20"/>
      <c r="U276" s="20"/>
      <c r="V276" s="20"/>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row>
    <row r="277">
      <c r="A277" s="20"/>
      <c r="B277" s="20"/>
      <c r="C277" s="20"/>
      <c r="D277" s="20"/>
      <c r="E277" s="20"/>
      <c r="F277" s="20"/>
      <c r="G277" s="20"/>
      <c r="H277" s="20"/>
      <c r="I277" s="23"/>
      <c r="J277" s="20"/>
      <c r="K277" s="20"/>
      <c r="L277" s="20"/>
      <c r="M277" s="20"/>
      <c r="N277" s="20"/>
      <c r="O277" s="22"/>
      <c r="P277" s="20"/>
      <c r="Q277" s="20"/>
      <c r="R277" s="20"/>
      <c r="S277" s="20"/>
      <c r="T277" s="20"/>
      <c r="U277" s="20"/>
      <c r="V277" s="20"/>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row>
    <row r="278">
      <c r="A278" s="20"/>
      <c r="B278" s="20"/>
      <c r="C278" s="20"/>
      <c r="D278" s="20"/>
      <c r="E278" s="20"/>
      <c r="F278" s="20"/>
      <c r="G278" s="20"/>
      <c r="H278" s="20"/>
      <c r="I278" s="23"/>
      <c r="J278" s="20"/>
      <c r="K278" s="20"/>
      <c r="L278" s="20"/>
      <c r="M278" s="20"/>
      <c r="N278" s="20"/>
      <c r="O278" s="22"/>
      <c r="P278" s="20"/>
      <c r="Q278" s="20"/>
      <c r="R278" s="20"/>
      <c r="S278" s="20"/>
      <c r="T278" s="20"/>
      <c r="U278" s="20"/>
      <c r="V278" s="20"/>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row>
    <row r="279">
      <c r="A279" s="20"/>
      <c r="B279" s="20"/>
      <c r="C279" s="20"/>
      <c r="D279" s="20"/>
      <c r="E279" s="20"/>
      <c r="F279" s="20"/>
      <c r="G279" s="20"/>
      <c r="H279" s="20"/>
      <c r="I279" s="23"/>
      <c r="J279" s="20"/>
      <c r="K279" s="20"/>
      <c r="L279" s="20"/>
      <c r="M279" s="20"/>
      <c r="N279" s="20"/>
      <c r="O279" s="22"/>
      <c r="P279" s="20"/>
      <c r="Q279" s="20"/>
      <c r="R279" s="20"/>
      <c r="S279" s="20"/>
      <c r="T279" s="20"/>
      <c r="U279" s="20"/>
      <c r="V279" s="20"/>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row>
    <row r="280">
      <c r="A280" s="20"/>
      <c r="B280" s="20"/>
      <c r="C280" s="20"/>
      <c r="D280" s="20"/>
      <c r="E280" s="20"/>
      <c r="F280" s="20"/>
      <c r="G280" s="20"/>
      <c r="H280" s="20"/>
      <c r="I280" s="23"/>
      <c r="J280" s="20"/>
      <c r="K280" s="20"/>
      <c r="L280" s="20"/>
      <c r="M280" s="20"/>
      <c r="N280" s="20"/>
      <c r="O280" s="22"/>
      <c r="P280" s="20"/>
      <c r="Q280" s="20"/>
      <c r="R280" s="20"/>
      <c r="S280" s="20"/>
      <c r="T280" s="20"/>
      <c r="U280" s="20"/>
      <c r="V280" s="20"/>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row>
    <row r="281">
      <c r="A281" s="20"/>
      <c r="B281" s="20"/>
      <c r="C281" s="20"/>
      <c r="D281" s="20"/>
      <c r="E281" s="20"/>
      <c r="F281" s="20"/>
      <c r="G281" s="20"/>
      <c r="H281" s="20"/>
      <c r="I281" s="23"/>
      <c r="J281" s="20"/>
      <c r="K281" s="20"/>
      <c r="L281" s="20"/>
      <c r="M281" s="20"/>
      <c r="N281" s="20"/>
      <c r="O281" s="22"/>
      <c r="P281" s="20"/>
      <c r="Q281" s="20"/>
      <c r="R281" s="20"/>
      <c r="S281" s="20"/>
      <c r="T281" s="20"/>
      <c r="U281" s="20"/>
      <c r="V281" s="20"/>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row>
    <row r="282">
      <c r="A282" s="20"/>
      <c r="B282" s="20"/>
      <c r="C282" s="20"/>
      <c r="D282" s="20"/>
      <c r="E282" s="20"/>
      <c r="F282" s="20"/>
      <c r="G282" s="20"/>
      <c r="H282" s="20"/>
      <c r="I282" s="23"/>
      <c r="J282" s="20"/>
      <c r="K282" s="20"/>
      <c r="L282" s="20"/>
      <c r="M282" s="20"/>
      <c r="N282" s="20"/>
      <c r="O282" s="22"/>
      <c r="P282" s="20"/>
      <c r="Q282" s="20"/>
      <c r="R282" s="20"/>
      <c r="S282" s="20"/>
      <c r="T282" s="20"/>
      <c r="U282" s="20"/>
      <c r="V282" s="20"/>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row>
    <row r="283">
      <c r="A283" s="20"/>
      <c r="B283" s="20"/>
      <c r="C283" s="20"/>
      <c r="D283" s="20"/>
      <c r="E283" s="20"/>
      <c r="F283" s="20"/>
      <c r="G283" s="20"/>
      <c r="H283" s="20"/>
      <c r="I283" s="23"/>
      <c r="J283" s="20"/>
      <c r="K283" s="20"/>
      <c r="L283" s="20"/>
      <c r="M283" s="20"/>
      <c r="N283" s="20"/>
      <c r="O283" s="22"/>
      <c r="P283" s="20"/>
      <c r="Q283" s="20"/>
      <c r="R283" s="20"/>
      <c r="S283" s="20"/>
      <c r="T283" s="20"/>
      <c r="U283" s="20"/>
      <c r="V283" s="20"/>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row>
    <row r="284">
      <c r="A284" s="20"/>
      <c r="B284" s="20"/>
      <c r="C284" s="20"/>
      <c r="D284" s="20"/>
      <c r="E284" s="20"/>
      <c r="F284" s="20"/>
      <c r="G284" s="20"/>
      <c r="H284" s="20"/>
      <c r="I284" s="23"/>
      <c r="J284" s="20"/>
      <c r="K284" s="20"/>
      <c r="L284" s="20"/>
      <c r="M284" s="20"/>
      <c r="N284" s="20"/>
      <c r="O284" s="22"/>
      <c r="P284" s="20"/>
      <c r="Q284" s="20"/>
      <c r="R284" s="20"/>
      <c r="S284" s="20"/>
      <c r="T284" s="20"/>
      <c r="U284" s="20"/>
      <c r="V284" s="20"/>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row>
    <row r="285">
      <c r="A285" s="20"/>
      <c r="B285" s="20"/>
      <c r="C285" s="20"/>
      <c r="D285" s="20"/>
      <c r="E285" s="20"/>
      <c r="F285" s="20"/>
      <c r="G285" s="20"/>
      <c r="H285" s="20"/>
      <c r="I285" s="23"/>
      <c r="J285" s="20"/>
      <c r="K285" s="20"/>
      <c r="L285" s="20"/>
      <c r="M285" s="20"/>
      <c r="N285" s="20"/>
      <c r="O285" s="22"/>
      <c r="P285" s="20"/>
      <c r="Q285" s="20"/>
      <c r="R285" s="20"/>
      <c r="S285" s="20"/>
      <c r="T285" s="20"/>
      <c r="U285" s="20"/>
      <c r="V285" s="20"/>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row>
    <row r="286">
      <c r="A286" s="20"/>
      <c r="B286" s="20"/>
      <c r="C286" s="20"/>
      <c r="D286" s="20"/>
      <c r="E286" s="20"/>
      <c r="F286" s="20"/>
      <c r="G286" s="20"/>
      <c r="H286" s="20"/>
      <c r="I286" s="23"/>
      <c r="J286" s="20"/>
      <c r="K286" s="20"/>
      <c r="L286" s="20"/>
      <c r="M286" s="20"/>
      <c r="N286" s="20"/>
      <c r="O286" s="22"/>
      <c r="P286" s="20"/>
      <c r="Q286" s="20"/>
      <c r="R286" s="20"/>
      <c r="S286" s="20"/>
      <c r="T286" s="20"/>
      <c r="U286" s="20"/>
      <c r="V286" s="20"/>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row>
    <row r="287">
      <c r="A287" s="20"/>
      <c r="B287" s="20"/>
      <c r="C287" s="20"/>
      <c r="D287" s="20"/>
      <c r="E287" s="20"/>
      <c r="F287" s="20"/>
      <c r="G287" s="20"/>
      <c r="H287" s="20"/>
      <c r="I287" s="23"/>
      <c r="J287" s="20"/>
      <c r="K287" s="20"/>
      <c r="L287" s="20"/>
      <c r="M287" s="20"/>
      <c r="N287" s="20"/>
      <c r="O287" s="22"/>
      <c r="P287" s="20"/>
      <c r="Q287" s="20"/>
      <c r="R287" s="20"/>
      <c r="S287" s="20"/>
      <c r="T287" s="20"/>
      <c r="U287" s="20"/>
      <c r="V287" s="20"/>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row>
    <row r="288">
      <c r="A288" s="20"/>
      <c r="B288" s="20"/>
      <c r="C288" s="20"/>
      <c r="D288" s="20"/>
      <c r="E288" s="20"/>
      <c r="F288" s="20"/>
      <c r="G288" s="20"/>
      <c r="H288" s="20"/>
      <c r="I288" s="23"/>
      <c r="J288" s="20"/>
      <c r="K288" s="20"/>
      <c r="L288" s="20"/>
      <c r="M288" s="20"/>
      <c r="N288" s="20"/>
      <c r="O288" s="22"/>
      <c r="P288" s="20"/>
      <c r="Q288" s="20"/>
      <c r="R288" s="20"/>
      <c r="S288" s="20"/>
      <c r="T288" s="20"/>
      <c r="U288" s="20"/>
      <c r="V288" s="20"/>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row>
    <row r="289">
      <c r="A289" s="20"/>
      <c r="B289" s="20"/>
      <c r="C289" s="20"/>
      <c r="D289" s="20"/>
      <c r="E289" s="20"/>
      <c r="F289" s="20"/>
      <c r="G289" s="20"/>
      <c r="H289" s="20"/>
      <c r="I289" s="23"/>
      <c r="J289" s="20"/>
      <c r="K289" s="20"/>
      <c r="L289" s="20"/>
      <c r="M289" s="20"/>
      <c r="N289" s="20"/>
      <c r="O289" s="22"/>
      <c r="P289" s="20"/>
      <c r="Q289" s="20"/>
      <c r="R289" s="20"/>
      <c r="S289" s="20"/>
      <c r="T289" s="20"/>
      <c r="U289" s="20"/>
      <c r="V289" s="20"/>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row>
    <row r="290">
      <c r="A290" s="20"/>
      <c r="B290" s="20"/>
      <c r="C290" s="20"/>
      <c r="D290" s="20"/>
      <c r="E290" s="20"/>
      <c r="F290" s="20"/>
      <c r="G290" s="20"/>
      <c r="H290" s="20"/>
      <c r="I290" s="23"/>
      <c r="J290" s="20"/>
      <c r="K290" s="20"/>
      <c r="L290" s="20"/>
      <c r="M290" s="20"/>
      <c r="N290" s="20"/>
      <c r="O290" s="22"/>
      <c r="P290" s="20"/>
      <c r="Q290" s="20"/>
      <c r="R290" s="20"/>
      <c r="S290" s="20"/>
      <c r="T290" s="20"/>
      <c r="U290" s="20"/>
      <c r="V290" s="20"/>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row>
    <row r="291">
      <c r="A291" s="20"/>
      <c r="B291" s="20"/>
      <c r="C291" s="20"/>
      <c r="D291" s="20"/>
      <c r="E291" s="20"/>
      <c r="F291" s="20"/>
      <c r="G291" s="20"/>
      <c r="H291" s="20"/>
      <c r="I291" s="23"/>
      <c r="J291" s="20"/>
      <c r="K291" s="20"/>
      <c r="L291" s="20"/>
      <c r="M291" s="20"/>
      <c r="N291" s="20"/>
      <c r="O291" s="22"/>
      <c r="P291" s="20"/>
      <c r="Q291" s="20"/>
      <c r="R291" s="20"/>
      <c r="S291" s="20"/>
      <c r="T291" s="20"/>
      <c r="U291" s="20"/>
      <c r="V291" s="20"/>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row>
    <row r="292">
      <c r="A292" s="20"/>
      <c r="B292" s="20"/>
      <c r="C292" s="20"/>
      <c r="D292" s="20"/>
      <c r="E292" s="20"/>
      <c r="F292" s="20"/>
      <c r="G292" s="20"/>
      <c r="H292" s="20"/>
      <c r="I292" s="23"/>
      <c r="J292" s="20"/>
      <c r="K292" s="20"/>
      <c r="L292" s="20"/>
      <c r="M292" s="20"/>
      <c r="N292" s="20"/>
      <c r="O292" s="22"/>
      <c r="P292" s="20"/>
      <c r="Q292" s="20"/>
      <c r="R292" s="20"/>
      <c r="S292" s="20"/>
      <c r="T292" s="20"/>
      <c r="U292" s="20"/>
      <c r="V292" s="20"/>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row>
    <row r="293">
      <c r="A293" s="20"/>
      <c r="B293" s="20"/>
      <c r="C293" s="20"/>
      <c r="D293" s="20"/>
      <c r="E293" s="20"/>
      <c r="F293" s="20"/>
      <c r="G293" s="20"/>
      <c r="H293" s="20"/>
      <c r="I293" s="23"/>
      <c r="J293" s="20"/>
      <c r="K293" s="20"/>
      <c r="L293" s="20"/>
      <c r="M293" s="20"/>
      <c r="N293" s="20"/>
      <c r="O293" s="22"/>
      <c r="P293" s="20"/>
      <c r="Q293" s="20"/>
      <c r="R293" s="20"/>
      <c r="S293" s="20"/>
      <c r="T293" s="20"/>
      <c r="U293" s="20"/>
      <c r="V293" s="20"/>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row>
    <row r="294">
      <c r="A294" s="20"/>
      <c r="B294" s="20"/>
      <c r="C294" s="20"/>
      <c r="D294" s="20"/>
      <c r="E294" s="20"/>
      <c r="F294" s="20"/>
      <c r="G294" s="20"/>
      <c r="H294" s="20"/>
      <c r="I294" s="23"/>
      <c r="J294" s="20"/>
      <c r="K294" s="20"/>
      <c r="L294" s="20"/>
      <c r="M294" s="20"/>
      <c r="N294" s="20"/>
      <c r="O294" s="22"/>
      <c r="P294" s="20"/>
      <c r="Q294" s="20"/>
      <c r="R294" s="20"/>
      <c r="S294" s="20"/>
      <c r="T294" s="20"/>
      <c r="U294" s="20"/>
      <c r="V294" s="20"/>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row>
    <row r="295">
      <c r="A295" s="20"/>
      <c r="B295" s="20"/>
      <c r="C295" s="20"/>
      <c r="D295" s="20"/>
      <c r="E295" s="20"/>
      <c r="F295" s="20"/>
      <c r="G295" s="20"/>
      <c r="H295" s="20"/>
      <c r="I295" s="23"/>
      <c r="J295" s="20"/>
      <c r="K295" s="20"/>
      <c r="L295" s="20"/>
      <c r="M295" s="20"/>
      <c r="N295" s="20"/>
      <c r="O295" s="22"/>
      <c r="P295" s="20"/>
      <c r="Q295" s="20"/>
      <c r="R295" s="20"/>
      <c r="S295" s="20"/>
      <c r="T295" s="20"/>
      <c r="U295" s="20"/>
      <c r="V295" s="20"/>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row>
    <row r="296">
      <c r="A296" s="20"/>
      <c r="B296" s="20"/>
      <c r="C296" s="20"/>
      <c r="D296" s="20"/>
      <c r="E296" s="20"/>
      <c r="F296" s="20"/>
      <c r="G296" s="20"/>
      <c r="H296" s="20"/>
      <c r="I296" s="23"/>
      <c r="J296" s="20"/>
      <c r="K296" s="20"/>
      <c r="L296" s="20"/>
      <c r="M296" s="20"/>
      <c r="N296" s="20"/>
      <c r="O296" s="22"/>
      <c r="P296" s="20"/>
      <c r="Q296" s="20"/>
      <c r="R296" s="20"/>
      <c r="S296" s="20"/>
      <c r="T296" s="20"/>
      <c r="U296" s="20"/>
      <c r="V296" s="20"/>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row>
    <row r="297">
      <c r="A297" s="20"/>
      <c r="B297" s="20"/>
      <c r="C297" s="20"/>
      <c r="D297" s="20"/>
      <c r="E297" s="20"/>
      <c r="F297" s="20"/>
      <c r="G297" s="20"/>
      <c r="H297" s="20"/>
      <c r="I297" s="23"/>
      <c r="J297" s="20"/>
      <c r="K297" s="20"/>
      <c r="L297" s="20"/>
      <c r="M297" s="20"/>
      <c r="N297" s="20"/>
      <c r="O297" s="22"/>
      <c r="P297" s="20"/>
      <c r="Q297" s="20"/>
      <c r="R297" s="20"/>
      <c r="S297" s="20"/>
      <c r="T297" s="20"/>
      <c r="U297" s="20"/>
      <c r="V297" s="20"/>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row>
    <row r="298">
      <c r="A298" s="20"/>
      <c r="B298" s="20"/>
      <c r="C298" s="20"/>
      <c r="D298" s="20"/>
      <c r="E298" s="20"/>
      <c r="F298" s="20"/>
      <c r="G298" s="20"/>
      <c r="H298" s="20"/>
      <c r="I298" s="23"/>
      <c r="J298" s="20"/>
      <c r="K298" s="20"/>
      <c r="L298" s="20"/>
      <c r="M298" s="20"/>
      <c r="N298" s="20"/>
      <c r="O298" s="22"/>
      <c r="P298" s="20"/>
      <c r="Q298" s="20"/>
      <c r="R298" s="20"/>
      <c r="S298" s="20"/>
      <c r="T298" s="20"/>
      <c r="U298" s="20"/>
      <c r="V298" s="20"/>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row>
    <row r="299">
      <c r="A299" s="20"/>
      <c r="B299" s="20"/>
      <c r="C299" s="20"/>
      <c r="D299" s="20"/>
      <c r="E299" s="20"/>
      <c r="F299" s="20"/>
      <c r="G299" s="20"/>
      <c r="H299" s="20"/>
      <c r="I299" s="23"/>
      <c r="J299" s="20"/>
      <c r="K299" s="20"/>
      <c r="L299" s="20"/>
      <c r="M299" s="20"/>
      <c r="N299" s="20"/>
      <c r="O299" s="22"/>
      <c r="P299" s="20"/>
      <c r="Q299" s="20"/>
      <c r="R299" s="20"/>
      <c r="S299" s="20"/>
      <c r="T299" s="20"/>
      <c r="U299" s="20"/>
      <c r="V299" s="20"/>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row>
    <row r="300">
      <c r="A300" s="20"/>
      <c r="B300" s="20"/>
      <c r="C300" s="20"/>
      <c r="D300" s="20"/>
      <c r="E300" s="20"/>
      <c r="F300" s="20"/>
      <c r="G300" s="20"/>
      <c r="H300" s="20"/>
      <c r="I300" s="23"/>
      <c r="J300" s="20"/>
      <c r="K300" s="20"/>
      <c r="L300" s="20"/>
      <c r="M300" s="20"/>
      <c r="N300" s="20"/>
      <c r="O300" s="22"/>
      <c r="P300" s="20"/>
      <c r="Q300" s="20"/>
      <c r="R300" s="20"/>
      <c r="S300" s="20"/>
      <c r="T300" s="20"/>
      <c r="U300" s="20"/>
      <c r="V300" s="20"/>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row>
    <row r="301">
      <c r="A301" s="20"/>
      <c r="B301" s="20"/>
      <c r="C301" s="20"/>
      <c r="D301" s="20"/>
      <c r="E301" s="20"/>
      <c r="F301" s="20"/>
      <c r="G301" s="20"/>
      <c r="H301" s="20"/>
      <c r="I301" s="23"/>
      <c r="J301" s="20"/>
      <c r="K301" s="20"/>
      <c r="L301" s="20"/>
      <c r="M301" s="20"/>
      <c r="N301" s="20"/>
      <c r="O301" s="22"/>
      <c r="P301" s="20"/>
      <c r="Q301" s="20"/>
      <c r="R301" s="20"/>
      <c r="S301" s="20"/>
      <c r="T301" s="20"/>
      <c r="U301" s="20"/>
      <c r="V301" s="20"/>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row>
    <row r="302">
      <c r="A302" s="20"/>
      <c r="B302" s="20"/>
      <c r="C302" s="20"/>
      <c r="D302" s="20"/>
      <c r="E302" s="20"/>
      <c r="F302" s="20"/>
      <c r="G302" s="20"/>
      <c r="H302" s="20"/>
      <c r="I302" s="23"/>
      <c r="J302" s="20"/>
      <c r="K302" s="20"/>
      <c r="L302" s="20"/>
      <c r="M302" s="20"/>
      <c r="N302" s="20"/>
      <c r="O302" s="22"/>
      <c r="P302" s="20"/>
      <c r="Q302" s="20"/>
      <c r="R302" s="20"/>
      <c r="S302" s="20"/>
      <c r="T302" s="20"/>
      <c r="U302" s="20"/>
      <c r="V302" s="20"/>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row>
    <row r="303">
      <c r="A303" s="20"/>
      <c r="B303" s="20"/>
      <c r="C303" s="20"/>
      <c r="D303" s="20"/>
      <c r="E303" s="20"/>
      <c r="F303" s="20"/>
      <c r="G303" s="20"/>
      <c r="H303" s="20"/>
      <c r="I303" s="23"/>
      <c r="J303" s="20"/>
      <c r="K303" s="20"/>
      <c r="L303" s="20"/>
      <c r="M303" s="20"/>
      <c r="N303" s="20"/>
      <c r="O303" s="22"/>
      <c r="P303" s="20"/>
      <c r="Q303" s="20"/>
      <c r="R303" s="20"/>
      <c r="S303" s="20"/>
      <c r="T303" s="20"/>
      <c r="U303" s="20"/>
      <c r="V303" s="20"/>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row>
    <row r="304">
      <c r="A304" s="20"/>
      <c r="B304" s="20"/>
      <c r="C304" s="20"/>
      <c r="D304" s="20"/>
      <c r="E304" s="20"/>
      <c r="F304" s="20"/>
      <c r="G304" s="20"/>
      <c r="H304" s="20"/>
      <c r="I304" s="23"/>
      <c r="J304" s="20"/>
      <c r="K304" s="20"/>
      <c r="L304" s="20"/>
      <c r="M304" s="20"/>
      <c r="N304" s="20"/>
      <c r="O304" s="22"/>
      <c r="P304" s="20"/>
      <c r="Q304" s="20"/>
      <c r="R304" s="20"/>
      <c r="S304" s="20"/>
      <c r="T304" s="20"/>
      <c r="U304" s="20"/>
      <c r="V304" s="20"/>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row>
    <row r="305">
      <c r="A305" s="20"/>
      <c r="B305" s="20"/>
      <c r="C305" s="20"/>
      <c r="D305" s="20"/>
      <c r="E305" s="20"/>
      <c r="F305" s="20"/>
      <c r="G305" s="20"/>
      <c r="H305" s="20"/>
      <c r="I305" s="23"/>
      <c r="J305" s="20"/>
      <c r="K305" s="20"/>
      <c r="L305" s="20"/>
      <c r="M305" s="20"/>
      <c r="N305" s="20"/>
      <c r="O305" s="22"/>
      <c r="P305" s="20"/>
      <c r="Q305" s="20"/>
      <c r="R305" s="20"/>
      <c r="S305" s="20"/>
      <c r="T305" s="20"/>
      <c r="U305" s="20"/>
      <c r="V305" s="20"/>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row>
    <row r="306">
      <c r="A306" s="20"/>
      <c r="B306" s="20"/>
      <c r="C306" s="20"/>
      <c r="D306" s="20"/>
      <c r="E306" s="20"/>
      <c r="F306" s="20"/>
      <c r="G306" s="20"/>
      <c r="H306" s="20"/>
      <c r="I306" s="23"/>
      <c r="J306" s="20"/>
      <c r="K306" s="20"/>
      <c r="L306" s="20"/>
      <c r="M306" s="20"/>
      <c r="N306" s="20"/>
      <c r="O306" s="22"/>
      <c r="P306" s="20"/>
      <c r="Q306" s="20"/>
      <c r="R306" s="20"/>
      <c r="S306" s="20"/>
      <c r="T306" s="20"/>
      <c r="U306" s="20"/>
      <c r="V306" s="20"/>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row>
    <row r="307">
      <c r="A307" s="20"/>
      <c r="B307" s="20"/>
      <c r="C307" s="20"/>
      <c r="D307" s="20"/>
      <c r="E307" s="20"/>
      <c r="F307" s="20"/>
      <c r="G307" s="20"/>
      <c r="H307" s="20"/>
      <c r="I307" s="23"/>
      <c r="J307" s="20"/>
      <c r="K307" s="20"/>
      <c r="L307" s="20"/>
      <c r="M307" s="20"/>
      <c r="N307" s="20"/>
      <c r="O307" s="22"/>
      <c r="P307" s="20"/>
      <c r="Q307" s="20"/>
      <c r="R307" s="20"/>
      <c r="S307" s="20"/>
      <c r="T307" s="20"/>
      <c r="U307" s="20"/>
      <c r="V307" s="20"/>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row>
    <row r="308">
      <c r="A308" s="20"/>
      <c r="B308" s="20"/>
      <c r="C308" s="20"/>
      <c r="D308" s="20"/>
      <c r="E308" s="20"/>
      <c r="F308" s="20"/>
      <c r="G308" s="20"/>
      <c r="H308" s="20"/>
      <c r="I308" s="23"/>
      <c r="J308" s="20"/>
      <c r="K308" s="20"/>
      <c r="L308" s="20"/>
      <c r="M308" s="20"/>
      <c r="N308" s="20"/>
      <c r="O308" s="22"/>
      <c r="P308" s="20"/>
      <c r="Q308" s="20"/>
      <c r="R308" s="20"/>
      <c r="S308" s="20"/>
      <c r="T308" s="20"/>
      <c r="U308" s="20"/>
      <c r="V308" s="20"/>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row>
    <row r="309">
      <c r="A309" s="20"/>
      <c r="B309" s="20"/>
      <c r="C309" s="20"/>
      <c r="D309" s="20"/>
      <c r="E309" s="20"/>
      <c r="F309" s="20"/>
      <c r="G309" s="20"/>
      <c r="H309" s="20"/>
      <c r="I309" s="23"/>
      <c r="J309" s="20"/>
      <c r="K309" s="20"/>
      <c r="L309" s="20"/>
      <c r="M309" s="20"/>
      <c r="N309" s="20"/>
      <c r="O309" s="22"/>
      <c r="P309" s="20"/>
      <c r="Q309" s="20"/>
      <c r="R309" s="20"/>
      <c r="S309" s="20"/>
      <c r="T309" s="20"/>
      <c r="U309" s="20"/>
      <c r="V309" s="20"/>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row>
    <row r="310">
      <c r="A310" s="20"/>
      <c r="B310" s="20"/>
      <c r="C310" s="20"/>
      <c r="D310" s="20"/>
      <c r="E310" s="20"/>
      <c r="F310" s="20"/>
      <c r="G310" s="20"/>
      <c r="H310" s="20"/>
      <c r="I310" s="23"/>
      <c r="J310" s="20"/>
      <c r="K310" s="20"/>
      <c r="L310" s="20"/>
      <c r="M310" s="20"/>
      <c r="N310" s="20"/>
      <c r="O310" s="22"/>
      <c r="P310" s="20"/>
      <c r="Q310" s="20"/>
      <c r="R310" s="20"/>
      <c r="S310" s="20"/>
      <c r="T310" s="20"/>
      <c r="U310" s="20"/>
      <c r="V310" s="20"/>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row>
    <row r="311">
      <c r="A311" s="20"/>
      <c r="B311" s="20"/>
      <c r="C311" s="20"/>
      <c r="D311" s="20"/>
      <c r="E311" s="20"/>
      <c r="F311" s="20"/>
      <c r="G311" s="20"/>
      <c r="H311" s="20"/>
      <c r="I311" s="23"/>
      <c r="J311" s="20"/>
      <c r="K311" s="20"/>
      <c r="L311" s="20"/>
      <c r="M311" s="20"/>
      <c r="N311" s="20"/>
      <c r="O311" s="22"/>
      <c r="P311" s="20"/>
      <c r="Q311" s="20"/>
      <c r="R311" s="20"/>
      <c r="S311" s="20"/>
      <c r="T311" s="20"/>
      <c r="U311" s="20"/>
      <c r="V311" s="20"/>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row>
    <row r="312">
      <c r="A312" s="20"/>
      <c r="B312" s="20"/>
      <c r="C312" s="20"/>
      <c r="D312" s="20"/>
      <c r="E312" s="20"/>
      <c r="F312" s="20"/>
      <c r="G312" s="20"/>
      <c r="H312" s="20"/>
      <c r="I312" s="23"/>
      <c r="J312" s="20"/>
      <c r="K312" s="20"/>
      <c r="L312" s="20"/>
      <c r="M312" s="20"/>
      <c r="N312" s="20"/>
      <c r="O312" s="22"/>
      <c r="P312" s="20"/>
      <c r="Q312" s="20"/>
      <c r="R312" s="20"/>
      <c r="S312" s="20"/>
      <c r="T312" s="20"/>
      <c r="U312" s="20"/>
      <c r="V312" s="20"/>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row>
    <row r="313">
      <c r="A313" s="20"/>
      <c r="B313" s="20"/>
      <c r="C313" s="20"/>
      <c r="D313" s="20"/>
      <c r="E313" s="20"/>
      <c r="F313" s="20"/>
      <c r="G313" s="20"/>
      <c r="H313" s="20"/>
      <c r="I313" s="23"/>
      <c r="J313" s="20"/>
      <c r="K313" s="20"/>
      <c r="L313" s="20"/>
      <c r="M313" s="20"/>
      <c r="N313" s="20"/>
      <c r="O313" s="22"/>
      <c r="P313" s="20"/>
      <c r="Q313" s="20"/>
      <c r="R313" s="20"/>
      <c r="S313" s="20"/>
      <c r="T313" s="20"/>
      <c r="U313" s="20"/>
      <c r="V313" s="20"/>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row>
    <row r="314">
      <c r="A314" s="20"/>
      <c r="B314" s="20"/>
      <c r="C314" s="20"/>
      <c r="D314" s="20"/>
      <c r="E314" s="20"/>
      <c r="F314" s="20"/>
      <c r="G314" s="20"/>
      <c r="H314" s="20"/>
      <c r="I314" s="23"/>
      <c r="J314" s="20"/>
      <c r="K314" s="20"/>
      <c r="L314" s="20"/>
      <c r="M314" s="20"/>
      <c r="N314" s="20"/>
      <c r="O314" s="22"/>
      <c r="P314" s="20"/>
      <c r="Q314" s="20"/>
      <c r="R314" s="20"/>
      <c r="S314" s="20"/>
      <c r="T314" s="20"/>
      <c r="U314" s="20"/>
      <c r="V314" s="20"/>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row>
    <row r="315">
      <c r="A315" s="20"/>
      <c r="B315" s="20"/>
      <c r="C315" s="20"/>
      <c r="D315" s="20"/>
      <c r="E315" s="20"/>
      <c r="F315" s="20"/>
      <c r="G315" s="20"/>
      <c r="H315" s="20"/>
      <c r="I315" s="23"/>
      <c r="J315" s="20"/>
      <c r="K315" s="20"/>
      <c r="L315" s="20"/>
      <c r="M315" s="20"/>
      <c r="N315" s="20"/>
      <c r="O315" s="22"/>
      <c r="P315" s="20"/>
      <c r="Q315" s="20"/>
      <c r="R315" s="20"/>
      <c r="S315" s="20"/>
      <c r="T315" s="20"/>
      <c r="U315" s="20"/>
      <c r="V315" s="20"/>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row>
    <row r="316">
      <c r="A316" s="20"/>
      <c r="B316" s="20"/>
      <c r="C316" s="20"/>
      <c r="D316" s="20"/>
      <c r="E316" s="20"/>
      <c r="F316" s="20"/>
      <c r="G316" s="20"/>
      <c r="H316" s="20"/>
      <c r="I316" s="23"/>
      <c r="J316" s="20"/>
      <c r="K316" s="20"/>
      <c r="L316" s="20"/>
      <c r="M316" s="20"/>
      <c r="N316" s="20"/>
      <c r="O316" s="22"/>
      <c r="P316" s="20"/>
      <c r="Q316" s="20"/>
      <c r="R316" s="20"/>
      <c r="S316" s="20"/>
      <c r="T316" s="20"/>
      <c r="U316" s="20"/>
      <c r="V316" s="20"/>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row>
    <row r="317">
      <c r="A317" s="20"/>
      <c r="B317" s="20"/>
      <c r="C317" s="20"/>
      <c r="D317" s="20"/>
      <c r="E317" s="20"/>
      <c r="F317" s="20"/>
      <c r="G317" s="20"/>
      <c r="H317" s="20"/>
      <c r="I317" s="23"/>
      <c r="J317" s="20"/>
      <c r="K317" s="20"/>
      <c r="L317" s="20"/>
      <c r="M317" s="20"/>
      <c r="N317" s="20"/>
      <c r="O317" s="22"/>
      <c r="P317" s="20"/>
      <c r="Q317" s="20"/>
      <c r="R317" s="20"/>
      <c r="S317" s="20"/>
      <c r="T317" s="20"/>
      <c r="U317" s="20"/>
      <c r="V317" s="20"/>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row>
    <row r="318">
      <c r="A318" s="20"/>
      <c r="B318" s="20"/>
      <c r="C318" s="20"/>
      <c r="D318" s="20"/>
      <c r="E318" s="20"/>
      <c r="F318" s="20"/>
      <c r="G318" s="20"/>
      <c r="H318" s="20"/>
      <c r="I318" s="23"/>
      <c r="J318" s="20"/>
      <c r="K318" s="20"/>
      <c r="L318" s="20"/>
      <c r="M318" s="20"/>
      <c r="N318" s="20"/>
      <c r="O318" s="22"/>
      <c r="P318" s="20"/>
      <c r="Q318" s="20"/>
      <c r="R318" s="20"/>
      <c r="S318" s="20"/>
      <c r="T318" s="20"/>
      <c r="U318" s="20"/>
      <c r="V318" s="20"/>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row>
    <row r="319">
      <c r="A319" s="20"/>
      <c r="B319" s="20"/>
      <c r="C319" s="20"/>
      <c r="D319" s="20"/>
      <c r="E319" s="20"/>
      <c r="F319" s="20"/>
      <c r="G319" s="20"/>
      <c r="H319" s="20"/>
      <c r="I319" s="23"/>
      <c r="J319" s="20"/>
      <c r="K319" s="20"/>
      <c r="L319" s="20"/>
      <c r="M319" s="20"/>
      <c r="N319" s="20"/>
      <c r="O319" s="22"/>
      <c r="P319" s="20"/>
      <c r="Q319" s="20"/>
      <c r="R319" s="20"/>
      <c r="S319" s="20"/>
      <c r="T319" s="20"/>
      <c r="U319" s="20"/>
      <c r="V319" s="20"/>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row>
    <row r="320">
      <c r="A320" s="20"/>
      <c r="B320" s="20"/>
      <c r="C320" s="20"/>
      <c r="D320" s="20"/>
      <c r="E320" s="20"/>
      <c r="F320" s="20"/>
      <c r="G320" s="20"/>
      <c r="H320" s="20"/>
      <c r="I320" s="23"/>
      <c r="J320" s="20"/>
      <c r="K320" s="20"/>
      <c r="L320" s="20"/>
      <c r="M320" s="20"/>
      <c r="N320" s="20"/>
      <c r="O320" s="22"/>
      <c r="P320" s="20"/>
      <c r="Q320" s="20"/>
      <c r="R320" s="20"/>
      <c r="S320" s="20"/>
      <c r="T320" s="20"/>
      <c r="U320" s="20"/>
      <c r="V320" s="20"/>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row>
    <row r="321">
      <c r="A321" s="20"/>
      <c r="B321" s="20"/>
      <c r="C321" s="20"/>
      <c r="D321" s="20"/>
      <c r="E321" s="20"/>
      <c r="F321" s="20"/>
      <c r="G321" s="20"/>
      <c r="H321" s="20"/>
      <c r="I321" s="23"/>
      <c r="J321" s="20"/>
      <c r="K321" s="20"/>
      <c r="L321" s="20"/>
      <c r="M321" s="20"/>
      <c r="N321" s="20"/>
      <c r="O321" s="22"/>
      <c r="P321" s="20"/>
      <c r="Q321" s="20"/>
      <c r="R321" s="20"/>
      <c r="S321" s="20"/>
      <c r="T321" s="20"/>
      <c r="U321" s="20"/>
      <c r="V321" s="20"/>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row>
    <row r="322">
      <c r="A322" s="20"/>
      <c r="B322" s="20"/>
      <c r="C322" s="20"/>
      <c r="D322" s="20"/>
      <c r="E322" s="20"/>
      <c r="F322" s="20"/>
      <c r="G322" s="20"/>
      <c r="H322" s="20"/>
      <c r="I322" s="23"/>
      <c r="J322" s="20"/>
      <c r="K322" s="20"/>
      <c r="L322" s="20"/>
      <c r="M322" s="20"/>
      <c r="N322" s="20"/>
      <c r="O322" s="22"/>
      <c r="P322" s="20"/>
      <c r="Q322" s="20"/>
      <c r="R322" s="20"/>
      <c r="S322" s="20"/>
      <c r="T322" s="20"/>
      <c r="U322" s="20"/>
      <c r="V322" s="20"/>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row>
    <row r="323">
      <c r="A323" s="20"/>
      <c r="B323" s="20"/>
      <c r="C323" s="20"/>
      <c r="D323" s="20"/>
      <c r="E323" s="20"/>
      <c r="F323" s="20"/>
      <c r="G323" s="20"/>
      <c r="H323" s="20"/>
      <c r="I323" s="23"/>
      <c r="J323" s="20"/>
      <c r="K323" s="20"/>
      <c r="L323" s="20"/>
      <c r="M323" s="20"/>
      <c r="N323" s="20"/>
      <c r="O323" s="22"/>
      <c r="P323" s="20"/>
      <c r="Q323" s="20"/>
      <c r="R323" s="20"/>
      <c r="S323" s="20"/>
      <c r="T323" s="20"/>
      <c r="U323" s="20"/>
      <c r="V323" s="20"/>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row>
    <row r="324">
      <c r="A324" s="20"/>
      <c r="B324" s="20"/>
      <c r="C324" s="20"/>
      <c r="D324" s="20"/>
      <c r="E324" s="20"/>
      <c r="F324" s="20"/>
      <c r="G324" s="20"/>
      <c r="H324" s="20"/>
      <c r="I324" s="23"/>
      <c r="J324" s="20"/>
      <c r="K324" s="20"/>
      <c r="L324" s="20"/>
      <c r="M324" s="20"/>
      <c r="N324" s="20"/>
      <c r="O324" s="22"/>
      <c r="P324" s="20"/>
      <c r="Q324" s="20"/>
      <c r="R324" s="20"/>
      <c r="S324" s="20"/>
      <c r="T324" s="20"/>
      <c r="U324" s="20"/>
      <c r="V324" s="20"/>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row>
    <row r="325">
      <c r="A325" s="20"/>
      <c r="B325" s="20"/>
      <c r="C325" s="20"/>
      <c r="D325" s="20"/>
      <c r="E325" s="20"/>
      <c r="F325" s="20"/>
      <c r="G325" s="20"/>
      <c r="H325" s="20"/>
      <c r="I325" s="23"/>
      <c r="J325" s="20"/>
      <c r="K325" s="20"/>
      <c r="L325" s="20"/>
      <c r="M325" s="20"/>
      <c r="N325" s="20"/>
      <c r="O325" s="22"/>
      <c r="P325" s="20"/>
      <c r="Q325" s="20"/>
      <c r="R325" s="20"/>
      <c r="S325" s="20"/>
      <c r="T325" s="20"/>
      <c r="U325" s="20"/>
      <c r="V325" s="20"/>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row>
    <row r="326">
      <c r="A326" s="20"/>
      <c r="B326" s="20"/>
      <c r="C326" s="20"/>
      <c r="D326" s="20"/>
      <c r="E326" s="20"/>
      <c r="F326" s="20"/>
      <c r="G326" s="20"/>
      <c r="H326" s="20"/>
      <c r="I326" s="23"/>
      <c r="J326" s="20"/>
      <c r="K326" s="20"/>
      <c r="L326" s="20"/>
      <c r="M326" s="20"/>
      <c r="N326" s="20"/>
      <c r="O326" s="22"/>
      <c r="P326" s="20"/>
      <c r="Q326" s="20"/>
      <c r="R326" s="20"/>
      <c r="S326" s="20"/>
      <c r="T326" s="20"/>
      <c r="U326" s="20"/>
      <c r="V326" s="20"/>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row>
    <row r="327">
      <c r="A327" s="20"/>
      <c r="B327" s="20"/>
      <c r="C327" s="20"/>
      <c r="D327" s="20"/>
      <c r="E327" s="20"/>
      <c r="F327" s="20"/>
      <c r="G327" s="20"/>
      <c r="H327" s="20"/>
      <c r="I327" s="23"/>
      <c r="J327" s="20"/>
      <c r="K327" s="20"/>
      <c r="L327" s="20"/>
      <c r="M327" s="20"/>
      <c r="N327" s="20"/>
      <c r="O327" s="22"/>
      <c r="P327" s="20"/>
      <c r="Q327" s="20"/>
      <c r="R327" s="20"/>
      <c r="S327" s="20"/>
      <c r="T327" s="20"/>
      <c r="U327" s="20"/>
      <c r="V327" s="20"/>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row>
    <row r="328">
      <c r="A328" s="20"/>
      <c r="B328" s="20"/>
      <c r="C328" s="20"/>
      <c r="D328" s="20"/>
      <c r="E328" s="20"/>
      <c r="F328" s="20"/>
      <c r="G328" s="20"/>
      <c r="H328" s="20"/>
      <c r="I328" s="23"/>
      <c r="J328" s="20"/>
      <c r="K328" s="20"/>
      <c r="L328" s="20"/>
      <c r="M328" s="20"/>
      <c r="N328" s="20"/>
      <c r="O328" s="22"/>
      <c r="P328" s="20"/>
      <c r="Q328" s="20"/>
      <c r="R328" s="20"/>
      <c r="S328" s="20"/>
      <c r="T328" s="20"/>
      <c r="U328" s="20"/>
      <c r="V328" s="20"/>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row>
    <row r="329">
      <c r="A329" s="20"/>
      <c r="B329" s="20"/>
      <c r="C329" s="20"/>
      <c r="D329" s="20"/>
      <c r="E329" s="20"/>
      <c r="F329" s="20"/>
      <c r="G329" s="20"/>
      <c r="H329" s="20"/>
      <c r="I329" s="23"/>
      <c r="J329" s="20"/>
      <c r="K329" s="20"/>
      <c r="L329" s="20"/>
      <c r="M329" s="20"/>
      <c r="N329" s="20"/>
      <c r="O329" s="22"/>
      <c r="P329" s="20"/>
      <c r="Q329" s="20"/>
      <c r="R329" s="20"/>
      <c r="S329" s="20"/>
      <c r="T329" s="20"/>
      <c r="U329" s="20"/>
      <c r="V329" s="20"/>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row>
    <row r="330">
      <c r="A330" s="20"/>
      <c r="B330" s="20"/>
      <c r="C330" s="20"/>
      <c r="D330" s="20"/>
      <c r="E330" s="20"/>
      <c r="F330" s="20"/>
      <c r="G330" s="20"/>
      <c r="H330" s="20"/>
      <c r="I330" s="23"/>
      <c r="J330" s="20"/>
      <c r="K330" s="20"/>
      <c r="L330" s="20"/>
      <c r="M330" s="20"/>
      <c r="N330" s="20"/>
      <c r="O330" s="22"/>
      <c r="P330" s="20"/>
      <c r="Q330" s="20"/>
      <c r="R330" s="20"/>
      <c r="S330" s="20"/>
      <c r="T330" s="20"/>
      <c r="U330" s="20"/>
      <c r="V330" s="20"/>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row>
    <row r="331">
      <c r="A331" s="20"/>
      <c r="B331" s="20"/>
      <c r="C331" s="20"/>
      <c r="D331" s="20"/>
      <c r="E331" s="20"/>
      <c r="F331" s="20"/>
      <c r="G331" s="20"/>
      <c r="H331" s="20"/>
      <c r="I331" s="23"/>
      <c r="J331" s="20"/>
      <c r="K331" s="20"/>
      <c r="L331" s="20"/>
      <c r="M331" s="20"/>
      <c r="N331" s="20"/>
      <c r="O331" s="22"/>
      <c r="P331" s="20"/>
      <c r="Q331" s="20"/>
      <c r="R331" s="20"/>
      <c r="S331" s="20"/>
      <c r="T331" s="20"/>
      <c r="U331" s="20"/>
      <c r="V331" s="20"/>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row>
    <row r="332">
      <c r="A332" s="20"/>
      <c r="B332" s="20"/>
      <c r="C332" s="20"/>
      <c r="D332" s="20"/>
      <c r="E332" s="20"/>
      <c r="F332" s="20"/>
      <c r="G332" s="20"/>
      <c r="H332" s="20"/>
      <c r="I332" s="23"/>
      <c r="J332" s="20"/>
      <c r="K332" s="20"/>
      <c r="L332" s="20"/>
      <c r="M332" s="20"/>
      <c r="N332" s="20"/>
      <c r="O332" s="22"/>
      <c r="P332" s="20"/>
      <c r="Q332" s="20"/>
      <c r="R332" s="20"/>
      <c r="S332" s="20"/>
      <c r="T332" s="20"/>
      <c r="U332" s="20"/>
      <c r="V332" s="20"/>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row>
    <row r="333">
      <c r="A333" s="20"/>
      <c r="B333" s="20"/>
      <c r="C333" s="20"/>
      <c r="D333" s="20"/>
      <c r="E333" s="20"/>
      <c r="F333" s="20"/>
      <c r="G333" s="20"/>
      <c r="H333" s="20"/>
      <c r="I333" s="23"/>
      <c r="J333" s="20"/>
      <c r="K333" s="20"/>
      <c r="L333" s="20"/>
      <c r="M333" s="20"/>
      <c r="N333" s="20"/>
      <c r="O333" s="22"/>
      <c r="P333" s="20"/>
      <c r="Q333" s="20"/>
      <c r="R333" s="20"/>
      <c r="S333" s="20"/>
      <c r="T333" s="20"/>
      <c r="U333" s="20"/>
      <c r="V333" s="20"/>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row>
    <row r="334">
      <c r="A334" s="20"/>
      <c r="B334" s="20"/>
      <c r="C334" s="20"/>
      <c r="D334" s="20"/>
      <c r="E334" s="20"/>
      <c r="F334" s="20"/>
      <c r="G334" s="20"/>
      <c r="H334" s="20"/>
      <c r="I334" s="23"/>
      <c r="J334" s="20"/>
      <c r="K334" s="20"/>
      <c r="L334" s="20"/>
      <c r="M334" s="20"/>
      <c r="N334" s="20"/>
      <c r="O334" s="22"/>
      <c r="P334" s="20"/>
      <c r="Q334" s="20"/>
      <c r="R334" s="20"/>
      <c r="S334" s="20"/>
      <c r="T334" s="20"/>
      <c r="U334" s="20"/>
      <c r="V334" s="20"/>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row>
    <row r="335">
      <c r="A335" s="20"/>
      <c r="B335" s="20"/>
      <c r="C335" s="20"/>
      <c r="D335" s="20"/>
      <c r="E335" s="20"/>
      <c r="F335" s="20"/>
      <c r="G335" s="20"/>
      <c r="H335" s="20"/>
      <c r="I335" s="23"/>
      <c r="J335" s="20"/>
      <c r="K335" s="20"/>
      <c r="L335" s="20"/>
      <c r="M335" s="20"/>
      <c r="N335" s="20"/>
      <c r="O335" s="22"/>
      <c r="P335" s="20"/>
      <c r="Q335" s="20"/>
      <c r="R335" s="20"/>
      <c r="S335" s="20"/>
      <c r="T335" s="20"/>
      <c r="U335" s="20"/>
      <c r="V335" s="20"/>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row>
    <row r="336">
      <c r="A336" s="20"/>
      <c r="B336" s="20"/>
      <c r="C336" s="20"/>
      <c r="D336" s="20"/>
      <c r="E336" s="20"/>
      <c r="F336" s="20"/>
      <c r="G336" s="20"/>
      <c r="H336" s="20"/>
      <c r="I336" s="23"/>
      <c r="J336" s="20"/>
      <c r="K336" s="20"/>
      <c r="L336" s="20"/>
      <c r="M336" s="20"/>
      <c r="N336" s="20"/>
      <c r="O336" s="22"/>
      <c r="P336" s="20"/>
      <c r="Q336" s="20"/>
      <c r="R336" s="20"/>
      <c r="S336" s="20"/>
      <c r="T336" s="20"/>
      <c r="U336" s="20"/>
      <c r="V336" s="20"/>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row>
    <row r="337">
      <c r="A337" s="20"/>
      <c r="B337" s="20"/>
      <c r="C337" s="20"/>
      <c r="D337" s="20"/>
      <c r="E337" s="20"/>
      <c r="F337" s="20"/>
      <c r="G337" s="20"/>
      <c r="H337" s="20"/>
      <c r="I337" s="23"/>
      <c r="J337" s="20"/>
      <c r="K337" s="20"/>
      <c r="L337" s="20"/>
      <c r="M337" s="20"/>
      <c r="N337" s="20"/>
      <c r="O337" s="22"/>
      <c r="P337" s="20"/>
      <c r="Q337" s="20"/>
      <c r="R337" s="20"/>
      <c r="S337" s="20"/>
      <c r="T337" s="20"/>
      <c r="U337" s="20"/>
      <c r="V337" s="20"/>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row>
    <row r="338">
      <c r="A338" s="20"/>
      <c r="B338" s="20"/>
      <c r="C338" s="20"/>
      <c r="D338" s="20"/>
      <c r="E338" s="20"/>
      <c r="F338" s="20"/>
      <c r="G338" s="20"/>
      <c r="H338" s="20"/>
      <c r="I338" s="23"/>
      <c r="J338" s="20"/>
      <c r="K338" s="20"/>
      <c r="L338" s="20"/>
      <c r="M338" s="20"/>
      <c r="N338" s="20"/>
      <c r="O338" s="22"/>
      <c r="P338" s="20"/>
      <c r="Q338" s="20"/>
      <c r="R338" s="20"/>
      <c r="S338" s="20"/>
      <c r="T338" s="20"/>
      <c r="U338" s="20"/>
      <c r="V338" s="20"/>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row>
    <row r="339">
      <c r="A339" s="20"/>
      <c r="B339" s="20"/>
      <c r="C339" s="20"/>
      <c r="D339" s="20"/>
      <c r="E339" s="20"/>
      <c r="F339" s="20"/>
      <c r="G339" s="20"/>
      <c r="H339" s="20"/>
      <c r="I339" s="23"/>
      <c r="J339" s="20"/>
      <c r="K339" s="20"/>
      <c r="L339" s="20"/>
      <c r="M339" s="20"/>
      <c r="N339" s="20"/>
      <c r="O339" s="22"/>
      <c r="P339" s="20"/>
      <c r="Q339" s="20"/>
      <c r="R339" s="20"/>
      <c r="S339" s="20"/>
      <c r="T339" s="20"/>
      <c r="U339" s="20"/>
      <c r="V339" s="20"/>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row>
    <row r="340">
      <c r="A340" s="20"/>
      <c r="B340" s="20"/>
      <c r="C340" s="20"/>
      <c r="D340" s="20"/>
      <c r="E340" s="20"/>
      <c r="F340" s="20"/>
      <c r="G340" s="20"/>
      <c r="H340" s="20"/>
      <c r="I340" s="23"/>
      <c r="J340" s="20"/>
      <c r="K340" s="20"/>
      <c r="L340" s="20"/>
      <c r="M340" s="20"/>
      <c r="N340" s="20"/>
      <c r="O340" s="22"/>
      <c r="P340" s="20"/>
      <c r="Q340" s="20"/>
      <c r="R340" s="20"/>
      <c r="S340" s="20"/>
      <c r="T340" s="20"/>
      <c r="U340" s="20"/>
      <c r="V340" s="20"/>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row>
    <row r="341">
      <c r="A341" s="20"/>
      <c r="B341" s="20"/>
      <c r="C341" s="20"/>
      <c r="D341" s="20"/>
      <c r="E341" s="20"/>
      <c r="F341" s="20"/>
      <c r="G341" s="20"/>
      <c r="H341" s="20"/>
      <c r="I341" s="23"/>
      <c r="J341" s="20"/>
      <c r="K341" s="20"/>
      <c r="L341" s="20"/>
      <c r="M341" s="20"/>
      <c r="N341" s="20"/>
      <c r="O341" s="22"/>
      <c r="P341" s="20"/>
      <c r="Q341" s="20"/>
      <c r="R341" s="20"/>
      <c r="S341" s="20"/>
      <c r="T341" s="20"/>
      <c r="U341" s="20"/>
      <c r="V341" s="20"/>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row>
    <row r="342">
      <c r="A342" s="20"/>
      <c r="B342" s="20"/>
      <c r="C342" s="20"/>
      <c r="D342" s="20"/>
      <c r="E342" s="20"/>
      <c r="F342" s="20"/>
      <c r="G342" s="20"/>
      <c r="H342" s="20"/>
      <c r="I342" s="23"/>
      <c r="J342" s="20"/>
      <c r="K342" s="20"/>
      <c r="L342" s="20"/>
      <c r="M342" s="20"/>
      <c r="N342" s="20"/>
      <c r="O342" s="22"/>
      <c r="P342" s="20"/>
      <c r="Q342" s="20"/>
      <c r="R342" s="20"/>
      <c r="S342" s="20"/>
      <c r="T342" s="20"/>
      <c r="U342" s="20"/>
      <c r="V342" s="20"/>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row>
    <row r="343">
      <c r="A343" s="20"/>
      <c r="B343" s="20"/>
      <c r="C343" s="20"/>
      <c r="D343" s="20"/>
      <c r="E343" s="20"/>
      <c r="F343" s="20"/>
      <c r="G343" s="20"/>
      <c r="H343" s="20"/>
      <c r="I343" s="23"/>
      <c r="J343" s="20"/>
      <c r="K343" s="20"/>
      <c r="L343" s="20"/>
      <c r="M343" s="20"/>
      <c r="N343" s="20"/>
      <c r="O343" s="22"/>
      <c r="P343" s="20"/>
      <c r="Q343" s="20"/>
      <c r="R343" s="20"/>
      <c r="S343" s="20"/>
      <c r="T343" s="20"/>
      <c r="U343" s="20"/>
      <c r="V343" s="20"/>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row>
    <row r="344">
      <c r="A344" s="20"/>
      <c r="B344" s="20"/>
      <c r="C344" s="20"/>
      <c r="D344" s="20"/>
      <c r="E344" s="20"/>
      <c r="F344" s="20"/>
      <c r="G344" s="20"/>
      <c r="H344" s="20"/>
      <c r="I344" s="23"/>
      <c r="J344" s="20"/>
      <c r="K344" s="20"/>
      <c r="L344" s="20"/>
      <c r="M344" s="20"/>
      <c r="N344" s="20"/>
      <c r="O344" s="22"/>
      <c r="P344" s="20"/>
      <c r="Q344" s="20"/>
      <c r="R344" s="20"/>
      <c r="S344" s="20"/>
      <c r="T344" s="20"/>
      <c r="U344" s="20"/>
      <c r="V344" s="20"/>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row>
    <row r="345">
      <c r="A345" s="20"/>
      <c r="B345" s="20"/>
      <c r="C345" s="20"/>
      <c r="D345" s="20"/>
      <c r="E345" s="20"/>
      <c r="F345" s="20"/>
      <c r="G345" s="20"/>
      <c r="H345" s="20"/>
      <c r="I345" s="23"/>
      <c r="J345" s="20"/>
      <c r="K345" s="20"/>
      <c r="L345" s="20"/>
      <c r="M345" s="20"/>
      <c r="N345" s="20"/>
      <c r="O345" s="22"/>
      <c r="P345" s="20"/>
      <c r="Q345" s="20"/>
      <c r="R345" s="20"/>
      <c r="S345" s="20"/>
      <c r="T345" s="20"/>
      <c r="U345" s="20"/>
      <c r="V345" s="20"/>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row>
    <row r="346">
      <c r="A346" s="20"/>
      <c r="B346" s="20"/>
      <c r="C346" s="20"/>
      <c r="D346" s="20"/>
      <c r="E346" s="20"/>
      <c r="F346" s="20"/>
      <c r="G346" s="20"/>
      <c r="H346" s="20"/>
      <c r="I346" s="23"/>
      <c r="J346" s="20"/>
      <c r="K346" s="20"/>
      <c r="L346" s="20"/>
      <c r="M346" s="20"/>
      <c r="N346" s="20"/>
      <c r="O346" s="22"/>
      <c r="P346" s="20"/>
      <c r="Q346" s="20"/>
      <c r="R346" s="20"/>
      <c r="S346" s="20"/>
      <c r="T346" s="20"/>
      <c r="U346" s="20"/>
      <c r="V346" s="20"/>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row>
    <row r="347">
      <c r="A347" s="20"/>
      <c r="B347" s="20"/>
      <c r="C347" s="20"/>
      <c r="D347" s="20"/>
      <c r="E347" s="20"/>
      <c r="F347" s="20"/>
      <c r="G347" s="20"/>
      <c r="H347" s="20"/>
      <c r="I347" s="23"/>
      <c r="J347" s="20"/>
      <c r="K347" s="20"/>
      <c r="L347" s="20"/>
      <c r="M347" s="20"/>
      <c r="N347" s="20"/>
      <c r="O347" s="22"/>
      <c r="P347" s="20"/>
      <c r="Q347" s="20"/>
      <c r="R347" s="20"/>
      <c r="S347" s="20"/>
      <c r="T347" s="20"/>
      <c r="U347" s="20"/>
      <c r="V347" s="20"/>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row>
    <row r="348">
      <c r="A348" s="20"/>
      <c r="B348" s="20"/>
      <c r="C348" s="20"/>
      <c r="D348" s="20"/>
      <c r="E348" s="20"/>
      <c r="F348" s="20"/>
      <c r="G348" s="20"/>
      <c r="H348" s="20"/>
      <c r="I348" s="23"/>
      <c r="J348" s="20"/>
      <c r="K348" s="20"/>
      <c r="L348" s="20"/>
      <c r="M348" s="20"/>
      <c r="N348" s="20"/>
      <c r="O348" s="22"/>
      <c r="P348" s="20"/>
      <c r="Q348" s="20"/>
      <c r="R348" s="20"/>
      <c r="S348" s="20"/>
      <c r="T348" s="20"/>
      <c r="U348" s="20"/>
      <c r="V348" s="20"/>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row>
    <row r="349">
      <c r="A349" s="20"/>
      <c r="B349" s="20"/>
      <c r="C349" s="20"/>
      <c r="D349" s="20"/>
      <c r="E349" s="20"/>
      <c r="F349" s="20"/>
      <c r="G349" s="20"/>
      <c r="H349" s="20"/>
      <c r="I349" s="23"/>
      <c r="J349" s="20"/>
      <c r="K349" s="20"/>
      <c r="L349" s="20"/>
      <c r="M349" s="20"/>
      <c r="N349" s="20"/>
      <c r="O349" s="22"/>
      <c r="P349" s="20"/>
      <c r="Q349" s="20"/>
      <c r="R349" s="20"/>
      <c r="S349" s="20"/>
      <c r="T349" s="20"/>
      <c r="U349" s="20"/>
      <c r="V349" s="20"/>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row>
    <row r="350">
      <c r="A350" s="20"/>
      <c r="B350" s="20"/>
      <c r="C350" s="20"/>
      <c r="D350" s="20"/>
      <c r="E350" s="20"/>
      <c r="F350" s="20"/>
      <c r="G350" s="20"/>
      <c r="H350" s="20"/>
      <c r="I350" s="23"/>
      <c r="J350" s="20"/>
      <c r="K350" s="20"/>
      <c r="L350" s="20"/>
      <c r="M350" s="20"/>
      <c r="N350" s="20"/>
      <c r="O350" s="22"/>
      <c r="P350" s="20"/>
      <c r="Q350" s="20"/>
      <c r="R350" s="20"/>
      <c r="S350" s="20"/>
      <c r="T350" s="20"/>
      <c r="U350" s="20"/>
      <c r="V350" s="20"/>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row>
    <row r="351">
      <c r="A351" s="20"/>
      <c r="B351" s="20"/>
      <c r="C351" s="20"/>
      <c r="D351" s="20"/>
      <c r="E351" s="20"/>
      <c r="F351" s="20"/>
      <c r="G351" s="20"/>
      <c r="H351" s="20"/>
      <c r="I351" s="23"/>
      <c r="J351" s="20"/>
      <c r="K351" s="20"/>
      <c r="L351" s="20"/>
      <c r="M351" s="20"/>
      <c r="N351" s="20"/>
      <c r="O351" s="22"/>
      <c r="P351" s="20"/>
      <c r="Q351" s="20"/>
      <c r="R351" s="20"/>
      <c r="S351" s="20"/>
      <c r="T351" s="20"/>
      <c r="U351" s="20"/>
      <c r="V351" s="20"/>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row>
    <row r="352">
      <c r="A352" s="20"/>
      <c r="B352" s="20"/>
      <c r="C352" s="20"/>
      <c r="D352" s="20"/>
      <c r="E352" s="20"/>
      <c r="F352" s="20"/>
      <c r="G352" s="20"/>
      <c r="H352" s="20"/>
      <c r="I352" s="23"/>
      <c r="J352" s="20"/>
      <c r="K352" s="20"/>
      <c r="L352" s="20"/>
      <c r="M352" s="20"/>
      <c r="N352" s="20"/>
      <c r="O352" s="22"/>
      <c r="P352" s="20"/>
      <c r="Q352" s="20"/>
      <c r="R352" s="20"/>
      <c r="S352" s="20"/>
      <c r="T352" s="20"/>
      <c r="U352" s="20"/>
      <c r="V352" s="20"/>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row>
    <row r="353">
      <c r="A353" s="20"/>
      <c r="B353" s="20"/>
      <c r="C353" s="20"/>
      <c r="D353" s="20"/>
      <c r="E353" s="20"/>
      <c r="F353" s="20"/>
      <c r="G353" s="20"/>
      <c r="H353" s="20"/>
      <c r="I353" s="23"/>
      <c r="J353" s="20"/>
      <c r="K353" s="20"/>
      <c r="L353" s="20"/>
      <c r="M353" s="20"/>
      <c r="N353" s="20"/>
      <c r="O353" s="22"/>
      <c r="P353" s="20"/>
      <c r="Q353" s="20"/>
      <c r="R353" s="20"/>
      <c r="S353" s="20"/>
      <c r="T353" s="20"/>
      <c r="U353" s="20"/>
      <c r="V353" s="20"/>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row>
    <row r="354">
      <c r="A354" s="20"/>
      <c r="B354" s="20"/>
      <c r="C354" s="20"/>
      <c r="D354" s="20"/>
      <c r="E354" s="20"/>
      <c r="F354" s="20"/>
      <c r="G354" s="20"/>
      <c r="H354" s="20"/>
      <c r="I354" s="23"/>
      <c r="J354" s="20"/>
      <c r="K354" s="20"/>
      <c r="L354" s="20"/>
      <c r="M354" s="20"/>
      <c r="N354" s="20"/>
      <c r="O354" s="22"/>
      <c r="P354" s="20"/>
      <c r="Q354" s="20"/>
      <c r="R354" s="20"/>
      <c r="S354" s="20"/>
      <c r="T354" s="20"/>
      <c r="U354" s="20"/>
      <c r="V354" s="20"/>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row>
    <row r="355">
      <c r="A355" s="20"/>
      <c r="B355" s="20"/>
      <c r="C355" s="20"/>
      <c r="D355" s="20"/>
      <c r="E355" s="20"/>
      <c r="F355" s="20"/>
      <c r="G355" s="20"/>
      <c r="H355" s="20"/>
      <c r="I355" s="23"/>
      <c r="J355" s="20"/>
      <c r="K355" s="20"/>
      <c r="L355" s="20"/>
      <c r="M355" s="20"/>
      <c r="N355" s="20"/>
      <c r="O355" s="22"/>
      <c r="P355" s="20"/>
      <c r="Q355" s="20"/>
      <c r="R355" s="20"/>
      <c r="S355" s="20"/>
      <c r="T355" s="20"/>
      <c r="U355" s="20"/>
      <c r="V355" s="20"/>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row>
    <row r="356">
      <c r="A356" s="20"/>
      <c r="B356" s="20"/>
      <c r="C356" s="20"/>
      <c r="D356" s="20"/>
      <c r="E356" s="20"/>
      <c r="F356" s="20"/>
      <c r="G356" s="20"/>
      <c r="H356" s="20"/>
      <c r="I356" s="23"/>
      <c r="J356" s="20"/>
      <c r="K356" s="20"/>
      <c r="L356" s="20"/>
      <c r="M356" s="20"/>
      <c r="N356" s="20"/>
      <c r="O356" s="22"/>
      <c r="P356" s="20"/>
      <c r="Q356" s="20"/>
      <c r="R356" s="20"/>
      <c r="S356" s="20"/>
      <c r="T356" s="20"/>
      <c r="U356" s="20"/>
      <c r="V356" s="20"/>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row>
    <row r="357">
      <c r="A357" s="20"/>
      <c r="B357" s="20"/>
      <c r="C357" s="20"/>
      <c r="D357" s="20"/>
      <c r="E357" s="20"/>
      <c r="F357" s="20"/>
      <c r="G357" s="20"/>
      <c r="H357" s="20"/>
      <c r="I357" s="23"/>
      <c r="J357" s="20"/>
      <c r="K357" s="20"/>
      <c r="L357" s="20"/>
      <c r="M357" s="20"/>
      <c r="N357" s="20"/>
      <c r="O357" s="22"/>
      <c r="P357" s="20"/>
      <c r="Q357" s="20"/>
      <c r="R357" s="20"/>
      <c r="S357" s="20"/>
      <c r="T357" s="20"/>
      <c r="U357" s="20"/>
      <c r="V357" s="20"/>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row>
    <row r="358">
      <c r="A358" s="20"/>
      <c r="B358" s="20"/>
      <c r="C358" s="20"/>
      <c r="D358" s="20"/>
      <c r="E358" s="20"/>
      <c r="F358" s="20"/>
      <c r="G358" s="20"/>
      <c r="H358" s="20"/>
      <c r="I358" s="23"/>
      <c r="J358" s="20"/>
      <c r="K358" s="20"/>
      <c r="L358" s="20"/>
      <c r="M358" s="20"/>
      <c r="N358" s="20"/>
      <c r="O358" s="22"/>
      <c r="P358" s="20"/>
      <c r="Q358" s="20"/>
      <c r="R358" s="20"/>
      <c r="S358" s="20"/>
      <c r="T358" s="20"/>
      <c r="U358" s="20"/>
      <c r="V358" s="20"/>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row>
    <row r="359">
      <c r="A359" s="20"/>
      <c r="B359" s="20"/>
      <c r="C359" s="20"/>
      <c r="D359" s="20"/>
      <c r="E359" s="20"/>
      <c r="F359" s="20"/>
      <c r="G359" s="20"/>
      <c r="H359" s="20"/>
      <c r="I359" s="23"/>
      <c r="J359" s="20"/>
      <c r="K359" s="20"/>
      <c r="L359" s="20"/>
      <c r="M359" s="20"/>
      <c r="N359" s="20"/>
      <c r="O359" s="22"/>
      <c r="P359" s="20"/>
      <c r="Q359" s="20"/>
      <c r="R359" s="20"/>
      <c r="S359" s="20"/>
      <c r="T359" s="20"/>
      <c r="U359" s="20"/>
      <c r="V359" s="20"/>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row>
    <row r="360">
      <c r="A360" s="20"/>
      <c r="B360" s="20"/>
      <c r="C360" s="20"/>
      <c r="D360" s="20"/>
      <c r="E360" s="20"/>
      <c r="F360" s="20"/>
      <c r="G360" s="20"/>
      <c r="H360" s="20"/>
      <c r="I360" s="23"/>
      <c r="J360" s="20"/>
      <c r="K360" s="20"/>
      <c r="L360" s="20"/>
      <c r="M360" s="20"/>
      <c r="N360" s="20"/>
      <c r="O360" s="22"/>
      <c r="P360" s="20"/>
      <c r="Q360" s="20"/>
      <c r="R360" s="20"/>
      <c r="S360" s="20"/>
      <c r="T360" s="20"/>
      <c r="U360" s="20"/>
      <c r="V360" s="20"/>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row>
    <row r="361">
      <c r="A361" s="20"/>
      <c r="B361" s="20"/>
      <c r="C361" s="20"/>
      <c r="D361" s="20"/>
      <c r="E361" s="20"/>
      <c r="F361" s="20"/>
      <c r="G361" s="20"/>
      <c r="H361" s="20"/>
      <c r="I361" s="23"/>
      <c r="J361" s="20"/>
      <c r="K361" s="20"/>
      <c r="L361" s="20"/>
      <c r="M361" s="20"/>
      <c r="N361" s="20"/>
      <c r="O361" s="22"/>
      <c r="P361" s="20"/>
      <c r="Q361" s="20"/>
      <c r="R361" s="20"/>
      <c r="S361" s="20"/>
      <c r="T361" s="20"/>
      <c r="U361" s="20"/>
      <c r="V361" s="20"/>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row>
    <row r="362">
      <c r="A362" s="20"/>
      <c r="B362" s="20"/>
      <c r="C362" s="20"/>
      <c r="D362" s="20"/>
      <c r="E362" s="20"/>
      <c r="F362" s="20"/>
      <c r="G362" s="20"/>
      <c r="H362" s="20"/>
      <c r="I362" s="23"/>
      <c r="J362" s="20"/>
      <c r="K362" s="20"/>
      <c r="L362" s="20"/>
      <c r="M362" s="20"/>
      <c r="N362" s="20"/>
      <c r="O362" s="22"/>
      <c r="P362" s="20"/>
      <c r="Q362" s="20"/>
      <c r="R362" s="20"/>
      <c r="S362" s="20"/>
      <c r="T362" s="20"/>
      <c r="U362" s="20"/>
      <c r="V362" s="20"/>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row>
    <row r="363">
      <c r="A363" s="20"/>
      <c r="B363" s="20"/>
      <c r="C363" s="20"/>
      <c r="D363" s="20"/>
      <c r="E363" s="20"/>
      <c r="F363" s="20"/>
      <c r="G363" s="20"/>
      <c r="H363" s="20"/>
      <c r="I363" s="23"/>
      <c r="J363" s="20"/>
      <c r="K363" s="20"/>
      <c r="L363" s="20"/>
      <c r="M363" s="20"/>
      <c r="N363" s="20"/>
      <c r="O363" s="22"/>
      <c r="P363" s="20"/>
      <c r="Q363" s="20"/>
      <c r="R363" s="20"/>
      <c r="S363" s="20"/>
      <c r="T363" s="20"/>
      <c r="U363" s="20"/>
      <c r="V363" s="20"/>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row>
    <row r="364">
      <c r="A364" s="20"/>
      <c r="B364" s="20"/>
      <c r="C364" s="20"/>
      <c r="D364" s="20"/>
      <c r="E364" s="20"/>
      <c r="F364" s="20"/>
      <c r="G364" s="20"/>
      <c r="H364" s="20"/>
      <c r="I364" s="23"/>
      <c r="J364" s="20"/>
      <c r="K364" s="20"/>
      <c r="L364" s="20"/>
      <c r="M364" s="20"/>
      <c r="N364" s="20"/>
      <c r="O364" s="22"/>
      <c r="P364" s="20"/>
      <c r="Q364" s="20"/>
      <c r="R364" s="20"/>
      <c r="S364" s="20"/>
      <c r="T364" s="20"/>
      <c r="U364" s="20"/>
      <c r="V364" s="20"/>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row>
    <row r="365">
      <c r="A365" s="20"/>
      <c r="B365" s="20"/>
      <c r="C365" s="20"/>
      <c r="D365" s="20"/>
      <c r="E365" s="20"/>
      <c r="F365" s="20"/>
      <c r="G365" s="20"/>
      <c r="H365" s="20"/>
      <c r="I365" s="23"/>
      <c r="J365" s="20"/>
      <c r="K365" s="20"/>
      <c r="L365" s="20"/>
      <c r="M365" s="20"/>
      <c r="N365" s="20"/>
      <c r="O365" s="22"/>
      <c r="P365" s="20"/>
      <c r="Q365" s="20"/>
      <c r="R365" s="20"/>
      <c r="S365" s="20"/>
      <c r="T365" s="20"/>
      <c r="U365" s="20"/>
      <c r="V365" s="20"/>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row>
    <row r="366">
      <c r="A366" s="20"/>
      <c r="B366" s="20"/>
      <c r="C366" s="20"/>
      <c r="D366" s="20"/>
      <c r="E366" s="20"/>
      <c r="F366" s="20"/>
      <c r="G366" s="20"/>
      <c r="H366" s="20"/>
      <c r="I366" s="23"/>
      <c r="J366" s="20"/>
      <c r="K366" s="20"/>
      <c r="L366" s="20"/>
      <c r="M366" s="20"/>
      <c r="N366" s="20"/>
      <c r="O366" s="22"/>
      <c r="P366" s="20"/>
      <c r="Q366" s="20"/>
      <c r="R366" s="20"/>
      <c r="S366" s="20"/>
      <c r="T366" s="20"/>
      <c r="U366" s="20"/>
      <c r="V366" s="20"/>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row>
    <row r="367">
      <c r="A367" s="20"/>
      <c r="B367" s="20"/>
      <c r="C367" s="20"/>
      <c r="D367" s="20"/>
      <c r="E367" s="20"/>
      <c r="F367" s="20"/>
      <c r="G367" s="20"/>
      <c r="H367" s="20"/>
      <c r="I367" s="23"/>
      <c r="J367" s="20"/>
      <c r="K367" s="20"/>
      <c r="L367" s="20"/>
      <c r="M367" s="20"/>
      <c r="N367" s="20"/>
      <c r="O367" s="22"/>
      <c r="P367" s="20"/>
      <c r="Q367" s="20"/>
      <c r="R367" s="20"/>
      <c r="S367" s="20"/>
      <c r="T367" s="20"/>
      <c r="U367" s="20"/>
      <c r="V367" s="20"/>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row>
    <row r="368">
      <c r="A368" s="20"/>
      <c r="B368" s="20"/>
      <c r="C368" s="20"/>
      <c r="D368" s="20"/>
      <c r="E368" s="20"/>
      <c r="F368" s="20"/>
      <c r="G368" s="20"/>
      <c r="H368" s="20"/>
      <c r="I368" s="23"/>
      <c r="J368" s="20"/>
      <c r="K368" s="20"/>
      <c r="L368" s="20"/>
      <c r="M368" s="20"/>
      <c r="N368" s="20"/>
      <c r="O368" s="22"/>
      <c r="P368" s="20"/>
      <c r="Q368" s="20"/>
      <c r="R368" s="20"/>
      <c r="S368" s="20"/>
      <c r="T368" s="20"/>
      <c r="U368" s="20"/>
      <c r="V368" s="20"/>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row>
    <row r="369">
      <c r="A369" s="20"/>
      <c r="B369" s="20"/>
      <c r="C369" s="20"/>
      <c r="D369" s="20"/>
      <c r="E369" s="20"/>
      <c r="F369" s="20"/>
      <c r="G369" s="20"/>
      <c r="H369" s="20"/>
      <c r="I369" s="23"/>
      <c r="J369" s="20"/>
      <c r="K369" s="20"/>
      <c r="L369" s="20"/>
      <c r="M369" s="20"/>
      <c r="N369" s="20"/>
      <c r="O369" s="22"/>
      <c r="P369" s="20"/>
      <c r="Q369" s="20"/>
      <c r="R369" s="20"/>
      <c r="S369" s="20"/>
      <c r="T369" s="20"/>
      <c r="U369" s="20"/>
      <c r="V369" s="20"/>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row>
    <row r="370">
      <c r="A370" s="20"/>
      <c r="B370" s="20"/>
      <c r="C370" s="20"/>
      <c r="D370" s="20"/>
      <c r="E370" s="20"/>
      <c r="F370" s="20"/>
      <c r="G370" s="20"/>
      <c r="H370" s="20"/>
      <c r="I370" s="23"/>
      <c r="J370" s="20"/>
      <c r="K370" s="20"/>
      <c r="L370" s="20"/>
      <c r="M370" s="20"/>
      <c r="N370" s="20"/>
      <c r="O370" s="22"/>
      <c r="P370" s="20"/>
      <c r="Q370" s="20"/>
      <c r="R370" s="20"/>
      <c r="S370" s="20"/>
      <c r="T370" s="20"/>
      <c r="U370" s="20"/>
      <c r="V370" s="20"/>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row>
    <row r="371">
      <c r="A371" s="20"/>
      <c r="B371" s="20"/>
      <c r="C371" s="20"/>
      <c r="D371" s="20"/>
      <c r="E371" s="20"/>
      <c r="F371" s="20"/>
      <c r="G371" s="20"/>
      <c r="H371" s="20"/>
      <c r="I371" s="23"/>
      <c r="J371" s="20"/>
      <c r="K371" s="20"/>
      <c r="L371" s="20"/>
      <c r="M371" s="20"/>
      <c r="N371" s="20"/>
      <c r="O371" s="22"/>
      <c r="P371" s="20"/>
      <c r="Q371" s="20"/>
      <c r="R371" s="20"/>
      <c r="S371" s="20"/>
      <c r="T371" s="20"/>
      <c r="U371" s="20"/>
      <c r="V371" s="20"/>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row>
    <row r="372">
      <c r="A372" s="20"/>
      <c r="B372" s="20"/>
      <c r="C372" s="20"/>
      <c r="D372" s="20"/>
      <c r="E372" s="20"/>
      <c r="F372" s="20"/>
      <c r="G372" s="20"/>
      <c r="H372" s="20"/>
      <c r="I372" s="23"/>
      <c r="J372" s="20"/>
      <c r="K372" s="20"/>
      <c r="L372" s="20"/>
      <c r="M372" s="20"/>
      <c r="N372" s="20"/>
      <c r="O372" s="22"/>
      <c r="P372" s="20"/>
      <c r="Q372" s="20"/>
      <c r="R372" s="20"/>
      <c r="S372" s="20"/>
      <c r="T372" s="20"/>
      <c r="U372" s="20"/>
      <c r="V372" s="20"/>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row>
    <row r="373">
      <c r="A373" s="20"/>
      <c r="B373" s="20"/>
      <c r="C373" s="20"/>
      <c r="D373" s="20"/>
      <c r="E373" s="20"/>
      <c r="F373" s="20"/>
      <c r="G373" s="20"/>
      <c r="H373" s="20"/>
      <c r="I373" s="23"/>
      <c r="J373" s="20"/>
      <c r="K373" s="20"/>
      <c r="L373" s="20"/>
      <c r="M373" s="20"/>
      <c r="N373" s="20"/>
      <c r="O373" s="22"/>
      <c r="P373" s="20"/>
      <c r="Q373" s="20"/>
      <c r="R373" s="20"/>
      <c r="S373" s="20"/>
      <c r="T373" s="20"/>
      <c r="U373" s="20"/>
      <c r="V373" s="20"/>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row>
    <row r="374">
      <c r="A374" s="20"/>
      <c r="B374" s="20"/>
      <c r="C374" s="20"/>
      <c r="D374" s="20"/>
      <c r="E374" s="20"/>
      <c r="F374" s="20"/>
      <c r="G374" s="20"/>
      <c r="H374" s="20"/>
      <c r="I374" s="23"/>
      <c r="J374" s="20"/>
      <c r="K374" s="20"/>
      <c r="L374" s="20"/>
      <c r="M374" s="20"/>
      <c r="N374" s="20"/>
      <c r="O374" s="22"/>
      <c r="P374" s="20"/>
      <c r="Q374" s="20"/>
      <c r="R374" s="20"/>
      <c r="S374" s="20"/>
      <c r="T374" s="20"/>
      <c r="U374" s="20"/>
      <c r="V374" s="20"/>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row>
    <row r="375">
      <c r="A375" s="20"/>
      <c r="B375" s="20"/>
      <c r="C375" s="20"/>
      <c r="D375" s="20"/>
      <c r="E375" s="20"/>
      <c r="F375" s="20"/>
      <c r="G375" s="20"/>
      <c r="H375" s="20"/>
      <c r="I375" s="23"/>
      <c r="J375" s="20"/>
      <c r="K375" s="20"/>
      <c r="L375" s="20"/>
      <c r="M375" s="20"/>
      <c r="N375" s="20"/>
      <c r="O375" s="22"/>
      <c r="P375" s="20"/>
      <c r="Q375" s="20"/>
      <c r="R375" s="20"/>
      <c r="S375" s="20"/>
      <c r="T375" s="20"/>
      <c r="U375" s="20"/>
      <c r="V375" s="20"/>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row>
    <row r="376">
      <c r="A376" s="20"/>
      <c r="B376" s="20"/>
      <c r="C376" s="20"/>
      <c r="D376" s="20"/>
      <c r="E376" s="20"/>
      <c r="F376" s="20"/>
      <c r="G376" s="20"/>
      <c r="H376" s="20"/>
      <c r="I376" s="23"/>
      <c r="J376" s="20"/>
      <c r="K376" s="20"/>
      <c r="L376" s="20"/>
      <c r="M376" s="20"/>
      <c r="N376" s="20"/>
      <c r="O376" s="22"/>
      <c r="P376" s="20"/>
      <c r="Q376" s="20"/>
      <c r="R376" s="20"/>
      <c r="S376" s="20"/>
      <c r="T376" s="20"/>
      <c r="U376" s="20"/>
      <c r="V376" s="20"/>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row>
    <row r="377">
      <c r="A377" s="20"/>
      <c r="B377" s="20"/>
      <c r="C377" s="20"/>
      <c r="D377" s="20"/>
      <c r="E377" s="20"/>
      <c r="F377" s="20"/>
      <c r="G377" s="20"/>
      <c r="H377" s="20"/>
      <c r="I377" s="23"/>
      <c r="J377" s="20"/>
      <c r="K377" s="20"/>
      <c r="L377" s="20"/>
      <c r="M377" s="20"/>
      <c r="N377" s="20"/>
      <c r="O377" s="22"/>
      <c r="P377" s="20"/>
      <c r="Q377" s="20"/>
      <c r="R377" s="20"/>
      <c r="S377" s="20"/>
      <c r="T377" s="20"/>
      <c r="U377" s="20"/>
      <c r="V377" s="20"/>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row>
    <row r="378">
      <c r="A378" s="20"/>
      <c r="B378" s="20"/>
      <c r="C378" s="20"/>
      <c r="D378" s="20"/>
      <c r="E378" s="20"/>
      <c r="F378" s="20"/>
      <c r="G378" s="20"/>
      <c r="H378" s="20"/>
      <c r="I378" s="23"/>
      <c r="J378" s="20"/>
      <c r="K378" s="20"/>
      <c r="L378" s="20"/>
      <c r="M378" s="20"/>
      <c r="N378" s="20"/>
      <c r="O378" s="22"/>
      <c r="P378" s="20"/>
      <c r="Q378" s="20"/>
      <c r="R378" s="20"/>
      <c r="S378" s="20"/>
      <c r="T378" s="20"/>
      <c r="U378" s="20"/>
      <c r="V378" s="20"/>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row>
    <row r="379">
      <c r="A379" s="20"/>
      <c r="B379" s="20"/>
      <c r="C379" s="20"/>
      <c r="D379" s="20"/>
      <c r="E379" s="20"/>
      <c r="F379" s="20"/>
      <c r="G379" s="20"/>
      <c r="H379" s="20"/>
      <c r="I379" s="23"/>
      <c r="J379" s="20"/>
      <c r="K379" s="20"/>
      <c r="L379" s="20"/>
      <c r="M379" s="20"/>
      <c r="N379" s="20"/>
      <c r="O379" s="22"/>
      <c r="P379" s="20"/>
      <c r="Q379" s="20"/>
      <c r="R379" s="20"/>
      <c r="S379" s="20"/>
      <c r="T379" s="20"/>
      <c r="U379" s="20"/>
      <c r="V379" s="20"/>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row>
    <row r="380">
      <c r="A380" s="20"/>
      <c r="B380" s="20"/>
      <c r="C380" s="20"/>
      <c r="D380" s="20"/>
      <c r="E380" s="20"/>
      <c r="F380" s="20"/>
      <c r="G380" s="20"/>
      <c r="H380" s="20"/>
      <c r="I380" s="23"/>
      <c r="J380" s="20"/>
      <c r="K380" s="20"/>
      <c r="L380" s="20"/>
      <c r="M380" s="20"/>
      <c r="N380" s="20"/>
      <c r="O380" s="22"/>
      <c r="P380" s="20"/>
      <c r="Q380" s="20"/>
      <c r="R380" s="20"/>
      <c r="S380" s="20"/>
      <c r="T380" s="20"/>
      <c r="U380" s="20"/>
      <c r="V380" s="20"/>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row>
    <row r="381">
      <c r="A381" s="20"/>
      <c r="B381" s="20"/>
      <c r="C381" s="20"/>
      <c r="D381" s="20"/>
      <c r="E381" s="20"/>
      <c r="F381" s="20"/>
      <c r="G381" s="20"/>
      <c r="H381" s="20"/>
      <c r="I381" s="23"/>
      <c r="J381" s="20"/>
      <c r="K381" s="20"/>
      <c r="L381" s="20"/>
      <c r="M381" s="20"/>
      <c r="N381" s="20"/>
      <c r="O381" s="22"/>
      <c r="P381" s="20"/>
      <c r="Q381" s="20"/>
      <c r="R381" s="20"/>
      <c r="S381" s="20"/>
      <c r="T381" s="20"/>
      <c r="U381" s="20"/>
      <c r="V381" s="20"/>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row>
    <row r="382">
      <c r="A382" s="20"/>
      <c r="B382" s="20"/>
      <c r="C382" s="20"/>
      <c r="D382" s="20"/>
      <c r="E382" s="20"/>
      <c r="F382" s="20"/>
      <c r="G382" s="20"/>
      <c r="H382" s="20"/>
      <c r="I382" s="23"/>
      <c r="J382" s="20"/>
      <c r="K382" s="20"/>
      <c r="L382" s="20"/>
      <c r="M382" s="20"/>
      <c r="N382" s="20"/>
      <c r="O382" s="22"/>
      <c r="P382" s="20"/>
      <c r="Q382" s="20"/>
      <c r="R382" s="20"/>
      <c r="S382" s="20"/>
      <c r="T382" s="20"/>
      <c r="U382" s="20"/>
      <c r="V382" s="20"/>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row>
    <row r="383">
      <c r="A383" s="20"/>
      <c r="B383" s="20"/>
      <c r="C383" s="20"/>
      <c r="D383" s="20"/>
      <c r="E383" s="20"/>
      <c r="F383" s="20"/>
      <c r="G383" s="20"/>
      <c r="H383" s="20"/>
      <c r="I383" s="23"/>
      <c r="J383" s="20"/>
      <c r="K383" s="20"/>
      <c r="L383" s="20"/>
      <c r="M383" s="20"/>
      <c r="N383" s="20"/>
      <c r="O383" s="22"/>
      <c r="P383" s="20"/>
      <c r="Q383" s="20"/>
      <c r="R383" s="20"/>
      <c r="S383" s="20"/>
      <c r="T383" s="20"/>
      <c r="U383" s="20"/>
      <c r="V383" s="20"/>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row>
    <row r="384">
      <c r="A384" s="20"/>
      <c r="B384" s="20"/>
      <c r="C384" s="20"/>
      <c r="D384" s="20"/>
      <c r="E384" s="20"/>
      <c r="F384" s="20"/>
      <c r="G384" s="20"/>
      <c r="H384" s="20"/>
      <c r="I384" s="23"/>
      <c r="J384" s="20"/>
      <c r="K384" s="20"/>
      <c r="L384" s="20"/>
      <c r="M384" s="20"/>
      <c r="N384" s="20"/>
      <c r="O384" s="22"/>
      <c r="P384" s="20"/>
      <c r="Q384" s="20"/>
      <c r="R384" s="20"/>
      <c r="S384" s="20"/>
      <c r="T384" s="20"/>
      <c r="U384" s="20"/>
      <c r="V384" s="20"/>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row>
    <row r="385">
      <c r="A385" s="20"/>
      <c r="B385" s="20"/>
      <c r="C385" s="20"/>
      <c r="D385" s="20"/>
      <c r="E385" s="20"/>
      <c r="F385" s="20"/>
      <c r="G385" s="20"/>
      <c r="H385" s="20"/>
      <c r="I385" s="23"/>
      <c r="J385" s="20"/>
      <c r="K385" s="20"/>
      <c r="L385" s="20"/>
      <c r="M385" s="20"/>
      <c r="N385" s="20"/>
      <c r="O385" s="22"/>
      <c r="P385" s="20"/>
      <c r="Q385" s="20"/>
      <c r="R385" s="20"/>
      <c r="S385" s="20"/>
      <c r="T385" s="20"/>
      <c r="U385" s="20"/>
      <c r="V385" s="20"/>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row>
    <row r="386">
      <c r="A386" s="20"/>
      <c r="B386" s="20"/>
      <c r="C386" s="20"/>
      <c r="D386" s="20"/>
      <c r="E386" s="20"/>
      <c r="F386" s="20"/>
      <c r="G386" s="20"/>
      <c r="H386" s="20"/>
      <c r="I386" s="23"/>
      <c r="J386" s="20"/>
      <c r="K386" s="20"/>
      <c r="L386" s="20"/>
      <c r="M386" s="20"/>
      <c r="N386" s="20"/>
      <c r="O386" s="22"/>
      <c r="P386" s="20"/>
      <c r="Q386" s="20"/>
      <c r="R386" s="20"/>
      <c r="S386" s="20"/>
      <c r="T386" s="20"/>
      <c r="U386" s="20"/>
      <c r="V386" s="20"/>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row>
    <row r="387">
      <c r="A387" s="20"/>
      <c r="B387" s="20"/>
      <c r="C387" s="20"/>
      <c r="D387" s="20"/>
      <c r="E387" s="20"/>
      <c r="F387" s="20"/>
      <c r="G387" s="20"/>
      <c r="H387" s="20"/>
      <c r="I387" s="23"/>
      <c r="J387" s="20"/>
      <c r="K387" s="20"/>
      <c r="L387" s="20"/>
      <c r="M387" s="20"/>
      <c r="N387" s="20"/>
      <c r="O387" s="22"/>
      <c r="P387" s="20"/>
      <c r="Q387" s="20"/>
      <c r="R387" s="20"/>
      <c r="S387" s="20"/>
      <c r="T387" s="20"/>
      <c r="U387" s="20"/>
      <c r="V387" s="20"/>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row>
    <row r="388">
      <c r="A388" s="20"/>
      <c r="B388" s="20"/>
      <c r="C388" s="20"/>
      <c r="D388" s="20"/>
      <c r="E388" s="20"/>
      <c r="F388" s="20"/>
      <c r="G388" s="20"/>
      <c r="H388" s="20"/>
      <c r="I388" s="23"/>
      <c r="J388" s="20"/>
      <c r="K388" s="20"/>
      <c r="L388" s="20"/>
      <c r="M388" s="20"/>
      <c r="N388" s="20"/>
      <c r="O388" s="22"/>
      <c r="P388" s="20"/>
      <c r="Q388" s="20"/>
      <c r="R388" s="20"/>
      <c r="S388" s="20"/>
      <c r="T388" s="20"/>
      <c r="U388" s="20"/>
      <c r="V388" s="20"/>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row>
    <row r="389">
      <c r="A389" s="20"/>
      <c r="B389" s="20"/>
      <c r="C389" s="20"/>
      <c r="D389" s="20"/>
      <c r="E389" s="20"/>
      <c r="F389" s="20"/>
      <c r="G389" s="20"/>
      <c r="H389" s="20"/>
      <c r="I389" s="23"/>
      <c r="J389" s="20"/>
      <c r="K389" s="20"/>
      <c r="L389" s="20"/>
      <c r="M389" s="20"/>
      <c r="N389" s="20"/>
      <c r="O389" s="22"/>
      <c r="P389" s="20"/>
      <c r="Q389" s="20"/>
      <c r="R389" s="20"/>
      <c r="S389" s="20"/>
      <c r="T389" s="20"/>
      <c r="U389" s="20"/>
      <c r="V389" s="20"/>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row>
    <row r="390">
      <c r="A390" s="20"/>
      <c r="B390" s="20"/>
      <c r="C390" s="20"/>
      <c r="D390" s="20"/>
      <c r="E390" s="20"/>
      <c r="F390" s="20"/>
      <c r="G390" s="20"/>
      <c r="H390" s="20"/>
      <c r="I390" s="23"/>
      <c r="J390" s="20"/>
      <c r="K390" s="20"/>
      <c r="L390" s="20"/>
      <c r="M390" s="20"/>
      <c r="N390" s="20"/>
      <c r="O390" s="22"/>
      <c r="P390" s="20"/>
      <c r="Q390" s="20"/>
      <c r="R390" s="20"/>
      <c r="S390" s="20"/>
      <c r="T390" s="20"/>
      <c r="U390" s="20"/>
      <c r="V390" s="20"/>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row>
    <row r="391">
      <c r="A391" s="20"/>
      <c r="B391" s="20"/>
      <c r="C391" s="20"/>
      <c r="D391" s="20"/>
      <c r="E391" s="20"/>
      <c r="F391" s="20"/>
      <c r="G391" s="20"/>
      <c r="H391" s="20"/>
      <c r="I391" s="23"/>
      <c r="J391" s="20"/>
      <c r="K391" s="20"/>
      <c r="L391" s="20"/>
      <c r="M391" s="20"/>
      <c r="N391" s="20"/>
      <c r="O391" s="22"/>
      <c r="P391" s="20"/>
      <c r="Q391" s="20"/>
      <c r="R391" s="20"/>
      <c r="S391" s="20"/>
      <c r="T391" s="20"/>
      <c r="U391" s="20"/>
      <c r="V391" s="20"/>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row>
    <row r="392">
      <c r="A392" s="20"/>
      <c r="B392" s="20"/>
      <c r="C392" s="20"/>
      <c r="D392" s="20"/>
      <c r="E392" s="20"/>
      <c r="F392" s="20"/>
      <c r="G392" s="20"/>
      <c r="H392" s="20"/>
      <c r="I392" s="23"/>
      <c r="J392" s="20"/>
      <c r="K392" s="20"/>
      <c r="L392" s="20"/>
      <c r="M392" s="20"/>
      <c r="N392" s="20"/>
      <c r="O392" s="22"/>
      <c r="P392" s="20"/>
      <c r="Q392" s="20"/>
      <c r="R392" s="20"/>
      <c r="S392" s="20"/>
      <c r="T392" s="20"/>
      <c r="U392" s="20"/>
      <c r="V392" s="20"/>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row>
    <row r="393">
      <c r="A393" s="20"/>
      <c r="B393" s="20"/>
      <c r="C393" s="20"/>
      <c r="D393" s="20"/>
      <c r="E393" s="20"/>
      <c r="F393" s="20"/>
      <c r="G393" s="20"/>
      <c r="H393" s="20"/>
      <c r="I393" s="23"/>
      <c r="J393" s="20"/>
      <c r="K393" s="20"/>
      <c r="L393" s="20"/>
      <c r="M393" s="20"/>
      <c r="N393" s="20"/>
      <c r="O393" s="22"/>
      <c r="P393" s="20"/>
      <c r="Q393" s="20"/>
      <c r="R393" s="20"/>
      <c r="S393" s="20"/>
      <c r="T393" s="20"/>
      <c r="U393" s="20"/>
      <c r="V393" s="20"/>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row>
    <row r="394">
      <c r="A394" s="20"/>
      <c r="B394" s="20"/>
      <c r="C394" s="20"/>
      <c r="D394" s="20"/>
      <c r="E394" s="20"/>
      <c r="F394" s="20"/>
      <c r="G394" s="20"/>
      <c r="H394" s="20"/>
      <c r="I394" s="23"/>
      <c r="J394" s="20"/>
      <c r="K394" s="20"/>
      <c r="L394" s="20"/>
      <c r="M394" s="20"/>
      <c r="N394" s="20"/>
      <c r="O394" s="22"/>
      <c r="P394" s="20"/>
      <c r="Q394" s="20"/>
      <c r="R394" s="20"/>
      <c r="S394" s="20"/>
      <c r="T394" s="20"/>
      <c r="U394" s="20"/>
      <c r="V394" s="20"/>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row>
    <row r="395">
      <c r="A395" s="20"/>
      <c r="B395" s="20"/>
      <c r="C395" s="20"/>
      <c r="D395" s="20"/>
      <c r="E395" s="20"/>
      <c r="F395" s="20"/>
      <c r="G395" s="20"/>
      <c r="H395" s="20"/>
      <c r="I395" s="23"/>
      <c r="J395" s="20"/>
      <c r="K395" s="20"/>
      <c r="L395" s="20"/>
      <c r="M395" s="20"/>
      <c r="N395" s="20"/>
      <c r="O395" s="22"/>
      <c r="P395" s="20"/>
      <c r="Q395" s="20"/>
      <c r="R395" s="20"/>
      <c r="S395" s="20"/>
      <c r="T395" s="20"/>
      <c r="U395" s="20"/>
      <c r="V395" s="20"/>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row>
    <row r="396">
      <c r="A396" s="20"/>
      <c r="B396" s="20"/>
      <c r="C396" s="20"/>
      <c r="D396" s="20"/>
      <c r="E396" s="20"/>
      <c r="F396" s="20"/>
      <c r="G396" s="20"/>
      <c r="H396" s="20"/>
      <c r="I396" s="23"/>
      <c r="J396" s="20"/>
      <c r="K396" s="20"/>
      <c r="L396" s="20"/>
      <c r="M396" s="20"/>
      <c r="N396" s="20"/>
      <c r="O396" s="22"/>
      <c r="P396" s="20"/>
      <c r="Q396" s="20"/>
      <c r="R396" s="20"/>
      <c r="S396" s="20"/>
      <c r="T396" s="20"/>
      <c r="U396" s="20"/>
      <c r="V396" s="20"/>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row>
    <row r="397">
      <c r="A397" s="20"/>
      <c r="B397" s="20"/>
      <c r="C397" s="20"/>
      <c r="D397" s="20"/>
      <c r="E397" s="20"/>
      <c r="F397" s="20"/>
      <c r="G397" s="20"/>
      <c r="H397" s="20"/>
      <c r="I397" s="23"/>
      <c r="J397" s="20"/>
      <c r="K397" s="20"/>
      <c r="L397" s="20"/>
      <c r="M397" s="20"/>
      <c r="N397" s="20"/>
      <c r="O397" s="22"/>
      <c r="P397" s="20"/>
      <c r="Q397" s="20"/>
      <c r="R397" s="20"/>
      <c r="S397" s="20"/>
      <c r="T397" s="20"/>
      <c r="U397" s="20"/>
      <c r="V397" s="20"/>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row>
    <row r="398">
      <c r="A398" s="20"/>
      <c r="B398" s="20"/>
      <c r="C398" s="20"/>
      <c r="D398" s="20"/>
      <c r="E398" s="20"/>
      <c r="F398" s="20"/>
      <c r="G398" s="20"/>
      <c r="H398" s="20"/>
      <c r="I398" s="23"/>
      <c r="J398" s="20"/>
      <c r="K398" s="20"/>
      <c r="L398" s="20"/>
      <c r="M398" s="20"/>
      <c r="N398" s="20"/>
      <c r="O398" s="22"/>
      <c r="P398" s="20"/>
      <c r="Q398" s="20"/>
      <c r="R398" s="20"/>
      <c r="S398" s="20"/>
      <c r="T398" s="20"/>
      <c r="U398" s="20"/>
      <c r="V398" s="20"/>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row>
    <row r="399">
      <c r="A399" s="20"/>
      <c r="B399" s="20"/>
      <c r="C399" s="20"/>
      <c r="D399" s="20"/>
      <c r="E399" s="20"/>
      <c r="F399" s="20"/>
      <c r="G399" s="20"/>
      <c r="H399" s="20"/>
      <c r="I399" s="23"/>
      <c r="J399" s="20"/>
      <c r="K399" s="20"/>
      <c r="L399" s="20"/>
      <c r="M399" s="20"/>
      <c r="N399" s="20"/>
      <c r="O399" s="22"/>
      <c r="P399" s="20"/>
      <c r="Q399" s="20"/>
      <c r="R399" s="20"/>
      <c r="S399" s="20"/>
      <c r="T399" s="20"/>
      <c r="U399" s="20"/>
      <c r="V399" s="20"/>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row>
    <row r="400">
      <c r="A400" s="20"/>
      <c r="B400" s="20"/>
      <c r="C400" s="20"/>
      <c r="D400" s="20"/>
      <c r="E400" s="20"/>
      <c r="F400" s="20"/>
      <c r="G400" s="20"/>
      <c r="H400" s="20"/>
      <c r="I400" s="23"/>
      <c r="J400" s="20"/>
      <c r="K400" s="20"/>
      <c r="L400" s="20"/>
      <c r="M400" s="20"/>
      <c r="N400" s="20"/>
      <c r="O400" s="22"/>
      <c r="P400" s="20"/>
      <c r="Q400" s="20"/>
      <c r="R400" s="20"/>
      <c r="S400" s="20"/>
      <c r="T400" s="20"/>
      <c r="U400" s="20"/>
      <c r="V400" s="20"/>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row>
    <row r="401">
      <c r="A401" s="20"/>
      <c r="B401" s="20"/>
      <c r="C401" s="20"/>
      <c r="D401" s="20"/>
      <c r="E401" s="20"/>
      <c r="F401" s="20"/>
      <c r="G401" s="20"/>
      <c r="H401" s="20"/>
      <c r="I401" s="23"/>
      <c r="J401" s="20"/>
      <c r="K401" s="20"/>
      <c r="L401" s="20"/>
      <c r="M401" s="20"/>
      <c r="N401" s="20"/>
      <c r="O401" s="22"/>
      <c r="P401" s="20"/>
      <c r="Q401" s="20"/>
      <c r="R401" s="20"/>
      <c r="S401" s="20"/>
      <c r="T401" s="20"/>
      <c r="U401" s="20"/>
      <c r="V401" s="20"/>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row>
    <row r="402">
      <c r="A402" s="20"/>
      <c r="B402" s="20"/>
      <c r="C402" s="20"/>
      <c r="D402" s="20"/>
      <c r="E402" s="20"/>
      <c r="F402" s="20"/>
      <c r="G402" s="20"/>
      <c r="H402" s="20"/>
      <c r="I402" s="23"/>
      <c r="J402" s="20"/>
      <c r="K402" s="20"/>
      <c r="L402" s="20"/>
      <c r="M402" s="20"/>
      <c r="N402" s="20"/>
      <c r="O402" s="22"/>
      <c r="P402" s="20"/>
      <c r="Q402" s="20"/>
      <c r="R402" s="20"/>
      <c r="S402" s="20"/>
      <c r="T402" s="20"/>
      <c r="U402" s="20"/>
      <c r="V402" s="20"/>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row>
    <row r="403">
      <c r="A403" s="20"/>
      <c r="B403" s="20"/>
      <c r="C403" s="20"/>
      <c r="D403" s="20"/>
      <c r="E403" s="20"/>
      <c r="F403" s="20"/>
      <c r="G403" s="20"/>
      <c r="H403" s="20"/>
      <c r="I403" s="23"/>
      <c r="J403" s="20"/>
      <c r="K403" s="20"/>
      <c r="L403" s="20"/>
      <c r="M403" s="20"/>
      <c r="N403" s="20"/>
      <c r="O403" s="22"/>
      <c r="P403" s="20"/>
      <c r="Q403" s="20"/>
      <c r="R403" s="20"/>
      <c r="S403" s="20"/>
      <c r="T403" s="20"/>
      <c r="U403" s="20"/>
      <c r="V403" s="20"/>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row>
    <row r="404">
      <c r="A404" s="20"/>
      <c r="B404" s="20"/>
      <c r="C404" s="20"/>
      <c r="D404" s="20"/>
      <c r="E404" s="20"/>
      <c r="F404" s="20"/>
      <c r="G404" s="20"/>
      <c r="H404" s="20"/>
      <c r="I404" s="23"/>
      <c r="J404" s="20"/>
      <c r="K404" s="20"/>
      <c r="L404" s="20"/>
      <c r="M404" s="20"/>
      <c r="N404" s="20"/>
      <c r="O404" s="22"/>
      <c r="P404" s="20"/>
      <c r="Q404" s="20"/>
      <c r="R404" s="20"/>
      <c r="S404" s="20"/>
      <c r="T404" s="20"/>
      <c r="U404" s="20"/>
      <c r="V404" s="20"/>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row>
    <row r="405">
      <c r="A405" s="20"/>
      <c r="B405" s="20"/>
      <c r="C405" s="20"/>
      <c r="D405" s="20"/>
      <c r="E405" s="20"/>
      <c r="F405" s="20"/>
      <c r="G405" s="20"/>
      <c r="H405" s="20"/>
      <c r="I405" s="23"/>
      <c r="J405" s="20"/>
      <c r="K405" s="20"/>
      <c r="L405" s="20"/>
      <c r="M405" s="20"/>
      <c r="N405" s="20"/>
      <c r="O405" s="22"/>
      <c r="P405" s="20"/>
      <c r="Q405" s="20"/>
      <c r="R405" s="20"/>
      <c r="S405" s="20"/>
      <c r="T405" s="20"/>
      <c r="U405" s="20"/>
      <c r="V405" s="20"/>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row>
    <row r="406">
      <c r="A406" s="20"/>
      <c r="B406" s="20"/>
      <c r="C406" s="20"/>
      <c r="D406" s="20"/>
      <c r="E406" s="20"/>
      <c r="F406" s="20"/>
      <c r="G406" s="20"/>
      <c r="H406" s="20"/>
      <c r="I406" s="23"/>
      <c r="J406" s="20"/>
      <c r="K406" s="20"/>
      <c r="L406" s="20"/>
      <c r="M406" s="20"/>
      <c r="N406" s="20"/>
      <c r="O406" s="22"/>
      <c r="P406" s="20"/>
      <c r="Q406" s="20"/>
      <c r="R406" s="20"/>
      <c r="S406" s="20"/>
      <c r="T406" s="20"/>
      <c r="U406" s="20"/>
      <c r="V406" s="20"/>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row>
    <row r="407">
      <c r="A407" s="20"/>
      <c r="B407" s="20"/>
      <c r="C407" s="20"/>
      <c r="D407" s="20"/>
      <c r="E407" s="20"/>
      <c r="F407" s="20"/>
      <c r="G407" s="20"/>
      <c r="H407" s="20"/>
      <c r="I407" s="23"/>
      <c r="J407" s="20"/>
      <c r="K407" s="20"/>
      <c r="L407" s="20"/>
      <c r="M407" s="20"/>
      <c r="N407" s="20"/>
      <c r="O407" s="22"/>
      <c r="P407" s="20"/>
      <c r="Q407" s="20"/>
      <c r="R407" s="20"/>
      <c r="S407" s="20"/>
      <c r="T407" s="20"/>
      <c r="U407" s="20"/>
      <c r="V407" s="20"/>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row>
    <row r="408">
      <c r="A408" s="20"/>
      <c r="B408" s="20"/>
      <c r="C408" s="20"/>
      <c r="D408" s="20"/>
      <c r="E408" s="20"/>
      <c r="F408" s="20"/>
      <c r="G408" s="20"/>
      <c r="H408" s="20"/>
      <c r="I408" s="23"/>
      <c r="J408" s="20"/>
      <c r="K408" s="20"/>
      <c r="L408" s="20"/>
      <c r="M408" s="20"/>
      <c r="N408" s="20"/>
      <c r="O408" s="22"/>
      <c r="P408" s="20"/>
      <c r="Q408" s="20"/>
      <c r="R408" s="20"/>
      <c r="S408" s="20"/>
      <c r="T408" s="20"/>
      <c r="U408" s="20"/>
      <c r="V408" s="20"/>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row>
    <row r="409">
      <c r="A409" s="20"/>
      <c r="B409" s="20"/>
      <c r="C409" s="20"/>
      <c r="D409" s="20"/>
      <c r="E409" s="20"/>
      <c r="F409" s="20"/>
      <c r="G409" s="20"/>
      <c r="H409" s="20"/>
      <c r="I409" s="23"/>
      <c r="J409" s="20"/>
      <c r="K409" s="20"/>
      <c r="L409" s="20"/>
      <c r="M409" s="20"/>
      <c r="N409" s="20"/>
      <c r="O409" s="22"/>
      <c r="P409" s="20"/>
      <c r="Q409" s="20"/>
      <c r="R409" s="20"/>
      <c r="S409" s="20"/>
      <c r="T409" s="20"/>
      <c r="U409" s="20"/>
      <c r="V409" s="20"/>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row>
    <row r="410">
      <c r="A410" s="20"/>
      <c r="B410" s="20"/>
      <c r="C410" s="20"/>
      <c r="D410" s="20"/>
      <c r="E410" s="20"/>
      <c r="F410" s="20"/>
      <c r="G410" s="20"/>
      <c r="H410" s="20"/>
      <c r="I410" s="23"/>
      <c r="J410" s="20"/>
      <c r="K410" s="20"/>
      <c r="L410" s="20"/>
      <c r="M410" s="20"/>
      <c r="N410" s="20"/>
      <c r="O410" s="22"/>
      <c r="P410" s="20"/>
      <c r="Q410" s="20"/>
      <c r="R410" s="20"/>
      <c r="S410" s="20"/>
      <c r="T410" s="20"/>
      <c r="U410" s="20"/>
      <c r="V410" s="20"/>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row>
    <row r="411">
      <c r="A411" s="20"/>
      <c r="B411" s="20"/>
      <c r="C411" s="20"/>
      <c r="D411" s="20"/>
      <c r="E411" s="20"/>
      <c r="F411" s="20"/>
      <c r="G411" s="20"/>
      <c r="H411" s="20"/>
      <c r="I411" s="23"/>
      <c r="J411" s="20"/>
      <c r="K411" s="20"/>
      <c r="L411" s="20"/>
      <c r="M411" s="20"/>
      <c r="N411" s="20"/>
      <c r="O411" s="22"/>
      <c r="P411" s="20"/>
      <c r="Q411" s="20"/>
      <c r="R411" s="20"/>
      <c r="S411" s="20"/>
      <c r="T411" s="20"/>
      <c r="U411" s="20"/>
      <c r="V411" s="20"/>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row>
    <row r="412">
      <c r="A412" s="20"/>
      <c r="B412" s="20"/>
      <c r="C412" s="20"/>
      <c r="D412" s="20"/>
      <c r="E412" s="20"/>
      <c r="F412" s="20"/>
      <c r="G412" s="20"/>
      <c r="H412" s="20"/>
      <c r="I412" s="23"/>
      <c r="J412" s="20"/>
      <c r="K412" s="20"/>
      <c r="L412" s="20"/>
      <c r="M412" s="20"/>
      <c r="N412" s="20"/>
      <c r="O412" s="22"/>
      <c r="P412" s="20"/>
      <c r="Q412" s="20"/>
      <c r="R412" s="20"/>
      <c r="S412" s="20"/>
      <c r="T412" s="20"/>
      <c r="U412" s="20"/>
      <c r="V412" s="20"/>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row>
    <row r="413">
      <c r="A413" s="20"/>
      <c r="B413" s="20"/>
      <c r="C413" s="20"/>
      <c r="D413" s="20"/>
      <c r="E413" s="20"/>
      <c r="F413" s="20"/>
      <c r="G413" s="20"/>
      <c r="H413" s="20"/>
      <c r="I413" s="23"/>
      <c r="J413" s="20"/>
      <c r="K413" s="20"/>
      <c r="L413" s="20"/>
      <c r="M413" s="20"/>
      <c r="N413" s="20"/>
      <c r="O413" s="22"/>
      <c r="P413" s="20"/>
      <c r="Q413" s="20"/>
      <c r="R413" s="20"/>
      <c r="S413" s="20"/>
      <c r="T413" s="20"/>
      <c r="U413" s="20"/>
      <c r="V413" s="20"/>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row>
    <row r="414">
      <c r="A414" s="20"/>
      <c r="B414" s="20"/>
      <c r="C414" s="20"/>
      <c r="D414" s="20"/>
      <c r="E414" s="20"/>
      <c r="F414" s="20"/>
      <c r="G414" s="20"/>
      <c r="H414" s="20"/>
      <c r="I414" s="23"/>
      <c r="J414" s="20"/>
      <c r="K414" s="20"/>
      <c r="L414" s="20"/>
      <c r="M414" s="20"/>
      <c r="N414" s="20"/>
      <c r="O414" s="22"/>
      <c r="P414" s="20"/>
      <c r="Q414" s="20"/>
      <c r="R414" s="20"/>
      <c r="S414" s="20"/>
      <c r="T414" s="20"/>
      <c r="U414" s="20"/>
      <c r="V414" s="20"/>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row>
    <row r="415">
      <c r="A415" s="20"/>
      <c r="B415" s="20"/>
      <c r="C415" s="20"/>
      <c r="D415" s="20"/>
      <c r="E415" s="20"/>
      <c r="F415" s="20"/>
      <c r="G415" s="20"/>
      <c r="H415" s="20"/>
      <c r="I415" s="23"/>
      <c r="J415" s="20"/>
      <c r="K415" s="20"/>
      <c r="L415" s="20"/>
      <c r="M415" s="20"/>
      <c r="N415" s="20"/>
      <c r="O415" s="22"/>
      <c r="P415" s="20"/>
      <c r="Q415" s="20"/>
      <c r="R415" s="20"/>
      <c r="S415" s="20"/>
      <c r="T415" s="20"/>
      <c r="U415" s="20"/>
      <c r="V415" s="20"/>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row>
    <row r="416">
      <c r="A416" s="20"/>
      <c r="B416" s="20"/>
      <c r="C416" s="20"/>
      <c r="D416" s="20"/>
      <c r="E416" s="20"/>
      <c r="F416" s="20"/>
      <c r="G416" s="20"/>
      <c r="H416" s="20"/>
      <c r="I416" s="23"/>
      <c r="J416" s="20"/>
      <c r="K416" s="20"/>
      <c r="L416" s="20"/>
      <c r="M416" s="20"/>
      <c r="N416" s="20"/>
      <c r="O416" s="22"/>
      <c r="P416" s="20"/>
      <c r="Q416" s="20"/>
      <c r="R416" s="20"/>
      <c r="S416" s="20"/>
      <c r="T416" s="20"/>
      <c r="U416" s="20"/>
      <c r="V416" s="20"/>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row>
    <row r="417">
      <c r="A417" s="20"/>
      <c r="B417" s="20"/>
      <c r="C417" s="20"/>
      <c r="D417" s="20"/>
      <c r="E417" s="20"/>
      <c r="F417" s="20"/>
      <c r="G417" s="20"/>
      <c r="H417" s="20"/>
      <c r="I417" s="23"/>
      <c r="J417" s="20"/>
      <c r="K417" s="20"/>
      <c r="L417" s="20"/>
      <c r="M417" s="20"/>
      <c r="N417" s="20"/>
      <c r="O417" s="22"/>
      <c r="P417" s="20"/>
      <c r="Q417" s="20"/>
      <c r="R417" s="20"/>
      <c r="S417" s="20"/>
      <c r="T417" s="20"/>
      <c r="U417" s="20"/>
      <c r="V417" s="20"/>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row>
    <row r="418">
      <c r="A418" s="20"/>
      <c r="B418" s="20"/>
      <c r="C418" s="20"/>
      <c r="D418" s="20"/>
      <c r="E418" s="20"/>
      <c r="F418" s="20"/>
      <c r="G418" s="20"/>
      <c r="H418" s="20"/>
      <c r="I418" s="23"/>
      <c r="J418" s="20"/>
      <c r="K418" s="20"/>
      <c r="L418" s="20"/>
      <c r="M418" s="20"/>
      <c r="N418" s="20"/>
      <c r="O418" s="22"/>
      <c r="P418" s="20"/>
      <c r="Q418" s="20"/>
      <c r="R418" s="20"/>
      <c r="S418" s="20"/>
      <c r="T418" s="20"/>
      <c r="U418" s="20"/>
      <c r="V418" s="20"/>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row>
    <row r="419">
      <c r="A419" s="20"/>
      <c r="B419" s="20"/>
      <c r="C419" s="20"/>
      <c r="D419" s="20"/>
      <c r="E419" s="20"/>
      <c r="F419" s="20"/>
      <c r="G419" s="20"/>
      <c r="H419" s="20"/>
      <c r="I419" s="23"/>
      <c r="J419" s="20"/>
      <c r="K419" s="20"/>
      <c r="L419" s="20"/>
      <c r="M419" s="20"/>
      <c r="N419" s="20"/>
      <c r="O419" s="22"/>
      <c r="P419" s="20"/>
      <c r="Q419" s="20"/>
      <c r="R419" s="20"/>
      <c r="S419" s="20"/>
      <c r="T419" s="20"/>
      <c r="U419" s="20"/>
      <c r="V419" s="20"/>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row>
    <row r="420">
      <c r="A420" s="20"/>
      <c r="B420" s="20"/>
      <c r="C420" s="20"/>
      <c r="D420" s="20"/>
      <c r="E420" s="20"/>
      <c r="F420" s="20"/>
      <c r="G420" s="20"/>
      <c r="H420" s="20"/>
      <c r="I420" s="23"/>
      <c r="J420" s="20"/>
      <c r="K420" s="20"/>
      <c r="L420" s="20"/>
      <c r="M420" s="20"/>
      <c r="N420" s="20"/>
      <c r="O420" s="22"/>
      <c r="P420" s="20"/>
      <c r="Q420" s="20"/>
      <c r="R420" s="20"/>
      <c r="S420" s="20"/>
      <c r="T420" s="20"/>
      <c r="U420" s="20"/>
      <c r="V420" s="20"/>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row>
    <row r="421">
      <c r="A421" s="20"/>
      <c r="B421" s="20"/>
      <c r="C421" s="20"/>
      <c r="D421" s="20"/>
      <c r="E421" s="20"/>
      <c r="F421" s="20"/>
      <c r="G421" s="20"/>
      <c r="H421" s="20"/>
      <c r="I421" s="23"/>
      <c r="J421" s="20"/>
      <c r="K421" s="20"/>
      <c r="L421" s="20"/>
      <c r="M421" s="20"/>
      <c r="N421" s="20"/>
      <c r="O421" s="22"/>
      <c r="P421" s="20"/>
      <c r="Q421" s="20"/>
      <c r="R421" s="20"/>
      <c r="S421" s="20"/>
      <c r="T421" s="20"/>
      <c r="U421" s="20"/>
      <c r="V421" s="20"/>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row>
    <row r="422">
      <c r="A422" s="20"/>
      <c r="B422" s="20"/>
      <c r="C422" s="20"/>
      <c r="D422" s="20"/>
      <c r="E422" s="20"/>
      <c r="F422" s="20"/>
      <c r="G422" s="20"/>
      <c r="H422" s="20"/>
      <c r="I422" s="23"/>
      <c r="J422" s="20"/>
      <c r="K422" s="20"/>
      <c r="L422" s="20"/>
      <c r="M422" s="20"/>
      <c r="N422" s="20"/>
      <c r="O422" s="22"/>
      <c r="P422" s="20"/>
      <c r="Q422" s="20"/>
      <c r="R422" s="20"/>
      <c r="S422" s="20"/>
      <c r="T422" s="20"/>
      <c r="U422" s="20"/>
      <c r="V422" s="20"/>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row>
    <row r="423">
      <c r="A423" s="20"/>
      <c r="B423" s="20"/>
      <c r="C423" s="20"/>
      <c r="D423" s="20"/>
      <c r="E423" s="20"/>
      <c r="F423" s="20"/>
      <c r="G423" s="20"/>
      <c r="H423" s="20"/>
      <c r="I423" s="23"/>
      <c r="J423" s="20"/>
      <c r="K423" s="20"/>
      <c r="L423" s="20"/>
      <c r="M423" s="20"/>
      <c r="N423" s="20"/>
      <c r="O423" s="22"/>
      <c r="P423" s="20"/>
      <c r="Q423" s="20"/>
      <c r="R423" s="20"/>
      <c r="S423" s="20"/>
      <c r="T423" s="20"/>
      <c r="U423" s="20"/>
      <c r="V423" s="20"/>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row>
    <row r="424">
      <c r="A424" s="20"/>
      <c r="B424" s="20"/>
      <c r="C424" s="20"/>
      <c r="D424" s="20"/>
      <c r="E424" s="20"/>
      <c r="F424" s="20"/>
      <c r="G424" s="20"/>
      <c r="H424" s="20"/>
      <c r="I424" s="23"/>
      <c r="J424" s="20"/>
      <c r="K424" s="20"/>
      <c r="L424" s="20"/>
      <c r="M424" s="20"/>
      <c r="N424" s="20"/>
      <c r="O424" s="22"/>
      <c r="P424" s="20"/>
      <c r="Q424" s="20"/>
      <c r="R424" s="20"/>
      <c r="S424" s="20"/>
      <c r="T424" s="20"/>
      <c r="U424" s="20"/>
      <c r="V424" s="20"/>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row>
    <row r="425">
      <c r="A425" s="20"/>
      <c r="B425" s="20"/>
      <c r="C425" s="20"/>
      <c r="D425" s="20"/>
      <c r="E425" s="20"/>
      <c r="F425" s="20"/>
      <c r="G425" s="20"/>
      <c r="H425" s="20"/>
      <c r="I425" s="23"/>
      <c r="J425" s="20"/>
      <c r="K425" s="20"/>
      <c r="L425" s="20"/>
      <c r="M425" s="20"/>
      <c r="N425" s="20"/>
      <c r="O425" s="22"/>
      <c r="P425" s="20"/>
      <c r="Q425" s="20"/>
      <c r="R425" s="20"/>
      <c r="S425" s="20"/>
      <c r="T425" s="20"/>
      <c r="U425" s="20"/>
      <c r="V425" s="20"/>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row>
    <row r="426">
      <c r="A426" s="20"/>
      <c r="B426" s="20"/>
      <c r="C426" s="20"/>
      <c r="D426" s="20"/>
      <c r="E426" s="20"/>
      <c r="F426" s="20"/>
      <c r="G426" s="20"/>
      <c r="H426" s="20"/>
      <c r="I426" s="23"/>
      <c r="J426" s="20"/>
      <c r="K426" s="20"/>
      <c r="L426" s="20"/>
      <c r="M426" s="20"/>
      <c r="N426" s="20"/>
      <c r="O426" s="22"/>
      <c r="P426" s="20"/>
      <c r="Q426" s="20"/>
      <c r="R426" s="20"/>
      <c r="S426" s="20"/>
      <c r="T426" s="20"/>
      <c r="U426" s="20"/>
      <c r="V426" s="20"/>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row>
    <row r="427">
      <c r="A427" s="20"/>
      <c r="B427" s="20"/>
      <c r="C427" s="20"/>
      <c r="D427" s="20"/>
      <c r="E427" s="20"/>
      <c r="F427" s="20"/>
      <c r="G427" s="20"/>
      <c r="H427" s="20"/>
      <c r="I427" s="23"/>
      <c r="J427" s="20"/>
      <c r="K427" s="20"/>
      <c r="L427" s="20"/>
      <c r="M427" s="20"/>
      <c r="N427" s="20"/>
      <c r="O427" s="22"/>
      <c r="P427" s="20"/>
      <c r="Q427" s="20"/>
      <c r="R427" s="20"/>
      <c r="S427" s="20"/>
      <c r="T427" s="20"/>
      <c r="U427" s="20"/>
      <c r="V427" s="20"/>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row>
    <row r="428">
      <c r="A428" s="20"/>
      <c r="B428" s="20"/>
      <c r="C428" s="20"/>
      <c r="D428" s="20"/>
      <c r="E428" s="20"/>
      <c r="F428" s="20"/>
      <c r="G428" s="20"/>
      <c r="H428" s="20"/>
      <c r="I428" s="23"/>
      <c r="J428" s="20"/>
      <c r="K428" s="20"/>
      <c r="L428" s="20"/>
      <c r="M428" s="20"/>
      <c r="N428" s="20"/>
      <c r="O428" s="22"/>
      <c r="P428" s="20"/>
      <c r="Q428" s="20"/>
      <c r="R428" s="20"/>
      <c r="S428" s="20"/>
      <c r="T428" s="20"/>
      <c r="U428" s="20"/>
      <c r="V428" s="20"/>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row>
    <row r="429">
      <c r="A429" s="20"/>
      <c r="B429" s="20"/>
      <c r="C429" s="20"/>
      <c r="D429" s="20"/>
      <c r="E429" s="20"/>
      <c r="F429" s="20"/>
      <c r="G429" s="20"/>
      <c r="H429" s="20"/>
      <c r="I429" s="23"/>
      <c r="J429" s="20"/>
      <c r="K429" s="20"/>
      <c r="L429" s="20"/>
      <c r="M429" s="20"/>
      <c r="N429" s="20"/>
      <c r="O429" s="22"/>
      <c r="P429" s="20"/>
      <c r="Q429" s="20"/>
      <c r="R429" s="20"/>
      <c r="S429" s="20"/>
      <c r="T429" s="20"/>
      <c r="U429" s="20"/>
      <c r="V429" s="20"/>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row>
    <row r="430">
      <c r="A430" s="20"/>
      <c r="B430" s="20"/>
      <c r="C430" s="20"/>
      <c r="D430" s="20"/>
      <c r="E430" s="20"/>
      <c r="F430" s="20"/>
      <c r="G430" s="20"/>
      <c r="H430" s="20"/>
      <c r="I430" s="23"/>
      <c r="J430" s="20"/>
      <c r="K430" s="20"/>
      <c r="L430" s="20"/>
      <c r="M430" s="20"/>
      <c r="N430" s="20"/>
      <c r="O430" s="22"/>
      <c r="P430" s="20"/>
      <c r="Q430" s="20"/>
      <c r="R430" s="20"/>
      <c r="S430" s="20"/>
      <c r="T430" s="20"/>
      <c r="U430" s="20"/>
      <c r="V430" s="20"/>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row>
    <row r="431">
      <c r="A431" s="20"/>
      <c r="B431" s="20"/>
      <c r="C431" s="20"/>
      <c r="D431" s="20"/>
      <c r="E431" s="20"/>
      <c r="F431" s="20"/>
      <c r="G431" s="20"/>
      <c r="H431" s="20"/>
      <c r="I431" s="23"/>
      <c r="J431" s="20"/>
      <c r="K431" s="20"/>
      <c r="L431" s="20"/>
      <c r="M431" s="20"/>
      <c r="N431" s="20"/>
      <c r="O431" s="22"/>
      <c r="P431" s="20"/>
      <c r="Q431" s="20"/>
      <c r="R431" s="20"/>
      <c r="S431" s="20"/>
      <c r="T431" s="20"/>
      <c r="U431" s="20"/>
      <c r="V431" s="20"/>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row>
    <row r="432">
      <c r="A432" s="20"/>
      <c r="B432" s="20"/>
      <c r="C432" s="20"/>
      <c r="D432" s="20"/>
      <c r="E432" s="20"/>
      <c r="F432" s="20"/>
      <c r="G432" s="20"/>
      <c r="H432" s="20"/>
      <c r="I432" s="23"/>
      <c r="J432" s="20"/>
      <c r="K432" s="20"/>
      <c r="L432" s="20"/>
      <c r="M432" s="20"/>
      <c r="N432" s="20"/>
      <c r="O432" s="22"/>
      <c r="P432" s="20"/>
      <c r="Q432" s="20"/>
      <c r="R432" s="20"/>
      <c r="S432" s="20"/>
      <c r="T432" s="20"/>
      <c r="U432" s="20"/>
      <c r="V432" s="20"/>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row>
    <row r="433">
      <c r="A433" s="20"/>
      <c r="B433" s="20"/>
      <c r="C433" s="20"/>
      <c r="D433" s="20"/>
      <c r="E433" s="20"/>
      <c r="F433" s="20"/>
      <c r="G433" s="20"/>
      <c r="H433" s="20"/>
      <c r="I433" s="23"/>
      <c r="J433" s="20"/>
      <c r="K433" s="20"/>
      <c r="L433" s="20"/>
      <c r="M433" s="20"/>
      <c r="N433" s="20"/>
      <c r="O433" s="22"/>
      <c r="P433" s="20"/>
      <c r="Q433" s="20"/>
      <c r="R433" s="20"/>
      <c r="S433" s="20"/>
      <c r="T433" s="20"/>
      <c r="U433" s="20"/>
      <c r="V433" s="20"/>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row>
    <row r="434">
      <c r="A434" s="20"/>
      <c r="B434" s="20"/>
      <c r="C434" s="20"/>
      <c r="D434" s="20"/>
      <c r="E434" s="20"/>
      <c r="F434" s="20"/>
      <c r="G434" s="20"/>
      <c r="H434" s="20"/>
      <c r="I434" s="23"/>
      <c r="J434" s="20"/>
      <c r="K434" s="20"/>
      <c r="L434" s="20"/>
      <c r="M434" s="20"/>
      <c r="N434" s="20"/>
      <c r="O434" s="22"/>
      <c r="P434" s="20"/>
      <c r="Q434" s="20"/>
      <c r="R434" s="20"/>
      <c r="S434" s="20"/>
      <c r="T434" s="20"/>
      <c r="U434" s="20"/>
      <c r="V434" s="20"/>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row>
    <row r="435">
      <c r="A435" s="20"/>
      <c r="B435" s="20"/>
      <c r="C435" s="20"/>
      <c r="D435" s="20"/>
      <c r="E435" s="20"/>
      <c r="F435" s="20"/>
      <c r="G435" s="20"/>
      <c r="H435" s="20"/>
      <c r="I435" s="23"/>
      <c r="J435" s="20"/>
      <c r="K435" s="20"/>
      <c r="L435" s="20"/>
      <c r="M435" s="20"/>
      <c r="N435" s="20"/>
      <c r="O435" s="22"/>
      <c r="P435" s="20"/>
      <c r="Q435" s="20"/>
      <c r="R435" s="20"/>
      <c r="S435" s="20"/>
      <c r="T435" s="20"/>
      <c r="U435" s="20"/>
      <c r="V435" s="20"/>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row>
    <row r="436">
      <c r="A436" s="20"/>
      <c r="B436" s="20"/>
      <c r="C436" s="20"/>
      <c r="D436" s="20"/>
      <c r="E436" s="20"/>
      <c r="F436" s="20"/>
      <c r="G436" s="20"/>
      <c r="H436" s="20"/>
      <c r="I436" s="23"/>
      <c r="J436" s="20"/>
      <c r="K436" s="20"/>
      <c r="L436" s="20"/>
      <c r="M436" s="20"/>
      <c r="N436" s="20"/>
      <c r="O436" s="22"/>
      <c r="P436" s="20"/>
      <c r="Q436" s="20"/>
      <c r="R436" s="20"/>
      <c r="S436" s="20"/>
      <c r="T436" s="20"/>
      <c r="U436" s="20"/>
      <c r="V436" s="20"/>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row>
    <row r="437">
      <c r="A437" s="20"/>
      <c r="B437" s="20"/>
      <c r="C437" s="20"/>
      <c r="D437" s="20"/>
      <c r="E437" s="20"/>
      <c r="F437" s="20"/>
      <c r="G437" s="20"/>
      <c r="H437" s="20"/>
      <c r="I437" s="23"/>
      <c r="J437" s="20"/>
      <c r="K437" s="20"/>
      <c r="L437" s="20"/>
      <c r="M437" s="20"/>
      <c r="N437" s="20"/>
      <c r="O437" s="22"/>
      <c r="P437" s="20"/>
      <c r="Q437" s="20"/>
      <c r="R437" s="20"/>
      <c r="S437" s="20"/>
      <c r="T437" s="20"/>
      <c r="U437" s="20"/>
      <c r="V437" s="20"/>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row>
    <row r="438">
      <c r="A438" s="20"/>
      <c r="B438" s="20"/>
      <c r="C438" s="20"/>
      <c r="D438" s="20"/>
      <c r="E438" s="20"/>
      <c r="F438" s="20"/>
      <c r="G438" s="20"/>
      <c r="H438" s="20"/>
      <c r="I438" s="23"/>
      <c r="J438" s="20"/>
      <c r="K438" s="20"/>
      <c r="L438" s="20"/>
      <c r="M438" s="20"/>
      <c r="N438" s="20"/>
      <c r="O438" s="22"/>
      <c r="P438" s="20"/>
      <c r="Q438" s="20"/>
      <c r="R438" s="20"/>
      <c r="S438" s="20"/>
      <c r="T438" s="20"/>
      <c r="U438" s="20"/>
      <c r="V438" s="20"/>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row>
    <row r="439">
      <c r="A439" s="20"/>
      <c r="B439" s="20"/>
      <c r="C439" s="20"/>
      <c r="D439" s="20"/>
      <c r="E439" s="20"/>
      <c r="F439" s="20"/>
      <c r="G439" s="20"/>
      <c r="H439" s="20"/>
      <c r="I439" s="23"/>
      <c r="J439" s="20"/>
      <c r="K439" s="20"/>
      <c r="L439" s="20"/>
      <c r="M439" s="20"/>
      <c r="N439" s="20"/>
      <c r="O439" s="22"/>
      <c r="P439" s="20"/>
      <c r="Q439" s="20"/>
      <c r="R439" s="20"/>
      <c r="S439" s="20"/>
      <c r="T439" s="20"/>
      <c r="U439" s="20"/>
      <c r="V439" s="20"/>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row>
    <row r="440">
      <c r="A440" s="20"/>
      <c r="B440" s="20"/>
      <c r="C440" s="20"/>
      <c r="D440" s="20"/>
      <c r="E440" s="20"/>
      <c r="F440" s="20"/>
      <c r="G440" s="20"/>
      <c r="H440" s="20"/>
      <c r="I440" s="23"/>
      <c r="J440" s="20"/>
      <c r="K440" s="20"/>
      <c r="L440" s="20"/>
      <c r="M440" s="20"/>
      <c r="N440" s="20"/>
      <c r="O440" s="22"/>
      <c r="P440" s="20"/>
      <c r="Q440" s="20"/>
      <c r="R440" s="20"/>
      <c r="S440" s="20"/>
      <c r="T440" s="20"/>
      <c r="U440" s="20"/>
      <c r="V440" s="20"/>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row>
    <row r="441">
      <c r="A441" s="20"/>
      <c r="B441" s="20"/>
      <c r="C441" s="20"/>
      <c r="D441" s="20"/>
      <c r="E441" s="20"/>
      <c r="F441" s="20"/>
      <c r="G441" s="20"/>
      <c r="H441" s="20"/>
      <c r="I441" s="23"/>
      <c r="J441" s="20"/>
      <c r="K441" s="20"/>
      <c r="L441" s="20"/>
      <c r="M441" s="20"/>
      <c r="N441" s="20"/>
      <c r="O441" s="22"/>
      <c r="P441" s="20"/>
      <c r="Q441" s="20"/>
      <c r="R441" s="20"/>
      <c r="S441" s="20"/>
      <c r="T441" s="20"/>
      <c r="U441" s="20"/>
      <c r="V441" s="20"/>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row>
    <row r="442">
      <c r="A442" s="20"/>
      <c r="B442" s="20"/>
      <c r="C442" s="20"/>
      <c r="D442" s="20"/>
      <c r="E442" s="20"/>
      <c r="F442" s="20"/>
      <c r="G442" s="20"/>
      <c r="H442" s="20"/>
      <c r="I442" s="23"/>
      <c r="J442" s="20"/>
      <c r="K442" s="20"/>
      <c r="L442" s="20"/>
      <c r="M442" s="20"/>
      <c r="N442" s="20"/>
      <c r="O442" s="22"/>
      <c r="P442" s="20"/>
      <c r="Q442" s="20"/>
      <c r="R442" s="20"/>
      <c r="S442" s="20"/>
      <c r="T442" s="20"/>
      <c r="U442" s="20"/>
      <c r="V442" s="20"/>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row>
    <row r="443">
      <c r="A443" s="20"/>
      <c r="B443" s="20"/>
      <c r="C443" s="20"/>
      <c r="D443" s="20"/>
      <c r="E443" s="20"/>
      <c r="F443" s="20"/>
      <c r="G443" s="20"/>
      <c r="H443" s="20"/>
      <c r="I443" s="23"/>
      <c r="J443" s="20"/>
      <c r="K443" s="20"/>
      <c r="L443" s="20"/>
      <c r="M443" s="20"/>
      <c r="N443" s="20"/>
      <c r="O443" s="22"/>
      <c r="P443" s="20"/>
      <c r="Q443" s="20"/>
      <c r="R443" s="20"/>
      <c r="S443" s="20"/>
      <c r="T443" s="20"/>
      <c r="U443" s="20"/>
      <c r="V443" s="20"/>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row>
    <row r="444">
      <c r="A444" s="20"/>
      <c r="B444" s="20"/>
      <c r="C444" s="20"/>
      <c r="D444" s="20"/>
      <c r="E444" s="20"/>
      <c r="F444" s="20"/>
      <c r="G444" s="20"/>
      <c r="H444" s="20"/>
      <c r="I444" s="23"/>
      <c r="J444" s="20"/>
      <c r="K444" s="20"/>
      <c r="L444" s="20"/>
      <c r="M444" s="20"/>
      <c r="N444" s="20"/>
      <c r="O444" s="22"/>
      <c r="P444" s="20"/>
      <c r="Q444" s="20"/>
      <c r="R444" s="20"/>
      <c r="S444" s="20"/>
      <c r="T444" s="20"/>
      <c r="U444" s="20"/>
      <c r="V444" s="20"/>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row>
    <row r="445">
      <c r="A445" s="20"/>
      <c r="B445" s="20"/>
      <c r="C445" s="20"/>
      <c r="D445" s="20"/>
      <c r="E445" s="20"/>
      <c r="F445" s="20"/>
      <c r="G445" s="20"/>
      <c r="H445" s="20"/>
      <c r="I445" s="23"/>
      <c r="J445" s="20"/>
      <c r="K445" s="20"/>
      <c r="L445" s="20"/>
      <c r="M445" s="20"/>
      <c r="N445" s="20"/>
      <c r="O445" s="22"/>
      <c r="P445" s="20"/>
      <c r="Q445" s="20"/>
      <c r="R445" s="20"/>
      <c r="S445" s="20"/>
      <c r="T445" s="20"/>
      <c r="U445" s="20"/>
      <c r="V445" s="20"/>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row>
    <row r="446">
      <c r="A446" s="20"/>
      <c r="B446" s="20"/>
      <c r="C446" s="20"/>
      <c r="D446" s="20"/>
      <c r="E446" s="20"/>
      <c r="F446" s="20"/>
      <c r="G446" s="20"/>
      <c r="H446" s="20"/>
      <c r="I446" s="23"/>
      <c r="J446" s="20"/>
      <c r="K446" s="20"/>
      <c r="L446" s="20"/>
      <c r="M446" s="20"/>
      <c r="N446" s="20"/>
      <c r="O446" s="22"/>
      <c r="P446" s="20"/>
      <c r="Q446" s="20"/>
      <c r="R446" s="20"/>
      <c r="S446" s="20"/>
      <c r="T446" s="20"/>
      <c r="U446" s="20"/>
      <c r="V446" s="20"/>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row>
    <row r="447">
      <c r="A447" s="20"/>
      <c r="B447" s="20"/>
      <c r="C447" s="20"/>
      <c r="D447" s="20"/>
      <c r="E447" s="20"/>
      <c r="F447" s="20"/>
      <c r="G447" s="20"/>
      <c r="H447" s="20"/>
      <c r="I447" s="23"/>
      <c r="J447" s="20"/>
      <c r="K447" s="20"/>
      <c r="L447" s="20"/>
      <c r="M447" s="20"/>
      <c r="N447" s="20"/>
      <c r="O447" s="22"/>
      <c r="P447" s="20"/>
      <c r="Q447" s="20"/>
      <c r="R447" s="20"/>
      <c r="S447" s="20"/>
      <c r="T447" s="20"/>
      <c r="U447" s="20"/>
      <c r="V447" s="20"/>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row>
    <row r="448">
      <c r="A448" s="20"/>
      <c r="B448" s="20"/>
      <c r="C448" s="20"/>
      <c r="D448" s="20"/>
      <c r="E448" s="20"/>
      <c r="F448" s="20"/>
      <c r="G448" s="20"/>
      <c r="H448" s="20"/>
      <c r="I448" s="23"/>
      <c r="J448" s="20"/>
      <c r="K448" s="20"/>
      <c r="L448" s="20"/>
      <c r="M448" s="20"/>
      <c r="N448" s="20"/>
      <c r="O448" s="22"/>
      <c r="P448" s="20"/>
      <c r="Q448" s="20"/>
      <c r="R448" s="20"/>
      <c r="S448" s="20"/>
      <c r="T448" s="20"/>
      <c r="U448" s="20"/>
      <c r="V448" s="20"/>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row>
    <row r="449">
      <c r="A449" s="20"/>
      <c r="B449" s="20"/>
      <c r="C449" s="20"/>
      <c r="D449" s="20"/>
      <c r="E449" s="20"/>
      <c r="F449" s="20"/>
      <c r="G449" s="20"/>
      <c r="H449" s="20"/>
      <c r="I449" s="23"/>
      <c r="J449" s="20"/>
      <c r="K449" s="20"/>
      <c r="L449" s="20"/>
      <c r="M449" s="20"/>
      <c r="N449" s="20"/>
      <c r="O449" s="22"/>
      <c r="P449" s="20"/>
      <c r="Q449" s="20"/>
      <c r="R449" s="20"/>
      <c r="S449" s="20"/>
      <c r="T449" s="20"/>
      <c r="U449" s="20"/>
      <c r="V449" s="20"/>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row>
    <row r="450">
      <c r="A450" s="20"/>
      <c r="B450" s="20"/>
      <c r="C450" s="20"/>
      <c r="D450" s="20"/>
      <c r="E450" s="20"/>
      <c r="F450" s="20"/>
      <c r="G450" s="20"/>
      <c r="H450" s="20"/>
      <c r="I450" s="23"/>
      <c r="J450" s="20"/>
      <c r="K450" s="20"/>
      <c r="L450" s="20"/>
      <c r="M450" s="20"/>
      <c r="N450" s="20"/>
      <c r="O450" s="22"/>
      <c r="P450" s="20"/>
      <c r="Q450" s="20"/>
      <c r="R450" s="20"/>
      <c r="S450" s="20"/>
      <c r="T450" s="20"/>
      <c r="U450" s="20"/>
      <c r="V450" s="20"/>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row>
    <row r="451">
      <c r="A451" s="20"/>
      <c r="B451" s="20"/>
      <c r="C451" s="20"/>
      <c r="D451" s="20"/>
      <c r="E451" s="20"/>
      <c r="F451" s="20"/>
      <c r="G451" s="20"/>
      <c r="H451" s="20"/>
      <c r="I451" s="23"/>
      <c r="J451" s="20"/>
      <c r="K451" s="20"/>
      <c r="L451" s="20"/>
      <c r="M451" s="20"/>
      <c r="N451" s="20"/>
      <c r="O451" s="22"/>
      <c r="P451" s="20"/>
      <c r="Q451" s="20"/>
      <c r="R451" s="20"/>
      <c r="S451" s="20"/>
      <c r="T451" s="20"/>
      <c r="U451" s="20"/>
      <c r="V451" s="20"/>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row>
    <row r="452">
      <c r="A452" s="20"/>
      <c r="B452" s="20"/>
      <c r="C452" s="20"/>
      <c r="D452" s="20"/>
      <c r="E452" s="20"/>
      <c r="F452" s="20"/>
      <c r="G452" s="20"/>
      <c r="H452" s="20"/>
      <c r="I452" s="23"/>
      <c r="J452" s="20"/>
      <c r="K452" s="20"/>
      <c r="L452" s="20"/>
      <c r="M452" s="20"/>
      <c r="N452" s="20"/>
      <c r="O452" s="22"/>
      <c r="P452" s="20"/>
      <c r="Q452" s="20"/>
      <c r="R452" s="20"/>
      <c r="S452" s="20"/>
      <c r="T452" s="20"/>
      <c r="U452" s="20"/>
      <c r="V452" s="20"/>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row>
    <row r="453">
      <c r="A453" s="20"/>
      <c r="B453" s="20"/>
      <c r="C453" s="20"/>
      <c r="D453" s="20"/>
      <c r="E453" s="20"/>
      <c r="F453" s="20"/>
      <c r="G453" s="20"/>
      <c r="H453" s="20"/>
      <c r="I453" s="23"/>
      <c r="J453" s="20"/>
      <c r="K453" s="20"/>
      <c r="L453" s="20"/>
      <c r="M453" s="20"/>
      <c r="N453" s="20"/>
      <c r="O453" s="22"/>
      <c r="P453" s="20"/>
      <c r="Q453" s="20"/>
      <c r="R453" s="20"/>
      <c r="S453" s="20"/>
      <c r="T453" s="20"/>
      <c r="U453" s="20"/>
      <c r="V453" s="20"/>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row>
    <row r="454">
      <c r="A454" s="20"/>
      <c r="B454" s="20"/>
      <c r="C454" s="20"/>
      <c r="D454" s="20"/>
      <c r="E454" s="20"/>
      <c r="F454" s="20"/>
      <c r="G454" s="20"/>
      <c r="H454" s="20"/>
      <c r="I454" s="23"/>
      <c r="J454" s="20"/>
      <c r="K454" s="20"/>
      <c r="L454" s="20"/>
      <c r="M454" s="20"/>
      <c r="N454" s="20"/>
      <c r="O454" s="22"/>
      <c r="P454" s="20"/>
      <c r="Q454" s="20"/>
      <c r="R454" s="20"/>
      <c r="S454" s="20"/>
      <c r="T454" s="20"/>
      <c r="U454" s="20"/>
      <c r="V454" s="20"/>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row>
    <row r="455">
      <c r="A455" s="20"/>
      <c r="B455" s="20"/>
      <c r="C455" s="20"/>
      <c r="D455" s="20"/>
      <c r="E455" s="20"/>
      <c r="F455" s="20"/>
      <c r="G455" s="20"/>
      <c r="H455" s="20"/>
      <c r="I455" s="23"/>
      <c r="J455" s="20"/>
      <c r="K455" s="20"/>
      <c r="L455" s="20"/>
      <c r="M455" s="20"/>
      <c r="N455" s="20"/>
      <c r="O455" s="22"/>
      <c r="P455" s="20"/>
      <c r="Q455" s="20"/>
      <c r="R455" s="20"/>
      <c r="S455" s="20"/>
      <c r="T455" s="20"/>
      <c r="U455" s="20"/>
      <c r="V455" s="20"/>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row>
    <row r="456">
      <c r="A456" s="20"/>
      <c r="B456" s="20"/>
      <c r="C456" s="20"/>
      <c r="D456" s="20"/>
      <c r="E456" s="20"/>
      <c r="F456" s="20"/>
      <c r="G456" s="20"/>
      <c r="H456" s="20"/>
      <c r="I456" s="23"/>
      <c r="J456" s="20"/>
      <c r="K456" s="20"/>
      <c r="L456" s="20"/>
      <c r="M456" s="20"/>
      <c r="N456" s="20"/>
      <c r="O456" s="22"/>
      <c r="P456" s="20"/>
      <c r="Q456" s="20"/>
      <c r="R456" s="20"/>
      <c r="S456" s="20"/>
      <c r="T456" s="20"/>
      <c r="U456" s="20"/>
      <c r="V456" s="20"/>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row>
    <row r="457">
      <c r="A457" s="20"/>
      <c r="B457" s="20"/>
      <c r="C457" s="20"/>
      <c r="D457" s="20"/>
      <c r="E457" s="20"/>
      <c r="F457" s="20"/>
      <c r="G457" s="20"/>
      <c r="H457" s="20"/>
      <c r="I457" s="23"/>
      <c r="J457" s="20"/>
      <c r="K457" s="20"/>
      <c r="L457" s="20"/>
      <c r="M457" s="20"/>
      <c r="N457" s="20"/>
      <c r="O457" s="22"/>
      <c r="P457" s="20"/>
      <c r="Q457" s="20"/>
      <c r="R457" s="20"/>
      <c r="S457" s="20"/>
      <c r="T457" s="20"/>
      <c r="U457" s="20"/>
      <c r="V457" s="20"/>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row>
    <row r="458">
      <c r="A458" s="20"/>
      <c r="B458" s="20"/>
      <c r="C458" s="20"/>
      <c r="D458" s="20"/>
      <c r="E458" s="20"/>
      <c r="F458" s="20"/>
      <c r="G458" s="20"/>
      <c r="H458" s="20"/>
      <c r="I458" s="23"/>
      <c r="J458" s="20"/>
      <c r="K458" s="20"/>
      <c r="L458" s="20"/>
      <c r="M458" s="20"/>
      <c r="N458" s="20"/>
      <c r="O458" s="22"/>
      <c r="P458" s="20"/>
      <c r="Q458" s="20"/>
      <c r="R458" s="20"/>
      <c r="S458" s="20"/>
      <c r="T458" s="20"/>
      <c r="U458" s="20"/>
      <c r="V458" s="20"/>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row>
    <row r="459">
      <c r="A459" s="20"/>
      <c r="B459" s="20"/>
      <c r="C459" s="20"/>
      <c r="D459" s="20"/>
      <c r="E459" s="20"/>
      <c r="F459" s="20"/>
      <c r="G459" s="20"/>
      <c r="H459" s="20"/>
      <c r="I459" s="23"/>
      <c r="J459" s="20"/>
      <c r="K459" s="20"/>
      <c r="L459" s="20"/>
      <c r="M459" s="20"/>
      <c r="N459" s="20"/>
      <c r="O459" s="22"/>
      <c r="P459" s="20"/>
      <c r="Q459" s="20"/>
      <c r="R459" s="20"/>
      <c r="S459" s="20"/>
      <c r="T459" s="20"/>
      <c r="U459" s="20"/>
      <c r="V459" s="20"/>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row>
    <row r="460">
      <c r="A460" s="20"/>
      <c r="B460" s="20"/>
      <c r="C460" s="20"/>
      <c r="D460" s="20"/>
      <c r="E460" s="20"/>
      <c r="F460" s="20"/>
      <c r="G460" s="20"/>
      <c r="H460" s="20"/>
      <c r="I460" s="23"/>
      <c r="J460" s="20"/>
      <c r="K460" s="20"/>
      <c r="L460" s="20"/>
      <c r="M460" s="20"/>
      <c r="N460" s="20"/>
      <c r="O460" s="22"/>
      <c r="P460" s="20"/>
      <c r="Q460" s="20"/>
      <c r="R460" s="20"/>
      <c r="S460" s="20"/>
      <c r="T460" s="20"/>
      <c r="U460" s="20"/>
      <c r="V460" s="20"/>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row>
    <row r="461">
      <c r="A461" s="20"/>
      <c r="B461" s="20"/>
      <c r="C461" s="20"/>
      <c r="D461" s="20"/>
      <c r="E461" s="20"/>
      <c r="F461" s="20"/>
      <c r="G461" s="20"/>
      <c r="H461" s="20"/>
      <c r="I461" s="23"/>
      <c r="J461" s="20"/>
      <c r="K461" s="20"/>
      <c r="L461" s="20"/>
      <c r="M461" s="20"/>
      <c r="N461" s="20"/>
      <c r="O461" s="22"/>
      <c r="P461" s="20"/>
      <c r="Q461" s="20"/>
      <c r="R461" s="20"/>
      <c r="S461" s="20"/>
      <c r="T461" s="20"/>
      <c r="U461" s="20"/>
      <c r="V461" s="20"/>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row>
    <row r="462">
      <c r="A462" s="20"/>
      <c r="B462" s="20"/>
      <c r="C462" s="20"/>
      <c r="D462" s="20"/>
      <c r="E462" s="20"/>
      <c r="F462" s="20"/>
      <c r="G462" s="20"/>
      <c r="H462" s="20"/>
      <c r="I462" s="23"/>
      <c r="J462" s="20"/>
      <c r="K462" s="20"/>
      <c r="L462" s="20"/>
      <c r="M462" s="20"/>
      <c r="N462" s="20"/>
      <c r="O462" s="22"/>
      <c r="P462" s="20"/>
      <c r="Q462" s="20"/>
      <c r="R462" s="20"/>
      <c r="S462" s="20"/>
      <c r="T462" s="20"/>
      <c r="U462" s="20"/>
      <c r="V462" s="20"/>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row>
    <row r="463">
      <c r="A463" s="20"/>
      <c r="B463" s="20"/>
      <c r="C463" s="20"/>
      <c r="D463" s="20"/>
      <c r="E463" s="20"/>
      <c r="F463" s="20"/>
      <c r="G463" s="20"/>
      <c r="H463" s="20"/>
      <c r="I463" s="23"/>
      <c r="J463" s="20"/>
      <c r="K463" s="20"/>
      <c r="L463" s="20"/>
      <c r="M463" s="20"/>
      <c r="N463" s="20"/>
      <c r="O463" s="22"/>
      <c r="P463" s="20"/>
      <c r="Q463" s="20"/>
      <c r="R463" s="20"/>
      <c r="S463" s="20"/>
      <c r="T463" s="20"/>
      <c r="U463" s="20"/>
      <c r="V463" s="20"/>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row>
    <row r="464">
      <c r="A464" s="20"/>
      <c r="B464" s="20"/>
      <c r="C464" s="20"/>
      <c r="D464" s="20"/>
      <c r="E464" s="20"/>
      <c r="F464" s="20"/>
      <c r="G464" s="20"/>
      <c r="H464" s="20"/>
      <c r="I464" s="23"/>
      <c r="J464" s="20"/>
      <c r="K464" s="20"/>
      <c r="L464" s="20"/>
      <c r="M464" s="20"/>
      <c r="N464" s="20"/>
      <c r="O464" s="22"/>
      <c r="P464" s="20"/>
      <c r="Q464" s="20"/>
      <c r="R464" s="20"/>
      <c r="S464" s="20"/>
      <c r="T464" s="20"/>
      <c r="U464" s="20"/>
      <c r="V464" s="20"/>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row>
    <row r="465">
      <c r="A465" s="20"/>
      <c r="B465" s="20"/>
      <c r="C465" s="20"/>
      <c r="D465" s="20"/>
      <c r="E465" s="20"/>
      <c r="F465" s="20"/>
      <c r="G465" s="20"/>
      <c r="H465" s="20"/>
      <c r="I465" s="23"/>
      <c r="J465" s="20"/>
      <c r="K465" s="20"/>
      <c r="L465" s="20"/>
      <c r="M465" s="20"/>
      <c r="N465" s="20"/>
      <c r="O465" s="22"/>
      <c r="P465" s="20"/>
      <c r="Q465" s="20"/>
      <c r="R465" s="20"/>
      <c r="S465" s="20"/>
      <c r="T465" s="20"/>
      <c r="U465" s="20"/>
      <c r="V465" s="20"/>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row>
    <row r="466">
      <c r="A466" s="20"/>
      <c r="B466" s="20"/>
      <c r="C466" s="20"/>
      <c r="D466" s="20"/>
      <c r="E466" s="20"/>
      <c r="F466" s="20"/>
      <c r="G466" s="20"/>
      <c r="H466" s="20"/>
      <c r="I466" s="23"/>
      <c r="J466" s="20"/>
      <c r="K466" s="20"/>
      <c r="L466" s="20"/>
      <c r="M466" s="20"/>
      <c r="N466" s="20"/>
      <c r="O466" s="22"/>
      <c r="P466" s="20"/>
      <c r="Q466" s="20"/>
      <c r="R466" s="20"/>
      <c r="S466" s="20"/>
      <c r="T466" s="20"/>
      <c r="U466" s="20"/>
      <c r="V466" s="20"/>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row>
    <row r="467">
      <c r="A467" s="20"/>
      <c r="B467" s="20"/>
      <c r="C467" s="20"/>
      <c r="D467" s="20"/>
      <c r="E467" s="20"/>
      <c r="F467" s="20"/>
      <c r="G467" s="20"/>
      <c r="H467" s="20"/>
      <c r="I467" s="23"/>
      <c r="J467" s="20"/>
      <c r="K467" s="20"/>
      <c r="L467" s="20"/>
      <c r="M467" s="20"/>
      <c r="N467" s="20"/>
      <c r="O467" s="22"/>
      <c r="P467" s="20"/>
      <c r="Q467" s="20"/>
      <c r="R467" s="20"/>
      <c r="S467" s="20"/>
      <c r="T467" s="20"/>
      <c r="U467" s="20"/>
      <c r="V467" s="20"/>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row>
    <row r="468">
      <c r="A468" s="20"/>
      <c r="B468" s="20"/>
      <c r="C468" s="20"/>
      <c r="D468" s="20"/>
      <c r="E468" s="20"/>
      <c r="F468" s="20"/>
      <c r="G468" s="20"/>
      <c r="H468" s="20"/>
      <c r="I468" s="23"/>
      <c r="J468" s="20"/>
      <c r="K468" s="20"/>
      <c r="L468" s="20"/>
      <c r="M468" s="20"/>
      <c r="N468" s="20"/>
      <c r="O468" s="22"/>
      <c r="P468" s="20"/>
      <c r="Q468" s="20"/>
      <c r="R468" s="20"/>
      <c r="S468" s="20"/>
      <c r="T468" s="20"/>
      <c r="U468" s="20"/>
      <c r="V468" s="20"/>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row>
    <row r="469">
      <c r="A469" s="20"/>
      <c r="B469" s="20"/>
      <c r="C469" s="20"/>
      <c r="D469" s="20"/>
      <c r="E469" s="20"/>
      <c r="F469" s="20"/>
      <c r="G469" s="20"/>
      <c r="H469" s="20"/>
      <c r="I469" s="23"/>
      <c r="J469" s="20"/>
      <c r="K469" s="20"/>
      <c r="L469" s="20"/>
      <c r="M469" s="20"/>
      <c r="N469" s="20"/>
      <c r="O469" s="22"/>
      <c r="P469" s="20"/>
      <c r="Q469" s="20"/>
      <c r="R469" s="20"/>
      <c r="S469" s="20"/>
      <c r="T469" s="20"/>
      <c r="U469" s="20"/>
      <c r="V469" s="20"/>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row>
    <row r="470">
      <c r="A470" s="20"/>
      <c r="B470" s="20"/>
      <c r="C470" s="20"/>
      <c r="D470" s="20"/>
      <c r="E470" s="20"/>
      <c r="F470" s="20"/>
      <c r="G470" s="20"/>
      <c r="H470" s="20"/>
      <c r="I470" s="23"/>
      <c r="J470" s="20"/>
      <c r="K470" s="20"/>
      <c r="L470" s="20"/>
      <c r="M470" s="20"/>
      <c r="N470" s="20"/>
      <c r="O470" s="22"/>
      <c r="P470" s="20"/>
      <c r="Q470" s="20"/>
      <c r="R470" s="20"/>
      <c r="S470" s="20"/>
      <c r="T470" s="20"/>
      <c r="U470" s="20"/>
      <c r="V470" s="20"/>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row>
    <row r="471">
      <c r="A471" s="20"/>
      <c r="B471" s="20"/>
      <c r="C471" s="20"/>
      <c r="D471" s="20"/>
      <c r="E471" s="20"/>
      <c r="F471" s="20"/>
      <c r="G471" s="20"/>
      <c r="H471" s="20"/>
      <c r="I471" s="23"/>
      <c r="J471" s="20"/>
      <c r="K471" s="20"/>
      <c r="L471" s="20"/>
      <c r="M471" s="20"/>
      <c r="N471" s="20"/>
      <c r="O471" s="22"/>
      <c r="P471" s="20"/>
      <c r="Q471" s="20"/>
      <c r="R471" s="20"/>
      <c r="S471" s="20"/>
      <c r="T471" s="20"/>
      <c r="U471" s="20"/>
      <c r="V471" s="20"/>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row>
    <row r="472">
      <c r="A472" s="20"/>
      <c r="B472" s="20"/>
      <c r="C472" s="20"/>
      <c r="D472" s="20"/>
      <c r="E472" s="20"/>
      <c r="F472" s="20"/>
      <c r="G472" s="20"/>
      <c r="H472" s="20"/>
      <c r="I472" s="23"/>
      <c r="J472" s="20"/>
      <c r="K472" s="20"/>
      <c r="L472" s="20"/>
      <c r="M472" s="20"/>
      <c r="N472" s="20"/>
      <c r="O472" s="22"/>
      <c r="P472" s="20"/>
      <c r="Q472" s="20"/>
      <c r="R472" s="20"/>
      <c r="S472" s="20"/>
      <c r="T472" s="20"/>
      <c r="U472" s="20"/>
      <c r="V472" s="20"/>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row>
    <row r="473">
      <c r="A473" s="20"/>
      <c r="B473" s="20"/>
      <c r="C473" s="20"/>
      <c r="D473" s="20"/>
      <c r="E473" s="20"/>
      <c r="F473" s="20"/>
      <c r="G473" s="20"/>
      <c r="H473" s="20"/>
      <c r="I473" s="23"/>
      <c r="J473" s="20"/>
      <c r="K473" s="20"/>
      <c r="L473" s="20"/>
      <c r="M473" s="20"/>
      <c r="N473" s="20"/>
      <c r="O473" s="22"/>
      <c r="P473" s="20"/>
      <c r="Q473" s="20"/>
      <c r="R473" s="20"/>
      <c r="S473" s="20"/>
      <c r="T473" s="20"/>
      <c r="U473" s="20"/>
      <c r="V473" s="20"/>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row>
    <row r="474">
      <c r="A474" s="20"/>
      <c r="B474" s="20"/>
      <c r="C474" s="20"/>
      <c r="D474" s="20"/>
      <c r="E474" s="20"/>
      <c r="F474" s="20"/>
      <c r="G474" s="20"/>
      <c r="H474" s="20"/>
      <c r="I474" s="23"/>
      <c r="J474" s="20"/>
      <c r="K474" s="20"/>
      <c r="L474" s="20"/>
      <c r="M474" s="20"/>
      <c r="N474" s="20"/>
      <c r="O474" s="22"/>
      <c r="P474" s="20"/>
      <c r="Q474" s="20"/>
      <c r="R474" s="20"/>
      <c r="S474" s="20"/>
      <c r="T474" s="20"/>
      <c r="U474" s="20"/>
      <c r="V474" s="20"/>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row>
    <row r="475">
      <c r="A475" s="20"/>
      <c r="B475" s="20"/>
      <c r="C475" s="20"/>
      <c r="D475" s="20"/>
      <c r="E475" s="20"/>
      <c r="F475" s="20"/>
      <c r="G475" s="20"/>
      <c r="H475" s="20"/>
      <c r="I475" s="23"/>
      <c r="J475" s="20"/>
      <c r="K475" s="20"/>
      <c r="L475" s="20"/>
      <c r="M475" s="20"/>
      <c r="N475" s="20"/>
      <c r="O475" s="22"/>
      <c r="P475" s="20"/>
      <c r="Q475" s="20"/>
      <c r="R475" s="20"/>
      <c r="S475" s="20"/>
      <c r="T475" s="20"/>
      <c r="U475" s="20"/>
      <c r="V475" s="20"/>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row>
    <row r="476">
      <c r="A476" s="20"/>
      <c r="B476" s="20"/>
      <c r="C476" s="20"/>
      <c r="D476" s="20"/>
      <c r="E476" s="20"/>
      <c r="F476" s="20"/>
      <c r="G476" s="20"/>
      <c r="H476" s="20"/>
      <c r="I476" s="23"/>
      <c r="J476" s="20"/>
      <c r="K476" s="20"/>
      <c r="L476" s="20"/>
      <c r="M476" s="20"/>
      <c r="N476" s="20"/>
      <c r="O476" s="22"/>
      <c r="P476" s="20"/>
      <c r="Q476" s="20"/>
      <c r="R476" s="20"/>
      <c r="S476" s="20"/>
      <c r="T476" s="20"/>
      <c r="U476" s="20"/>
      <c r="V476" s="20"/>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row>
    <row r="477">
      <c r="A477" s="20"/>
      <c r="B477" s="20"/>
      <c r="C477" s="20"/>
      <c r="D477" s="20"/>
      <c r="E477" s="20"/>
      <c r="F477" s="20"/>
      <c r="G477" s="20"/>
      <c r="H477" s="20"/>
      <c r="I477" s="23"/>
      <c r="J477" s="20"/>
      <c r="K477" s="20"/>
      <c r="L477" s="20"/>
      <c r="M477" s="20"/>
      <c r="N477" s="20"/>
      <c r="O477" s="22"/>
      <c r="P477" s="20"/>
      <c r="Q477" s="20"/>
      <c r="R477" s="20"/>
      <c r="S477" s="20"/>
      <c r="T477" s="20"/>
      <c r="U477" s="20"/>
      <c r="V477" s="20"/>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row>
    <row r="478">
      <c r="A478" s="20"/>
      <c r="B478" s="20"/>
      <c r="C478" s="20"/>
      <c r="D478" s="20"/>
      <c r="E478" s="20"/>
      <c r="F478" s="20"/>
      <c r="G478" s="20"/>
      <c r="H478" s="20"/>
      <c r="I478" s="23"/>
      <c r="J478" s="20"/>
      <c r="K478" s="20"/>
      <c r="L478" s="20"/>
      <c r="M478" s="20"/>
      <c r="N478" s="20"/>
      <c r="O478" s="22"/>
      <c r="P478" s="20"/>
      <c r="Q478" s="20"/>
      <c r="R478" s="20"/>
      <c r="S478" s="20"/>
      <c r="T478" s="20"/>
      <c r="U478" s="20"/>
      <c r="V478" s="20"/>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row>
    <row r="479">
      <c r="A479" s="20"/>
      <c r="B479" s="20"/>
      <c r="C479" s="20"/>
      <c r="D479" s="20"/>
      <c r="E479" s="20"/>
      <c r="F479" s="20"/>
      <c r="G479" s="20"/>
      <c r="H479" s="20"/>
      <c r="I479" s="23"/>
      <c r="J479" s="20"/>
      <c r="K479" s="20"/>
      <c r="L479" s="20"/>
      <c r="M479" s="20"/>
      <c r="N479" s="20"/>
      <c r="O479" s="22"/>
      <c r="P479" s="20"/>
      <c r="Q479" s="20"/>
      <c r="R479" s="20"/>
      <c r="S479" s="20"/>
      <c r="T479" s="20"/>
      <c r="U479" s="20"/>
      <c r="V479" s="20"/>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row>
    <row r="480">
      <c r="A480" s="20"/>
      <c r="B480" s="20"/>
      <c r="C480" s="20"/>
      <c r="D480" s="20"/>
      <c r="E480" s="20"/>
      <c r="F480" s="20"/>
      <c r="G480" s="20"/>
      <c r="H480" s="20"/>
      <c r="I480" s="23"/>
      <c r="J480" s="20"/>
      <c r="K480" s="20"/>
      <c r="L480" s="20"/>
      <c r="M480" s="20"/>
      <c r="N480" s="20"/>
      <c r="O480" s="22"/>
      <c r="P480" s="20"/>
      <c r="Q480" s="20"/>
      <c r="R480" s="20"/>
      <c r="S480" s="20"/>
      <c r="T480" s="20"/>
      <c r="U480" s="20"/>
      <c r="V480" s="20"/>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row>
    <row r="481">
      <c r="A481" s="20"/>
      <c r="B481" s="20"/>
      <c r="C481" s="20"/>
      <c r="D481" s="20"/>
      <c r="E481" s="20"/>
      <c r="F481" s="20"/>
      <c r="G481" s="20"/>
      <c r="H481" s="20"/>
      <c r="I481" s="23"/>
      <c r="J481" s="20"/>
      <c r="K481" s="20"/>
      <c r="L481" s="20"/>
      <c r="M481" s="20"/>
      <c r="N481" s="20"/>
      <c r="O481" s="22"/>
      <c r="P481" s="20"/>
      <c r="Q481" s="20"/>
      <c r="R481" s="20"/>
      <c r="S481" s="20"/>
      <c r="T481" s="20"/>
      <c r="U481" s="20"/>
      <c r="V481" s="20"/>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row>
    <row r="482">
      <c r="A482" s="20"/>
      <c r="B482" s="20"/>
      <c r="C482" s="20"/>
      <c r="D482" s="20"/>
      <c r="E482" s="20"/>
      <c r="F482" s="20"/>
      <c r="G482" s="20"/>
      <c r="H482" s="20"/>
      <c r="I482" s="23"/>
      <c r="J482" s="20"/>
      <c r="K482" s="20"/>
      <c r="L482" s="20"/>
      <c r="M482" s="20"/>
      <c r="N482" s="20"/>
      <c r="O482" s="22"/>
      <c r="P482" s="20"/>
      <c r="Q482" s="20"/>
      <c r="R482" s="20"/>
      <c r="S482" s="20"/>
      <c r="T482" s="20"/>
      <c r="U482" s="20"/>
      <c r="V482" s="20"/>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row>
    <row r="483">
      <c r="A483" s="20"/>
      <c r="B483" s="20"/>
      <c r="C483" s="20"/>
      <c r="D483" s="20"/>
      <c r="E483" s="20"/>
      <c r="F483" s="20"/>
      <c r="G483" s="20"/>
      <c r="H483" s="20"/>
      <c r="I483" s="23"/>
      <c r="J483" s="20"/>
      <c r="K483" s="20"/>
      <c r="L483" s="20"/>
      <c r="M483" s="20"/>
      <c r="N483" s="20"/>
      <c r="O483" s="22"/>
      <c r="P483" s="20"/>
      <c r="Q483" s="20"/>
      <c r="R483" s="20"/>
      <c r="S483" s="20"/>
      <c r="T483" s="20"/>
      <c r="U483" s="20"/>
      <c r="V483" s="20"/>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row>
    <row r="484">
      <c r="A484" s="20"/>
      <c r="B484" s="20"/>
      <c r="C484" s="20"/>
      <c r="D484" s="20"/>
      <c r="E484" s="20"/>
      <c r="F484" s="20"/>
      <c r="G484" s="20"/>
      <c r="H484" s="20"/>
      <c r="I484" s="23"/>
      <c r="J484" s="20"/>
      <c r="K484" s="20"/>
      <c r="L484" s="20"/>
      <c r="M484" s="20"/>
      <c r="N484" s="20"/>
      <c r="O484" s="22"/>
      <c r="P484" s="20"/>
      <c r="Q484" s="20"/>
      <c r="R484" s="20"/>
      <c r="S484" s="20"/>
      <c r="T484" s="20"/>
      <c r="U484" s="20"/>
      <c r="V484" s="20"/>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row>
    <row r="485">
      <c r="A485" s="20"/>
      <c r="B485" s="20"/>
      <c r="C485" s="20"/>
      <c r="D485" s="20"/>
      <c r="E485" s="20"/>
      <c r="F485" s="20"/>
      <c r="G485" s="20"/>
      <c r="H485" s="20"/>
      <c r="I485" s="23"/>
      <c r="J485" s="20"/>
      <c r="K485" s="20"/>
      <c r="L485" s="20"/>
      <c r="M485" s="20"/>
      <c r="N485" s="20"/>
      <c r="O485" s="22"/>
      <c r="P485" s="20"/>
      <c r="Q485" s="20"/>
      <c r="R485" s="20"/>
      <c r="S485" s="20"/>
      <c r="T485" s="20"/>
      <c r="U485" s="20"/>
      <c r="V485" s="20"/>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row>
    <row r="486">
      <c r="A486" s="20"/>
      <c r="B486" s="20"/>
      <c r="C486" s="20"/>
      <c r="D486" s="20"/>
      <c r="E486" s="20"/>
      <c r="F486" s="20"/>
      <c r="G486" s="20"/>
      <c r="H486" s="20"/>
      <c r="I486" s="23"/>
      <c r="J486" s="20"/>
      <c r="K486" s="20"/>
      <c r="L486" s="20"/>
      <c r="M486" s="20"/>
      <c r="N486" s="20"/>
      <c r="O486" s="22"/>
      <c r="P486" s="20"/>
      <c r="Q486" s="20"/>
      <c r="R486" s="20"/>
      <c r="S486" s="20"/>
      <c r="T486" s="20"/>
      <c r="U486" s="20"/>
      <c r="V486" s="20"/>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row>
    <row r="487">
      <c r="A487" s="20"/>
      <c r="B487" s="20"/>
      <c r="C487" s="20"/>
      <c r="D487" s="20"/>
      <c r="E487" s="20"/>
      <c r="F487" s="20"/>
      <c r="G487" s="20"/>
      <c r="H487" s="20"/>
      <c r="I487" s="23"/>
      <c r="J487" s="20"/>
      <c r="K487" s="20"/>
      <c r="L487" s="20"/>
      <c r="M487" s="20"/>
      <c r="N487" s="20"/>
      <c r="O487" s="22"/>
      <c r="P487" s="20"/>
      <c r="Q487" s="20"/>
      <c r="R487" s="20"/>
      <c r="S487" s="20"/>
      <c r="T487" s="20"/>
      <c r="U487" s="20"/>
      <c r="V487" s="20"/>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row>
    <row r="488">
      <c r="A488" s="20"/>
      <c r="B488" s="20"/>
      <c r="C488" s="20"/>
      <c r="D488" s="20"/>
      <c r="E488" s="20"/>
      <c r="F488" s="20"/>
      <c r="G488" s="20"/>
      <c r="H488" s="20"/>
      <c r="I488" s="23"/>
      <c r="J488" s="20"/>
      <c r="K488" s="20"/>
      <c r="L488" s="20"/>
      <c r="M488" s="20"/>
      <c r="N488" s="20"/>
      <c r="O488" s="22"/>
      <c r="P488" s="20"/>
      <c r="Q488" s="20"/>
      <c r="R488" s="20"/>
      <c r="S488" s="20"/>
      <c r="T488" s="20"/>
      <c r="U488" s="20"/>
      <c r="V488" s="20"/>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row>
    <row r="489">
      <c r="A489" s="20"/>
      <c r="B489" s="20"/>
      <c r="C489" s="20"/>
      <c r="D489" s="20"/>
      <c r="E489" s="20"/>
      <c r="F489" s="20"/>
      <c r="G489" s="20"/>
      <c r="H489" s="20"/>
      <c r="I489" s="23"/>
      <c r="J489" s="20"/>
      <c r="K489" s="20"/>
      <c r="L489" s="20"/>
      <c r="M489" s="20"/>
      <c r="N489" s="20"/>
      <c r="O489" s="22"/>
      <c r="P489" s="20"/>
      <c r="Q489" s="20"/>
      <c r="R489" s="20"/>
      <c r="S489" s="20"/>
      <c r="T489" s="20"/>
      <c r="U489" s="20"/>
      <c r="V489" s="20"/>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row>
    <row r="490">
      <c r="A490" s="20"/>
      <c r="B490" s="20"/>
      <c r="C490" s="20"/>
      <c r="D490" s="20"/>
      <c r="E490" s="20"/>
      <c r="F490" s="20"/>
      <c r="G490" s="20"/>
      <c r="H490" s="20"/>
      <c r="I490" s="23"/>
      <c r="J490" s="20"/>
      <c r="K490" s="20"/>
      <c r="L490" s="20"/>
      <c r="M490" s="20"/>
      <c r="N490" s="20"/>
      <c r="O490" s="22"/>
      <c r="P490" s="20"/>
      <c r="Q490" s="20"/>
      <c r="R490" s="20"/>
      <c r="S490" s="20"/>
      <c r="T490" s="20"/>
      <c r="U490" s="20"/>
      <c r="V490" s="20"/>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row>
    <row r="491">
      <c r="A491" s="20"/>
      <c r="B491" s="20"/>
      <c r="C491" s="20"/>
      <c r="D491" s="20"/>
      <c r="E491" s="20"/>
      <c r="F491" s="20"/>
      <c r="G491" s="20"/>
      <c r="H491" s="20"/>
      <c r="I491" s="23"/>
      <c r="J491" s="20"/>
      <c r="K491" s="20"/>
      <c r="L491" s="20"/>
      <c r="M491" s="20"/>
      <c r="N491" s="20"/>
      <c r="O491" s="22"/>
      <c r="P491" s="20"/>
      <c r="Q491" s="20"/>
      <c r="R491" s="20"/>
      <c r="S491" s="20"/>
      <c r="T491" s="20"/>
      <c r="U491" s="20"/>
      <c r="V491" s="20"/>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row>
    <row r="492">
      <c r="A492" s="20"/>
      <c r="B492" s="20"/>
      <c r="C492" s="20"/>
      <c r="D492" s="20"/>
      <c r="E492" s="20"/>
      <c r="F492" s="20"/>
      <c r="G492" s="20"/>
      <c r="H492" s="20"/>
      <c r="I492" s="23"/>
      <c r="J492" s="20"/>
      <c r="K492" s="20"/>
      <c r="L492" s="20"/>
      <c r="M492" s="20"/>
      <c r="N492" s="20"/>
      <c r="O492" s="22"/>
      <c r="P492" s="20"/>
      <c r="Q492" s="20"/>
      <c r="R492" s="20"/>
      <c r="S492" s="20"/>
      <c r="T492" s="20"/>
      <c r="U492" s="20"/>
      <c r="V492" s="20"/>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row>
    <row r="493">
      <c r="A493" s="20"/>
      <c r="B493" s="20"/>
      <c r="C493" s="20"/>
      <c r="D493" s="20"/>
      <c r="E493" s="20"/>
      <c r="F493" s="20"/>
      <c r="G493" s="20"/>
      <c r="H493" s="20"/>
      <c r="I493" s="23"/>
      <c r="J493" s="20"/>
      <c r="K493" s="20"/>
      <c r="L493" s="20"/>
      <c r="M493" s="20"/>
      <c r="N493" s="20"/>
      <c r="O493" s="22"/>
      <c r="P493" s="20"/>
      <c r="Q493" s="20"/>
      <c r="R493" s="20"/>
      <c r="S493" s="20"/>
      <c r="T493" s="20"/>
      <c r="U493" s="20"/>
      <c r="V493" s="20"/>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row>
    <row r="494">
      <c r="A494" s="20"/>
      <c r="B494" s="20"/>
      <c r="C494" s="20"/>
      <c r="D494" s="20"/>
      <c r="E494" s="20"/>
      <c r="F494" s="20"/>
      <c r="G494" s="20"/>
      <c r="H494" s="20"/>
      <c r="I494" s="23"/>
      <c r="J494" s="20"/>
      <c r="K494" s="20"/>
      <c r="L494" s="20"/>
      <c r="M494" s="20"/>
      <c r="N494" s="20"/>
      <c r="O494" s="22"/>
      <c r="P494" s="20"/>
      <c r="Q494" s="20"/>
      <c r="R494" s="20"/>
      <c r="S494" s="20"/>
      <c r="T494" s="20"/>
      <c r="U494" s="20"/>
      <c r="V494" s="20"/>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row>
    <row r="495">
      <c r="A495" s="20"/>
      <c r="B495" s="20"/>
      <c r="C495" s="20"/>
      <c r="D495" s="20"/>
      <c r="E495" s="20"/>
      <c r="F495" s="20"/>
      <c r="G495" s="20"/>
      <c r="H495" s="20"/>
      <c r="I495" s="23"/>
      <c r="J495" s="20"/>
      <c r="K495" s="20"/>
      <c r="L495" s="20"/>
      <c r="M495" s="20"/>
      <c r="N495" s="20"/>
      <c r="O495" s="22"/>
      <c r="P495" s="20"/>
      <c r="Q495" s="20"/>
      <c r="R495" s="20"/>
      <c r="S495" s="20"/>
      <c r="T495" s="20"/>
      <c r="U495" s="20"/>
      <c r="V495" s="20"/>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row>
    <row r="496">
      <c r="A496" s="20"/>
      <c r="B496" s="20"/>
      <c r="C496" s="20"/>
      <c r="D496" s="20"/>
      <c r="E496" s="20"/>
      <c r="F496" s="20"/>
      <c r="G496" s="20"/>
      <c r="H496" s="20"/>
      <c r="I496" s="23"/>
      <c r="J496" s="20"/>
      <c r="K496" s="20"/>
      <c r="L496" s="20"/>
      <c r="M496" s="20"/>
      <c r="N496" s="20"/>
      <c r="O496" s="22"/>
      <c r="P496" s="20"/>
      <c r="Q496" s="20"/>
      <c r="R496" s="20"/>
      <c r="S496" s="20"/>
      <c r="T496" s="20"/>
      <c r="U496" s="20"/>
      <c r="V496" s="20"/>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row>
    <row r="497">
      <c r="A497" s="20"/>
      <c r="B497" s="20"/>
      <c r="C497" s="20"/>
      <c r="D497" s="20"/>
      <c r="E497" s="20"/>
      <c r="F497" s="20"/>
      <c r="G497" s="20"/>
      <c r="H497" s="20"/>
      <c r="I497" s="23"/>
      <c r="J497" s="20"/>
      <c r="K497" s="20"/>
      <c r="L497" s="20"/>
      <c r="M497" s="20"/>
      <c r="N497" s="20"/>
      <c r="O497" s="22"/>
      <c r="P497" s="20"/>
      <c r="Q497" s="20"/>
      <c r="R497" s="20"/>
      <c r="S497" s="20"/>
      <c r="T497" s="20"/>
      <c r="U497" s="20"/>
      <c r="V497" s="20"/>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row>
    <row r="498">
      <c r="A498" s="20"/>
      <c r="B498" s="20"/>
      <c r="C498" s="20"/>
      <c r="D498" s="20"/>
      <c r="E498" s="20"/>
      <c r="F498" s="20"/>
      <c r="G498" s="20"/>
      <c r="H498" s="20"/>
      <c r="I498" s="23"/>
      <c r="J498" s="20"/>
      <c r="K498" s="20"/>
      <c r="L498" s="20"/>
      <c r="M498" s="20"/>
      <c r="N498" s="20"/>
      <c r="O498" s="22"/>
      <c r="P498" s="20"/>
      <c r="Q498" s="20"/>
      <c r="R498" s="20"/>
      <c r="S498" s="20"/>
      <c r="T498" s="20"/>
      <c r="U498" s="20"/>
      <c r="V498" s="20"/>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row>
    <row r="499">
      <c r="A499" s="20"/>
      <c r="B499" s="20"/>
      <c r="C499" s="20"/>
      <c r="D499" s="20"/>
      <c r="E499" s="20"/>
      <c r="F499" s="20"/>
      <c r="G499" s="20"/>
      <c r="H499" s="20"/>
      <c r="I499" s="23"/>
      <c r="J499" s="20"/>
      <c r="K499" s="20"/>
      <c r="L499" s="20"/>
      <c r="M499" s="20"/>
      <c r="N499" s="20"/>
      <c r="O499" s="22"/>
      <c r="P499" s="20"/>
      <c r="Q499" s="20"/>
      <c r="R499" s="20"/>
      <c r="S499" s="20"/>
      <c r="T499" s="20"/>
      <c r="U499" s="20"/>
      <c r="V499" s="20"/>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row>
    <row r="500">
      <c r="A500" s="20"/>
      <c r="B500" s="20"/>
      <c r="C500" s="20"/>
      <c r="D500" s="20"/>
      <c r="E500" s="20"/>
      <c r="F500" s="20"/>
      <c r="G500" s="20"/>
      <c r="H500" s="20"/>
      <c r="I500" s="23"/>
      <c r="J500" s="20"/>
      <c r="K500" s="20"/>
      <c r="L500" s="20"/>
      <c r="M500" s="20"/>
      <c r="N500" s="20"/>
      <c r="O500" s="22"/>
      <c r="P500" s="20"/>
      <c r="Q500" s="20"/>
      <c r="R500" s="20"/>
      <c r="S500" s="20"/>
      <c r="T500" s="20"/>
      <c r="U500" s="20"/>
      <c r="V500" s="20"/>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row>
    <row r="501">
      <c r="A501" s="20"/>
      <c r="B501" s="20"/>
      <c r="C501" s="20"/>
      <c r="D501" s="20"/>
      <c r="E501" s="20"/>
      <c r="F501" s="20"/>
      <c r="G501" s="20"/>
      <c r="H501" s="20"/>
      <c r="I501" s="23"/>
      <c r="J501" s="20"/>
      <c r="K501" s="20"/>
      <c r="L501" s="20"/>
      <c r="M501" s="20"/>
      <c r="N501" s="20"/>
      <c r="O501" s="22"/>
      <c r="P501" s="20"/>
      <c r="Q501" s="20"/>
      <c r="R501" s="20"/>
      <c r="S501" s="20"/>
      <c r="T501" s="20"/>
      <c r="U501" s="20"/>
      <c r="V501" s="20"/>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row>
    <row r="502">
      <c r="A502" s="20"/>
      <c r="B502" s="20"/>
      <c r="C502" s="20"/>
      <c r="D502" s="20"/>
      <c r="E502" s="20"/>
      <c r="F502" s="20"/>
      <c r="G502" s="20"/>
      <c r="H502" s="20"/>
      <c r="I502" s="23"/>
      <c r="J502" s="20"/>
      <c r="K502" s="20"/>
      <c r="L502" s="20"/>
      <c r="M502" s="20"/>
      <c r="N502" s="20"/>
      <c r="O502" s="22"/>
      <c r="P502" s="20"/>
      <c r="Q502" s="20"/>
      <c r="R502" s="20"/>
      <c r="S502" s="20"/>
      <c r="T502" s="20"/>
      <c r="U502" s="20"/>
      <c r="V502" s="20"/>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row>
    <row r="503">
      <c r="A503" s="20"/>
      <c r="B503" s="20"/>
      <c r="C503" s="20"/>
      <c r="D503" s="20"/>
      <c r="E503" s="20"/>
      <c r="F503" s="20"/>
      <c r="G503" s="20"/>
      <c r="H503" s="20"/>
      <c r="I503" s="23"/>
      <c r="J503" s="20"/>
      <c r="K503" s="20"/>
      <c r="L503" s="20"/>
      <c r="M503" s="20"/>
      <c r="N503" s="20"/>
      <c r="O503" s="22"/>
      <c r="P503" s="20"/>
      <c r="Q503" s="20"/>
      <c r="R503" s="20"/>
      <c r="S503" s="20"/>
      <c r="T503" s="20"/>
      <c r="U503" s="20"/>
      <c r="V503" s="20"/>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row>
    <row r="504">
      <c r="A504" s="20"/>
      <c r="B504" s="20"/>
      <c r="C504" s="20"/>
      <c r="D504" s="20"/>
      <c r="E504" s="20"/>
      <c r="F504" s="20"/>
      <c r="G504" s="20"/>
      <c r="H504" s="20"/>
      <c r="I504" s="23"/>
      <c r="J504" s="20"/>
      <c r="K504" s="20"/>
      <c r="L504" s="20"/>
      <c r="M504" s="20"/>
      <c r="N504" s="20"/>
      <c r="O504" s="22"/>
      <c r="P504" s="20"/>
      <c r="Q504" s="20"/>
      <c r="R504" s="20"/>
      <c r="S504" s="20"/>
      <c r="T504" s="20"/>
      <c r="U504" s="20"/>
      <c r="V504" s="20"/>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row>
    <row r="505">
      <c r="A505" s="20"/>
      <c r="B505" s="20"/>
      <c r="C505" s="20"/>
      <c r="D505" s="20"/>
      <c r="E505" s="20"/>
      <c r="F505" s="20"/>
      <c r="G505" s="20"/>
      <c r="H505" s="20"/>
      <c r="I505" s="23"/>
      <c r="J505" s="20"/>
      <c r="K505" s="20"/>
      <c r="L505" s="20"/>
      <c r="M505" s="20"/>
      <c r="N505" s="20"/>
      <c r="O505" s="22"/>
      <c r="P505" s="20"/>
      <c r="Q505" s="20"/>
      <c r="R505" s="20"/>
      <c r="S505" s="20"/>
      <c r="T505" s="20"/>
      <c r="U505" s="20"/>
      <c r="V505" s="20"/>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row>
    <row r="506">
      <c r="A506" s="20"/>
      <c r="B506" s="20"/>
      <c r="C506" s="20"/>
      <c r="D506" s="20"/>
      <c r="E506" s="20"/>
      <c r="F506" s="20"/>
      <c r="G506" s="20"/>
      <c r="H506" s="20"/>
      <c r="I506" s="23"/>
      <c r="J506" s="20"/>
      <c r="K506" s="20"/>
      <c r="L506" s="20"/>
      <c r="M506" s="20"/>
      <c r="N506" s="20"/>
      <c r="O506" s="22"/>
      <c r="P506" s="20"/>
      <c r="Q506" s="20"/>
      <c r="R506" s="20"/>
      <c r="S506" s="20"/>
      <c r="T506" s="20"/>
      <c r="U506" s="20"/>
      <c r="V506" s="20"/>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row>
    <row r="507">
      <c r="A507" s="20"/>
      <c r="B507" s="20"/>
      <c r="C507" s="20"/>
      <c r="D507" s="20"/>
      <c r="E507" s="20"/>
      <c r="F507" s="20"/>
      <c r="G507" s="20"/>
      <c r="H507" s="20"/>
      <c r="I507" s="23"/>
      <c r="J507" s="20"/>
      <c r="K507" s="20"/>
      <c r="L507" s="20"/>
      <c r="M507" s="20"/>
      <c r="N507" s="20"/>
      <c r="O507" s="22"/>
      <c r="P507" s="20"/>
      <c r="Q507" s="20"/>
      <c r="R507" s="20"/>
      <c r="S507" s="20"/>
      <c r="T507" s="20"/>
      <c r="U507" s="20"/>
      <c r="V507" s="20"/>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row>
    <row r="508">
      <c r="A508" s="20"/>
      <c r="B508" s="20"/>
      <c r="C508" s="20"/>
      <c r="D508" s="20"/>
      <c r="E508" s="20"/>
      <c r="F508" s="20"/>
      <c r="G508" s="20"/>
      <c r="H508" s="20"/>
      <c r="I508" s="23"/>
      <c r="J508" s="20"/>
      <c r="K508" s="20"/>
      <c r="L508" s="20"/>
      <c r="M508" s="20"/>
      <c r="N508" s="20"/>
      <c r="O508" s="22"/>
      <c r="P508" s="20"/>
      <c r="Q508" s="20"/>
      <c r="R508" s="20"/>
      <c r="S508" s="20"/>
      <c r="T508" s="20"/>
      <c r="U508" s="20"/>
      <c r="V508" s="20"/>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row>
    <row r="509">
      <c r="A509" s="20"/>
      <c r="B509" s="20"/>
      <c r="C509" s="20"/>
      <c r="D509" s="20"/>
      <c r="E509" s="20"/>
      <c r="F509" s="20"/>
      <c r="G509" s="20"/>
      <c r="H509" s="20"/>
      <c r="I509" s="23"/>
      <c r="J509" s="20"/>
      <c r="K509" s="20"/>
      <c r="L509" s="20"/>
      <c r="M509" s="20"/>
      <c r="N509" s="20"/>
      <c r="O509" s="22"/>
      <c r="P509" s="20"/>
      <c r="Q509" s="20"/>
      <c r="R509" s="20"/>
      <c r="S509" s="20"/>
      <c r="T509" s="20"/>
      <c r="U509" s="20"/>
      <c r="V509" s="20"/>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row>
    <row r="510">
      <c r="A510" s="20"/>
      <c r="B510" s="20"/>
      <c r="C510" s="20"/>
      <c r="D510" s="20"/>
      <c r="E510" s="20"/>
      <c r="F510" s="20"/>
      <c r="G510" s="20"/>
      <c r="H510" s="20"/>
      <c r="I510" s="23"/>
      <c r="J510" s="20"/>
      <c r="K510" s="20"/>
      <c r="L510" s="20"/>
      <c r="M510" s="20"/>
      <c r="N510" s="20"/>
      <c r="O510" s="22"/>
      <c r="P510" s="20"/>
      <c r="Q510" s="20"/>
      <c r="R510" s="20"/>
      <c r="S510" s="20"/>
      <c r="T510" s="20"/>
      <c r="U510" s="20"/>
      <c r="V510" s="20"/>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row>
    <row r="511">
      <c r="A511" s="20"/>
      <c r="B511" s="20"/>
      <c r="C511" s="20"/>
      <c r="D511" s="20"/>
      <c r="E511" s="20"/>
      <c r="F511" s="20"/>
      <c r="G511" s="20"/>
      <c r="H511" s="20"/>
      <c r="I511" s="23"/>
      <c r="J511" s="20"/>
      <c r="K511" s="20"/>
      <c r="L511" s="20"/>
      <c r="M511" s="20"/>
      <c r="N511" s="20"/>
      <c r="O511" s="22"/>
      <c r="P511" s="20"/>
      <c r="Q511" s="20"/>
      <c r="R511" s="20"/>
      <c r="S511" s="20"/>
      <c r="T511" s="20"/>
      <c r="U511" s="20"/>
      <c r="V511" s="20"/>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row>
    <row r="512">
      <c r="A512" s="20"/>
      <c r="B512" s="20"/>
      <c r="C512" s="20"/>
      <c r="D512" s="20"/>
      <c r="E512" s="20"/>
      <c r="F512" s="20"/>
      <c r="G512" s="20"/>
      <c r="H512" s="20"/>
      <c r="I512" s="23"/>
      <c r="J512" s="20"/>
      <c r="K512" s="20"/>
      <c r="L512" s="20"/>
      <c r="M512" s="20"/>
      <c r="N512" s="20"/>
      <c r="O512" s="22"/>
      <c r="P512" s="20"/>
      <c r="Q512" s="20"/>
      <c r="R512" s="20"/>
      <c r="S512" s="20"/>
      <c r="T512" s="20"/>
      <c r="U512" s="20"/>
      <c r="V512" s="20"/>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row>
    <row r="513">
      <c r="A513" s="20"/>
      <c r="B513" s="20"/>
      <c r="C513" s="20"/>
      <c r="D513" s="20"/>
      <c r="E513" s="20"/>
      <c r="F513" s="20"/>
      <c r="G513" s="20"/>
      <c r="H513" s="20"/>
      <c r="I513" s="23"/>
      <c r="J513" s="20"/>
      <c r="K513" s="20"/>
      <c r="L513" s="20"/>
      <c r="M513" s="20"/>
      <c r="N513" s="20"/>
      <c r="O513" s="22"/>
      <c r="P513" s="20"/>
      <c r="Q513" s="20"/>
      <c r="R513" s="20"/>
      <c r="S513" s="20"/>
      <c r="T513" s="20"/>
      <c r="U513" s="20"/>
      <c r="V513" s="20"/>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row>
    <row r="514">
      <c r="A514" s="20"/>
      <c r="B514" s="20"/>
      <c r="C514" s="20"/>
      <c r="D514" s="20"/>
      <c r="E514" s="20"/>
      <c r="F514" s="20"/>
      <c r="G514" s="20"/>
      <c r="H514" s="20"/>
      <c r="I514" s="23"/>
      <c r="J514" s="20"/>
      <c r="K514" s="20"/>
      <c r="L514" s="20"/>
      <c r="M514" s="20"/>
      <c r="N514" s="20"/>
      <c r="O514" s="22"/>
      <c r="P514" s="20"/>
      <c r="Q514" s="20"/>
      <c r="R514" s="20"/>
      <c r="S514" s="20"/>
      <c r="T514" s="20"/>
      <c r="U514" s="20"/>
      <c r="V514" s="20"/>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row>
    <row r="515">
      <c r="A515" s="20"/>
      <c r="B515" s="20"/>
      <c r="C515" s="20"/>
      <c r="D515" s="20"/>
      <c r="E515" s="20"/>
      <c r="F515" s="20"/>
      <c r="G515" s="20"/>
      <c r="H515" s="20"/>
      <c r="I515" s="23"/>
      <c r="J515" s="20"/>
      <c r="K515" s="20"/>
      <c r="L515" s="20"/>
      <c r="M515" s="20"/>
      <c r="N515" s="20"/>
      <c r="O515" s="22"/>
      <c r="P515" s="20"/>
      <c r="Q515" s="20"/>
      <c r="R515" s="20"/>
      <c r="S515" s="20"/>
      <c r="T515" s="20"/>
      <c r="U515" s="20"/>
      <c r="V515" s="20"/>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row>
    <row r="516">
      <c r="A516" s="20"/>
      <c r="B516" s="20"/>
      <c r="C516" s="20"/>
      <c r="D516" s="20"/>
      <c r="E516" s="20"/>
      <c r="F516" s="20"/>
      <c r="G516" s="20"/>
      <c r="H516" s="20"/>
      <c r="I516" s="23"/>
      <c r="J516" s="20"/>
      <c r="K516" s="20"/>
      <c r="L516" s="20"/>
      <c r="M516" s="20"/>
      <c r="N516" s="20"/>
      <c r="O516" s="22"/>
      <c r="P516" s="20"/>
      <c r="Q516" s="20"/>
      <c r="R516" s="20"/>
      <c r="S516" s="20"/>
      <c r="T516" s="20"/>
      <c r="U516" s="20"/>
      <c r="V516" s="20"/>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row>
    <row r="517">
      <c r="A517" s="20"/>
      <c r="B517" s="20"/>
      <c r="C517" s="20"/>
      <c r="D517" s="20"/>
      <c r="E517" s="20"/>
      <c r="F517" s="20"/>
      <c r="G517" s="20"/>
      <c r="H517" s="20"/>
      <c r="I517" s="23"/>
      <c r="J517" s="20"/>
      <c r="K517" s="20"/>
      <c r="L517" s="20"/>
      <c r="M517" s="20"/>
      <c r="N517" s="20"/>
      <c r="O517" s="22"/>
      <c r="P517" s="20"/>
      <c r="Q517" s="20"/>
      <c r="R517" s="20"/>
      <c r="S517" s="20"/>
      <c r="T517" s="20"/>
      <c r="U517" s="20"/>
      <c r="V517" s="20"/>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row>
    <row r="518">
      <c r="A518" s="20"/>
      <c r="B518" s="20"/>
      <c r="C518" s="20"/>
      <c r="D518" s="20"/>
      <c r="E518" s="20"/>
      <c r="F518" s="20"/>
      <c r="G518" s="20"/>
      <c r="H518" s="20"/>
      <c r="I518" s="23"/>
      <c r="J518" s="20"/>
      <c r="K518" s="20"/>
      <c r="L518" s="20"/>
      <c r="M518" s="20"/>
      <c r="N518" s="20"/>
      <c r="O518" s="22"/>
      <c r="P518" s="20"/>
      <c r="Q518" s="20"/>
      <c r="R518" s="20"/>
      <c r="S518" s="20"/>
      <c r="T518" s="20"/>
      <c r="U518" s="20"/>
      <c r="V518" s="20"/>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row>
    <row r="519">
      <c r="A519" s="20"/>
      <c r="B519" s="20"/>
      <c r="C519" s="20"/>
      <c r="D519" s="20"/>
      <c r="E519" s="20"/>
      <c r="F519" s="20"/>
      <c r="G519" s="20"/>
      <c r="H519" s="20"/>
      <c r="I519" s="23"/>
      <c r="J519" s="20"/>
      <c r="K519" s="20"/>
      <c r="L519" s="20"/>
      <c r="M519" s="20"/>
      <c r="N519" s="20"/>
      <c r="O519" s="22"/>
      <c r="P519" s="20"/>
      <c r="Q519" s="20"/>
      <c r="R519" s="20"/>
      <c r="S519" s="20"/>
      <c r="T519" s="20"/>
      <c r="U519" s="20"/>
      <c r="V519" s="20"/>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row>
    <row r="520">
      <c r="A520" s="20"/>
      <c r="B520" s="20"/>
      <c r="C520" s="20"/>
      <c r="D520" s="20"/>
      <c r="E520" s="20"/>
      <c r="F520" s="20"/>
      <c r="G520" s="20"/>
      <c r="H520" s="20"/>
      <c r="I520" s="23"/>
      <c r="J520" s="20"/>
      <c r="K520" s="20"/>
      <c r="L520" s="20"/>
      <c r="M520" s="20"/>
      <c r="N520" s="20"/>
      <c r="O520" s="22"/>
      <c r="P520" s="20"/>
      <c r="Q520" s="20"/>
      <c r="R520" s="20"/>
      <c r="S520" s="20"/>
      <c r="T520" s="20"/>
      <c r="U520" s="20"/>
      <c r="V520" s="20"/>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row>
    <row r="521">
      <c r="A521" s="20"/>
      <c r="B521" s="20"/>
      <c r="C521" s="20"/>
      <c r="D521" s="20"/>
      <c r="E521" s="20"/>
      <c r="F521" s="20"/>
      <c r="G521" s="20"/>
      <c r="H521" s="20"/>
      <c r="I521" s="23"/>
      <c r="J521" s="20"/>
      <c r="K521" s="20"/>
      <c r="L521" s="20"/>
      <c r="M521" s="20"/>
      <c r="N521" s="20"/>
      <c r="O521" s="22"/>
      <c r="P521" s="20"/>
      <c r="Q521" s="20"/>
      <c r="R521" s="20"/>
      <c r="S521" s="20"/>
      <c r="T521" s="20"/>
      <c r="U521" s="20"/>
      <c r="V521" s="20"/>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row>
    <row r="522">
      <c r="A522" s="20"/>
      <c r="B522" s="20"/>
      <c r="C522" s="20"/>
      <c r="D522" s="20"/>
      <c r="E522" s="20"/>
      <c r="F522" s="20"/>
      <c r="G522" s="20"/>
      <c r="H522" s="20"/>
      <c r="I522" s="23"/>
      <c r="J522" s="20"/>
      <c r="K522" s="20"/>
      <c r="L522" s="20"/>
      <c r="M522" s="20"/>
      <c r="N522" s="20"/>
      <c r="O522" s="22"/>
      <c r="P522" s="20"/>
      <c r="Q522" s="20"/>
      <c r="R522" s="20"/>
      <c r="S522" s="20"/>
      <c r="T522" s="20"/>
      <c r="U522" s="20"/>
      <c r="V522" s="20"/>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row>
    <row r="523">
      <c r="A523" s="20"/>
      <c r="B523" s="20"/>
      <c r="C523" s="20"/>
      <c r="D523" s="20"/>
      <c r="E523" s="20"/>
      <c r="F523" s="20"/>
      <c r="G523" s="20"/>
      <c r="H523" s="20"/>
      <c r="I523" s="23"/>
      <c r="J523" s="20"/>
      <c r="K523" s="20"/>
      <c r="L523" s="20"/>
      <c r="M523" s="20"/>
      <c r="N523" s="20"/>
      <c r="O523" s="22"/>
      <c r="P523" s="20"/>
      <c r="Q523" s="20"/>
      <c r="R523" s="20"/>
      <c r="S523" s="20"/>
      <c r="T523" s="20"/>
      <c r="U523" s="20"/>
      <c r="V523" s="20"/>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row>
    <row r="524">
      <c r="A524" s="20"/>
      <c r="B524" s="20"/>
      <c r="C524" s="20"/>
      <c r="D524" s="20"/>
      <c r="E524" s="20"/>
      <c r="F524" s="20"/>
      <c r="G524" s="20"/>
      <c r="H524" s="20"/>
      <c r="I524" s="23"/>
      <c r="J524" s="20"/>
      <c r="K524" s="20"/>
      <c r="L524" s="20"/>
      <c r="M524" s="20"/>
      <c r="N524" s="20"/>
      <c r="O524" s="22"/>
      <c r="P524" s="20"/>
      <c r="Q524" s="20"/>
      <c r="R524" s="20"/>
      <c r="S524" s="20"/>
      <c r="T524" s="20"/>
      <c r="U524" s="20"/>
      <c r="V524" s="20"/>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row>
    <row r="525">
      <c r="A525" s="20"/>
      <c r="B525" s="20"/>
      <c r="C525" s="20"/>
      <c r="D525" s="20"/>
      <c r="E525" s="20"/>
      <c r="F525" s="20"/>
      <c r="G525" s="20"/>
      <c r="H525" s="20"/>
      <c r="I525" s="23"/>
      <c r="J525" s="20"/>
      <c r="K525" s="20"/>
      <c r="L525" s="20"/>
      <c r="M525" s="20"/>
      <c r="N525" s="20"/>
      <c r="O525" s="22"/>
      <c r="P525" s="20"/>
      <c r="Q525" s="20"/>
      <c r="R525" s="20"/>
      <c r="S525" s="20"/>
      <c r="T525" s="20"/>
      <c r="U525" s="20"/>
      <c r="V525" s="20"/>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row>
    <row r="526">
      <c r="A526" s="20"/>
      <c r="B526" s="20"/>
      <c r="C526" s="20"/>
      <c r="D526" s="20"/>
      <c r="E526" s="20"/>
      <c r="F526" s="20"/>
      <c r="G526" s="20"/>
      <c r="H526" s="20"/>
      <c r="I526" s="23"/>
      <c r="J526" s="20"/>
      <c r="K526" s="20"/>
      <c r="L526" s="20"/>
      <c r="M526" s="20"/>
      <c r="N526" s="20"/>
      <c r="O526" s="22"/>
      <c r="P526" s="20"/>
      <c r="Q526" s="20"/>
      <c r="R526" s="20"/>
      <c r="S526" s="20"/>
      <c r="T526" s="20"/>
      <c r="U526" s="20"/>
      <c r="V526" s="20"/>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row>
    <row r="527">
      <c r="A527" s="20"/>
      <c r="B527" s="20"/>
      <c r="C527" s="20"/>
      <c r="D527" s="20"/>
      <c r="E527" s="20"/>
      <c r="F527" s="20"/>
      <c r="G527" s="20"/>
      <c r="H527" s="20"/>
      <c r="I527" s="23"/>
      <c r="J527" s="20"/>
      <c r="K527" s="20"/>
      <c r="L527" s="20"/>
      <c r="M527" s="20"/>
      <c r="N527" s="20"/>
      <c r="O527" s="22"/>
      <c r="P527" s="20"/>
      <c r="Q527" s="20"/>
      <c r="R527" s="20"/>
      <c r="S527" s="20"/>
      <c r="T527" s="20"/>
      <c r="U527" s="20"/>
      <c r="V527" s="20"/>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row>
    <row r="528">
      <c r="A528" s="20"/>
      <c r="B528" s="20"/>
      <c r="C528" s="20"/>
      <c r="D528" s="20"/>
      <c r="E528" s="20"/>
      <c r="F528" s="20"/>
      <c r="G528" s="20"/>
      <c r="H528" s="20"/>
      <c r="I528" s="23"/>
      <c r="J528" s="20"/>
      <c r="K528" s="20"/>
      <c r="L528" s="20"/>
      <c r="M528" s="20"/>
      <c r="N528" s="20"/>
      <c r="O528" s="22"/>
      <c r="P528" s="20"/>
      <c r="Q528" s="20"/>
      <c r="R528" s="20"/>
      <c r="S528" s="20"/>
      <c r="T528" s="20"/>
      <c r="U528" s="20"/>
      <c r="V528" s="20"/>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row>
    <row r="529">
      <c r="A529" s="20"/>
      <c r="B529" s="20"/>
      <c r="C529" s="20"/>
      <c r="D529" s="20"/>
      <c r="E529" s="20"/>
      <c r="F529" s="20"/>
      <c r="G529" s="20"/>
      <c r="H529" s="20"/>
      <c r="I529" s="23"/>
      <c r="J529" s="20"/>
      <c r="K529" s="20"/>
      <c r="L529" s="20"/>
      <c r="M529" s="20"/>
      <c r="N529" s="20"/>
      <c r="O529" s="22"/>
      <c r="P529" s="20"/>
      <c r="Q529" s="20"/>
      <c r="R529" s="20"/>
      <c r="S529" s="20"/>
      <c r="T529" s="20"/>
      <c r="U529" s="20"/>
      <c r="V529" s="20"/>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row>
    <row r="530">
      <c r="A530" s="20"/>
      <c r="B530" s="20"/>
      <c r="C530" s="20"/>
      <c r="D530" s="20"/>
      <c r="E530" s="20"/>
      <c r="F530" s="20"/>
      <c r="G530" s="20"/>
      <c r="H530" s="20"/>
      <c r="I530" s="23"/>
      <c r="J530" s="20"/>
      <c r="K530" s="20"/>
      <c r="L530" s="20"/>
      <c r="M530" s="20"/>
      <c r="N530" s="20"/>
      <c r="O530" s="22"/>
      <c r="P530" s="20"/>
      <c r="Q530" s="20"/>
      <c r="R530" s="20"/>
      <c r="S530" s="20"/>
      <c r="T530" s="20"/>
      <c r="U530" s="20"/>
      <c r="V530" s="20"/>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row>
    <row r="531">
      <c r="A531" s="20"/>
      <c r="B531" s="20"/>
      <c r="C531" s="20"/>
      <c r="D531" s="20"/>
      <c r="E531" s="20"/>
      <c r="F531" s="20"/>
      <c r="G531" s="20"/>
      <c r="H531" s="20"/>
      <c r="I531" s="23"/>
      <c r="J531" s="20"/>
      <c r="K531" s="20"/>
      <c r="L531" s="20"/>
      <c r="M531" s="20"/>
      <c r="N531" s="20"/>
      <c r="O531" s="22"/>
      <c r="P531" s="20"/>
      <c r="Q531" s="20"/>
      <c r="R531" s="20"/>
      <c r="S531" s="20"/>
      <c r="T531" s="20"/>
      <c r="U531" s="20"/>
      <c r="V531" s="20"/>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row>
    <row r="532">
      <c r="A532" s="20"/>
      <c r="B532" s="20"/>
      <c r="C532" s="20"/>
      <c r="D532" s="20"/>
      <c r="E532" s="20"/>
      <c r="F532" s="20"/>
      <c r="G532" s="20"/>
      <c r="H532" s="20"/>
      <c r="I532" s="23"/>
      <c r="J532" s="20"/>
      <c r="K532" s="20"/>
      <c r="L532" s="20"/>
      <c r="M532" s="20"/>
      <c r="N532" s="20"/>
      <c r="O532" s="22"/>
      <c r="P532" s="20"/>
      <c r="Q532" s="20"/>
      <c r="R532" s="20"/>
      <c r="S532" s="20"/>
      <c r="T532" s="20"/>
      <c r="U532" s="20"/>
      <c r="V532" s="20"/>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row>
    <row r="533">
      <c r="A533" s="20"/>
      <c r="B533" s="20"/>
      <c r="C533" s="20"/>
      <c r="D533" s="20"/>
      <c r="E533" s="20"/>
      <c r="F533" s="20"/>
      <c r="G533" s="20"/>
      <c r="H533" s="20"/>
      <c r="I533" s="23"/>
      <c r="J533" s="20"/>
      <c r="K533" s="20"/>
      <c r="L533" s="20"/>
      <c r="M533" s="20"/>
      <c r="N533" s="20"/>
      <c r="O533" s="22"/>
      <c r="P533" s="20"/>
      <c r="Q533" s="20"/>
      <c r="R533" s="20"/>
      <c r="S533" s="20"/>
      <c r="T533" s="20"/>
      <c r="U533" s="20"/>
      <c r="V533" s="20"/>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row>
    <row r="534">
      <c r="A534" s="20"/>
      <c r="B534" s="20"/>
      <c r="C534" s="20"/>
      <c r="D534" s="20"/>
      <c r="E534" s="20"/>
      <c r="F534" s="20"/>
      <c r="G534" s="20"/>
      <c r="H534" s="20"/>
      <c r="I534" s="23"/>
      <c r="J534" s="20"/>
      <c r="K534" s="20"/>
      <c r="L534" s="20"/>
      <c r="M534" s="20"/>
      <c r="N534" s="20"/>
      <c r="O534" s="22"/>
      <c r="P534" s="20"/>
      <c r="Q534" s="20"/>
      <c r="R534" s="20"/>
      <c r="S534" s="20"/>
      <c r="T534" s="20"/>
      <c r="U534" s="20"/>
      <c r="V534" s="20"/>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row>
    <row r="535">
      <c r="A535" s="20"/>
      <c r="B535" s="20"/>
      <c r="C535" s="20"/>
      <c r="D535" s="20"/>
      <c r="E535" s="20"/>
      <c r="F535" s="20"/>
      <c r="G535" s="20"/>
      <c r="H535" s="20"/>
      <c r="I535" s="23"/>
      <c r="J535" s="20"/>
      <c r="K535" s="20"/>
      <c r="L535" s="20"/>
      <c r="M535" s="20"/>
      <c r="N535" s="20"/>
      <c r="O535" s="22"/>
      <c r="P535" s="20"/>
      <c r="Q535" s="20"/>
      <c r="R535" s="20"/>
      <c r="S535" s="20"/>
      <c r="T535" s="20"/>
      <c r="U535" s="20"/>
      <c r="V535" s="20"/>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row>
    <row r="536">
      <c r="A536" s="20"/>
      <c r="B536" s="20"/>
      <c r="C536" s="20"/>
      <c r="D536" s="20"/>
      <c r="E536" s="20"/>
      <c r="F536" s="20"/>
      <c r="G536" s="20"/>
      <c r="H536" s="20"/>
      <c r="I536" s="23"/>
      <c r="J536" s="20"/>
      <c r="K536" s="20"/>
      <c r="L536" s="20"/>
      <c r="M536" s="20"/>
      <c r="N536" s="20"/>
      <c r="O536" s="22"/>
      <c r="P536" s="20"/>
      <c r="Q536" s="20"/>
      <c r="R536" s="20"/>
      <c r="S536" s="20"/>
      <c r="T536" s="20"/>
      <c r="U536" s="20"/>
      <c r="V536" s="20"/>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row>
    <row r="537">
      <c r="A537" s="20"/>
      <c r="B537" s="20"/>
      <c r="C537" s="20"/>
      <c r="D537" s="20"/>
      <c r="E537" s="20"/>
      <c r="F537" s="20"/>
      <c r="G537" s="20"/>
      <c r="H537" s="20"/>
      <c r="I537" s="23"/>
      <c r="J537" s="20"/>
      <c r="K537" s="20"/>
      <c r="L537" s="20"/>
      <c r="M537" s="20"/>
      <c r="N537" s="20"/>
      <c r="O537" s="22"/>
      <c r="P537" s="20"/>
      <c r="Q537" s="20"/>
      <c r="R537" s="20"/>
      <c r="S537" s="20"/>
      <c r="T537" s="20"/>
      <c r="U537" s="20"/>
      <c r="V537" s="20"/>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row>
    <row r="538">
      <c r="A538" s="20"/>
      <c r="B538" s="20"/>
      <c r="C538" s="20"/>
      <c r="D538" s="20"/>
      <c r="E538" s="20"/>
      <c r="F538" s="20"/>
      <c r="G538" s="20"/>
      <c r="H538" s="20"/>
      <c r="I538" s="23"/>
      <c r="J538" s="20"/>
      <c r="K538" s="20"/>
      <c r="L538" s="20"/>
      <c r="M538" s="20"/>
      <c r="N538" s="20"/>
      <c r="O538" s="22"/>
      <c r="P538" s="20"/>
      <c r="Q538" s="20"/>
      <c r="R538" s="20"/>
      <c r="S538" s="20"/>
      <c r="T538" s="20"/>
      <c r="U538" s="20"/>
      <c r="V538" s="20"/>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row>
    <row r="539">
      <c r="A539" s="20"/>
      <c r="B539" s="20"/>
      <c r="C539" s="20"/>
      <c r="D539" s="20"/>
      <c r="E539" s="20"/>
      <c r="F539" s="20"/>
      <c r="G539" s="20"/>
      <c r="H539" s="20"/>
      <c r="I539" s="23"/>
      <c r="J539" s="20"/>
      <c r="K539" s="20"/>
      <c r="L539" s="20"/>
      <c r="M539" s="20"/>
      <c r="N539" s="20"/>
      <c r="O539" s="22"/>
      <c r="P539" s="20"/>
      <c r="Q539" s="20"/>
      <c r="R539" s="20"/>
      <c r="S539" s="20"/>
      <c r="T539" s="20"/>
      <c r="U539" s="20"/>
      <c r="V539" s="20"/>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row>
    <row r="540">
      <c r="A540" s="20"/>
      <c r="B540" s="20"/>
      <c r="C540" s="20"/>
      <c r="D540" s="20"/>
      <c r="E540" s="20"/>
      <c r="F540" s="20"/>
      <c r="G540" s="20"/>
      <c r="H540" s="20"/>
      <c r="I540" s="23"/>
      <c r="J540" s="20"/>
      <c r="K540" s="20"/>
      <c r="L540" s="20"/>
      <c r="M540" s="20"/>
      <c r="N540" s="20"/>
      <c r="O540" s="22"/>
      <c r="P540" s="20"/>
      <c r="Q540" s="20"/>
      <c r="R540" s="20"/>
      <c r="S540" s="20"/>
      <c r="T540" s="20"/>
      <c r="U540" s="20"/>
      <c r="V540" s="20"/>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row>
    <row r="541">
      <c r="A541" s="20"/>
      <c r="B541" s="20"/>
      <c r="C541" s="20"/>
      <c r="D541" s="20"/>
      <c r="E541" s="20"/>
      <c r="F541" s="20"/>
      <c r="G541" s="20"/>
      <c r="H541" s="20"/>
      <c r="I541" s="23"/>
      <c r="J541" s="20"/>
      <c r="K541" s="20"/>
      <c r="L541" s="20"/>
      <c r="M541" s="20"/>
      <c r="N541" s="20"/>
      <c r="O541" s="22"/>
      <c r="P541" s="20"/>
      <c r="Q541" s="20"/>
      <c r="R541" s="20"/>
      <c r="S541" s="20"/>
      <c r="T541" s="20"/>
      <c r="U541" s="20"/>
      <c r="V541" s="20"/>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row>
    <row r="542">
      <c r="A542" s="20"/>
      <c r="B542" s="20"/>
      <c r="C542" s="20"/>
      <c r="D542" s="20"/>
      <c r="E542" s="20"/>
      <c r="F542" s="20"/>
      <c r="G542" s="20"/>
      <c r="H542" s="20"/>
      <c r="I542" s="23"/>
      <c r="J542" s="20"/>
      <c r="K542" s="20"/>
      <c r="L542" s="20"/>
      <c r="M542" s="20"/>
      <c r="N542" s="20"/>
      <c r="O542" s="22"/>
      <c r="P542" s="20"/>
      <c r="Q542" s="20"/>
      <c r="R542" s="20"/>
      <c r="S542" s="20"/>
      <c r="T542" s="20"/>
      <c r="U542" s="20"/>
      <c r="V542" s="20"/>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row>
    <row r="543">
      <c r="A543" s="20"/>
      <c r="B543" s="20"/>
      <c r="C543" s="20"/>
      <c r="D543" s="20"/>
      <c r="E543" s="20"/>
      <c r="F543" s="20"/>
      <c r="G543" s="20"/>
      <c r="H543" s="20"/>
      <c r="I543" s="23"/>
      <c r="J543" s="20"/>
      <c r="K543" s="20"/>
      <c r="L543" s="20"/>
      <c r="M543" s="20"/>
      <c r="N543" s="20"/>
      <c r="O543" s="22"/>
      <c r="P543" s="20"/>
      <c r="Q543" s="20"/>
      <c r="R543" s="20"/>
      <c r="S543" s="20"/>
      <c r="T543" s="20"/>
      <c r="U543" s="20"/>
      <c r="V543" s="20"/>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row>
    <row r="544">
      <c r="A544" s="20"/>
      <c r="B544" s="20"/>
      <c r="C544" s="20"/>
      <c r="D544" s="20"/>
      <c r="E544" s="20"/>
      <c r="F544" s="20"/>
      <c r="G544" s="20"/>
      <c r="H544" s="20"/>
      <c r="I544" s="23"/>
      <c r="J544" s="20"/>
      <c r="K544" s="20"/>
      <c r="L544" s="20"/>
      <c r="M544" s="20"/>
      <c r="N544" s="20"/>
      <c r="O544" s="22"/>
      <c r="P544" s="20"/>
      <c r="Q544" s="20"/>
      <c r="R544" s="20"/>
      <c r="S544" s="20"/>
      <c r="T544" s="20"/>
      <c r="U544" s="20"/>
      <c r="V544" s="20"/>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row>
    <row r="545">
      <c r="A545" s="20"/>
      <c r="B545" s="20"/>
      <c r="C545" s="20"/>
      <c r="D545" s="20"/>
      <c r="E545" s="20"/>
      <c r="F545" s="20"/>
      <c r="G545" s="20"/>
      <c r="H545" s="20"/>
      <c r="I545" s="23"/>
      <c r="J545" s="20"/>
      <c r="K545" s="20"/>
      <c r="L545" s="20"/>
      <c r="M545" s="20"/>
      <c r="N545" s="20"/>
      <c r="O545" s="22"/>
      <c r="P545" s="20"/>
      <c r="Q545" s="20"/>
      <c r="R545" s="20"/>
      <c r="S545" s="20"/>
      <c r="T545" s="20"/>
      <c r="U545" s="20"/>
      <c r="V545" s="20"/>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row>
    <row r="546">
      <c r="A546" s="20"/>
      <c r="B546" s="20"/>
      <c r="C546" s="20"/>
      <c r="D546" s="20"/>
      <c r="E546" s="20"/>
      <c r="F546" s="20"/>
      <c r="G546" s="20"/>
      <c r="H546" s="20"/>
      <c r="I546" s="23"/>
      <c r="J546" s="20"/>
      <c r="K546" s="20"/>
      <c r="L546" s="20"/>
      <c r="M546" s="20"/>
      <c r="N546" s="20"/>
      <c r="O546" s="22"/>
      <c r="P546" s="20"/>
      <c r="Q546" s="20"/>
      <c r="R546" s="20"/>
      <c r="S546" s="20"/>
      <c r="T546" s="20"/>
      <c r="U546" s="20"/>
      <c r="V546" s="20"/>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row>
    <row r="547">
      <c r="A547" s="20"/>
      <c r="B547" s="20"/>
      <c r="C547" s="20"/>
      <c r="D547" s="20"/>
      <c r="E547" s="20"/>
      <c r="F547" s="20"/>
      <c r="G547" s="20"/>
      <c r="H547" s="20"/>
      <c r="I547" s="23"/>
      <c r="J547" s="20"/>
      <c r="K547" s="20"/>
      <c r="L547" s="20"/>
      <c r="M547" s="20"/>
      <c r="N547" s="20"/>
      <c r="O547" s="22"/>
      <c r="P547" s="20"/>
      <c r="Q547" s="20"/>
      <c r="R547" s="20"/>
      <c r="S547" s="20"/>
      <c r="T547" s="20"/>
      <c r="U547" s="20"/>
      <c r="V547" s="20"/>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row>
    <row r="548">
      <c r="A548" s="20"/>
      <c r="B548" s="20"/>
      <c r="C548" s="20"/>
      <c r="D548" s="20"/>
      <c r="E548" s="20"/>
      <c r="F548" s="20"/>
      <c r="G548" s="20"/>
      <c r="H548" s="20"/>
      <c r="I548" s="23"/>
      <c r="J548" s="20"/>
      <c r="K548" s="20"/>
      <c r="L548" s="20"/>
      <c r="M548" s="20"/>
      <c r="N548" s="20"/>
      <c r="O548" s="22"/>
      <c r="P548" s="20"/>
      <c r="Q548" s="20"/>
      <c r="R548" s="20"/>
      <c r="S548" s="20"/>
      <c r="T548" s="20"/>
      <c r="U548" s="20"/>
      <c r="V548" s="20"/>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row>
    <row r="549">
      <c r="A549" s="20"/>
      <c r="B549" s="20"/>
      <c r="C549" s="20"/>
      <c r="D549" s="20"/>
      <c r="E549" s="20"/>
      <c r="F549" s="20"/>
      <c r="G549" s="20"/>
      <c r="H549" s="20"/>
      <c r="I549" s="23"/>
      <c r="J549" s="20"/>
      <c r="K549" s="20"/>
      <c r="L549" s="20"/>
      <c r="M549" s="20"/>
      <c r="N549" s="20"/>
      <c r="O549" s="22"/>
      <c r="P549" s="20"/>
      <c r="Q549" s="20"/>
      <c r="R549" s="20"/>
      <c r="S549" s="20"/>
      <c r="T549" s="20"/>
      <c r="U549" s="20"/>
      <c r="V549" s="20"/>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row>
    <row r="550">
      <c r="A550" s="20"/>
      <c r="B550" s="20"/>
      <c r="C550" s="20"/>
      <c r="D550" s="20"/>
      <c r="E550" s="20"/>
      <c r="F550" s="20"/>
      <c r="G550" s="20"/>
      <c r="H550" s="20"/>
      <c r="I550" s="23"/>
      <c r="J550" s="20"/>
      <c r="K550" s="20"/>
      <c r="L550" s="20"/>
      <c r="M550" s="20"/>
      <c r="N550" s="20"/>
      <c r="O550" s="22"/>
      <c r="P550" s="20"/>
      <c r="Q550" s="20"/>
      <c r="R550" s="20"/>
      <c r="S550" s="20"/>
      <c r="T550" s="20"/>
      <c r="U550" s="20"/>
      <c r="V550" s="20"/>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row>
    <row r="551">
      <c r="A551" s="20"/>
      <c r="B551" s="20"/>
      <c r="C551" s="20"/>
      <c r="D551" s="20"/>
      <c r="E551" s="20"/>
      <c r="F551" s="20"/>
      <c r="G551" s="20"/>
      <c r="H551" s="20"/>
      <c r="I551" s="23"/>
      <c r="J551" s="20"/>
      <c r="K551" s="20"/>
      <c r="L551" s="20"/>
      <c r="M551" s="20"/>
      <c r="N551" s="20"/>
      <c r="O551" s="22"/>
      <c r="P551" s="20"/>
      <c r="Q551" s="20"/>
      <c r="R551" s="20"/>
      <c r="S551" s="20"/>
      <c r="T551" s="20"/>
      <c r="U551" s="20"/>
      <c r="V551" s="20"/>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row>
    <row r="552">
      <c r="A552" s="20"/>
      <c r="B552" s="20"/>
      <c r="C552" s="20"/>
      <c r="D552" s="20"/>
      <c r="E552" s="20"/>
      <c r="F552" s="20"/>
      <c r="G552" s="20"/>
      <c r="H552" s="20"/>
      <c r="I552" s="23"/>
      <c r="J552" s="20"/>
      <c r="K552" s="20"/>
      <c r="L552" s="20"/>
      <c r="M552" s="20"/>
      <c r="N552" s="20"/>
      <c r="O552" s="22"/>
      <c r="P552" s="20"/>
      <c r="Q552" s="20"/>
      <c r="R552" s="20"/>
      <c r="S552" s="20"/>
      <c r="T552" s="20"/>
      <c r="U552" s="20"/>
      <c r="V552" s="20"/>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row>
    <row r="553">
      <c r="A553" s="20"/>
      <c r="B553" s="20"/>
      <c r="C553" s="20"/>
      <c r="D553" s="20"/>
      <c r="E553" s="20"/>
      <c r="F553" s="20"/>
      <c r="G553" s="20"/>
      <c r="H553" s="20"/>
      <c r="I553" s="23"/>
      <c r="J553" s="20"/>
      <c r="K553" s="20"/>
      <c r="L553" s="20"/>
      <c r="M553" s="20"/>
      <c r="N553" s="20"/>
      <c r="O553" s="22"/>
      <c r="P553" s="20"/>
      <c r="Q553" s="20"/>
      <c r="R553" s="20"/>
      <c r="S553" s="20"/>
      <c r="T553" s="20"/>
      <c r="U553" s="20"/>
      <c r="V553" s="20"/>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row>
    <row r="554">
      <c r="A554" s="20"/>
      <c r="B554" s="20"/>
      <c r="C554" s="20"/>
      <c r="D554" s="20"/>
      <c r="E554" s="20"/>
      <c r="F554" s="20"/>
      <c r="G554" s="20"/>
      <c r="H554" s="20"/>
      <c r="I554" s="23"/>
      <c r="J554" s="20"/>
      <c r="K554" s="20"/>
      <c r="L554" s="20"/>
      <c r="M554" s="20"/>
      <c r="N554" s="20"/>
      <c r="O554" s="22"/>
      <c r="P554" s="20"/>
      <c r="Q554" s="20"/>
      <c r="R554" s="20"/>
      <c r="S554" s="20"/>
      <c r="T554" s="20"/>
      <c r="U554" s="20"/>
      <c r="V554" s="20"/>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row>
    <row r="555">
      <c r="A555" s="20"/>
      <c r="B555" s="20"/>
      <c r="C555" s="20"/>
      <c r="D555" s="20"/>
      <c r="E555" s="20"/>
      <c r="F555" s="20"/>
      <c r="G555" s="20"/>
      <c r="H555" s="20"/>
      <c r="I555" s="23"/>
      <c r="J555" s="20"/>
      <c r="K555" s="20"/>
      <c r="L555" s="20"/>
      <c r="M555" s="20"/>
      <c r="N555" s="20"/>
      <c r="O555" s="22"/>
      <c r="P555" s="20"/>
      <c r="Q555" s="20"/>
      <c r="R555" s="20"/>
      <c r="S555" s="20"/>
      <c r="T555" s="20"/>
      <c r="U555" s="20"/>
      <c r="V555" s="20"/>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row>
    <row r="556">
      <c r="A556" s="20"/>
      <c r="B556" s="20"/>
      <c r="C556" s="20"/>
      <c r="D556" s="20"/>
      <c r="E556" s="20"/>
      <c r="F556" s="20"/>
      <c r="G556" s="20"/>
      <c r="H556" s="20"/>
      <c r="I556" s="23"/>
      <c r="J556" s="20"/>
      <c r="K556" s="20"/>
      <c r="L556" s="20"/>
      <c r="M556" s="20"/>
      <c r="N556" s="20"/>
      <c r="O556" s="22"/>
      <c r="P556" s="20"/>
      <c r="Q556" s="20"/>
      <c r="R556" s="20"/>
      <c r="S556" s="20"/>
      <c r="T556" s="20"/>
      <c r="U556" s="20"/>
      <c r="V556" s="20"/>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row>
    <row r="557">
      <c r="A557" s="20"/>
      <c r="B557" s="20"/>
      <c r="C557" s="20"/>
      <c r="D557" s="20"/>
      <c r="E557" s="20"/>
      <c r="F557" s="20"/>
      <c r="G557" s="20"/>
      <c r="H557" s="20"/>
      <c r="I557" s="23"/>
      <c r="J557" s="20"/>
      <c r="K557" s="20"/>
      <c r="L557" s="20"/>
      <c r="M557" s="20"/>
      <c r="N557" s="20"/>
      <c r="O557" s="22"/>
      <c r="P557" s="20"/>
      <c r="Q557" s="20"/>
      <c r="R557" s="20"/>
      <c r="S557" s="20"/>
      <c r="T557" s="20"/>
      <c r="U557" s="20"/>
      <c r="V557" s="20"/>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row>
    <row r="558">
      <c r="A558" s="20"/>
      <c r="B558" s="20"/>
      <c r="C558" s="20"/>
      <c r="D558" s="20"/>
      <c r="E558" s="20"/>
      <c r="F558" s="20"/>
      <c r="G558" s="20"/>
      <c r="H558" s="20"/>
      <c r="I558" s="23"/>
      <c r="J558" s="20"/>
      <c r="K558" s="20"/>
      <c r="L558" s="20"/>
      <c r="M558" s="20"/>
      <c r="N558" s="20"/>
      <c r="O558" s="22"/>
      <c r="P558" s="20"/>
      <c r="Q558" s="20"/>
      <c r="R558" s="20"/>
      <c r="S558" s="20"/>
      <c r="T558" s="20"/>
      <c r="U558" s="20"/>
      <c r="V558" s="20"/>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row>
    <row r="559">
      <c r="A559" s="20"/>
      <c r="B559" s="20"/>
      <c r="C559" s="20"/>
      <c r="D559" s="20"/>
      <c r="E559" s="20"/>
      <c r="F559" s="20"/>
      <c r="G559" s="20"/>
      <c r="H559" s="20"/>
      <c r="I559" s="23"/>
      <c r="J559" s="20"/>
      <c r="K559" s="20"/>
      <c r="L559" s="20"/>
      <c r="M559" s="20"/>
      <c r="N559" s="20"/>
      <c r="O559" s="22"/>
      <c r="P559" s="20"/>
      <c r="Q559" s="20"/>
      <c r="R559" s="20"/>
      <c r="S559" s="20"/>
      <c r="T559" s="20"/>
      <c r="U559" s="20"/>
      <c r="V559" s="20"/>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row>
    <row r="560">
      <c r="A560" s="20"/>
      <c r="B560" s="20"/>
      <c r="C560" s="20"/>
      <c r="D560" s="20"/>
      <c r="E560" s="20"/>
      <c r="F560" s="20"/>
      <c r="G560" s="20"/>
      <c r="H560" s="20"/>
      <c r="I560" s="23"/>
      <c r="J560" s="20"/>
      <c r="K560" s="20"/>
      <c r="L560" s="20"/>
      <c r="M560" s="20"/>
      <c r="N560" s="20"/>
      <c r="O560" s="22"/>
      <c r="P560" s="20"/>
      <c r="Q560" s="20"/>
      <c r="R560" s="20"/>
      <c r="S560" s="20"/>
      <c r="T560" s="20"/>
      <c r="U560" s="20"/>
      <c r="V560" s="20"/>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row>
    <row r="561">
      <c r="A561" s="20"/>
      <c r="B561" s="20"/>
      <c r="C561" s="20"/>
      <c r="D561" s="20"/>
      <c r="E561" s="20"/>
      <c r="F561" s="20"/>
      <c r="G561" s="20"/>
      <c r="H561" s="20"/>
      <c r="I561" s="23"/>
      <c r="J561" s="20"/>
      <c r="K561" s="20"/>
      <c r="L561" s="20"/>
      <c r="M561" s="20"/>
      <c r="N561" s="20"/>
      <c r="O561" s="22"/>
      <c r="P561" s="20"/>
      <c r="Q561" s="20"/>
      <c r="R561" s="20"/>
      <c r="S561" s="20"/>
      <c r="T561" s="20"/>
      <c r="U561" s="20"/>
      <c r="V561" s="20"/>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row>
    <row r="562">
      <c r="A562" s="20"/>
      <c r="B562" s="20"/>
      <c r="C562" s="20"/>
      <c r="D562" s="20"/>
      <c r="E562" s="20"/>
      <c r="F562" s="20"/>
      <c r="G562" s="20"/>
      <c r="H562" s="20"/>
      <c r="I562" s="23"/>
      <c r="J562" s="20"/>
      <c r="K562" s="20"/>
      <c r="L562" s="20"/>
      <c r="M562" s="20"/>
      <c r="N562" s="20"/>
      <c r="O562" s="22"/>
      <c r="P562" s="20"/>
      <c r="Q562" s="20"/>
      <c r="R562" s="20"/>
      <c r="S562" s="20"/>
      <c r="T562" s="20"/>
      <c r="U562" s="20"/>
      <c r="V562" s="20"/>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row>
    <row r="563">
      <c r="A563" s="20"/>
      <c r="B563" s="20"/>
      <c r="C563" s="20"/>
      <c r="D563" s="20"/>
      <c r="E563" s="20"/>
      <c r="F563" s="20"/>
      <c r="G563" s="20"/>
      <c r="H563" s="20"/>
      <c r="I563" s="23"/>
      <c r="J563" s="20"/>
      <c r="K563" s="20"/>
      <c r="L563" s="20"/>
      <c r="M563" s="20"/>
      <c r="N563" s="20"/>
      <c r="O563" s="22"/>
      <c r="P563" s="20"/>
      <c r="Q563" s="20"/>
      <c r="R563" s="20"/>
      <c r="S563" s="20"/>
      <c r="T563" s="20"/>
      <c r="U563" s="20"/>
      <c r="V563" s="20"/>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row>
    <row r="564">
      <c r="A564" s="20"/>
      <c r="B564" s="20"/>
      <c r="C564" s="20"/>
      <c r="D564" s="20"/>
      <c r="E564" s="20"/>
      <c r="F564" s="20"/>
      <c r="G564" s="20"/>
      <c r="H564" s="20"/>
      <c r="I564" s="23"/>
      <c r="J564" s="20"/>
      <c r="K564" s="20"/>
      <c r="L564" s="20"/>
      <c r="M564" s="20"/>
      <c r="N564" s="20"/>
      <c r="O564" s="22"/>
      <c r="P564" s="20"/>
      <c r="Q564" s="20"/>
      <c r="R564" s="20"/>
      <c r="S564" s="20"/>
      <c r="T564" s="20"/>
      <c r="U564" s="20"/>
      <c r="V564" s="20"/>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row>
    <row r="565">
      <c r="A565" s="20"/>
      <c r="B565" s="20"/>
      <c r="C565" s="20"/>
      <c r="D565" s="20"/>
      <c r="E565" s="20"/>
      <c r="F565" s="20"/>
      <c r="G565" s="20"/>
      <c r="H565" s="20"/>
      <c r="I565" s="23"/>
      <c r="J565" s="20"/>
      <c r="K565" s="20"/>
      <c r="L565" s="20"/>
      <c r="M565" s="20"/>
      <c r="N565" s="20"/>
      <c r="O565" s="22"/>
      <c r="P565" s="20"/>
      <c r="Q565" s="20"/>
      <c r="R565" s="20"/>
      <c r="S565" s="20"/>
      <c r="T565" s="20"/>
      <c r="U565" s="20"/>
      <c r="V565" s="20"/>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row>
    <row r="566">
      <c r="A566" s="20"/>
      <c r="B566" s="20"/>
      <c r="C566" s="20"/>
      <c r="D566" s="20"/>
      <c r="E566" s="20"/>
      <c r="F566" s="20"/>
      <c r="G566" s="20"/>
      <c r="H566" s="20"/>
      <c r="I566" s="23"/>
      <c r="J566" s="20"/>
      <c r="K566" s="20"/>
      <c r="L566" s="20"/>
      <c r="M566" s="20"/>
      <c r="N566" s="20"/>
      <c r="O566" s="22"/>
      <c r="P566" s="20"/>
      <c r="Q566" s="20"/>
      <c r="R566" s="20"/>
      <c r="S566" s="20"/>
      <c r="T566" s="20"/>
      <c r="U566" s="20"/>
      <c r="V566" s="20"/>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row>
    <row r="567">
      <c r="A567" s="20"/>
      <c r="B567" s="20"/>
      <c r="C567" s="20"/>
      <c r="D567" s="20"/>
      <c r="E567" s="20"/>
      <c r="F567" s="20"/>
      <c r="G567" s="20"/>
      <c r="H567" s="20"/>
      <c r="I567" s="23"/>
      <c r="J567" s="20"/>
      <c r="K567" s="20"/>
      <c r="L567" s="20"/>
      <c r="M567" s="20"/>
      <c r="N567" s="20"/>
      <c r="O567" s="22"/>
      <c r="P567" s="20"/>
      <c r="Q567" s="20"/>
      <c r="R567" s="20"/>
      <c r="S567" s="20"/>
      <c r="T567" s="20"/>
      <c r="U567" s="20"/>
      <c r="V567" s="20"/>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row>
    <row r="568">
      <c r="A568" s="20"/>
      <c r="B568" s="20"/>
      <c r="C568" s="20"/>
      <c r="D568" s="20"/>
      <c r="E568" s="20"/>
      <c r="F568" s="20"/>
      <c r="G568" s="20"/>
      <c r="H568" s="20"/>
      <c r="I568" s="23"/>
      <c r="J568" s="20"/>
      <c r="K568" s="20"/>
      <c r="L568" s="20"/>
      <c r="M568" s="20"/>
      <c r="N568" s="20"/>
      <c r="O568" s="22"/>
      <c r="P568" s="20"/>
      <c r="Q568" s="20"/>
      <c r="R568" s="20"/>
      <c r="S568" s="20"/>
      <c r="T568" s="20"/>
      <c r="U568" s="20"/>
      <c r="V568" s="20"/>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row>
    <row r="569">
      <c r="A569" s="20"/>
      <c r="B569" s="20"/>
      <c r="C569" s="20"/>
      <c r="D569" s="20"/>
      <c r="E569" s="20"/>
      <c r="F569" s="20"/>
      <c r="G569" s="20"/>
      <c r="H569" s="20"/>
      <c r="I569" s="23"/>
      <c r="J569" s="20"/>
      <c r="K569" s="20"/>
      <c r="L569" s="20"/>
      <c r="M569" s="20"/>
      <c r="N569" s="20"/>
      <c r="O569" s="22"/>
      <c r="P569" s="20"/>
      <c r="Q569" s="20"/>
      <c r="R569" s="20"/>
      <c r="S569" s="20"/>
      <c r="T569" s="20"/>
      <c r="U569" s="20"/>
      <c r="V569" s="20"/>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row>
    <row r="570">
      <c r="A570" s="20"/>
      <c r="B570" s="20"/>
      <c r="C570" s="20"/>
      <c r="D570" s="20"/>
      <c r="E570" s="20"/>
      <c r="F570" s="20"/>
      <c r="G570" s="20"/>
      <c r="H570" s="20"/>
      <c r="I570" s="23"/>
      <c r="J570" s="20"/>
      <c r="K570" s="20"/>
      <c r="L570" s="20"/>
      <c r="M570" s="20"/>
      <c r="N570" s="20"/>
      <c r="O570" s="22"/>
      <c r="P570" s="20"/>
      <c r="Q570" s="20"/>
      <c r="R570" s="20"/>
      <c r="S570" s="20"/>
      <c r="T570" s="20"/>
      <c r="U570" s="20"/>
      <c r="V570" s="20"/>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row>
    <row r="571">
      <c r="A571" s="20"/>
      <c r="B571" s="20"/>
      <c r="C571" s="20"/>
      <c r="D571" s="20"/>
      <c r="E571" s="20"/>
      <c r="F571" s="20"/>
      <c r="G571" s="20"/>
      <c r="H571" s="20"/>
      <c r="I571" s="23"/>
      <c r="J571" s="20"/>
      <c r="K571" s="20"/>
      <c r="L571" s="20"/>
      <c r="M571" s="20"/>
      <c r="N571" s="20"/>
      <c r="O571" s="22"/>
      <c r="P571" s="20"/>
      <c r="Q571" s="20"/>
      <c r="R571" s="20"/>
      <c r="S571" s="20"/>
      <c r="T571" s="20"/>
      <c r="U571" s="20"/>
      <c r="V571" s="20"/>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row>
    <row r="572">
      <c r="A572" s="20"/>
      <c r="B572" s="20"/>
      <c r="C572" s="20"/>
      <c r="D572" s="20"/>
      <c r="E572" s="20"/>
      <c r="F572" s="20"/>
      <c r="G572" s="20"/>
      <c r="H572" s="20"/>
      <c r="I572" s="23"/>
      <c r="J572" s="20"/>
      <c r="K572" s="20"/>
      <c r="L572" s="20"/>
      <c r="M572" s="20"/>
      <c r="N572" s="20"/>
      <c r="O572" s="22"/>
      <c r="P572" s="20"/>
      <c r="Q572" s="20"/>
      <c r="R572" s="20"/>
      <c r="S572" s="20"/>
      <c r="T572" s="20"/>
      <c r="U572" s="20"/>
      <c r="V572" s="20"/>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row>
    <row r="573">
      <c r="A573" s="20"/>
      <c r="B573" s="20"/>
      <c r="C573" s="20"/>
      <c r="D573" s="20"/>
      <c r="E573" s="20"/>
      <c r="F573" s="20"/>
      <c r="G573" s="20"/>
      <c r="H573" s="20"/>
      <c r="I573" s="23"/>
      <c r="J573" s="20"/>
      <c r="K573" s="20"/>
      <c r="L573" s="20"/>
      <c r="M573" s="20"/>
      <c r="N573" s="20"/>
      <c r="O573" s="22"/>
      <c r="P573" s="20"/>
      <c r="Q573" s="20"/>
      <c r="R573" s="20"/>
      <c r="S573" s="20"/>
      <c r="T573" s="20"/>
      <c r="U573" s="20"/>
      <c r="V573" s="20"/>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row>
    <row r="574">
      <c r="A574" s="20"/>
      <c r="B574" s="20"/>
      <c r="C574" s="20"/>
      <c r="D574" s="20"/>
      <c r="E574" s="20"/>
      <c r="F574" s="20"/>
      <c r="G574" s="20"/>
      <c r="H574" s="20"/>
      <c r="I574" s="23"/>
      <c r="J574" s="20"/>
      <c r="K574" s="20"/>
      <c r="L574" s="20"/>
      <c r="M574" s="20"/>
      <c r="N574" s="20"/>
      <c r="O574" s="22"/>
      <c r="P574" s="20"/>
      <c r="Q574" s="20"/>
      <c r="R574" s="20"/>
      <c r="S574" s="20"/>
      <c r="T574" s="20"/>
      <c r="U574" s="20"/>
      <c r="V574" s="20"/>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row>
    <row r="575">
      <c r="A575" s="20"/>
      <c r="B575" s="20"/>
      <c r="C575" s="20"/>
      <c r="D575" s="20"/>
      <c r="E575" s="20"/>
      <c r="F575" s="20"/>
      <c r="G575" s="20"/>
      <c r="H575" s="20"/>
      <c r="I575" s="23"/>
      <c r="J575" s="20"/>
      <c r="K575" s="20"/>
      <c r="L575" s="20"/>
      <c r="M575" s="20"/>
      <c r="N575" s="20"/>
      <c r="O575" s="22"/>
      <c r="P575" s="20"/>
      <c r="Q575" s="20"/>
      <c r="R575" s="20"/>
      <c r="S575" s="20"/>
      <c r="T575" s="20"/>
      <c r="U575" s="20"/>
      <c r="V575" s="20"/>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row>
    <row r="576">
      <c r="A576" s="20"/>
      <c r="B576" s="20"/>
      <c r="C576" s="20"/>
      <c r="D576" s="20"/>
      <c r="E576" s="20"/>
      <c r="F576" s="20"/>
      <c r="G576" s="20"/>
      <c r="H576" s="20"/>
      <c r="I576" s="23"/>
      <c r="J576" s="20"/>
      <c r="K576" s="20"/>
      <c r="L576" s="20"/>
      <c r="M576" s="20"/>
      <c r="N576" s="20"/>
      <c r="O576" s="22"/>
      <c r="P576" s="20"/>
      <c r="Q576" s="20"/>
      <c r="R576" s="20"/>
      <c r="S576" s="20"/>
      <c r="T576" s="20"/>
      <c r="U576" s="20"/>
      <c r="V576" s="20"/>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row>
    <row r="577">
      <c r="A577" s="20"/>
      <c r="B577" s="20"/>
      <c r="C577" s="20"/>
      <c r="D577" s="20"/>
      <c r="E577" s="20"/>
      <c r="F577" s="20"/>
      <c r="G577" s="20"/>
      <c r="H577" s="20"/>
      <c r="I577" s="23"/>
      <c r="J577" s="20"/>
      <c r="K577" s="20"/>
      <c r="L577" s="20"/>
      <c r="M577" s="20"/>
      <c r="N577" s="20"/>
      <c r="O577" s="22"/>
      <c r="P577" s="20"/>
      <c r="Q577" s="20"/>
      <c r="R577" s="20"/>
      <c r="S577" s="20"/>
      <c r="T577" s="20"/>
      <c r="U577" s="20"/>
      <c r="V577" s="20"/>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row>
    <row r="578">
      <c r="A578" s="20"/>
      <c r="B578" s="20"/>
      <c r="C578" s="20"/>
      <c r="D578" s="20"/>
      <c r="E578" s="20"/>
      <c r="F578" s="20"/>
      <c r="G578" s="20"/>
      <c r="H578" s="20"/>
      <c r="I578" s="23"/>
      <c r="J578" s="20"/>
      <c r="K578" s="20"/>
      <c r="L578" s="20"/>
      <c r="M578" s="20"/>
      <c r="N578" s="20"/>
      <c r="O578" s="22"/>
      <c r="P578" s="20"/>
      <c r="Q578" s="20"/>
      <c r="R578" s="20"/>
      <c r="S578" s="20"/>
      <c r="T578" s="20"/>
      <c r="U578" s="20"/>
      <c r="V578" s="20"/>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row>
    <row r="579">
      <c r="A579" s="20"/>
      <c r="B579" s="20"/>
      <c r="C579" s="20"/>
      <c r="D579" s="20"/>
      <c r="E579" s="20"/>
      <c r="F579" s="20"/>
      <c r="G579" s="20"/>
      <c r="H579" s="20"/>
      <c r="I579" s="23"/>
      <c r="J579" s="20"/>
      <c r="K579" s="20"/>
      <c r="L579" s="20"/>
      <c r="M579" s="20"/>
      <c r="N579" s="20"/>
      <c r="O579" s="22"/>
      <c r="P579" s="20"/>
      <c r="Q579" s="20"/>
      <c r="R579" s="20"/>
      <c r="S579" s="20"/>
      <c r="T579" s="20"/>
      <c r="U579" s="20"/>
      <c r="V579" s="20"/>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row>
    <row r="580">
      <c r="A580" s="20"/>
      <c r="B580" s="20"/>
      <c r="C580" s="20"/>
      <c r="D580" s="20"/>
      <c r="E580" s="20"/>
      <c r="F580" s="20"/>
      <c r="G580" s="20"/>
      <c r="H580" s="20"/>
      <c r="I580" s="23"/>
      <c r="J580" s="20"/>
      <c r="K580" s="20"/>
      <c r="L580" s="20"/>
      <c r="M580" s="20"/>
      <c r="N580" s="20"/>
      <c r="O580" s="22"/>
      <c r="P580" s="20"/>
      <c r="Q580" s="20"/>
      <c r="R580" s="20"/>
      <c r="S580" s="20"/>
      <c r="T580" s="20"/>
      <c r="U580" s="20"/>
      <c r="V580" s="20"/>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row>
    <row r="581">
      <c r="A581" s="20"/>
      <c r="B581" s="20"/>
      <c r="C581" s="20"/>
      <c r="D581" s="20"/>
      <c r="E581" s="20"/>
      <c r="F581" s="20"/>
      <c r="G581" s="20"/>
      <c r="H581" s="20"/>
      <c r="I581" s="23"/>
      <c r="J581" s="20"/>
      <c r="K581" s="20"/>
      <c r="L581" s="20"/>
      <c r="M581" s="20"/>
      <c r="N581" s="20"/>
      <c r="O581" s="22"/>
      <c r="P581" s="20"/>
      <c r="Q581" s="20"/>
      <c r="R581" s="20"/>
      <c r="S581" s="20"/>
      <c r="T581" s="20"/>
      <c r="U581" s="20"/>
      <c r="V581" s="20"/>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row>
    <row r="582">
      <c r="A582" s="20"/>
      <c r="B582" s="20"/>
      <c r="C582" s="20"/>
      <c r="D582" s="20"/>
      <c r="E582" s="20"/>
      <c r="F582" s="20"/>
      <c r="G582" s="20"/>
      <c r="H582" s="20"/>
      <c r="I582" s="23"/>
      <c r="J582" s="20"/>
      <c r="K582" s="20"/>
      <c r="L582" s="20"/>
      <c r="M582" s="20"/>
      <c r="N582" s="20"/>
      <c r="O582" s="22"/>
      <c r="P582" s="20"/>
      <c r="Q582" s="20"/>
      <c r="R582" s="20"/>
      <c r="S582" s="20"/>
      <c r="T582" s="20"/>
      <c r="U582" s="20"/>
      <c r="V582" s="20"/>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row>
    <row r="583">
      <c r="A583" s="20"/>
      <c r="B583" s="20"/>
      <c r="C583" s="20"/>
      <c r="D583" s="20"/>
      <c r="E583" s="20"/>
      <c r="F583" s="20"/>
      <c r="G583" s="20"/>
      <c r="H583" s="20"/>
      <c r="I583" s="23"/>
      <c r="J583" s="20"/>
      <c r="K583" s="20"/>
      <c r="L583" s="20"/>
      <c r="M583" s="20"/>
      <c r="N583" s="20"/>
      <c r="O583" s="22"/>
      <c r="P583" s="20"/>
      <c r="Q583" s="20"/>
      <c r="R583" s="20"/>
      <c r="S583" s="20"/>
      <c r="T583" s="20"/>
      <c r="U583" s="20"/>
      <c r="V583" s="20"/>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row>
    <row r="584">
      <c r="A584" s="20"/>
      <c r="B584" s="20"/>
      <c r="C584" s="20"/>
      <c r="D584" s="20"/>
      <c r="E584" s="20"/>
      <c r="F584" s="20"/>
      <c r="G584" s="20"/>
      <c r="H584" s="20"/>
      <c r="I584" s="23"/>
      <c r="J584" s="20"/>
      <c r="K584" s="20"/>
      <c r="L584" s="20"/>
      <c r="M584" s="20"/>
      <c r="N584" s="20"/>
      <c r="O584" s="22"/>
      <c r="P584" s="20"/>
      <c r="Q584" s="20"/>
      <c r="R584" s="20"/>
      <c r="S584" s="20"/>
      <c r="T584" s="20"/>
      <c r="U584" s="20"/>
      <c r="V584" s="20"/>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row>
    <row r="585">
      <c r="A585" s="20"/>
      <c r="B585" s="20"/>
      <c r="C585" s="20"/>
      <c r="D585" s="20"/>
      <c r="E585" s="20"/>
      <c r="F585" s="20"/>
      <c r="G585" s="20"/>
      <c r="H585" s="20"/>
      <c r="I585" s="23"/>
      <c r="J585" s="20"/>
      <c r="K585" s="20"/>
      <c r="L585" s="20"/>
      <c r="M585" s="20"/>
      <c r="N585" s="20"/>
      <c r="O585" s="22"/>
      <c r="P585" s="20"/>
      <c r="Q585" s="20"/>
      <c r="R585" s="20"/>
      <c r="S585" s="20"/>
      <c r="T585" s="20"/>
      <c r="U585" s="20"/>
      <c r="V585" s="20"/>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row>
    <row r="586">
      <c r="A586" s="20"/>
      <c r="B586" s="20"/>
      <c r="C586" s="20"/>
      <c r="D586" s="20"/>
      <c r="E586" s="20"/>
      <c r="F586" s="20"/>
      <c r="G586" s="20"/>
      <c r="H586" s="20"/>
      <c r="I586" s="23"/>
      <c r="J586" s="20"/>
      <c r="K586" s="20"/>
      <c r="L586" s="20"/>
      <c r="M586" s="20"/>
      <c r="N586" s="20"/>
      <c r="O586" s="22"/>
      <c r="P586" s="20"/>
      <c r="Q586" s="20"/>
      <c r="R586" s="20"/>
      <c r="S586" s="20"/>
      <c r="T586" s="20"/>
      <c r="U586" s="20"/>
      <c r="V586" s="20"/>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row>
    <row r="587">
      <c r="A587" s="20"/>
      <c r="B587" s="20"/>
      <c r="C587" s="20"/>
      <c r="D587" s="20"/>
      <c r="E587" s="20"/>
      <c r="F587" s="20"/>
      <c r="G587" s="20"/>
      <c r="H587" s="20"/>
      <c r="I587" s="23"/>
      <c r="J587" s="20"/>
      <c r="K587" s="20"/>
      <c r="L587" s="20"/>
      <c r="M587" s="20"/>
      <c r="N587" s="20"/>
      <c r="O587" s="22"/>
      <c r="P587" s="20"/>
      <c r="Q587" s="20"/>
      <c r="R587" s="20"/>
      <c r="S587" s="20"/>
      <c r="T587" s="20"/>
      <c r="U587" s="20"/>
      <c r="V587" s="20"/>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row>
    <row r="588">
      <c r="A588" s="20"/>
      <c r="B588" s="20"/>
      <c r="C588" s="20"/>
      <c r="D588" s="20"/>
      <c r="E588" s="20"/>
      <c r="F588" s="20"/>
      <c r="G588" s="20"/>
      <c r="H588" s="20"/>
      <c r="I588" s="23"/>
      <c r="J588" s="20"/>
      <c r="K588" s="20"/>
      <c r="L588" s="20"/>
      <c r="M588" s="20"/>
      <c r="N588" s="20"/>
      <c r="O588" s="22"/>
      <c r="P588" s="20"/>
      <c r="Q588" s="20"/>
      <c r="R588" s="20"/>
      <c r="S588" s="20"/>
      <c r="T588" s="20"/>
      <c r="U588" s="20"/>
      <c r="V588" s="20"/>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row>
    <row r="589">
      <c r="A589" s="20"/>
      <c r="B589" s="20"/>
      <c r="C589" s="20"/>
      <c r="D589" s="20"/>
      <c r="E589" s="20"/>
      <c r="F589" s="20"/>
      <c r="G589" s="20"/>
      <c r="H589" s="20"/>
      <c r="I589" s="23"/>
      <c r="J589" s="20"/>
      <c r="K589" s="20"/>
      <c r="L589" s="20"/>
      <c r="M589" s="20"/>
      <c r="N589" s="20"/>
      <c r="O589" s="22"/>
      <c r="P589" s="20"/>
      <c r="Q589" s="20"/>
      <c r="R589" s="20"/>
      <c r="S589" s="20"/>
      <c r="T589" s="20"/>
      <c r="U589" s="20"/>
      <c r="V589" s="20"/>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row>
    <row r="590">
      <c r="A590" s="20"/>
      <c r="B590" s="20"/>
      <c r="C590" s="20"/>
      <c r="D590" s="20"/>
      <c r="E590" s="20"/>
      <c r="F590" s="20"/>
      <c r="G590" s="20"/>
      <c r="H590" s="20"/>
      <c r="I590" s="23"/>
      <c r="J590" s="20"/>
      <c r="K590" s="20"/>
      <c r="L590" s="20"/>
      <c r="M590" s="20"/>
      <c r="N590" s="20"/>
      <c r="O590" s="22"/>
      <c r="P590" s="20"/>
      <c r="Q590" s="20"/>
      <c r="R590" s="20"/>
      <c r="S590" s="20"/>
      <c r="T590" s="20"/>
      <c r="U590" s="20"/>
      <c r="V590" s="20"/>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row>
    <row r="591">
      <c r="A591" s="20"/>
      <c r="B591" s="20"/>
      <c r="C591" s="20"/>
      <c r="D591" s="20"/>
      <c r="E591" s="20"/>
      <c r="F591" s="20"/>
      <c r="G591" s="20"/>
      <c r="H591" s="20"/>
      <c r="I591" s="23"/>
      <c r="J591" s="20"/>
      <c r="K591" s="20"/>
      <c r="L591" s="20"/>
      <c r="M591" s="20"/>
      <c r="N591" s="20"/>
      <c r="O591" s="22"/>
      <c r="P591" s="20"/>
      <c r="Q591" s="20"/>
      <c r="R591" s="20"/>
      <c r="S591" s="20"/>
      <c r="T591" s="20"/>
      <c r="U591" s="20"/>
      <c r="V591" s="20"/>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row>
    <row r="592">
      <c r="A592" s="20"/>
      <c r="B592" s="20"/>
      <c r="C592" s="20"/>
      <c r="D592" s="20"/>
      <c r="E592" s="20"/>
      <c r="F592" s="20"/>
      <c r="G592" s="20"/>
      <c r="H592" s="20"/>
      <c r="I592" s="23"/>
      <c r="J592" s="20"/>
      <c r="K592" s="20"/>
      <c r="L592" s="20"/>
      <c r="M592" s="20"/>
      <c r="N592" s="20"/>
      <c r="O592" s="22"/>
      <c r="P592" s="20"/>
      <c r="Q592" s="20"/>
      <c r="R592" s="20"/>
      <c r="S592" s="20"/>
      <c r="T592" s="20"/>
      <c r="U592" s="20"/>
      <c r="V592" s="20"/>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row>
    <row r="593">
      <c r="A593" s="20"/>
      <c r="B593" s="20"/>
      <c r="C593" s="20"/>
      <c r="D593" s="20"/>
      <c r="E593" s="20"/>
      <c r="F593" s="20"/>
      <c r="G593" s="20"/>
      <c r="H593" s="20"/>
      <c r="I593" s="23"/>
      <c r="J593" s="20"/>
      <c r="K593" s="20"/>
      <c r="L593" s="20"/>
      <c r="M593" s="20"/>
      <c r="N593" s="20"/>
      <c r="O593" s="22"/>
      <c r="P593" s="20"/>
      <c r="Q593" s="20"/>
      <c r="R593" s="20"/>
      <c r="S593" s="20"/>
      <c r="T593" s="20"/>
      <c r="U593" s="20"/>
      <c r="V593" s="20"/>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row>
    <row r="594">
      <c r="A594" s="20"/>
      <c r="B594" s="20"/>
      <c r="C594" s="20"/>
      <c r="D594" s="20"/>
      <c r="E594" s="20"/>
      <c r="F594" s="20"/>
      <c r="G594" s="20"/>
      <c r="H594" s="20"/>
      <c r="I594" s="23"/>
      <c r="J594" s="20"/>
      <c r="K594" s="20"/>
      <c r="L594" s="20"/>
      <c r="M594" s="20"/>
      <c r="N594" s="20"/>
      <c r="O594" s="22"/>
      <c r="P594" s="20"/>
      <c r="Q594" s="20"/>
      <c r="R594" s="20"/>
      <c r="S594" s="20"/>
      <c r="T594" s="20"/>
      <c r="U594" s="20"/>
      <c r="V594" s="20"/>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row>
    <row r="595">
      <c r="A595" s="20"/>
      <c r="B595" s="20"/>
      <c r="C595" s="20"/>
      <c r="D595" s="20"/>
      <c r="E595" s="20"/>
      <c r="F595" s="20"/>
      <c r="G595" s="20"/>
      <c r="H595" s="20"/>
      <c r="I595" s="23"/>
      <c r="J595" s="20"/>
      <c r="K595" s="20"/>
      <c r="L595" s="20"/>
      <c r="M595" s="20"/>
      <c r="N595" s="20"/>
      <c r="O595" s="22"/>
      <c r="P595" s="20"/>
      <c r="Q595" s="20"/>
      <c r="R595" s="20"/>
      <c r="S595" s="20"/>
      <c r="T595" s="20"/>
      <c r="U595" s="20"/>
      <c r="V595" s="20"/>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row>
    <row r="596">
      <c r="A596" s="20"/>
      <c r="B596" s="20"/>
      <c r="C596" s="20"/>
      <c r="D596" s="20"/>
      <c r="E596" s="20"/>
      <c r="F596" s="20"/>
      <c r="G596" s="20"/>
      <c r="H596" s="20"/>
      <c r="I596" s="23"/>
      <c r="J596" s="20"/>
      <c r="K596" s="20"/>
      <c r="L596" s="20"/>
      <c r="M596" s="20"/>
      <c r="N596" s="20"/>
      <c r="O596" s="22"/>
      <c r="P596" s="20"/>
      <c r="Q596" s="20"/>
      <c r="R596" s="20"/>
      <c r="S596" s="20"/>
      <c r="T596" s="20"/>
      <c r="U596" s="20"/>
      <c r="V596" s="20"/>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row>
    <row r="597">
      <c r="A597" s="20"/>
      <c r="B597" s="20"/>
      <c r="C597" s="20"/>
      <c r="D597" s="20"/>
      <c r="E597" s="20"/>
      <c r="F597" s="20"/>
      <c r="G597" s="20"/>
      <c r="H597" s="20"/>
      <c r="I597" s="23"/>
      <c r="J597" s="20"/>
      <c r="K597" s="20"/>
      <c r="L597" s="20"/>
      <c r="M597" s="20"/>
      <c r="N597" s="20"/>
      <c r="O597" s="22"/>
      <c r="P597" s="20"/>
      <c r="Q597" s="20"/>
      <c r="R597" s="20"/>
      <c r="S597" s="20"/>
      <c r="T597" s="20"/>
      <c r="U597" s="20"/>
      <c r="V597" s="20"/>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row>
    <row r="598">
      <c r="A598" s="20"/>
      <c r="B598" s="20"/>
      <c r="C598" s="20"/>
      <c r="D598" s="20"/>
      <c r="E598" s="20"/>
      <c r="F598" s="20"/>
      <c r="G598" s="20"/>
      <c r="H598" s="20"/>
      <c r="I598" s="23"/>
      <c r="J598" s="20"/>
      <c r="K598" s="20"/>
      <c r="L598" s="20"/>
      <c r="M598" s="20"/>
      <c r="N598" s="20"/>
      <c r="O598" s="22"/>
      <c r="P598" s="20"/>
      <c r="Q598" s="20"/>
      <c r="R598" s="20"/>
      <c r="S598" s="20"/>
      <c r="T598" s="20"/>
      <c r="U598" s="20"/>
      <c r="V598" s="20"/>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row>
    <row r="599">
      <c r="A599" s="20"/>
      <c r="B599" s="20"/>
      <c r="C599" s="20"/>
      <c r="D599" s="20"/>
      <c r="E599" s="20"/>
      <c r="F599" s="20"/>
      <c r="G599" s="20"/>
      <c r="H599" s="20"/>
      <c r="I599" s="23"/>
      <c r="J599" s="20"/>
      <c r="K599" s="20"/>
      <c r="L599" s="20"/>
      <c r="M599" s="20"/>
      <c r="N599" s="20"/>
      <c r="O599" s="22"/>
      <c r="P599" s="20"/>
      <c r="Q599" s="20"/>
      <c r="R599" s="20"/>
      <c r="S599" s="20"/>
      <c r="T599" s="20"/>
      <c r="U599" s="20"/>
      <c r="V599" s="20"/>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row>
    <row r="600">
      <c r="A600" s="20"/>
      <c r="B600" s="20"/>
      <c r="C600" s="20"/>
      <c r="D600" s="20"/>
      <c r="E600" s="20"/>
      <c r="F600" s="20"/>
      <c r="G600" s="20"/>
      <c r="H600" s="20"/>
      <c r="I600" s="23"/>
      <c r="J600" s="20"/>
      <c r="K600" s="20"/>
      <c r="L600" s="20"/>
      <c r="M600" s="20"/>
      <c r="N600" s="20"/>
      <c r="O600" s="22"/>
      <c r="P600" s="20"/>
      <c r="Q600" s="20"/>
      <c r="R600" s="20"/>
      <c r="S600" s="20"/>
      <c r="T600" s="20"/>
      <c r="U600" s="20"/>
      <c r="V600" s="20"/>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row>
    <row r="601">
      <c r="A601" s="20"/>
      <c r="B601" s="20"/>
      <c r="C601" s="20"/>
      <c r="D601" s="20"/>
      <c r="E601" s="20"/>
      <c r="F601" s="20"/>
      <c r="G601" s="20"/>
      <c r="H601" s="20"/>
      <c r="I601" s="23"/>
      <c r="J601" s="20"/>
      <c r="K601" s="20"/>
      <c r="L601" s="20"/>
      <c r="M601" s="20"/>
      <c r="N601" s="20"/>
      <c r="O601" s="22"/>
      <c r="P601" s="20"/>
      <c r="Q601" s="20"/>
      <c r="R601" s="20"/>
      <c r="S601" s="20"/>
      <c r="T601" s="20"/>
      <c r="U601" s="20"/>
      <c r="V601" s="20"/>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row>
    <row r="602">
      <c r="A602" s="20"/>
      <c r="B602" s="20"/>
      <c r="C602" s="20"/>
      <c r="D602" s="20"/>
      <c r="E602" s="20"/>
      <c r="F602" s="20"/>
      <c r="G602" s="20"/>
      <c r="H602" s="20"/>
      <c r="I602" s="23"/>
      <c r="J602" s="20"/>
      <c r="K602" s="20"/>
      <c r="L602" s="20"/>
      <c r="M602" s="20"/>
      <c r="N602" s="20"/>
      <c r="O602" s="22"/>
      <c r="P602" s="20"/>
      <c r="Q602" s="20"/>
      <c r="R602" s="20"/>
      <c r="S602" s="20"/>
      <c r="T602" s="20"/>
      <c r="U602" s="20"/>
      <c r="V602" s="20"/>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row>
    <row r="603">
      <c r="A603" s="20"/>
      <c r="B603" s="20"/>
      <c r="C603" s="20"/>
      <c r="D603" s="20"/>
      <c r="E603" s="20"/>
      <c r="F603" s="20"/>
      <c r="G603" s="20"/>
      <c r="H603" s="20"/>
      <c r="I603" s="23"/>
      <c r="J603" s="20"/>
      <c r="K603" s="20"/>
      <c r="L603" s="20"/>
      <c r="M603" s="20"/>
      <c r="N603" s="20"/>
      <c r="O603" s="22"/>
      <c r="P603" s="20"/>
      <c r="Q603" s="20"/>
      <c r="R603" s="20"/>
      <c r="S603" s="20"/>
      <c r="T603" s="20"/>
      <c r="U603" s="20"/>
      <c r="V603" s="20"/>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row>
    <row r="604">
      <c r="A604" s="20"/>
      <c r="B604" s="20"/>
      <c r="C604" s="20"/>
      <c r="D604" s="20"/>
      <c r="E604" s="20"/>
      <c r="F604" s="20"/>
      <c r="G604" s="20"/>
      <c r="H604" s="20"/>
      <c r="I604" s="23"/>
      <c r="J604" s="20"/>
      <c r="K604" s="20"/>
      <c r="L604" s="20"/>
      <c r="M604" s="20"/>
      <c r="N604" s="20"/>
      <c r="O604" s="22"/>
      <c r="P604" s="20"/>
      <c r="Q604" s="20"/>
      <c r="R604" s="20"/>
      <c r="S604" s="20"/>
      <c r="T604" s="20"/>
      <c r="U604" s="20"/>
      <c r="V604" s="20"/>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row>
    <row r="605">
      <c r="A605" s="20"/>
      <c r="B605" s="20"/>
      <c r="C605" s="20"/>
      <c r="D605" s="20"/>
      <c r="E605" s="20"/>
      <c r="F605" s="20"/>
      <c r="G605" s="20"/>
      <c r="H605" s="20"/>
      <c r="I605" s="23"/>
      <c r="J605" s="20"/>
      <c r="K605" s="20"/>
      <c r="L605" s="20"/>
      <c r="M605" s="20"/>
      <c r="N605" s="20"/>
      <c r="O605" s="22"/>
      <c r="P605" s="20"/>
      <c r="Q605" s="20"/>
      <c r="R605" s="20"/>
      <c r="S605" s="20"/>
      <c r="T605" s="20"/>
      <c r="U605" s="20"/>
      <c r="V605" s="20"/>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row>
    <row r="606">
      <c r="A606" s="20"/>
      <c r="B606" s="20"/>
      <c r="C606" s="20"/>
      <c r="D606" s="20"/>
      <c r="E606" s="20"/>
      <c r="F606" s="20"/>
      <c r="G606" s="20"/>
      <c r="H606" s="20"/>
      <c r="I606" s="23"/>
      <c r="J606" s="20"/>
      <c r="K606" s="20"/>
      <c r="L606" s="20"/>
      <c r="M606" s="20"/>
      <c r="N606" s="20"/>
      <c r="O606" s="22"/>
      <c r="P606" s="20"/>
      <c r="Q606" s="20"/>
      <c r="R606" s="20"/>
      <c r="S606" s="20"/>
      <c r="T606" s="20"/>
      <c r="U606" s="20"/>
      <c r="V606" s="20"/>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row>
    <row r="607">
      <c r="A607" s="20"/>
      <c r="B607" s="20"/>
      <c r="C607" s="20"/>
      <c r="D607" s="20"/>
      <c r="E607" s="20"/>
      <c r="F607" s="20"/>
      <c r="G607" s="20"/>
      <c r="H607" s="20"/>
      <c r="I607" s="23"/>
      <c r="J607" s="20"/>
      <c r="K607" s="20"/>
      <c r="L607" s="20"/>
      <c r="M607" s="20"/>
      <c r="N607" s="20"/>
      <c r="O607" s="22"/>
      <c r="P607" s="20"/>
      <c r="Q607" s="20"/>
      <c r="R607" s="20"/>
      <c r="S607" s="20"/>
      <c r="T607" s="20"/>
      <c r="U607" s="20"/>
      <c r="V607" s="20"/>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row>
    <row r="608">
      <c r="A608" s="20"/>
      <c r="B608" s="20"/>
      <c r="C608" s="20"/>
      <c r="D608" s="20"/>
      <c r="E608" s="20"/>
      <c r="F608" s="20"/>
      <c r="G608" s="20"/>
      <c r="H608" s="20"/>
      <c r="I608" s="23"/>
      <c r="J608" s="20"/>
      <c r="K608" s="20"/>
      <c r="L608" s="20"/>
      <c r="M608" s="20"/>
      <c r="N608" s="20"/>
      <c r="O608" s="22"/>
      <c r="P608" s="20"/>
      <c r="Q608" s="20"/>
      <c r="R608" s="20"/>
      <c r="S608" s="20"/>
      <c r="T608" s="20"/>
      <c r="U608" s="20"/>
      <c r="V608" s="20"/>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row>
    <row r="609">
      <c r="A609" s="20"/>
      <c r="B609" s="20"/>
      <c r="C609" s="20"/>
      <c r="D609" s="20"/>
      <c r="E609" s="20"/>
      <c r="F609" s="20"/>
      <c r="G609" s="20"/>
      <c r="H609" s="20"/>
      <c r="I609" s="23"/>
      <c r="J609" s="20"/>
      <c r="K609" s="20"/>
      <c r="L609" s="20"/>
      <c r="M609" s="20"/>
      <c r="N609" s="20"/>
      <c r="O609" s="22"/>
      <c r="P609" s="20"/>
      <c r="Q609" s="20"/>
      <c r="R609" s="20"/>
      <c r="S609" s="20"/>
      <c r="T609" s="20"/>
      <c r="U609" s="20"/>
      <c r="V609" s="20"/>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row>
    <row r="610">
      <c r="A610" s="20"/>
      <c r="B610" s="20"/>
      <c r="C610" s="20"/>
      <c r="D610" s="20"/>
      <c r="E610" s="20"/>
      <c r="F610" s="20"/>
      <c r="G610" s="20"/>
      <c r="H610" s="20"/>
      <c r="I610" s="23"/>
      <c r="J610" s="20"/>
      <c r="K610" s="20"/>
      <c r="L610" s="20"/>
      <c r="M610" s="20"/>
      <c r="N610" s="20"/>
      <c r="O610" s="22"/>
      <c r="P610" s="20"/>
      <c r="Q610" s="20"/>
      <c r="R610" s="20"/>
      <c r="S610" s="20"/>
      <c r="T610" s="20"/>
      <c r="U610" s="20"/>
      <c r="V610" s="20"/>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row>
    <row r="611">
      <c r="A611" s="20"/>
      <c r="B611" s="20"/>
      <c r="C611" s="20"/>
      <c r="D611" s="20"/>
      <c r="E611" s="20"/>
      <c r="F611" s="20"/>
      <c r="G611" s="20"/>
      <c r="H611" s="20"/>
      <c r="I611" s="23"/>
      <c r="J611" s="20"/>
      <c r="K611" s="20"/>
      <c r="L611" s="20"/>
      <c r="M611" s="20"/>
      <c r="N611" s="20"/>
      <c r="O611" s="22"/>
      <c r="P611" s="20"/>
      <c r="Q611" s="20"/>
      <c r="R611" s="20"/>
      <c r="S611" s="20"/>
      <c r="T611" s="20"/>
      <c r="U611" s="20"/>
      <c r="V611" s="20"/>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row>
    <row r="612">
      <c r="A612" s="20"/>
      <c r="B612" s="20"/>
      <c r="C612" s="20"/>
      <c r="D612" s="20"/>
      <c r="E612" s="20"/>
      <c r="F612" s="20"/>
      <c r="G612" s="20"/>
      <c r="H612" s="20"/>
      <c r="I612" s="23"/>
      <c r="J612" s="20"/>
      <c r="K612" s="20"/>
      <c r="L612" s="20"/>
      <c r="M612" s="20"/>
      <c r="N612" s="20"/>
      <c r="O612" s="22"/>
      <c r="P612" s="20"/>
      <c r="Q612" s="20"/>
      <c r="R612" s="20"/>
      <c r="S612" s="20"/>
      <c r="T612" s="20"/>
      <c r="U612" s="20"/>
      <c r="V612" s="20"/>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row>
    <row r="613">
      <c r="A613" s="20"/>
      <c r="B613" s="20"/>
      <c r="C613" s="20"/>
      <c r="D613" s="20"/>
      <c r="E613" s="20"/>
      <c r="F613" s="20"/>
      <c r="G613" s="20"/>
      <c r="H613" s="20"/>
      <c r="I613" s="23"/>
      <c r="J613" s="20"/>
      <c r="K613" s="20"/>
      <c r="L613" s="20"/>
      <c r="M613" s="20"/>
      <c r="N613" s="20"/>
      <c r="O613" s="22"/>
      <c r="P613" s="20"/>
      <c r="Q613" s="20"/>
      <c r="R613" s="20"/>
      <c r="S613" s="20"/>
      <c r="T613" s="20"/>
      <c r="U613" s="20"/>
      <c r="V613" s="20"/>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row>
    <row r="614">
      <c r="A614" s="20"/>
      <c r="B614" s="20"/>
      <c r="C614" s="20"/>
      <c r="D614" s="20"/>
      <c r="E614" s="20"/>
      <c r="F614" s="20"/>
      <c r="G614" s="20"/>
      <c r="H614" s="20"/>
      <c r="I614" s="23"/>
      <c r="J614" s="20"/>
      <c r="K614" s="20"/>
      <c r="L614" s="20"/>
      <c r="M614" s="20"/>
      <c r="N614" s="20"/>
      <c r="O614" s="22"/>
      <c r="P614" s="20"/>
      <c r="Q614" s="20"/>
      <c r="R614" s="20"/>
      <c r="S614" s="20"/>
      <c r="T614" s="20"/>
      <c r="U614" s="20"/>
      <c r="V614" s="20"/>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row>
    <row r="615">
      <c r="A615" s="20"/>
      <c r="B615" s="20"/>
      <c r="C615" s="20"/>
      <c r="D615" s="20"/>
      <c r="E615" s="20"/>
      <c r="F615" s="20"/>
      <c r="G615" s="20"/>
      <c r="H615" s="20"/>
      <c r="I615" s="23"/>
      <c r="J615" s="20"/>
      <c r="K615" s="20"/>
      <c r="L615" s="20"/>
      <c r="M615" s="20"/>
      <c r="N615" s="20"/>
      <c r="O615" s="22"/>
      <c r="P615" s="20"/>
      <c r="Q615" s="20"/>
      <c r="R615" s="20"/>
      <c r="S615" s="20"/>
      <c r="T615" s="20"/>
      <c r="U615" s="20"/>
      <c r="V615" s="20"/>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row>
    <row r="616">
      <c r="A616" s="20"/>
      <c r="B616" s="20"/>
      <c r="C616" s="20"/>
      <c r="D616" s="20"/>
      <c r="E616" s="20"/>
      <c r="F616" s="20"/>
      <c r="G616" s="20"/>
      <c r="H616" s="20"/>
      <c r="I616" s="23"/>
      <c r="J616" s="20"/>
      <c r="K616" s="20"/>
      <c r="L616" s="20"/>
      <c r="M616" s="20"/>
      <c r="N616" s="20"/>
      <c r="O616" s="22"/>
      <c r="P616" s="20"/>
      <c r="Q616" s="20"/>
      <c r="R616" s="20"/>
      <c r="S616" s="20"/>
      <c r="T616" s="20"/>
      <c r="U616" s="20"/>
      <c r="V616" s="20"/>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row>
    <row r="617">
      <c r="A617" s="20"/>
      <c r="B617" s="20"/>
      <c r="C617" s="20"/>
      <c r="D617" s="20"/>
      <c r="E617" s="20"/>
      <c r="F617" s="20"/>
      <c r="G617" s="20"/>
      <c r="H617" s="20"/>
      <c r="I617" s="23"/>
      <c r="J617" s="20"/>
      <c r="K617" s="20"/>
      <c r="L617" s="20"/>
      <c r="M617" s="20"/>
      <c r="N617" s="20"/>
      <c r="O617" s="22"/>
      <c r="P617" s="20"/>
      <c r="Q617" s="20"/>
      <c r="R617" s="20"/>
      <c r="S617" s="20"/>
      <c r="T617" s="20"/>
      <c r="U617" s="20"/>
      <c r="V617" s="20"/>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row>
    <row r="618">
      <c r="A618" s="20"/>
      <c r="B618" s="20"/>
      <c r="C618" s="20"/>
      <c r="D618" s="20"/>
      <c r="E618" s="20"/>
      <c r="F618" s="20"/>
      <c r="G618" s="20"/>
      <c r="H618" s="20"/>
      <c r="I618" s="23"/>
      <c r="J618" s="20"/>
      <c r="K618" s="20"/>
      <c r="L618" s="20"/>
      <c r="M618" s="20"/>
      <c r="N618" s="20"/>
      <c r="O618" s="22"/>
      <c r="P618" s="20"/>
      <c r="Q618" s="20"/>
      <c r="R618" s="20"/>
      <c r="S618" s="20"/>
      <c r="T618" s="20"/>
      <c r="U618" s="20"/>
      <c r="V618" s="20"/>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row>
    <row r="619">
      <c r="A619" s="20"/>
      <c r="B619" s="20"/>
      <c r="C619" s="20"/>
      <c r="D619" s="20"/>
      <c r="E619" s="20"/>
      <c r="F619" s="20"/>
      <c r="G619" s="20"/>
      <c r="H619" s="20"/>
      <c r="I619" s="23"/>
      <c r="J619" s="20"/>
      <c r="K619" s="20"/>
      <c r="L619" s="20"/>
      <c r="M619" s="20"/>
      <c r="N619" s="20"/>
      <c r="O619" s="22"/>
      <c r="P619" s="20"/>
      <c r="Q619" s="20"/>
      <c r="R619" s="20"/>
      <c r="S619" s="20"/>
      <c r="T619" s="20"/>
      <c r="U619" s="20"/>
      <c r="V619" s="20"/>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row>
    <row r="620">
      <c r="A620" s="20"/>
      <c r="B620" s="20"/>
      <c r="C620" s="20"/>
      <c r="D620" s="20"/>
      <c r="E620" s="20"/>
      <c r="F620" s="20"/>
      <c r="G620" s="20"/>
      <c r="H620" s="20"/>
      <c r="I620" s="23"/>
      <c r="J620" s="20"/>
      <c r="K620" s="20"/>
      <c r="L620" s="20"/>
      <c r="M620" s="20"/>
      <c r="N620" s="20"/>
      <c r="O620" s="22"/>
      <c r="P620" s="20"/>
      <c r="Q620" s="20"/>
      <c r="R620" s="20"/>
      <c r="S620" s="20"/>
      <c r="T620" s="20"/>
      <c r="U620" s="20"/>
      <c r="V620" s="20"/>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row>
    <row r="621">
      <c r="A621" s="20"/>
      <c r="B621" s="20"/>
      <c r="C621" s="20"/>
      <c r="D621" s="20"/>
      <c r="E621" s="20"/>
      <c r="F621" s="20"/>
      <c r="G621" s="20"/>
      <c r="H621" s="20"/>
      <c r="I621" s="23"/>
      <c r="J621" s="20"/>
      <c r="K621" s="20"/>
      <c r="L621" s="20"/>
      <c r="M621" s="20"/>
      <c r="N621" s="20"/>
      <c r="O621" s="22"/>
      <c r="P621" s="20"/>
      <c r="Q621" s="20"/>
      <c r="R621" s="20"/>
      <c r="S621" s="20"/>
      <c r="T621" s="20"/>
      <c r="U621" s="20"/>
      <c r="V621" s="20"/>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row>
    <row r="622">
      <c r="A622" s="20"/>
      <c r="B622" s="20"/>
      <c r="C622" s="20"/>
      <c r="D622" s="20"/>
      <c r="E622" s="20"/>
      <c r="F622" s="20"/>
      <c r="G622" s="20"/>
      <c r="H622" s="20"/>
      <c r="I622" s="23"/>
      <c r="J622" s="20"/>
      <c r="K622" s="20"/>
      <c r="L622" s="20"/>
      <c r="M622" s="20"/>
      <c r="N622" s="20"/>
      <c r="O622" s="22"/>
      <c r="P622" s="20"/>
      <c r="Q622" s="20"/>
      <c r="R622" s="20"/>
      <c r="S622" s="20"/>
      <c r="T622" s="20"/>
      <c r="U622" s="20"/>
      <c r="V622" s="20"/>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row>
    <row r="623">
      <c r="A623" s="20"/>
      <c r="B623" s="20"/>
      <c r="C623" s="20"/>
      <c r="D623" s="20"/>
      <c r="E623" s="20"/>
      <c r="F623" s="20"/>
      <c r="G623" s="20"/>
      <c r="H623" s="20"/>
      <c r="I623" s="23"/>
      <c r="J623" s="20"/>
      <c r="K623" s="20"/>
      <c r="L623" s="20"/>
      <c r="M623" s="20"/>
      <c r="N623" s="20"/>
      <c r="O623" s="22"/>
      <c r="P623" s="20"/>
      <c r="Q623" s="20"/>
      <c r="R623" s="20"/>
      <c r="S623" s="20"/>
      <c r="T623" s="20"/>
      <c r="U623" s="20"/>
      <c r="V623" s="20"/>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row>
    <row r="624">
      <c r="A624" s="20"/>
      <c r="B624" s="20"/>
      <c r="C624" s="20"/>
      <c r="D624" s="20"/>
      <c r="E624" s="20"/>
      <c r="F624" s="20"/>
      <c r="G624" s="20"/>
      <c r="H624" s="20"/>
      <c r="I624" s="23"/>
      <c r="J624" s="20"/>
      <c r="K624" s="20"/>
      <c r="L624" s="20"/>
      <c r="M624" s="20"/>
      <c r="N624" s="20"/>
      <c r="O624" s="22"/>
      <c r="P624" s="20"/>
      <c r="Q624" s="20"/>
      <c r="R624" s="20"/>
      <c r="S624" s="20"/>
      <c r="T624" s="20"/>
      <c r="U624" s="20"/>
      <c r="V624" s="20"/>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row>
    <row r="625">
      <c r="A625" s="20"/>
      <c r="B625" s="20"/>
      <c r="C625" s="20"/>
      <c r="D625" s="20"/>
      <c r="E625" s="20"/>
      <c r="F625" s="20"/>
      <c r="G625" s="20"/>
      <c r="H625" s="20"/>
      <c r="I625" s="23"/>
      <c r="J625" s="20"/>
      <c r="K625" s="20"/>
      <c r="L625" s="20"/>
      <c r="M625" s="20"/>
      <c r="N625" s="20"/>
      <c r="O625" s="22"/>
      <c r="P625" s="20"/>
      <c r="Q625" s="20"/>
      <c r="R625" s="20"/>
      <c r="S625" s="20"/>
      <c r="T625" s="20"/>
      <c r="U625" s="20"/>
      <c r="V625" s="20"/>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row>
    <row r="626">
      <c r="A626" s="20"/>
      <c r="B626" s="20"/>
      <c r="C626" s="20"/>
      <c r="D626" s="20"/>
      <c r="E626" s="20"/>
      <c r="F626" s="20"/>
      <c r="G626" s="20"/>
      <c r="H626" s="20"/>
      <c r="I626" s="23"/>
      <c r="J626" s="20"/>
      <c r="K626" s="20"/>
      <c r="L626" s="20"/>
      <c r="M626" s="20"/>
      <c r="N626" s="20"/>
      <c r="O626" s="22"/>
      <c r="P626" s="20"/>
      <c r="Q626" s="20"/>
      <c r="R626" s="20"/>
      <c r="S626" s="20"/>
      <c r="T626" s="20"/>
      <c r="U626" s="20"/>
      <c r="V626" s="20"/>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row>
    <row r="627">
      <c r="A627" s="20"/>
      <c r="B627" s="20"/>
      <c r="C627" s="20"/>
      <c r="D627" s="20"/>
      <c r="E627" s="20"/>
      <c r="F627" s="20"/>
      <c r="G627" s="20"/>
      <c r="H627" s="20"/>
      <c r="I627" s="23"/>
      <c r="J627" s="20"/>
      <c r="K627" s="20"/>
      <c r="L627" s="20"/>
      <c r="M627" s="20"/>
      <c r="N627" s="20"/>
      <c r="O627" s="22"/>
      <c r="P627" s="20"/>
      <c r="Q627" s="20"/>
      <c r="R627" s="20"/>
      <c r="S627" s="20"/>
      <c r="T627" s="20"/>
      <c r="U627" s="20"/>
      <c r="V627" s="20"/>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row>
    <row r="628">
      <c r="A628" s="20"/>
      <c r="B628" s="20"/>
      <c r="C628" s="20"/>
      <c r="D628" s="20"/>
      <c r="E628" s="20"/>
      <c r="F628" s="20"/>
      <c r="G628" s="20"/>
      <c r="H628" s="20"/>
      <c r="I628" s="23"/>
      <c r="J628" s="20"/>
      <c r="K628" s="20"/>
      <c r="L628" s="20"/>
      <c r="M628" s="20"/>
      <c r="N628" s="20"/>
      <c r="O628" s="22"/>
      <c r="P628" s="20"/>
      <c r="Q628" s="20"/>
      <c r="R628" s="20"/>
      <c r="S628" s="20"/>
      <c r="T628" s="20"/>
      <c r="U628" s="20"/>
      <c r="V628" s="20"/>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row>
    <row r="629">
      <c r="A629" s="20"/>
      <c r="B629" s="20"/>
      <c r="C629" s="20"/>
      <c r="D629" s="20"/>
      <c r="E629" s="20"/>
      <c r="F629" s="20"/>
      <c r="G629" s="20"/>
      <c r="H629" s="20"/>
      <c r="I629" s="23"/>
      <c r="J629" s="20"/>
      <c r="K629" s="20"/>
      <c r="L629" s="20"/>
      <c r="M629" s="20"/>
      <c r="N629" s="20"/>
      <c r="O629" s="22"/>
      <c r="P629" s="20"/>
      <c r="Q629" s="20"/>
      <c r="R629" s="20"/>
      <c r="S629" s="20"/>
      <c r="T629" s="20"/>
      <c r="U629" s="20"/>
      <c r="V629" s="20"/>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row>
    <row r="630">
      <c r="A630" s="20"/>
      <c r="B630" s="20"/>
      <c r="C630" s="20"/>
      <c r="D630" s="20"/>
      <c r="E630" s="20"/>
      <c r="F630" s="20"/>
      <c r="G630" s="20"/>
      <c r="H630" s="20"/>
      <c r="I630" s="23"/>
      <c r="J630" s="20"/>
      <c r="K630" s="20"/>
      <c r="L630" s="20"/>
      <c r="M630" s="20"/>
      <c r="N630" s="20"/>
      <c r="O630" s="22"/>
      <c r="P630" s="20"/>
      <c r="Q630" s="20"/>
      <c r="R630" s="20"/>
      <c r="S630" s="20"/>
      <c r="T630" s="20"/>
      <c r="U630" s="20"/>
      <c r="V630" s="20"/>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row>
    <row r="631">
      <c r="A631" s="20"/>
      <c r="B631" s="20"/>
      <c r="C631" s="20"/>
      <c r="D631" s="20"/>
      <c r="E631" s="20"/>
      <c r="F631" s="20"/>
      <c r="G631" s="20"/>
      <c r="H631" s="20"/>
      <c r="I631" s="23"/>
      <c r="J631" s="20"/>
      <c r="K631" s="20"/>
      <c r="L631" s="20"/>
      <c r="M631" s="20"/>
      <c r="N631" s="20"/>
      <c r="O631" s="22"/>
      <c r="P631" s="20"/>
      <c r="Q631" s="20"/>
      <c r="R631" s="20"/>
      <c r="S631" s="20"/>
      <c r="T631" s="20"/>
      <c r="U631" s="20"/>
      <c r="V631" s="20"/>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row>
    <row r="632">
      <c r="A632" s="20"/>
      <c r="B632" s="20"/>
      <c r="C632" s="20"/>
      <c r="D632" s="20"/>
      <c r="E632" s="20"/>
      <c r="F632" s="20"/>
      <c r="G632" s="20"/>
      <c r="H632" s="20"/>
      <c r="I632" s="23"/>
      <c r="J632" s="20"/>
      <c r="K632" s="20"/>
      <c r="L632" s="20"/>
      <c r="M632" s="20"/>
      <c r="N632" s="20"/>
      <c r="O632" s="22"/>
      <c r="P632" s="20"/>
      <c r="Q632" s="20"/>
      <c r="R632" s="20"/>
      <c r="S632" s="20"/>
      <c r="T632" s="20"/>
      <c r="U632" s="20"/>
      <c r="V632" s="20"/>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row>
    <row r="633">
      <c r="A633" s="20"/>
      <c r="B633" s="20"/>
      <c r="C633" s="20"/>
      <c r="D633" s="20"/>
      <c r="E633" s="20"/>
      <c r="F633" s="20"/>
      <c r="G633" s="20"/>
      <c r="H633" s="20"/>
      <c r="I633" s="23"/>
      <c r="J633" s="20"/>
      <c r="K633" s="20"/>
      <c r="L633" s="20"/>
      <c r="M633" s="20"/>
      <c r="N633" s="20"/>
      <c r="O633" s="22"/>
      <c r="P633" s="20"/>
      <c r="Q633" s="20"/>
      <c r="R633" s="20"/>
      <c r="S633" s="20"/>
      <c r="T633" s="20"/>
      <c r="U633" s="20"/>
      <c r="V633" s="20"/>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row>
    <row r="634">
      <c r="A634" s="20"/>
      <c r="B634" s="20"/>
      <c r="C634" s="20"/>
      <c r="D634" s="20"/>
      <c r="E634" s="20"/>
      <c r="F634" s="20"/>
      <c r="G634" s="20"/>
      <c r="H634" s="20"/>
      <c r="I634" s="23"/>
      <c r="J634" s="20"/>
      <c r="K634" s="20"/>
      <c r="L634" s="20"/>
      <c r="M634" s="20"/>
      <c r="N634" s="20"/>
      <c r="O634" s="22"/>
      <c r="P634" s="20"/>
      <c r="Q634" s="20"/>
      <c r="R634" s="20"/>
      <c r="S634" s="20"/>
      <c r="T634" s="20"/>
      <c r="U634" s="20"/>
      <c r="V634" s="20"/>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row>
    <row r="635">
      <c r="A635" s="20"/>
      <c r="B635" s="20"/>
      <c r="C635" s="20"/>
      <c r="D635" s="20"/>
      <c r="E635" s="20"/>
      <c r="F635" s="20"/>
      <c r="G635" s="20"/>
      <c r="H635" s="20"/>
      <c r="I635" s="23"/>
      <c r="J635" s="20"/>
      <c r="K635" s="20"/>
      <c r="L635" s="20"/>
      <c r="M635" s="20"/>
      <c r="N635" s="20"/>
      <c r="O635" s="22"/>
      <c r="P635" s="20"/>
      <c r="Q635" s="20"/>
      <c r="R635" s="20"/>
      <c r="S635" s="20"/>
      <c r="T635" s="20"/>
      <c r="U635" s="20"/>
      <c r="V635" s="20"/>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row>
    <row r="636">
      <c r="A636" s="20"/>
      <c r="B636" s="20"/>
      <c r="C636" s="20"/>
      <c r="D636" s="20"/>
      <c r="E636" s="20"/>
      <c r="F636" s="20"/>
      <c r="G636" s="20"/>
      <c r="H636" s="20"/>
      <c r="I636" s="23"/>
      <c r="J636" s="20"/>
      <c r="K636" s="20"/>
      <c r="L636" s="20"/>
      <c r="M636" s="20"/>
      <c r="N636" s="20"/>
      <c r="O636" s="22"/>
      <c r="P636" s="20"/>
      <c r="Q636" s="20"/>
      <c r="R636" s="20"/>
      <c r="S636" s="20"/>
      <c r="T636" s="20"/>
      <c r="U636" s="20"/>
      <c r="V636" s="20"/>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row>
    <row r="637">
      <c r="A637" s="20"/>
      <c r="B637" s="20"/>
      <c r="C637" s="20"/>
      <c r="D637" s="20"/>
      <c r="E637" s="20"/>
      <c r="F637" s="20"/>
      <c r="G637" s="20"/>
      <c r="H637" s="20"/>
      <c r="I637" s="23"/>
      <c r="J637" s="20"/>
      <c r="K637" s="20"/>
      <c r="L637" s="20"/>
      <c r="M637" s="20"/>
      <c r="N637" s="20"/>
      <c r="O637" s="22"/>
      <c r="P637" s="20"/>
      <c r="Q637" s="20"/>
      <c r="R637" s="20"/>
      <c r="S637" s="20"/>
      <c r="T637" s="20"/>
      <c r="U637" s="20"/>
      <c r="V637" s="20"/>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row>
    <row r="638">
      <c r="A638" s="20"/>
      <c r="B638" s="20"/>
      <c r="C638" s="20"/>
      <c r="D638" s="20"/>
      <c r="E638" s="20"/>
      <c r="F638" s="20"/>
      <c r="G638" s="20"/>
      <c r="H638" s="20"/>
      <c r="I638" s="23"/>
      <c r="J638" s="20"/>
      <c r="K638" s="20"/>
      <c r="L638" s="20"/>
      <c r="M638" s="20"/>
      <c r="N638" s="20"/>
      <c r="O638" s="22"/>
      <c r="P638" s="20"/>
      <c r="Q638" s="20"/>
      <c r="R638" s="20"/>
      <c r="S638" s="20"/>
      <c r="T638" s="20"/>
      <c r="U638" s="20"/>
      <c r="V638" s="20"/>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row>
    <row r="639">
      <c r="A639" s="20"/>
      <c r="B639" s="20"/>
      <c r="C639" s="20"/>
      <c r="D639" s="20"/>
      <c r="E639" s="20"/>
      <c r="F639" s="20"/>
      <c r="G639" s="20"/>
      <c r="H639" s="20"/>
      <c r="I639" s="23"/>
      <c r="J639" s="20"/>
      <c r="K639" s="20"/>
      <c r="L639" s="20"/>
      <c r="M639" s="20"/>
      <c r="N639" s="20"/>
      <c r="O639" s="22"/>
      <c r="P639" s="20"/>
      <c r="Q639" s="20"/>
      <c r="R639" s="20"/>
      <c r="S639" s="20"/>
      <c r="T639" s="20"/>
      <c r="U639" s="20"/>
      <c r="V639" s="20"/>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row>
    <row r="640">
      <c r="A640" s="20"/>
      <c r="B640" s="20"/>
      <c r="C640" s="20"/>
      <c r="D640" s="20"/>
      <c r="E640" s="20"/>
      <c r="F640" s="20"/>
      <c r="G640" s="20"/>
      <c r="H640" s="20"/>
      <c r="I640" s="23"/>
      <c r="J640" s="20"/>
      <c r="K640" s="20"/>
      <c r="L640" s="20"/>
      <c r="M640" s="20"/>
      <c r="N640" s="20"/>
      <c r="O640" s="22"/>
      <c r="P640" s="20"/>
      <c r="Q640" s="20"/>
      <c r="R640" s="20"/>
      <c r="S640" s="20"/>
      <c r="T640" s="20"/>
      <c r="U640" s="20"/>
      <c r="V640" s="20"/>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row>
    <row r="641">
      <c r="A641" s="20"/>
      <c r="B641" s="20"/>
      <c r="C641" s="20"/>
      <c r="D641" s="20"/>
      <c r="E641" s="20"/>
      <c r="F641" s="20"/>
      <c r="G641" s="20"/>
      <c r="H641" s="20"/>
      <c r="I641" s="23"/>
      <c r="J641" s="20"/>
      <c r="K641" s="20"/>
      <c r="L641" s="20"/>
      <c r="M641" s="20"/>
      <c r="N641" s="20"/>
      <c r="O641" s="22"/>
      <c r="P641" s="20"/>
      <c r="Q641" s="20"/>
      <c r="R641" s="20"/>
      <c r="S641" s="20"/>
      <c r="T641" s="20"/>
      <c r="U641" s="20"/>
      <c r="V641" s="20"/>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row>
    <row r="642">
      <c r="A642" s="20"/>
      <c r="B642" s="20"/>
      <c r="C642" s="20"/>
      <c r="D642" s="20"/>
      <c r="E642" s="20"/>
      <c r="F642" s="20"/>
      <c r="G642" s="20"/>
      <c r="H642" s="20"/>
      <c r="I642" s="23"/>
      <c r="J642" s="20"/>
      <c r="K642" s="20"/>
      <c r="L642" s="20"/>
      <c r="M642" s="20"/>
      <c r="N642" s="20"/>
      <c r="O642" s="22"/>
      <c r="P642" s="20"/>
      <c r="Q642" s="20"/>
      <c r="R642" s="20"/>
      <c r="S642" s="20"/>
      <c r="T642" s="20"/>
      <c r="U642" s="20"/>
      <c r="V642" s="20"/>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row>
    <row r="643">
      <c r="A643" s="20"/>
      <c r="B643" s="20"/>
      <c r="C643" s="20"/>
      <c r="D643" s="20"/>
      <c r="E643" s="20"/>
      <c r="F643" s="20"/>
      <c r="G643" s="20"/>
      <c r="H643" s="20"/>
      <c r="I643" s="23"/>
      <c r="J643" s="20"/>
      <c r="K643" s="20"/>
      <c r="L643" s="20"/>
      <c r="M643" s="20"/>
      <c r="N643" s="20"/>
      <c r="O643" s="22"/>
      <c r="P643" s="20"/>
      <c r="Q643" s="20"/>
      <c r="R643" s="20"/>
      <c r="S643" s="20"/>
      <c r="T643" s="20"/>
      <c r="U643" s="20"/>
      <c r="V643" s="20"/>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row>
    <row r="644">
      <c r="A644" s="20"/>
      <c r="B644" s="20"/>
      <c r="C644" s="20"/>
      <c r="D644" s="20"/>
      <c r="E644" s="20"/>
      <c r="F644" s="20"/>
      <c r="G644" s="20"/>
      <c r="H644" s="20"/>
      <c r="I644" s="23"/>
      <c r="J644" s="20"/>
      <c r="K644" s="20"/>
      <c r="L644" s="20"/>
      <c r="M644" s="20"/>
      <c r="N644" s="20"/>
      <c r="O644" s="22"/>
      <c r="P644" s="20"/>
      <c r="Q644" s="20"/>
      <c r="R644" s="20"/>
      <c r="S644" s="20"/>
      <c r="T644" s="20"/>
      <c r="U644" s="20"/>
      <c r="V644" s="20"/>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row>
    <row r="645">
      <c r="A645" s="20"/>
      <c r="B645" s="20"/>
      <c r="C645" s="20"/>
      <c r="D645" s="20"/>
      <c r="E645" s="20"/>
      <c r="F645" s="20"/>
      <c r="G645" s="20"/>
      <c r="H645" s="20"/>
      <c r="I645" s="23"/>
      <c r="J645" s="20"/>
      <c r="K645" s="20"/>
      <c r="L645" s="20"/>
      <c r="M645" s="20"/>
      <c r="N645" s="20"/>
      <c r="O645" s="22"/>
      <c r="P645" s="20"/>
      <c r="Q645" s="20"/>
      <c r="R645" s="20"/>
      <c r="S645" s="20"/>
      <c r="T645" s="20"/>
      <c r="U645" s="20"/>
      <c r="V645" s="20"/>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row>
    <row r="646">
      <c r="A646" s="20"/>
      <c r="B646" s="20"/>
      <c r="C646" s="20"/>
      <c r="D646" s="20"/>
      <c r="E646" s="20"/>
      <c r="F646" s="20"/>
      <c r="G646" s="20"/>
      <c r="H646" s="20"/>
      <c r="I646" s="23"/>
      <c r="J646" s="20"/>
      <c r="K646" s="20"/>
      <c r="L646" s="20"/>
      <c r="M646" s="20"/>
      <c r="N646" s="20"/>
      <c r="O646" s="22"/>
      <c r="P646" s="20"/>
      <c r="Q646" s="20"/>
      <c r="R646" s="20"/>
      <c r="S646" s="20"/>
      <c r="T646" s="20"/>
      <c r="U646" s="20"/>
      <c r="V646" s="20"/>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row>
    <row r="647">
      <c r="A647" s="20"/>
      <c r="B647" s="20"/>
      <c r="C647" s="20"/>
      <c r="D647" s="20"/>
      <c r="E647" s="20"/>
      <c r="F647" s="20"/>
      <c r="G647" s="20"/>
      <c r="H647" s="20"/>
      <c r="I647" s="23"/>
      <c r="J647" s="20"/>
      <c r="K647" s="20"/>
      <c r="L647" s="20"/>
      <c r="M647" s="20"/>
      <c r="N647" s="20"/>
      <c r="O647" s="22"/>
      <c r="P647" s="20"/>
      <c r="Q647" s="20"/>
      <c r="R647" s="20"/>
      <c r="S647" s="20"/>
      <c r="T647" s="20"/>
      <c r="U647" s="20"/>
      <c r="V647" s="20"/>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row>
    <row r="648">
      <c r="A648" s="20"/>
      <c r="B648" s="20"/>
      <c r="C648" s="20"/>
      <c r="D648" s="20"/>
      <c r="E648" s="20"/>
      <c r="F648" s="20"/>
      <c r="G648" s="20"/>
      <c r="H648" s="20"/>
      <c r="I648" s="23"/>
      <c r="J648" s="20"/>
      <c r="K648" s="20"/>
      <c r="L648" s="20"/>
      <c r="M648" s="20"/>
      <c r="N648" s="20"/>
      <c r="O648" s="22"/>
      <c r="P648" s="20"/>
      <c r="Q648" s="20"/>
      <c r="R648" s="20"/>
      <c r="S648" s="20"/>
      <c r="T648" s="20"/>
      <c r="U648" s="20"/>
      <c r="V648" s="20"/>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row>
    <row r="649">
      <c r="A649" s="20"/>
      <c r="B649" s="20"/>
      <c r="C649" s="20"/>
      <c r="D649" s="20"/>
      <c r="E649" s="20"/>
      <c r="F649" s="20"/>
      <c r="G649" s="20"/>
      <c r="H649" s="20"/>
      <c r="I649" s="23"/>
      <c r="J649" s="20"/>
      <c r="K649" s="20"/>
      <c r="L649" s="20"/>
      <c r="M649" s="20"/>
      <c r="N649" s="20"/>
      <c r="O649" s="22"/>
      <c r="P649" s="20"/>
      <c r="Q649" s="20"/>
      <c r="R649" s="20"/>
      <c r="S649" s="20"/>
      <c r="T649" s="20"/>
      <c r="U649" s="20"/>
      <c r="V649" s="20"/>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row>
    <row r="650">
      <c r="A650" s="20"/>
      <c r="B650" s="20"/>
      <c r="C650" s="20"/>
      <c r="D650" s="20"/>
      <c r="E650" s="20"/>
      <c r="F650" s="20"/>
      <c r="G650" s="20"/>
      <c r="H650" s="20"/>
      <c r="I650" s="23"/>
      <c r="J650" s="20"/>
      <c r="K650" s="20"/>
      <c r="L650" s="20"/>
      <c r="M650" s="20"/>
      <c r="N650" s="20"/>
      <c r="O650" s="22"/>
      <c r="P650" s="20"/>
      <c r="Q650" s="20"/>
      <c r="R650" s="20"/>
      <c r="S650" s="20"/>
      <c r="T650" s="20"/>
      <c r="U650" s="20"/>
      <c r="V650" s="20"/>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row>
    <row r="651">
      <c r="A651" s="20"/>
      <c r="B651" s="20"/>
      <c r="C651" s="20"/>
      <c r="D651" s="20"/>
      <c r="E651" s="20"/>
      <c r="F651" s="20"/>
      <c r="G651" s="20"/>
      <c r="H651" s="20"/>
      <c r="I651" s="23"/>
      <c r="J651" s="20"/>
      <c r="K651" s="20"/>
      <c r="L651" s="20"/>
      <c r="M651" s="20"/>
      <c r="N651" s="20"/>
      <c r="O651" s="22"/>
      <c r="P651" s="20"/>
      <c r="Q651" s="20"/>
      <c r="R651" s="20"/>
      <c r="S651" s="20"/>
      <c r="T651" s="20"/>
      <c r="U651" s="20"/>
      <c r="V651" s="20"/>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row>
    <row r="652">
      <c r="A652" s="20"/>
      <c r="B652" s="20"/>
      <c r="C652" s="20"/>
      <c r="D652" s="20"/>
      <c r="E652" s="20"/>
      <c r="F652" s="20"/>
      <c r="G652" s="20"/>
      <c r="H652" s="20"/>
      <c r="I652" s="23"/>
      <c r="J652" s="20"/>
      <c r="K652" s="20"/>
      <c r="L652" s="20"/>
      <c r="M652" s="20"/>
      <c r="N652" s="20"/>
      <c r="O652" s="22"/>
      <c r="P652" s="20"/>
      <c r="Q652" s="20"/>
      <c r="R652" s="20"/>
      <c r="S652" s="20"/>
      <c r="T652" s="20"/>
      <c r="U652" s="20"/>
      <c r="V652" s="20"/>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row>
    <row r="653">
      <c r="A653" s="20"/>
      <c r="B653" s="20"/>
      <c r="C653" s="20"/>
      <c r="D653" s="20"/>
      <c r="E653" s="20"/>
      <c r="F653" s="20"/>
      <c r="G653" s="20"/>
      <c r="H653" s="20"/>
      <c r="I653" s="23"/>
      <c r="J653" s="20"/>
      <c r="K653" s="20"/>
      <c r="L653" s="20"/>
      <c r="M653" s="20"/>
      <c r="N653" s="20"/>
      <c r="O653" s="22"/>
      <c r="P653" s="20"/>
      <c r="Q653" s="20"/>
      <c r="R653" s="20"/>
      <c r="S653" s="20"/>
      <c r="T653" s="20"/>
      <c r="U653" s="20"/>
      <c r="V653" s="20"/>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row>
    <row r="654">
      <c r="A654" s="20"/>
      <c r="B654" s="20"/>
      <c r="C654" s="20"/>
      <c r="D654" s="20"/>
      <c r="E654" s="20"/>
      <c r="F654" s="20"/>
      <c r="G654" s="20"/>
      <c r="H654" s="20"/>
      <c r="I654" s="23"/>
      <c r="J654" s="20"/>
      <c r="K654" s="20"/>
      <c r="L654" s="20"/>
      <c r="M654" s="20"/>
      <c r="N654" s="20"/>
      <c r="O654" s="22"/>
      <c r="P654" s="20"/>
      <c r="Q654" s="20"/>
      <c r="R654" s="20"/>
      <c r="S654" s="20"/>
      <c r="T654" s="20"/>
      <c r="U654" s="20"/>
      <c r="V654" s="20"/>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row>
    <row r="655">
      <c r="A655" s="20"/>
      <c r="B655" s="20"/>
      <c r="C655" s="20"/>
      <c r="D655" s="20"/>
      <c r="E655" s="20"/>
      <c r="F655" s="20"/>
      <c r="G655" s="20"/>
      <c r="H655" s="20"/>
      <c r="I655" s="23"/>
      <c r="J655" s="20"/>
      <c r="K655" s="20"/>
      <c r="L655" s="20"/>
      <c r="M655" s="20"/>
      <c r="N655" s="20"/>
      <c r="O655" s="22"/>
      <c r="P655" s="20"/>
      <c r="Q655" s="20"/>
      <c r="R655" s="20"/>
      <c r="S655" s="20"/>
      <c r="T655" s="20"/>
      <c r="U655" s="20"/>
      <c r="V655" s="20"/>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row>
    <row r="656">
      <c r="A656" s="20"/>
      <c r="B656" s="20"/>
      <c r="C656" s="20"/>
      <c r="D656" s="20"/>
      <c r="E656" s="20"/>
      <c r="F656" s="20"/>
      <c r="G656" s="20"/>
      <c r="H656" s="20"/>
      <c r="I656" s="23"/>
      <c r="J656" s="20"/>
      <c r="K656" s="20"/>
      <c r="L656" s="20"/>
      <c r="M656" s="20"/>
      <c r="N656" s="20"/>
      <c r="O656" s="22"/>
      <c r="P656" s="20"/>
      <c r="Q656" s="20"/>
      <c r="R656" s="20"/>
      <c r="S656" s="20"/>
      <c r="T656" s="20"/>
      <c r="U656" s="20"/>
      <c r="V656" s="20"/>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row>
    <row r="657">
      <c r="A657" s="20"/>
      <c r="B657" s="20"/>
      <c r="C657" s="20"/>
      <c r="D657" s="20"/>
      <c r="E657" s="20"/>
      <c r="F657" s="20"/>
      <c r="G657" s="20"/>
      <c r="H657" s="20"/>
      <c r="I657" s="23"/>
      <c r="J657" s="20"/>
      <c r="K657" s="20"/>
      <c r="L657" s="20"/>
      <c r="M657" s="20"/>
      <c r="N657" s="20"/>
      <c r="O657" s="22"/>
      <c r="P657" s="20"/>
      <c r="Q657" s="20"/>
      <c r="R657" s="20"/>
      <c r="S657" s="20"/>
      <c r="T657" s="20"/>
      <c r="U657" s="20"/>
      <c r="V657" s="20"/>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row>
    <row r="658">
      <c r="A658" s="20"/>
      <c r="B658" s="20"/>
      <c r="C658" s="20"/>
      <c r="D658" s="20"/>
      <c r="E658" s="20"/>
      <c r="F658" s="20"/>
      <c r="G658" s="20"/>
      <c r="H658" s="20"/>
      <c r="I658" s="23"/>
      <c r="J658" s="20"/>
      <c r="K658" s="20"/>
      <c r="L658" s="20"/>
      <c r="M658" s="20"/>
      <c r="N658" s="20"/>
      <c r="O658" s="22"/>
      <c r="P658" s="20"/>
      <c r="Q658" s="20"/>
      <c r="R658" s="20"/>
      <c r="S658" s="20"/>
      <c r="T658" s="20"/>
      <c r="U658" s="20"/>
      <c r="V658" s="20"/>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row>
    <row r="659">
      <c r="A659" s="20"/>
      <c r="B659" s="20"/>
      <c r="C659" s="20"/>
      <c r="D659" s="20"/>
      <c r="E659" s="20"/>
      <c r="F659" s="20"/>
      <c r="G659" s="20"/>
      <c r="H659" s="20"/>
      <c r="I659" s="23"/>
      <c r="J659" s="20"/>
      <c r="K659" s="20"/>
      <c r="L659" s="20"/>
      <c r="M659" s="20"/>
      <c r="N659" s="20"/>
      <c r="O659" s="22"/>
      <c r="P659" s="20"/>
      <c r="Q659" s="20"/>
      <c r="R659" s="20"/>
      <c r="S659" s="20"/>
      <c r="T659" s="20"/>
      <c r="U659" s="20"/>
      <c r="V659" s="20"/>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row>
    <row r="660">
      <c r="A660" s="20"/>
      <c r="B660" s="20"/>
      <c r="C660" s="20"/>
      <c r="D660" s="20"/>
      <c r="E660" s="20"/>
      <c r="F660" s="20"/>
      <c r="G660" s="20"/>
      <c r="H660" s="20"/>
      <c r="I660" s="23"/>
      <c r="J660" s="20"/>
      <c r="K660" s="20"/>
      <c r="L660" s="20"/>
      <c r="M660" s="20"/>
      <c r="N660" s="20"/>
      <c r="O660" s="22"/>
      <c r="P660" s="20"/>
      <c r="Q660" s="20"/>
      <c r="R660" s="20"/>
      <c r="S660" s="20"/>
      <c r="T660" s="20"/>
      <c r="U660" s="20"/>
      <c r="V660" s="20"/>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row>
    <row r="661">
      <c r="A661" s="20"/>
      <c r="B661" s="20"/>
      <c r="C661" s="20"/>
      <c r="D661" s="20"/>
      <c r="E661" s="20"/>
      <c r="F661" s="20"/>
      <c r="G661" s="20"/>
      <c r="H661" s="20"/>
      <c r="I661" s="23"/>
      <c r="J661" s="20"/>
      <c r="K661" s="20"/>
      <c r="L661" s="20"/>
      <c r="M661" s="20"/>
      <c r="N661" s="20"/>
      <c r="O661" s="22"/>
      <c r="P661" s="20"/>
      <c r="Q661" s="20"/>
      <c r="R661" s="20"/>
      <c r="S661" s="20"/>
      <c r="T661" s="20"/>
      <c r="U661" s="20"/>
      <c r="V661" s="20"/>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row>
    <row r="662">
      <c r="A662" s="20"/>
      <c r="B662" s="20"/>
      <c r="C662" s="20"/>
      <c r="D662" s="20"/>
      <c r="E662" s="20"/>
      <c r="F662" s="20"/>
      <c r="G662" s="20"/>
      <c r="H662" s="20"/>
      <c r="I662" s="23"/>
      <c r="J662" s="20"/>
      <c r="K662" s="20"/>
      <c r="L662" s="20"/>
      <c r="M662" s="20"/>
      <c r="N662" s="20"/>
      <c r="O662" s="22"/>
      <c r="P662" s="20"/>
      <c r="Q662" s="20"/>
      <c r="R662" s="20"/>
      <c r="S662" s="20"/>
      <c r="T662" s="20"/>
      <c r="U662" s="20"/>
      <c r="V662" s="20"/>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row>
    <row r="663">
      <c r="A663" s="20"/>
      <c r="B663" s="20"/>
      <c r="C663" s="20"/>
      <c r="D663" s="20"/>
      <c r="E663" s="20"/>
      <c r="F663" s="20"/>
      <c r="G663" s="20"/>
      <c r="H663" s="20"/>
      <c r="I663" s="23"/>
      <c r="J663" s="20"/>
      <c r="K663" s="20"/>
      <c r="L663" s="20"/>
      <c r="M663" s="20"/>
      <c r="N663" s="20"/>
      <c r="O663" s="22"/>
      <c r="P663" s="20"/>
      <c r="Q663" s="20"/>
      <c r="R663" s="20"/>
      <c r="S663" s="20"/>
      <c r="T663" s="20"/>
      <c r="U663" s="20"/>
      <c r="V663" s="20"/>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row>
    <row r="664">
      <c r="A664" s="20"/>
      <c r="B664" s="20"/>
      <c r="C664" s="20"/>
      <c r="D664" s="20"/>
      <c r="E664" s="20"/>
      <c r="F664" s="20"/>
      <c r="G664" s="20"/>
      <c r="H664" s="20"/>
      <c r="I664" s="23"/>
      <c r="J664" s="20"/>
      <c r="K664" s="20"/>
      <c r="L664" s="20"/>
      <c r="M664" s="20"/>
      <c r="N664" s="20"/>
      <c r="O664" s="22"/>
      <c r="P664" s="20"/>
      <c r="Q664" s="20"/>
      <c r="R664" s="20"/>
      <c r="S664" s="20"/>
      <c r="T664" s="20"/>
      <c r="U664" s="20"/>
      <c r="V664" s="20"/>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row>
    <row r="665">
      <c r="A665" s="20"/>
      <c r="B665" s="20"/>
      <c r="C665" s="20"/>
      <c r="D665" s="20"/>
      <c r="E665" s="20"/>
      <c r="F665" s="20"/>
      <c r="G665" s="20"/>
      <c r="H665" s="20"/>
      <c r="I665" s="23"/>
      <c r="J665" s="20"/>
      <c r="K665" s="20"/>
      <c r="L665" s="20"/>
      <c r="M665" s="20"/>
      <c r="N665" s="20"/>
      <c r="O665" s="22"/>
      <c r="P665" s="20"/>
      <c r="Q665" s="20"/>
      <c r="R665" s="20"/>
      <c r="S665" s="20"/>
      <c r="T665" s="20"/>
      <c r="U665" s="20"/>
      <c r="V665" s="20"/>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row>
    <row r="666">
      <c r="A666" s="20"/>
      <c r="B666" s="20"/>
      <c r="C666" s="20"/>
      <c r="D666" s="20"/>
      <c r="E666" s="20"/>
      <c r="F666" s="20"/>
      <c r="G666" s="20"/>
      <c r="H666" s="20"/>
      <c r="I666" s="23"/>
      <c r="J666" s="20"/>
      <c r="K666" s="20"/>
      <c r="L666" s="20"/>
      <c r="M666" s="20"/>
      <c r="N666" s="20"/>
      <c r="O666" s="22"/>
      <c r="P666" s="20"/>
      <c r="Q666" s="20"/>
      <c r="R666" s="20"/>
      <c r="S666" s="20"/>
      <c r="T666" s="20"/>
      <c r="U666" s="20"/>
      <c r="V666" s="20"/>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row>
    <row r="667">
      <c r="A667" s="20"/>
      <c r="B667" s="20"/>
      <c r="C667" s="20"/>
      <c r="D667" s="20"/>
      <c r="E667" s="20"/>
      <c r="F667" s="20"/>
      <c r="G667" s="20"/>
      <c r="H667" s="20"/>
      <c r="I667" s="23"/>
      <c r="J667" s="20"/>
      <c r="K667" s="20"/>
      <c r="L667" s="20"/>
      <c r="M667" s="20"/>
      <c r="N667" s="20"/>
      <c r="O667" s="22"/>
      <c r="P667" s="20"/>
      <c r="Q667" s="20"/>
      <c r="R667" s="20"/>
      <c r="S667" s="20"/>
      <c r="T667" s="20"/>
      <c r="U667" s="20"/>
      <c r="V667" s="20"/>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row>
    <row r="668">
      <c r="A668" s="20"/>
      <c r="B668" s="20"/>
      <c r="C668" s="20"/>
      <c r="D668" s="20"/>
      <c r="E668" s="20"/>
      <c r="F668" s="20"/>
      <c r="G668" s="20"/>
      <c r="H668" s="20"/>
      <c r="I668" s="23"/>
      <c r="J668" s="20"/>
      <c r="K668" s="20"/>
      <c r="L668" s="20"/>
      <c r="M668" s="20"/>
      <c r="N668" s="20"/>
      <c r="O668" s="22"/>
      <c r="P668" s="20"/>
      <c r="Q668" s="20"/>
      <c r="R668" s="20"/>
      <c r="S668" s="20"/>
      <c r="T668" s="20"/>
      <c r="U668" s="20"/>
      <c r="V668" s="20"/>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row>
    <row r="669">
      <c r="A669" s="20"/>
      <c r="B669" s="20"/>
      <c r="C669" s="20"/>
      <c r="D669" s="20"/>
      <c r="E669" s="20"/>
      <c r="F669" s="20"/>
      <c r="G669" s="20"/>
      <c r="H669" s="20"/>
      <c r="I669" s="23"/>
      <c r="J669" s="20"/>
      <c r="K669" s="20"/>
      <c r="L669" s="20"/>
      <c r="M669" s="20"/>
      <c r="N669" s="20"/>
      <c r="O669" s="22"/>
      <c r="P669" s="20"/>
      <c r="Q669" s="20"/>
      <c r="R669" s="20"/>
      <c r="S669" s="20"/>
      <c r="T669" s="20"/>
      <c r="U669" s="20"/>
      <c r="V669" s="20"/>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row>
    <row r="670">
      <c r="A670" s="20"/>
      <c r="B670" s="20"/>
      <c r="C670" s="20"/>
      <c r="D670" s="20"/>
      <c r="E670" s="20"/>
      <c r="F670" s="20"/>
      <c r="G670" s="20"/>
      <c r="H670" s="20"/>
      <c r="I670" s="23"/>
      <c r="J670" s="20"/>
      <c r="K670" s="20"/>
      <c r="L670" s="20"/>
      <c r="M670" s="20"/>
      <c r="N670" s="20"/>
      <c r="O670" s="22"/>
      <c r="P670" s="20"/>
      <c r="Q670" s="20"/>
      <c r="R670" s="20"/>
      <c r="S670" s="20"/>
      <c r="T670" s="20"/>
      <c r="U670" s="20"/>
      <c r="V670" s="20"/>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row>
    <row r="671">
      <c r="A671" s="20"/>
      <c r="B671" s="20"/>
      <c r="C671" s="20"/>
      <c r="D671" s="20"/>
      <c r="E671" s="20"/>
      <c r="F671" s="20"/>
      <c r="G671" s="20"/>
      <c r="H671" s="20"/>
      <c r="I671" s="23"/>
      <c r="J671" s="20"/>
      <c r="K671" s="20"/>
      <c r="L671" s="20"/>
      <c r="M671" s="20"/>
      <c r="N671" s="20"/>
      <c r="O671" s="22"/>
      <c r="P671" s="20"/>
      <c r="Q671" s="20"/>
      <c r="R671" s="20"/>
      <c r="S671" s="20"/>
      <c r="T671" s="20"/>
      <c r="U671" s="20"/>
      <c r="V671" s="20"/>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row>
    <row r="672">
      <c r="A672" s="20"/>
      <c r="B672" s="20"/>
      <c r="C672" s="20"/>
      <c r="D672" s="20"/>
      <c r="E672" s="20"/>
      <c r="F672" s="20"/>
      <c r="G672" s="20"/>
      <c r="H672" s="20"/>
      <c r="I672" s="23"/>
      <c r="J672" s="20"/>
      <c r="K672" s="20"/>
      <c r="L672" s="20"/>
      <c r="M672" s="20"/>
      <c r="N672" s="20"/>
      <c r="O672" s="22"/>
      <c r="P672" s="20"/>
      <c r="Q672" s="20"/>
      <c r="R672" s="20"/>
      <c r="S672" s="20"/>
      <c r="T672" s="20"/>
      <c r="U672" s="20"/>
      <c r="V672" s="20"/>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row>
    <row r="673">
      <c r="A673" s="20"/>
      <c r="B673" s="20"/>
      <c r="C673" s="20"/>
      <c r="D673" s="20"/>
      <c r="E673" s="20"/>
      <c r="F673" s="20"/>
      <c r="G673" s="20"/>
      <c r="H673" s="20"/>
      <c r="I673" s="23"/>
      <c r="J673" s="20"/>
      <c r="K673" s="20"/>
      <c r="L673" s="20"/>
      <c r="M673" s="20"/>
      <c r="N673" s="20"/>
      <c r="O673" s="22"/>
      <c r="P673" s="20"/>
      <c r="Q673" s="20"/>
      <c r="R673" s="20"/>
      <c r="S673" s="20"/>
      <c r="T673" s="20"/>
      <c r="U673" s="20"/>
      <c r="V673" s="20"/>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row>
    <row r="674">
      <c r="A674" s="20"/>
      <c r="B674" s="20"/>
      <c r="C674" s="20"/>
      <c r="D674" s="20"/>
      <c r="E674" s="20"/>
      <c r="F674" s="20"/>
      <c r="G674" s="20"/>
      <c r="H674" s="20"/>
      <c r="I674" s="23"/>
      <c r="J674" s="20"/>
      <c r="K674" s="20"/>
      <c r="L674" s="20"/>
      <c r="M674" s="20"/>
      <c r="N674" s="20"/>
      <c r="O674" s="22"/>
      <c r="P674" s="20"/>
      <c r="Q674" s="20"/>
      <c r="R674" s="20"/>
      <c r="S674" s="20"/>
      <c r="T674" s="20"/>
      <c r="U674" s="20"/>
      <c r="V674" s="20"/>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row>
    <row r="675">
      <c r="A675" s="20"/>
      <c r="B675" s="20"/>
      <c r="C675" s="20"/>
      <c r="D675" s="20"/>
      <c r="E675" s="20"/>
      <c r="F675" s="20"/>
      <c r="G675" s="20"/>
      <c r="H675" s="20"/>
      <c r="I675" s="23"/>
      <c r="J675" s="20"/>
      <c r="K675" s="20"/>
      <c r="L675" s="20"/>
      <c r="M675" s="20"/>
      <c r="N675" s="20"/>
      <c r="O675" s="22"/>
      <c r="P675" s="20"/>
      <c r="Q675" s="20"/>
      <c r="R675" s="20"/>
      <c r="S675" s="20"/>
      <c r="T675" s="20"/>
      <c r="U675" s="20"/>
      <c r="V675" s="20"/>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row>
    <row r="676">
      <c r="A676" s="20"/>
      <c r="B676" s="20"/>
      <c r="C676" s="20"/>
      <c r="D676" s="20"/>
      <c r="E676" s="20"/>
      <c r="F676" s="20"/>
      <c r="G676" s="20"/>
      <c r="H676" s="20"/>
      <c r="I676" s="23"/>
      <c r="J676" s="20"/>
      <c r="K676" s="20"/>
      <c r="L676" s="20"/>
      <c r="M676" s="20"/>
      <c r="N676" s="20"/>
      <c r="O676" s="22"/>
      <c r="P676" s="20"/>
      <c r="Q676" s="20"/>
      <c r="R676" s="20"/>
      <c r="S676" s="20"/>
      <c r="T676" s="20"/>
      <c r="U676" s="20"/>
      <c r="V676" s="20"/>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row>
    <row r="677">
      <c r="A677" s="20"/>
      <c r="B677" s="20"/>
      <c r="C677" s="20"/>
      <c r="D677" s="20"/>
      <c r="E677" s="20"/>
      <c r="F677" s="20"/>
      <c r="G677" s="20"/>
      <c r="H677" s="20"/>
      <c r="I677" s="23"/>
      <c r="J677" s="20"/>
      <c r="K677" s="20"/>
      <c r="L677" s="20"/>
      <c r="M677" s="20"/>
      <c r="N677" s="20"/>
      <c r="O677" s="22"/>
      <c r="P677" s="20"/>
      <c r="Q677" s="20"/>
      <c r="R677" s="20"/>
      <c r="S677" s="20"/>
      <c r="T677" s="20"/>
      <c r="U677" s="20"/>
      <c r="V677" s="20"/>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row>
    <row r="678">
      <c r="A678" s="20"/>
      <c r="B678" s="20"/>
      <c r="C678" s="20"/>
      <c r="D678" s="20"/>
      <c r="E678" s="20"/>
      <c r="F678" s="20"/>
      <c r="G678" s="20"/>
      <c r="H678" s="20"/>
      <c r="I678" s="23"/>
      <c r="J678" s="20"/>
      <c r="K678" s="20"/>
      <c r="L678" s="20"/>
      <c r="M678" s="20"/>
      <c r="N678" s="20"/>
      <c r="O678" s="22"/>
      <c r="P678" s="20"/>
      <c r="Q678" s="20"/>
      <c r="R678" s="20"/>
      <c r="S678" s="20"/>
      <c r="T678" s="20"/>
      <c r="U678" s="20"/>
      <c r="V678" s="20"/>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row>
    <row r="679">
      <c r="A679" s="20"/>
      <c r="B679" s="20"/>
      <c r="C679" s="20"/>
      <c r="D679" s="20"/>
      <c r="E679" s="20"/>
      <c r="F679" s="20"/>
      <c r="G679" s="20"/>
      <c r="H679" s="20"/>
      <c r="I679" s="23"/>
      <c r="J679" s="20"/>
      <c r="K679" s="20"/>
      <c r="L679" s="20"/>
      <c r="M679" s="20"/>
      <c r="N679" s="20"/>
      <c r="O679" s="22"/>
      <c r="P679" s="20"/>
      <c r="Q679" s="20"/>
      <c r="R679" s="20"/>
      <c r="S679" s="20"/>
      <c r="T679" s="20"/>
      <c r="U679" s="20"/>
      <c r="V679" s="20"/>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row>
    <row r="680">
      <c r="A680" s="20"/>
      <c r="B680" s="20"/>
      <c r="C680" s="20"/>
      <c r="D680" s="20"/>
      <c r="E680" s="20"/>
      <c r="F680" s="20"/>
      <c r="G680" s="20"/>
      <c r="H680" s="20"/>
      <c r="I680" s="23"/>
      <c r="J680" s="20"/>
      <c r="K680" s="20"/>
      <c r="L680" s="20"/>
      <c r="M680" s="20"/>
      <c r="N680" s="20"/>
      <c r="O680" s="22"/>
      <c r="P680" s="20"/>
      <c r="Q680" s="20"/>
      <c r="R680" s="20"/>
      <c r="S680" s="20"/>
      <c r="T680" s="20"/>
      <c r="U680" s="20"/>
      <c r="V680" s="20"/>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row>
    <row r="681">
      <c r="A681" s="20"/>
      <c r="B681" s="20"/>
      <c r="C681" s="20"/>
      <c r="D681" s="20"/>
      <c r="E681" s="20"/>
      <c r="F681" s="20"/>
      <c r="G681" s="20"/>
      <c r="H681" s="20"/>
      <c r="I681" s="23"/>
      <c r="J681" s="20"/>
      <c r="K681" s="20"/>
      <c r="L681" s="20"/>
      <c r="M681" s="20"/>
      <c r="N681" s="20"/>
      <c r="O681" s="22"/>
      <c r="P681" s="20"/>
      <c r="Q681" s="20"/>
      <c r="R681" s="20"/>
      <c r="S681" s="20"/>
      <c r="T681" s="20"/>
      <c r="U681" s="20"/>
      <c r="V681" s="20"/>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row>
    <row r="682">
      <c r="A682" s="20"/>
      <c r="B682" s="20"/>
      <c r="C682" s="20"/>
      <c r="D682" s="20"/>
      <c r="E682" s="20"/>
      <c r="F682" s="20"/>
      <c r="G682" s="20"/>
      <c r="H682" s="20"/>
      <c r="I682" s="23"/>
      <c r="J682" s="20"/>
      <c r="K682" s="20"/>
      <c r="L682" s="20"/>
      <c r="M682" s="20"/>
      <c r="N682" s="20"/>
      <c r="O682" s="22"/>
      <c r="P682" s="20"/>
      <c r="Q682" s="20"/>
      <c r="R682" s="20"/>
      <c r="S682" s="20"/>
      <c r="T682" s="20"/>
      <c r="U682" s="20"/>
      <c r="V682" s="20"/>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row>
    <row r="683">
      <c r="A683" s="20"/>
      <c r="B683" s="20"/>
      <c r="C683" s="20"/>
      <c r="D683" s="20"/>
      <c r="E683" s="20"/>
      <c r="F683" s="20"/>
      <c r="G683" s="20"/>
      <c r="H683" s="20"/>
      <c r="I683" s="23"/>
      <c r="J683" s="20"/>
      <c r="K683" s="20"/>
      <c r="L683" s="20"/>
      <c r="M683" s="20"/>
      <c r="N683" s="20"/>
      <c r="O683" s="22"/>
      <c r="P683" s="20"/>
      <c r="Q683" s="20"/>
      <c r="R683" s="20"/>
      <c r="S683" s="20"/>
      <c r="T683" s="20"/>
      <c r="U683" s="20"/>
      <c r="V683" s="20"/>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row>
    <row r="684">
      <c r="A684" s="20"/>
      <c r="B684" s="20"/>
      <c r="C684" s="20"/>
      <c r="D684" s="20"/>
      <c r="E684" s="20"/>
      <c r="F684" s="20"/>
      <c r="G684" s="20"/>
      <c r="H684" s="20"/>
      <c r="I684" s="23"/>
      <c r="J684" s="20"/>
      <c r="K684" s="20"/>
      <c r="L684" s="20"/>
      <c r="M684" s="20"/>
      <c r="N684" s="20"/>
      <c r="O684" s="22"/>
      <c r="P684" s="20"/>
      <c r="Q684" s="20"/>
      <c r="R684" s="20"/>
      <c r="S684" s="20"/>
      <c r="T684" s="20"/>
      <c r="U684" s="20"/>
      <c r="V684" s="20"/>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row>
    <row r="685">
      <c r="A685" s="20"/>
      <c r="B685" s="20"/>
      <c r="C685" s="20"/>
      <c r="D685" s="20"/>
      <c r="E685" s="20"/>
      <c r="F685" s="20"/>
      <c r="G685" s="20"/>
      <c r="H685" s="20"/>
      <c r="I685" s="23"/>
      <c r="J685" s="20"/>
      <c r="K685" s="20"/>
      <c r="L685" s="20"/>
      <c r="M685" s="20"/>
      <c r="N685" s="20"/>
      <c r="O685" s="22"/>
      <c r="P685" s="20"/>
      <c r="Q685" s="20"/>
      <c r="R685" s="20"/>
      <c r="S685" s="20"/>
      <c r="T685" s="20"/>
      <c r="U685" s="20"/>
      <c r="V685" s="20"/>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row>
    <row r="686">
      <c r="A686" s="20"/>
      <c r="B686" s="20"/>
      <c r="C686" s="20"/>
      <c r="D686" s="20"/>
      <c r="E686" s="20"/>
      <c r="F686" s="20"/>
      <c r="G686" s="20"/>
      <c r="H686" s="20"/>
      <c r="I686" s="23"/>
      <c r="J686" s="20"/>
      <c r="K686" s="20"/>
      <c r="L686" s="20"/>
      <c r="M686" s="20"/>
      <c r="N686" s="20"/>
      <c r="O686" s="22"/>
      <c r="P686" s="20"/>
      <c r="Q686" s="20"/>
      <c r="R686" s="20"/>
      <c r="S686" s="20"/>
      <c r="T686" s="20"/>
      <c r="U686" s="20"/>
      <c r="V686" s="20"/>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row>
    <row r="687">
      <c r="A687" s="20"/>
      <c r="B687" s="20"/>
      <c r="C687" s="20"/>
      <c r="D687" s="20"/>
      <c r="E687" s="20"/>
      <c r="F687" s="20"/>
      <c r="G687" s="20"/>
      <c r="H687" s="20"/>
      <c r="I687" s="23"/>
      <c r="J687" s="20"/>
      <c r="K687" s="20"/>
      <c r="L687" s="20"/>
      <c r="M687" s="20"/>
      <c r="N687" s="20"/>
      <c r="O687" s="22"/>
      <c r="P687" s="20"/>
      <c r="Q687" s="20"/>
      <c r="R687" s="20"/>
      <c r="S687" s="20"/>
      <c r="T687" s="20"/>
      <c r="U687" s="20"/>
      <c r="V687" s="20"/>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row>
    <row r="688">
      <c r="A688" s="20"/>
      <c r="B688" s="20"/>
      <c r="C688" s="20"/>
      <c r="D688" s="20"/>
      <c r="E688" s="20"/>
      <c r="F688" s="20"/>
      <c r="G688" s="20"/>
      <c r="H688" s="20"/>
      <c r="I688" s="23"/>
      <c r="J688" s="20"/>
      <c r="K688" s="20"/>
      <c r="L688" s="20"/>
      <c r="M688" s="20"/>
      <c r="N688" s="20"/>
      <c r="O688" s="22"/>
      <c r="P688" s="20"/>
      <c r="Q688" s="20"/>
      <c r="R688" s="20"/>
      <c r="S688" s="20"/>
      <c r="T688" s="20"/>
      <c r="U688" s="20"/>
      <c r="V688" s="20"/>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row>
    <row r="689">
      <c r="A689" s="20"/>
      <c r="B689" s="20"/>
      <c r="C689" s="20"/>
      <c r="D689" s="20"/>
      <c r="E689" s="20"/>
      <c r="F689" s="20"/>
      <c r="G689" s="20"/>
      <c r="H689" s="20"/>
      <c r="I689" s="23"/>
      <c r="J689" s="20"/>
      <c r="K689" s="20"/>
      <c r="L689" s="20"/>
      <c r="M689" s="20"/>
      <c r="N689" s="20"/>
      <c r="O689" s="22"/>
      <c r="P689" s="20"/>
      <c r="Q689" s="20"/>
      <c r="R689" s="20"/>
      <c r="S689" s="20"/>
      <c r="T689" s="20"/>
      <c r="U689" s="20"/>
      <c r="V689" s="20"/>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c r="A690" s="20"/>
      <c r="B690" s="20"/>
      <c r="C690" s="20"/>
      <c r="D690" s="20"/>
      <c r="E690" s="20"/>
      <c r="F690" s="20"/>
      <c r="G690" s="20"/>
      <c r="H690" s="20"/>
      <c r="I690" s="23"/>
      <c r="J690" s="20"/>
      <c r="K690" s="20"/>
      <c r="L690" s="20"/>
      <c r="M690" s="20"/>
      <c r="N690" s="20"/>
      <c r="O690" s="22"/>
      <c r="P690" s="20"/>
      <c r="Q690" s="20"/>
      <c r="R690" s="20"/>
      <c r="S690" s="20"/>
      <c r="T690" s="20"/>
      <c r="U690" s="20"/>
      <c r="V690" s="20"/>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c r="A691" s="20"/>
      <c r="B691" s="20"/>
      <c r="C691" s="20"/>
      <c r="D691" s="20"/>
      <c r="E691" s="20"/>
      <c r="F691" s="20"/>
      <c r="G691" s="20"/>
      <c r="H691" s="20"/>
      <c r="I691" s="23"/>
      <c r="J691" s="20"/>
      <c r="K691" s="20"/>
      <c r="L691" s="20"/>
      <c r="M691" s="20"/>
      <c r="N691" s="20"/>
      <c r="O691" s="22"/>
      <c r="P691" s="20"/>
      <c r="Q691" s="20"/>
      <c r="R691" s="20"/>
      <c r="S691" s="20"/>
      <c r="T691" s="20"/>
      <c r="U691" s="20"/>
      <c r="V691" s="20"/>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row>
    <row r="692">
      <c r="A692" s="20"/>
      <c r="B692" s="20"/>
      <c r="C692" s="20"/>
      <c r="D692" s="20"/>
      <c r="E692" s="20"/>
      <c r="F692" s="20"/>
      <c r="G692" s="20"/>
      <c r="H692" s="20"/>
      <c r="I692" s="23"/>
      <c r="J692" s="20"/>
      <c r="K692" s="20"/>
      <c r="L692" s="20"/>
      <c r="M692" s="20"/>
      <c r="N692" s="20"/>
      <c r="O692" s="22"/>
      <c r="P692" s="20"/>
      <c r="Q692" s="20"/>
      <c r="R692" s="20"/>
      <c r="S692" s="20"/>
      <c r="T692" s="20"/>
      <c r="U692" s="20"/>
      <c r="V692" s="20"/>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c r="A693" s="20"/>
      <c r="B693" s="20"/>
      <c r="C693" s="20"/>
      <c r="D693" s="20"/>
      <c r="E693" s="20"/>
      <c r="F693" s="20"/>
      <c r="G693" s="20"/>
      <c r="H693" s="20"/>
      <c r="I693" s="23"/>
      <c r="J693" s="20"/>
      <c r="K693" s="20"/>
      <c r="L693" s="20"/>
      <c r="M693" s="20"/>
      <c r="N693" s="20"/>
      <c r="O693" s="22"/>
      <c r="P693" s="20"/>
      <c r="Q693" s="20"/>
      <c r="R693" s="20"/>
      <c r="S693" s="20"/>
      <c r="T693" s="20"/>
      <c r="U693" s="20"/>
      <c r="V693" s="20"/>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row>
    <row r="694">
      <c r="A694" s="20"/>
      <c r="B694" s="20"/>
      <c r="C694" s="20"/>
      <c r="D694" s="20"/>
      <c r="E694" s="20"/>
      <c r="F694" s="20"/>
      <c r="G694" s="20"/>
      <c r="H694" s="20"/>
      <c r="I694" s="23"/>
      <c r="J694" s="20"/>
      <c r="K694" s="20"/>
      <c r="L694" s="20"/>
      <c r="M694" s="20"/>
      <c r="N694" s="20"/>
      <c r="O694" s="22"/>
      <c r="P694" s="20"/>
      <c r="Q694" s="20"/>
      <c r="R694" s="20"/>
      <c r="S694" s="20"/>
      <c r="T694" s="20"/>
      <c r="U694" s="20"/>
      <c r="V694" s="20"/>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c r="A695" s="20"/>
      <c r="B695" s="20"/>
      <c r="C695" s="20"/>
      <c r="D695" s="20"/>
      <c r="E695" s="20"/>
      <c r="F695" s="20"/>
      <c r="G695" s="20"/>
      <c r="H695" s="20"/>
      <c r="I695" s="23"/>
      <c r="J695" s="20"/>
      <c r="K695" s="20"/>
      <c r="L695" s="20"/>
      <c r="M695" s="20"/>
      <c r="N695" s="20"/>
      <c r="O695" s="22"/>
      <c r="P695" s="20"/>
      <c r="Q695" s="20"/>
      <c r="R695" s="20"/>
      <c r="S695" s="20"/>
      <c r="T695" s="20"/>
      <c r="U695" s="20"/>
      <c r="V695" s="20"/>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row>
    <row r="696">
      <c r="A696" s="20"/>
      <c r="B696" s="20"/>
      <c r="C696" s="20"/>
      <c r="D696" s="20"/>
      <c r="E696" s="20"/>
      <c r="F696" s="20"/>
      <c r="G696" s="20"/>
      <c r="H696" s="20"/>
      <c r="I696" s="23"/>
      <c r="J696" s="20"/>
      <c r="K696" s="20"/>
      <c r="L696" s="20"/>
      <c r="M696" s="20"/>
      <c r="N696" s="20"/>
      <c r="O696" s="22"/>
      <c r="P696" s="20"/>
      <c r="Q696" s="20"/>
      <c r="R696" s="20"/>
      <c r="S696" s="20"/>
      <c r="T696" s="20"/>
      <c r="U696" s="20"/>
      <c r="V696" s="20"/>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c r="A697" s="20"/>
      <c r="B697" s="20"/>
      <c r="C697" s="20"/>
      <c r="D697" s="20"/>
      <c r="E697" s="20"/>
      <c r="F697" s="20"/>
      <c r="G697" s="20"/>
      <c r="H697" s="20"/>
      <c r="I697" s="23"/>
      <c r="J697" s="20"/>
      <c r="K697" s="20"/>
      <c r="L697" s="20"/>
      <c r="M697" s="20"/>
      <c r="N697" s="20"/>
      <c r="O697" s="22"/>
      <c r="P697" s="20"/>
      <c r="Q697" s="20"/>
      <c r="R697" s="20"/>
      <c r="S697" s="20"/>
      <c r="T697" s="20"/>
      <c r="U697" s="20"/>
      <c r="V697" s="20"/>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c r="A698" s="20"/>
      <c r="B698" s="20"/>
      <c r="C698" s="20"/>
      <c r="D698" s="20"/>
      <c r="E698" s="20"/>
      <c r="F698" s="20"/>
      <c r="G698" s="20"/>
      <c r="H698" s="20"/>
      <c r="I698" s="23"/>
      <c r="J698" s="20"/>
      <c r="K698" s="20"/>
      <c r="L698" s="20"/>
      <c r="M698" s="20"/>
      <c r="N698" s="20"/>
      <c r="O698" s="22"/>
      <c r="P698" s="20"/>
      <c r="Q698" s="20"/>
      <c r="R698" s="20"/>
      <c r="S698" s="20"/>
      <c r="T698" s="20"/>
      <c r="U698" s="20"/>
      <c r="V698" s="20"/>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c r="A699" s="20"/>
      <c r="B699" s="20"/>
      <c r="C699" s="20"/>
      <c r="D699" s="20"/>
      <c r="E699" s="20"/>
      <c r="F699" s="20"/>
      <c r="G699" s="20"/>
      <c r="H699" s="20"/>
      <c r="I699" s="23"/>
      <c r="J699" s="20"/>
      <c r="K699" s="20"/>
      <c r="L699" s="20"/>
      <c r="M699" s="20"/>
      <c r="N699" s="20"/>
      <c r="O699" s="22"/>
      <c r="P699" s="20"/>
      <c r="Q699" s="20"/>
      <c r="R699" s="20"/>
      <c r="S699" s="20"/>
      <c r="T699" s="20"/>
      <c r="U699" s="20"/>
      <c r="V699" s="20"/>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c r="A700" s="20"/>
      <c r="B700" s="20"/>
      <c r="C700" s="20"/>
      <c r="D700" s="20"/>
      <c r="E700" s="20"/>
      <c r="F700" s="20"/>
      <c r="G700" s="20"/>
      <c r="H700" s="20"/>
      <c r="I700" s="23"/>
      <c r="J700" s="20"/>
      <c r="K700" s="20"/>
      <c r="L700" s="20"/>
      <c r="M700" s="20"/>
      <c r="N700" s="20"/>
      <c r="O700" s="22"/>
      <c r="P700" s="20"/>
      <c r="Q700" s="20"/>
      <c r="R700" s="20"/>
      <c r="S700" s="20"/>
      <c r="T700" s="20"/>
      <c r="U700" s="20"/>
      <c r="V700" s="20"/>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c r="A701" s="20"/>
      <c r="B701" s="20"/>
      <c r="C701" s="20"/>
      <c r="D701" s="20"/>
      <c r="E701" s="20"/>
      <c r="F701" s="20"/>
      <c r="G701" s="20"/>
      <c r="H701" s="20"/>
      <c r="I701" s="23"/>
      <c r="J701" s="20"/>
      <c r="K701" s="20"/>
      <c r="L701" s="20"/>
      <c r="M701" s="20"/>
      <c r="N701" s="20"/>
      <c r="O701" s="22"/>
      <c r="P701" s="20"/>
      <c r="Q701" s="20"/>
      <c r="R701" s="20"/>
      <c r="S701" s="20"/>
      <c r="T701" s="20"/>
      <c r="U701" s="20"/>
      <c r="V701" s="20"/>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c r="A702" s="20"/>
      <c r="B702" s="20"/>
      <c r="C702" s="20"/>
      <c r="D702" s="20"/>
      <c r="E702" s="20"/>
      <c r="F702" s="20"/>
      <c r="G702" s="20"/>
      <c r="H702" s="20"/>
      <c r="I702" s="23"/>
      <c r="J702" s="20"/>
      <c r="K702" s="20"/>
      <c r="L702" s="20"/>
      <c r="M702" s="20"/>
      <c r="N702" s="20"/>
      <c r="O702" s="22"/>
      <c r="P702" s="20"/>
      <c r="Q702" s="20"/>
      <c r="R702" s="20"/>
      <c r="S702" s="20"/>
      <c r="T702" s="20"/>
      <c r="U702" s="20"/>
      <c r="V702" s="20"/>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c r="A703" s="20"/>
      <c r="B703" s="20"/>
      <c r="C703" s="20"/>
      <c r="D703" s="20"/>
      <c r="E703" s="20"/>
      <c r="F703" s="20"/>
      <c r="G703" s="20"/>
      <c r="H703" s="20"/>
      <c r="I703" s="23"/>
      <c r="J703" s="20"/>
      <c r="K703" s="20"/>
      <c r="L703" s="20"/>
      <c r="M703" s="20"/>
      <c r="N703" s="20"/>
      <c r="O703" s="22"/>
      <c r="P703" s="20"/>
      <c r="Q703" s="20"/>
      <c r="R703" s="20"/>
      <c r="S703" s="20"/>
      <c r="T703" s="20"/>
      <c r="U703" s="20"/>
      <c r="V703" s="20"/>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c r="A704" s="20"/>
      <c r="B704" s="20"/>
      <c r="C704" s="20"/>
      <c r="D704" s="20"/>
      <c r="E704" s="20"/>
      <c r="F704" s="20"/>
      <c r="G704" s="20"/>
      <c r="H704" s="20"/>
      <c r="I704" s="23"/>
      <c r="J704" s="20"/>
      <c r="K704" s="20"/>
      <c r="L704" s="20"/>
      <c r="M704" s="20"/>
      <c r="N704" s="20"/>
      <c r="O704" s="22"/>
      <c r="P704" s="20"/>
      <c r="Q704" s="20"/>
      <c r="R704" s="20"/>
      <c r="S704" s="20"/>
      <c r="T704" s="20"/>
      <c r="U704" s="20"/>
      <c r="V704" s="20"/>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c r="A705" s="20"/>
      <c r="B705" s="20"/>
      <c r="C705" s="20"/>
      <c r="D705" s="20"/>
      <c r="E705" s="20"/>
      <c r="F705" s="20"/>
      <c r="G705" s="20"/>
      <c r="H705" s="20"/>
      <c r="I705" s="23"/>
      <c r="J705" s="20"/>
      <c r="K705" s="20"/>
      <c r="L705" s="20"/>
      <c r="M705" s="20"/>
      <c r="N705" s="20"/>
      <c r="O705" s="22"/>
      <c r="P705" s="20"/>
      <c r="Q705" s="20"/>
      <c r="R705" s="20"/>
      <c r="S705" s="20"/>
      <c r="T705" s="20"/>
      <c r="U705" s="20"/>
      <c r="V705" s="20"/>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c r="A706" s="20"/>
      <c r="B706" s="20"/>
      <c r="C706" s="20"/>
      <c r="D706" s="20"/>
      <c r="E706" s="20"/>
      <c r="F706" s="20"/>
      <c r="G706" s="20"/>
      <c r="H706" s="20"/>
      <c r="I706" s="23"/>
      <c r="J706" s="20"/>
      <c r="K706" s="20"/>
      <c r="L706" s="20"/>
      <c r="M706" s="20"/>
      <c r="N706" s="20"/>
      <c r="O706" s="22"/>
      <c r="P706" s="20"/>
      <c r="Q706" s="20"/>
      <c r="R706" s="20"/>
      <c r="S706" s="20"/>
      <c r="T706" s="20"/>
      <c r="U706" s="20"/>
      <c r="V706" s="20"/>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c r="A707" s="20"/>
      <c r="B707" s="20"/>
      <c r="C707" s="20"/>
      <c r="D707" s="20"/>
      <c r="E707" s="20"/>
      <c r="F707" s="20"/>
      <c r="G707" s="20"/>
      <c r="H707" s="20"/>
      <c r="I707" s="23"/>
      <c r="J707" s="20"/>
      <c r="K707" s="20"/>
      <c r="L707" s="20"/>
      <c r="M707" s="20"/>
      <c r="N707" s="20"/>
      <c r="O707" s="22"/>
      <c r="P707" s="20"/>
      <c r="Q707" s="20"/>
      <c r="R707" s="20"/>
      <c r="S707" s="20"/>
      <c r="T707" s="20"/>
      <c r="U707" s="20"/>
      <c r="V707" s="20"/>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c r="A708" s="20"/>
      <c r="B708" s="20"/>
      <c r="C708" s="20"/>
      <c r="D708" s="20"/>
      <c r="E708" s="20"/>
      <c r="F708" s="20"/>
      <c r="G708" s="20"/>
      <c r="H708" s="20"/>
      <c r="I708" s="23"/>
      <c r="J708" s="20"/>
      <c r="K708" s="20"/>
      <c r="L708" s="20"/>
      <c r="M708" s="20"/>
      <c r="N708" s="20"/>
      <c r="O708" s="22"/>
      <c r="P708" s="20"/>
      <c r="Q708" s="20"/>
      <c r="R708" s="20"/>
      <c r="S708" s="20"/>
      <c r="T708" s="20"/>
      <c r="U708" s="20"/>
      <c r="V708" s="20"/>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c r="A709" s="20"/>
      <c r="B709" s="20"/>
      <c r="C709" s="20"/>
      <c r="D709" s="20"/>
      <c r="E709" s="20"/>
      <c r="F709" s="20"/>
      <c r="G709" s="20"/>
      <c r="H709" s="20"/>
      <c r="I709" s="23"/>
      <c r="J709" s="20"/>
      <c r="K709" s="20"/>
      <c r="L709" s="20"/>
      <c r="M709" s="20"/>
      <c r="N709" s="20"/>
      <c r="O709" s="22"/>
      <c r="P709" s="20"/>
      <c r="Q709" s="20"/>
      <c r="R709" s="20"/>
      <c r="S709" s="20"/>
      <c r="T709" s="20"/>
      <c r="U709" s="20"/>
      <c r="V709" s="20"/>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c r="A710" s="20"/>
      <c r="B710" s="20"/>
      <c r="C710" s="20"/>
      <c r="D710" s="20"/>
      <c r="E710" s="20"/>
      <c r="F710" s="20"/>
      <c r="G710" s="20"/>
      <c r="H710" s="20"/>
      <c r="I710" s="23"/>
      <c r="J710" s="20"/>
      <c r="K710" s="20"/>
      <c r="L710" s="20"/>
      <c r="M710" s="20"/>
      <c r="N710" s="20"/>
      <c r="O710" s="22"/>
      <c r="P710" s="20"/>
      <c r="Q710" s="20"/>
      <c r="R710" s="20"/>
      <c r="S710" s="20"/>
      <c r="T710" s="20"/>
      <c r="U710" s="20"/>
      <c r="V710" s="20"/>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c r="A711" s="20"/>
      <c r="B711" s="20"/>
      <c r="C711" s="20"/>
      <c r="D711" s="20"/>
      <c r="E711" s="20"/>
      <c r="F711" s="20"/>
      <c r="G711" s="20"/>
      <c r="H711" s="20"/>
      <c r="I711" s="23"/>
      <c r="J711" s="20"/>
      <c r="K711" s="20"/>
      <c r="L711" s="20"/>
      <c r="M711" s="20"/>
      <c r="N711" s="20"/>
      <c r="O711" s="22"/>
      <c r="P711" s="20"/>
      <c r="Q711" s="20"/>
      <c r="R711" s="20"/>
      <c r="S711" s="20"/>
      <c r="T711" s="20"/>
      <c r="U711" s="20"/>
      <c r="V711" s="20"/>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c r="A712" s="20"/>
      <c r="B712" s="20"/>
      <c r="C712" s="20"/>
      <c r="D712" s="20"/>
      <c r="E712" s="20"/>
      <c r="F712" s="20"/>
      <c r="G712" s="20"/>
      <c r="H712" s="20"/>
      <c r="I712" s="23"/>
      <c r="J712" s="20"/>
      <c r="K712" s="20"/>
      <c r="L712" s="20"/>
      <c r="M712" s="20"/>
      <c r="N712" s="20"/>
      <c r="O712" s="22"/>
      <c r="P712" s="20"/>
      <c r="Q712" s="20"/>
      <c r="R712" s="20"/>
      <c r="S712" s="20"/>
      <c r="T712" s="20"/>
      <c r="U712" s="20"/>
      <c r="V712" s="20"/>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c r="A713" s="20"/>
      <c r="B713" s="20"/>
      <c r="C713" s="20"/>
      <c r="D713" s="20"/>
      <c r="E713" s="20"/>
      <c r="F713" s="20"/>
      <c r="G713" s="20"/>
      <c r="H713" s="20"/>
      <c r="I713" s="23"/>
      <c r="J713" s="20"/>
      <c r="K713" s="20"/>
      <c r="L713" s="20"/>
      <c r="M713" s="20"/>
      <c r="N713" s="20"/>
      <c r="O713" s="22"/>
      <c r="P713" s="20"/>
      <c r="Q713" s="20"/>
      <c r="R713" s="20"/>
      <c r="S713" s="20"/>
      <c r="T713" s="20"/>
      <c r="U713" s="20"/>
      <c r="V713" s="20"/>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c r="A714" s="20"/>
      <c r="B714" s="20"/>
      <c r="C714" s="20"/>
      <c r="D714" s="20"/>
      <c r="E714" s="20"/>
      <c r="F714" s="20"/>
      <c r="G714" s="20"/>
      <c r="H714" s="20"/>
      <c r="I714" s="23"/>
      <c r="J714" s="20"/>
      <c r="K714" s="20"/>
      <c r="L714" s="20"/>
      <c r="M714" s="20"/>
      <c r="N714" s="20"/>
      <c r="O714" s="22"/>
      <c r="P714" s="20"/>
      <c r="Q714" s="20"/>
      <c r="R714" s="20"/>
      <c r="S714" s="20"/>
      <c r="T714" s="20"/>
      <c r="U714" s="20"/>
      <c r="V714" s="20"/>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row>
    <row r="715">
      <c r="A715" s="20"/>
      <c r="B715" s="20"/>
      <c r="C715" s="20"/>
      <c r="D715" s="20"/>
      <c r="E715" s="20"/>
      <c r="F715" s="20"/>
      <c r="G715" s="20"/>
      <c r="H715" s="20"/>
      <c r="I715" s="23"/>
      <c r="J715" s="20"/>
      <c r="K715" s="20"/>
      <c r="L715" s="20"/>
      <c r="M715" s="20"/>
      <c r="N715" s="20"/>
      <c r="O715" s="22"/>
      <c r="P715" s="20"/>
      <c r="Q715" s="20"/>
      <c r="R715" s="20"/>
      <c r="S715" s="20"/>
      <c r="T715" s="20"/>
      <c r="U715" s="20"/>
      <c r="V715" s="20"/>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c r="A716" s="20"/>
      <c r="B716" s="20"/>
      <c r="C716" s="20"/>
      <c r="D716" s="20"/>
      <c r="E716" s="20"/>
      <c r="F716" s="20"/>
      <c r="G716" s="20"/>
      <c r="H716" s="20"/>
      <c r="I716" s="23"/>
      <c r="J716" s="20"/>
      <c r="K716" s="20"/>
      <c r="L716" s="20"/>
      <c r="M716" s="20"/>
      <c r="N716" s="20"/>
      <c r="O716" s="22"/>
      <c r="P716" s="20"/>
      <c r="Q716" s="20"/>
      <c r="R716" s="20"/>
      <c r="S716" s="20"/>
      <c r="T716" s="20"/>
      <c r="U716" s="20"/>
      <c r="V716" s="20"/>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c r="A717" s="20"/>
      <c r="B717" s="20"/>
      <c r="C717" s="20"/>
      <c r="D717" s="20"/>
      <c r="E717" s="20"/>
      <c r="F717" s="20"/>
      <c r="G717" s="20"/>
      <c r="H717" s="20"/>
      <c r="I717" s="23"/>
      <c r="J717" s="20"/>
      <c r="K717" s="20"/>
      <c r="L717" s="20"/>
      <c r="M717" s="20"/>
      <c r="N717" s="20"/>
      <c r="O717" s="22"/>
      <c r="P717" s="20"/>
      <c r="Q717" s="20"/>
      <c r="R717" s="20"/>
      <c r="S717" s="20"/>
      <c r="T717" s="20"/>
      <c r="U717" s="20"/>
      <c r="V717" s="20"/>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c r="A718" s="20"/>
      <c r="B718" s="20"/>
      <c r="C718" s="20"/>
      <c r="D718" s="20"/>
      <c r="E718" s="20"/>
      <c r="F718" s="20"/>
      <c r="G718" s="20"/>
      <c r="H718" s="20"/>
      <c r="I718" s="23"/>
      <c r="J718" s="20"/>
      <c r="K718" s="20"/>
      <c r="L718" s="20"/>
      <c r="M718" s="20"/>
      <c r="N718" s="20"/>
      <c r="O718" s="22"/>
      <c r="P718" s="20"/>
      <c r="Q718" s="20"/>
      <c r="R718" s="20"/>
      <c r="S718" s="20"/>
      <c r="T718" s="20"/>
      <c r="U718" s="20"/>
      <c r="V718" s="20"/>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row>
    <row r="719">
      <c r="A719" s="20"/>
      <c r="B719" s="20"/>
      <c r="C719" s="20"/>
      <c r="D719" s="20"/>
      <c r="E719" s="20"/>
      <c r="F719" s="20"/>
      <c r="G719" s="20"/>
      <c r="H719" s="20"/>
      <c r="I719" s="23"/>
      <c r="J719" s="20"/>
      <c r="K719" s="20"/>
      <c r="L719" s="20"/>
      <c r="M719" s="20"/>
      <c r="N719" s="20"/>
      <c r="O719" s="22"/>
      <c r="P719" s="20"/>
      <c r="Q719" s="20"/>
      <c r="R719" s="20"/>
      <c r="S719" s="20"/>
      <c r="T719" s="20"/>
      <c r="U719" s="20"/>
      <c r="V719" s="20"/>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c r="A720" s="20"/>
      <c r="B720" s="20"/>
      <c r="C720" s="20"/>
      <c r="D720" s="20"/>
      <c r="E720" s="20"/>
      <c r="F720" s="20"/>
      <c r="G720" s="20"/>
      <c r="H720" s="20"/>
      <c r="I720" s="23"/>
      <c r="J720" s="20"/>
      <c r="K720" s="20"/>
      <c r="L720" s="20"/>
      <c r="M720" s="20"/>
      <c r="N720" s="20"/>
      <c r="O720" s="22"/>
      <c r="P720" s="20"/>
      <c r="Q720" s="20"/>
      <c r="R720" s="20"/>
      <c r="S720" s="20"/>
      <c r="T720" s="20"/>
      <c r="U720" s="20"/>
      <c r="V720" s="20"/>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c r="A721" s="20"/>
      <c r="B721" s="20"/>
      <c r="C721" s="20"/>
      <c r="D721" s="20"/>
      <c r="E721" s="20"/>
      <c r="F721" s="20"/>
      <c r="G721" s="20"/>
      <c r="H721" s="20"/>
      <c r="I721" s="23"/>
      <c r="J721" s="20"/>
      <c r="K721" s="20"/>
      <c r="L721" s="20"/>
      <c r="M721" s="20"/>
      <c r="N721" s="20"/>
      <c r="O721" s="22"/>
      <c r="P721" s="20"/>
      <c r="Q721" s="20"/>
      <c r="R721" s="20"/>
      <c r="S721" s="20"/>
      <c r="T721" s="20"/>
      <c r="U721" s="20"/>
      <c r="V721" s="20"/>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c r="A722" s="20"/>
      <c r="B722" s="20"/>
      <c r="C722" s="20"/>
      <c r="D722" s="20"/>
      <c r="E722" s="20"/>
      <c r="F722" s="20"/>
      <c r="G722" s="20"/>
      <c r="H722" s="20"/>
      <c r="I722" s="23"/>
      <c r="J722" s="20"/>
      <c r="K722" s="20"/>
      <c r="L722" s="20"/>
      <c r="M722" s="20"/>
      <c r="N722" s="20"/>
      <c r="O722" s="22"/>
      <c r="P722" s="20"/>
      <c r="Q722" s="20"/>
      <c r="R722" s="20"/>
      <c r="S722" s="20"/>
      <c r="T722" s="20"/>
      <c r="U722" s="20"/>
      <c r="V722" s="20"/>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c r="A723" s="20"/>
      <c r="B723" s="20"/>
      <c r="C723" s="20"/>
      <c r="D723" s="20"/>
      <c r="E723" s="20"/>
      <c r="F723" s="20"/>
      <c r="G723" s="20"/>
      <c r="H723" s="20"/>
      <c r="I723" s="23"/>
      <c r="J723" s="20"/>
      <c r="K723" s="20"/>
      <c r="L723" s="20"/>
      <c r="M723" s="20"/>
      <c r="N723" s="20"/>
      <c r="O723" s="22"/>
      <c r="P723" s="20"/>
      <c r="Q723" s="20"/>
      <c r="R723" s="20"/>
      <c r="S723" s="20"/>
      <c r="T723" s="20"/>
      <c r="U723" s="20"/>
      <c r="V723" s="20"/>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c r="A724" s="20"/>
      <c r="B724" s="20"/>
      <c r="C724" s="20"/>
      <c r="D724" s="20"/>
      <c r="E724" s="20"/>
      <c r="F724" s="20"/>
      <c r="G724" s="20"/>
      <c r="H724" s="20"/>
      <c r="I724" s="23"/>
      <c r="J724" s="20"/>
      <c r="K724" s="20"/>
      <c r="L724" s="20"/>
      <c r="M724" s="20"/>
      <c r="N724" s="20"/>
      <c r="O724" s="22"/>
      <c r="P724" s="20"/>
      <c r="Q724" s="20"/>
      <c r="R724" s="20"/>
      <c r="S724" s="20"/>
      <c r="T724" s="20"/>
      <c r="U724" s="20"/>
      <c r="V724" s="20"/>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c r="A725" s="20"/>
      <c r="B725" s="20"/>
      <c r="C725" s="20"/>
      <c r="D725" s="20"/>
      <c r="E725" s="20"/>
      <c r="F725" s="20"/>
      <c r="G725" s="20"/>
      <c r="H725" s="20"/>
      <c r="I725" s="23"/>
      <c r="J725" s="20"/>
      <c r="K725" s="20"/>
      <c r="L725" s="20"/>
      <c r="M725" s="20"/>
      <c r="N725" s="20"/>
      <c r="O725" s="22"/>
      <c r="P725" s="20"/>
      <c r="Q725" s="20"/>
      <c r="R725" s="20"/>
      <c r="S725" s="20"/>
      <c r="T725" s="20"/>
      <c r="U725" s="20"/>
      <c r="V725" s="20"/>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row>
    <row r="726">
      <c r="A726" s="20"/>
      <c r="B726" s="20"/>
      <c r="C726" s="20"/>
      <c r="D726" s="20"/>
      <c r="E726" s="20"/>
      <c r="F726" s="20"/>
      <c r="G726" s="20"/>
      <c r="H726" s="20"/>
      <c r="I726" s="23"/>
      <c r="J726" s="20"/>
      <c r="K726" s="20"/>
      <c r="L726" s="20"/>
      <c r="M726" s="20"/>
      <c r="N726" s="20"/>
      <c r="O726" s="22"/>
      <c r="P726" s="20"/>
      <c r="Q726" s="20"/>
      <c r="R726" s="20"/>
      <c r="S726" s="20"/>
      <c r="T726" s="20"/>
      <c r="U726" s="20"/>
      <c r="V726" s="20"/>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c r="A727" s="20"/>
      <c r="B727" s="20"/>
      <c r="C727" s="20"/>
      <c r="D727" s="20"/>
      <c r="E727" s="20"/>
      <c r="F727" s="20"/>
      <c r="G727" s="20"/>
      <c r="H727" s="20"/>
      <c r="I727" s="23"/>
      <c r="J727" s="20"/>
      <c r="K727" s="20"/>
      <c r="L727" s="20"/>
      <c r="M727" s="20"/>
      <c r="N727" s="20"/>
      <c r="O727" s="22"/>
      <c r="P727" s="20"/>
      <c r="Q727" s="20"/>
      <c r="R727" s="20"/>
      <c r="S727" s="20"/>
      <c r="T727" s="20"/>
      <c r="U727" s="20"/>
      <c r="V727" s="20"/>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row>
    <row r="728">
      <c r="A728" s="20"/>
      <c r="B728" s="20"/>
      <c r="C728" s="20"/>
      <c r="D728" s="20"/>
      <c r="E728" s="20"/>
      <c r="F728" s="20"/>
      <c r="G728" s="20"/>
      <c r="H728" s="20"/>
      <c r="I728" s="23"/>
      <c r="J728" s="20"/>
      <c r="K728" s="20"/>
      <c r="L728" s="20"/>
      <c r="M728" s="20"/>
      <c r="N728" s="20"/>
      <c r="O728" s="22"/>
      <c r="P728" s="20"/>
      <c r="Q728" s="20"/>
      <c r="R728" s="20"/>
      <c r="S728" s="20"/>
      <c r="T728" s="20"/>
      <c r="U728" s="20"/>
      <c r="V728" s="20"/>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c r="A729" s="20"/>
      <c r="B729" s="20"/>
      <c r="C729" s="20"/>
      <c r="D729" s="20"/>
      <c r="E729" s="20"/>
      <c r="F729" s="20"/>
      <c r="G729" s="20"/>
      <c r="H729" s="20"/>
      <c r="I729" s="23"/>
      <c r="J729" s="20"/>
      <c r="K729" s="20"/>
      <c r="L729" s="20"/>
      <c r="M729" s="20"/>
      <c r="N729" s="20"/>
      <c r="O729" s="22"/>
      <c r="P729" s="20"/>
      <c r="Q729" s="20"/>
      <c r="R729" s="20"/>
      <c r="S729" s="20"/>
      <c r="T729" s="20"/>
      <c r="U729" s="20"/>
      <c r="V729" s="20"/>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c r="A730" s="20"/>
      <c r="B730" s="20"/>
      <c r="C730" s="20"/>
      <c r="D730" s="20"/>
      <c r="E730" s="20"/>
      <c r="F730" s="20"/>
      <c r="G730" s="20"/>
      <c r="H730" s="20"/>
      <c r="I730" s="23"/>
      <c r="J730" s="20"/>
      <c r="K730" s="20"/>
      <c r="L730" s="20"/>
      <c r="M730" s="20"/>
      <c r="N730" s="20"/>
      <c r="O730" s="22"/>
      <c r="P730" s="20"/>
      <c r="Q730" s="20"/>
      <c r="R730" s="20"/>
      <c r="S730" s="20"/>
      <c r="T730" s="20"/>
      <c r="U730" s="20"/>
      <c r="V730" s="20"/>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c r="A731" s="20"/>
      <c r="B731" s="20"/>
      <c r="C731" s="20"/>
      <c r="D731" s="20"/>
      <c r="E731" s="20"/>
      <c r="F731" s="20"/>
      <c r="G731" s="20"/>
      <c r="H731" s="20"/>
      <c r="I731" s="23"/>
      <c r="J731" s="20"/>
      <c r="K731" s="20"/>
      <c r="L731" s="20"/>
      <c r="M731" s="20"/>
      <c r="N731" s="20"/>
      <c r="O731" s="22"/>
      <c r="P731" s="20"/>
      <c r="Q731" s="20"/>
      <c r="R731" s="20"/>
      <c r="S731" s="20"/>
      <c r="T731" s="20"/>
      <c r="U731" s="20"/>
      <c r="V731" s="20"/>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c r="A732" s="20"/>
      <c r="B732" s="20"/>
      <c r="C732" s="20"/>
      <c r="D732" s="20"/>
      <c r="E732" s="20"/>
      <c r="F732" s="20"/>
      <c r="G732" s="20"/>
      <c r="H732" s="20"/>
      <c r="I732" s="23"/>
      <c r="J732" s="20"/>
      <c r="K732" s="20"/>
      <c r="L732" s="20"/>
      <c r="M732" s="20"/>
      <c r="N732" s="20"/>
      <c r="O732" s="22"/>
      <c r="P732" s="20"/>
      <c r="Q732" s="20"/>
      <c r="R732" s="20"/>
      <c r="S732" s="20"/>
      <c r="T732" s="20"/>
      <c r="U732" s="20"/>
      <c r="V732" s="20"/>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c r="A733" s="20"/>
      <c r="B733" s="20"/>
      <c r="C733" s="20"/>
      <c r="D733" s="20"/>
      <c r="E733" s="20"/>
      <c r="F733" s="20"/>
      <c r="G733" s="20"/>
      <c r="H733" s="20"/>
      <c r="I733" s="23"/>
      <c r="J733" s="20"/>
      <c r="K733" s="20"/>
      <c r="L733" s="20"/>
      <c r="M733" s="20"/>
      <c r="N733" s="20"/>
      <c r="O733" s="22"/>
      <c r="P733" s="20"/>
      <c r="Q733" s="20"/>
      <c r="R733" s="20"/>
      <c r="S733" s="20"/>
      <c r="T733" s="20"/>
      <c r="U733" s="20"/>
      <c r="V733" s="20"/>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c r="A734" s="20"/>
      <c r="B734" s="20"/>
      <c r="C734" s="20"/>
      <c r="D734" s="20"/>
      <c r="E734" s="20"/>
      <c r="F734" s="20"/>
      <c r="G734" s="20"/>
      <c r="H734" s="20"/>
      <c r="I734" s="23"/>
      <c r="J734" s="20"/>
      <c r="K734" s="20"/>
      <c r="L734" s="20"/>
      <c r="M734" s="20"/>
      <c r="N734" s="20"/>
      <c r="O734" s="22"/>
      <c r="P734" s="20"/>
      <c r="Q734" s="20"/>
      <c r="R734" s="20"/>
      <c r="S734" s="20"/>
      <c r="T734" s="20"/>
      <c r="U734" s="20"/>
      <c r="V734" s="20"/>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c r="A735" s="20"/>
      <c r="B735" s="20"/>
      <c r="C735" s="20"/>
      <c r="D735" s="20"/>
      <c r="E735" s="20"/>
      <c r="F735" s="20"/>
      <c r="G735" s="20"/>
      <c r="H735" s="20"/>
      <c r="I735" s="23"/>
      <c r="J735" s="20"/>
      <c r="K735" s="20"/>
      <c r="L735" s="20"/>
      <c r="M735" s="20"/>
      <c r="N735" s="20"/>
      <c r="O735" s="22"/>
      <c r="P735" s="20"/>
      <c r="Q735" s="20"/>
      <c r="R735" s="20"/>
      <c r="S735" s="20"/>
      <c r="T735" s="20"/>
      <c r="U735" s="20"/>
      <c r="V735" s="20"/>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c r="A736" s="20"/>
      <c r="B736" s="20"/>
      <c r="C736" s="20"/>
      <c r="D736" s="20"/>
      <c r="E736" s="20"/>
      <c r="F736" s="20"/>
      <c r="G736" s="20"/>
      <c r="H736" s="20"/>
      <c r="I736" s="23"/>
      <c r="J736" s="20"/>
      <c r="K736" s="20"/>
      <c r="L736" s="20"/>
      <c r="M736" s="20"/>
      <c r="N736" s="20"/>
      <c r="O736" s="22"/>
      <c r="P736" s="20"/>
      <c r="Q736" s="20"/>
      <c r="R736" s="20"/>
      <c r="S736" s="20"/>
      <c r="T736" s="20"/>
      <c r="U736" s="20"/>
      <c r="V736" s="20"/>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c r="A737" s="20"/>
      <c r="B737" s="20"/>
      <c r="C737" s="20"/>
      <c r="D737" s="20"/>
      <c r="E737" s="20"/>
      <c r="F737" s="20"/>
      <c r="G737" s="20"/>
      <c r="H737" s="20"/>
      <c r="I737" s="23"/>
      <c r="J737" s="20"/>
      <c r="K737" s="20"/>
      <c r="L737" s="20"/>
      <c r="M737" s="20"/>
      <c r="N737" s="20"/>
      <c r="O737" s="22"/>
      <c r="P737" s="20"/>
      <c r="Q737" s="20"/>
      <c r="R737" s="20"/>
      <c r="S737" s="20"/>
      <c r="T737" s="20"/>
      <c r="U737" s="20"/>
      <c r="V737" s="20"/>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c r="A738" s="20"/>
      <c r="B738" s="20"/>
      <c r="C738" s="20"/>
      <c r="D738" s="20"/>
      <c r="E738" s="20"/>
      <c r="F738" s="20"/>
      <c r="G738" s="20"/>
      <c r="H738" s="20"/>
      <c r="I738" s="23"/>
      <c r="J738" s="20"/>
      <c r="K738" s="20"/>
      <c r="L738" s="20"/>
      <c r="M738" s="20"/>
      <c r="N738" s="20"/>
      <c r="O738" s="22"/>
      <c r="P738" s="20"/>
      <c r="Q738" s="20"/>
      <c r="R738" s="20"/>
      <c r="S738" s="20"/>
      <c r="T738" s="20"/>
      <c r="U738" s="20"/>
      <c r="V738" s="20"/>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c r="A739" s="20"/>
      <c r="B739" s="20"/>
      <c r="C739" s="20"/>
      <c r="D739" s="20"/>
      <c r="E739" s="20"/>
      <c r="F739" s="20"/>
      <c r="G739" s="20"/>
      <c r="H739" s="20"/>
      <c r="I739" s="23"/>
      <c r="J739" s="20"/>
      <c r="K739" s="20"/>
      <c r="L739" s="20"/>
      <c r="M739" s="20"/>
      <c r="N739" s="20"/>
      <c r="O739" s="22"/>
      <c r="P739" s="20"/>
      <c r="Q739" s="20"/>
      <c r="R739" s="20"/>
      <c r="S739" s="20"/>
      <c r="T739" s="20"/>
      <c r="U739" s="20"/>
      <c r="V739" s="20"/>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c r="A740" s="20"/>
      <c r="B740" s="20"/>
      <c r="C740" s="20"/>
      <c r="D740" s="20"/>
      <c r="E740" s="20"/>
      <c r="F740" s="20"/>
      <c r="G740" s="20"/>
      <c r="H740" s="20"/>
      <c r="I740" s="23"/>
      <c r="J740" s="20"/>
      <c r="K740" s="20"/>
      <c r="L740" s="20"/>
      <c r="M740" s="20"/>
      <c r="N740" s="20"/>
      <c r="O740" s="22"/>
      <c r="P740" s="20"/>
      <c r="Q740" s="20"/>
      <c r="R740" s="20"/>
      <c r="S740" s="20"/>
      <c r="T740" s="20"/>
      <c r="U740" s="20"/>
      <c r="V740" s="20"/>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c r="A741" s="20"/>
      <c r="B741" s="20"/>
      <c r="C741" s="20"/>
      <c r="D741" s="20"/>
      <c r="E741" s="20"/>
      <c r="F741" s="20"/>
      <c r="G741" s="20"/>
      <c r="H741" s="20"/>
      <c r="I741" s="23"/>
      <c r="J741" s="20"/>
      <c r="K741" s="20"/>
      <c r="L741" s="20"/>
      <c r="M741" s="20"/>
      <c r="N741" s="20"/>
      <c r="O741" s="22"/>
      <c r="P741" s="20"/>
      <c r="Q741" s="20"/>
      <c r="R741" s="20"/>
      <c r="S741" s="20"/>
      <c r="T741" s="20"/>
      <c r="U741" s="20"/>
      <c r="V741" s="20"/>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c r="A742" s="20"/>
      <c r="B742" s="20"/>
      <c r="C742" s="20"/>
      <c r="D742" s="20"/>
      <c r="E742" s="20"/>
      <c r="F742" s="20"/>
      <c r="G742" s="20"/>
      <c r="H742" s="20"/>
      <c r="I742" s="23"/>
      <c r="J742" s="20"/>
      <c r="K742" s="20"/>
      <c r="L742" s="20"/>
      <c r="M742" s="20"/>
      <c r="N742" s="20"/>
      <c r="O742" s="22"/>
      <c r="P742" s="20"/>
      <c r="Q742" s="20"/>
      <c r="R742" s="20"/>
      <c r="S742" s="20"/>
      <c r="T742" s="20"/>
      <c r="U742" s="20"/>
      <c r="V742" s="20"/>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c r="A743" s="20"/>
      <c r="B743" s="20"/>
      <c r="C743" s="20"/>
      <c r="D743" s="20"/>
      <c r="E743" s="20"/>
      <c r="F743" s="20"/>
      <c r="G743" s="20"/>
      <c r="H743" s="20"/>
      <c r="I743" s="23"/>
      <c r="J743" s="20"/>
      <c r="K743" s="20"/>
      <c r="L743" s="20"/>
      <c r="M743" s="20"/>
      <c r="N743" s="20"/>
      <c r="O743" s="22"/>
      <c r="P743" s="20"/>
      <c r="Q743" s="20"/>
      <c r="R743" s="20"/>
      <c r="S743" s="20"/>
      <c r="T743" s="20"/>
      <c r="U743" s="20"/>
      <c r="V743" s="20"/>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c r="A744" s="20"/>
      <c r="B744" s="20"/>
      <c r="C744" s="20"/>
      <c r="D744" s="20"/>
      <c r="E744" s="20"/>
      <c r="F744" s="20"/>
      <c r="G744" s="20"/>
      <c r="H744" s="20"/>
      <c r="I744" s="23"/>
      <c r="J744" s="20"/>
      <c r="K744" s="20"/>
      <c r="L744" s="20"/>
      <c r="M744" s="20"/>
      <c r="N744" s="20"/>
      <c r="O744" s="22"/>
      <c r="P744" s="20"/>
      <c r="Q744" s="20"/>
      <c r="R744" s="20"/>
      <c r="S744" s="20"/>
      <c r="T744" s="20"/>
      <c r="U744" s="20"/>
      <c r="V744" s="20"/>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c r="A745" s="20"/>
      <c r="B745" s="20"/>
      <c r="C745" s="20"/>
      <c r="D745" s="20"/>
      <c r="E745" s="20"/>
      <c r="F745" s="20"/>
      <c r="G745" s="20"/>
      <c r="H745" s="20"/>
      <c r="I745" s="23"/>
      <c r="J745" s="20"/>
      <c r="K745" s="20"/>
      <c r="L745" s="20"/>
      <c r="M745" s="20"/>
      <c r="N745" s="20"/>
      <c r="O745" s="22"/>
      <c r="P745" s="20"/>
      <c r="Q745" s="20"/>
      <c r="R745" s="20"/>
      <c r="S745" s="20"/>
      <c r="T745" s="20"/>
      <c r="U745" s="20"/>
      <c r="V745" s="20"/>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c r="A746" s="20"/>
      <c r="B746" s="20"/>
      <c r="C746" s="20"/>
      <c r="D746" s="20"/>
      <c r="E746" s="20"/>
      <c r="F746" s="20"/>
      <c r="G746" s="20"/>
      <c r="H746" s="20"/>
      <c r="I746" s="23"/>
      <c r="J746" s="20"/>
      <c r="K746" s="20"/>
      <c r="L746" s="20"/>
      <c r="M746" s="20"/>
      <c r="N746" s="20"/>
      <c r="O746" s="22"/>
      <c r="P746" s="20"/>
      <c r="Q746" s="20"/>
      <c r="R746" s="20"/>
      <c r="S746" s="20"/>
      <c r="T746" s="20"/>
      <c r="U746" s="20"/>
      <c r="V746" s="20"/>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c r="A747" s="20"/>
      <c r="B747" s="20"/>
      <c r="C747" s="20"/>
      <c r="D747" s="20"/>
      <c r="E747" s="20"/>
      <c r="F747" s="20"/>
      <c r="G747" s="20"/>
      <c r="H747" s="20"/>
      <c r="I747" s="23"/>
      <c r="J747" s="20"/>
      <c r="K747" s="20"/>
      <c r="L747" s="20"/>
      <c r="M747" s="20"/>
      <c r="N747" s="20"/>
      <c r="O747" s="22"/>
      <c r="P747" s="20"/>
      <c r="Q747" s="20"/>
      <c r="R747" s="20"/>
      <c r="S747" s="20"/>
      <c r="T747" s="20"/>
      <c r="U747" s="20"/>
      <c r="V747" s="20"/>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c r="A748" s="20"/>
      <c r="B748" s="20"/>
      <c r="C748" s="20"/>
      <c r="D748" s="20"/>
      <c r="E748" s="20"/>
      <c r="F748" s="20"/>
      <c r="G748" s="20"/>
      <c r="H748" s="20"/>
      <c r="I748" s="23"/>
      <c r="J748" s="20"/>
      <c r="K748" s="20"/>
      <c r="L748" s="20"/>
      <c r="M748" s="20"/>
      <c r="N748" s="20"/>
      <c r="O748" s="22"/>
      <c r="P748" s="20"/>
      <c r="Q748" s="20"/>
      <c r="R748" s="20"/>
      <c r="S748" s="20"/>
      <c r="T748" s="20"/>
      <c r="U748" s="20"/>
      <c r="V748" s="20"/>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row>
    <row r="749">
      <c r="A749" s="20"/>
      <c r="B749" s="20"/>
      <c r="C749" s="20"/>
      <c r="D749" s="20"/>
      <c r="E749" s="20"/>
      <c r="F749" s="20"/>
      <c r="G749" s="20"/>
      <c r="H749" s="20"/>
      <c r="I749" s="23"/>
      <c r="J749" s="20"/>
      <c r="K749" s="20"/>
      <c r="L749" s="20"/>
      <c r="M749" s="20"/>
      <c r="N749" s="20"/>
      <c r="O749" s="22"/>
      <c r="P749" s="20"/>
      <c r="Q749" s="20"/>
      <c r="R749" s="20"/>
      <c r="S749" s="20"/>
      <c r="T749" s="20"/>
      <c r="U749" s="20"/>
      <c r="V749" s="20"/>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row>
    <row r="750">
      <c r="A750" s="20"/>
      <c r="B750" s="20"/>
      <c r="C750" s="20"/>
      <c r="D750" s="20"/>
      <c r="E750" s="20"/>
      <c r="F750" s="20"/>
      <c r="G750" s="20"/>
      <c r="H750" s="20"/>
      <c r="I750" s="23"/>
      <c r="J750" s="20"/>
      <c r="K750" s="20"/>
      <c r="L750" s="20"/>
      <c r="M750" s="20"/>
      <c r="N750" s="20"/>
      <c r="O750" s="22"/>
      <c r="P750" s="20"/>
      <c r="Q750" s="20"/>
      <c r="R750" s="20"/>
      <c r="S750" s="20"/>
      <c r="T750" s="20"/>
      <c r="U750" s="20"/>
      <c r="V750" s="20"/>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row>
    <row r="751">
      <c r="A751" s="20"/>
      <c r="B751" s="20"/>
      <c r="C751" s="20"/>
      <c r="D751" s="20"/>
      <c r="E751" s="20"/>
      <c r="F751" s="20"/>
      <c r="G751" s="20"/>
      <c r="H751" s="20"/>
      <c r="I751" s="23"/>
      <c r="J751" s="20"/>
      <c r="K751" s="20"/>
      <c r="L751" s="20"/>
      <c r="M751" s="20"/>
      <c r="N751" s="20"/>
      <c r="O751" s="22"/>
      <c r="P751" s="20"/>
      <c r="Q751" s="20"/>
      <c r="R751" s="20"/>
      <c r="S751" s="20"/>
      <c r="T751" s="20"/>
      <c r="U751" s="20"/>
      <c r="V751" s="20"/>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row>
    <row r="752">
      <c r="A752" s="20"/>
      <c r="B752" s="20"/>
      <c r="C752" s="20"/>
      <c r="D752" s="20"/>
      <c r="E752" s="20"/>
      <c r="F752" s="20"/>
      <c r="G752" s="20"/>
      <c r="H752" s="20"/>
      <c r="I752" s="23"/>
      <c r="J752" s="20"/>
      <c r="K752" s="20"/>
      <c r="L752" s="20"/>
      <c r="M752" s="20"/>
      <c r="N752" s="20"/>
      <c r="O752" s="22"/>
      <c r="P752" s="20"/>
      <c r="Q752" s="20"/>
      <c r="R752" s="20"/>
      <c r="S752" s="20"/>
      <c r="T752" s="20"/>
      <c r="U752" s="20"/>
      <c r="V752" s="20"/>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row>
    <row r="753">
      <c r="A753" s="20"/>
      <c r="B753" s="20"/>
      <c r="C753" s="20"/>
      <c r="D753" s="20"/>
      <c r="E753" s="20"/>
      <c r="F753" s="20"/>
      <c r="G753" s="20"/>
      <c r="H753" s="20"/>
      <c r="I753" s="23"/>
      <c r="J753" s="20"/>
      <c r="K753" s="20"/>
      <c r="L753" s="20"/>
      <c r="M753" s="20"/>
      <c r="N753" s="20"/>
      <c r="O753" s="22"/>
      <c r="P753" s="20"/>
      <c r="Q753" s="20"/>
      <c r="R753" s="20"/>
      <c r="S753" s="20"/>
      <c r="T753" s="20"/>
      <c r="U753" s="20"/>
      <c r="V753" s="20"/>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row>
    <row r="754">
      <c r="A754" s="20"/>
      <c r="B754" s="20"/>
      <c r="C754" s="20"/>
      <c r="D754" s="20"/>
      <c r="E754" s="20"/>
      <c r="F754" s="20"/>
      <c r="G754" s="20"/>
      <c r="H754" s="20"/>
      <c r="I754" s="23"/>
      <c r="J754" s="20"/>
      <c r="K754" s="20"/>
      <c r="L754" s="20"/>
      <c r="M754" s="20"/>
      <c r="N754" s="20"/>
      <c r="O754" s="22"/>
      <c r="P754" s="20"/>
      <c r="Q754" s="20"/>
      <c r="R754" s="20"/>
      <c r="S754" s="20"/>
      <c r="T754" s="20"/>
      <c r="U754" s="20"/>
      <c r="V754" s="20"/>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row>
    <row r="755">
      <c r="A755" s="20"/>
      <c r="B755" s="20"/>
      <c r="C755" s="20"/>
      <c r="D755" s="20"/>
      <c r="E755" s="20"/>
      <c r="F755" s="20"/>
      <c r="G755" s="20"/>
      <c r="H755" s="20"/>
      <c r="I755" s="23"/>
      <c r="J755" s="20"/>
      <c r="K755" s="20"/>
      <c r="L755" s="20"/>
      <c r="M755" s="20"/>
      <c r="N755" s="20"/>
      <c r="O755" s="22"/>
      <c r="P755" s="20"/>
      <c r="Q755" s="20"/>
      <c r="R755" s="20"/>
      <c r="S755" s="20"/>
      <c r="T755" s="20"/>
      <c r="U755" s="20"/>
      <c r="V755" s="20"/>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row>
    <row r="756">
      <c r="A756" s="20"/>
      <c r="B756" s="20"/>
      <c r="C756" s="20"/>
      <c r="D756" s="20"/>
      <c r="E756" s="20"/>
      <c r="F756" s="20"/>
      <c r="G756" s="20"/>
      <c r="H756" s="20"/>
      <c r="I756" s="23"/>
      <c r="J756" s="20"/>
      <c r="K756" s="20"/>
      <c r="L756" s="20"/>
      <c r="M756" s="20"/>
      <c r="N756" s="20"/>
      <c r="O756" s="22"/>
      <c r="P756" s="20"/>
      <c r="Q756" s="20"/>
      <c r="R756" s="20"/>
      <c r="S756" s="20"/>
      <c r="T756" s="20"/>
      <c r="U756" s="20"/>
      <c r="V756" s="20"/>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row>
    <row r="757">
      <c r="A757" s="20"/>
      <c r="B757" s="20"/>
      <c r="C757" s="20"/>
      <c r="D757" s="20"/>
      <c r="E757" s="20"/>
      <c r="F757" s="20"/>
      <c r="G757" s="20"/>
      <c r="H757" s="20"/>
      <c r="I757" s="23"/>
      <c r="J757" s="20"/>
      <c r="K757" s="20"/>
      <c r="L757" s="20"/>
      <c r="M757" s="20"/>
      <c r="N757" s="20"/>
      <c r="O757" s="22"/>
      <c r="P757" s="20"/>
      <c r="Q757" s="20"/>
      <c r="R757" s="20"/>
      <c r="S757" s="20"/>
      <c r="T757" s="20"/>
      <c r="U757" s="20"/>
      <c r="V757" s="20"/>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row>
    <row r="758">
      <c r="A758" s="20"/>
      <c r="B758" s="20"/>
      <c r="C758" s="20"/>
      <c r="D758" s="20"/>
      <c r="E758" s="20"/>
      <c r="F758" s="20"/>
      <c r="G758" s="20"/>
      <c r="H758" s="20"/>
      <c r="I758" s="23"/>
      <c r="J758" s="20"/>
      <c r="K758" s="20"/>
      <c r="L758" s="20"/>
      <c r="M758" s="20"/>
      <c r="N758" s="20"/>
      <c r="O758" s="22"/>
      <c r="P758" s="20"/>
      <c r="Q758" s="20"/>
      <c r="R758" s="20"/>
      <c r="S758" s="20"/>
      <c r="T758" s="20"/>
      <c r="U758" s="20"/>
      <c r="V758" s="20"/>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row>
    <row r="759">
      <c r="A759" s="20"/>
      <c r="B759" s="20"/>
      <c r="C759" s="20"/>
      <c r="D759" s="20"/>
      <c r="E759" s="20"/>
      <c r="F759" s="20"/>
      <c r="G759" s="20"/>
      <c r="H759" s="20"/>
      <c r="I759" s="23"/>
      <c r="J759" s="20"/>
      <c r="K759" s="20"/>
      <c r="L759" s="20"/>
      <c r="M759" s="20"/>
      <c r="N759" s="20"/>
      <c r="O759" s="22"/>
      <c r="P759" s="20"/>
      <c r="Q759" s="20"/>
      <c r="R759" s="20"/>
      <c r="S759" s="20"/>
      <c r="T759" s="20"/>
      <c r="U759" s="20"/>
      <c r="V759" s="20"/>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row>
    <row r="760">
      <c r="A760" s="20"/>
      <c r="B760" s="20"/>
      <c r="C760" s="20"/>
      <c r="D760" s="20"/>
      <c r="E760" s="20"/>
      <c r="F760" s="20"/>
      <c r="G760" s="20"/>
      <c r="H760" s="20"/>
      <c r="I760" s="23"/>
      <c r="J760" s="20"/>
      <c r="K760" s="20"/>
      <c r="L760" s="20"/>
      <c r="M760" s="20"/>
      <c r="N760" s="20"/>
      <c r="O760" s="22"/>
      <c r="P760" s="20"/>
      <c r="Q760" s="20"/>
      <c r="R760" s="20"/>
      <c r="S760" s="20"/>
      <c r="T760" s="20"/>
      <c r="U760" s="20"/>
      <c r="V760" s="20"/>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row>
    <row r="761">
      <c r="A761" s="20"/>
      <c r="B761" s="20"/>
      <c r="C761" s="20"/>
      <c r="D761" s="20"/>
      <c r="E761" s="20"/>
      <c r="F761" s="20"/>
      <c r="G761" s="20"/>
      <c r="H761" s="20"/>
      <c r="I761" s="23"/>
      <c r="J761" s="20"/>
      <c r="K761" s="20"/>
      <c r="L761" s="20"/>
      <c r="M761" s="20"/>
      <c r="N761" s="20"/>
      <c r="O761" s="22"/>
      <c r="P761" s="20"/>
      <c r="Q761" s="20"/>
      <c r="R761" s="20"/>
      <c r="S761" s="20"/>
      <c r="T761" s="20"/>
      <c r="U761" s="20"/>
      <c r="V761" s="20"/>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row>
    <row r="762">
      <c r="A762" s="20"/>
      <c r="B762" s="20"/>
      <c r="C762" s="20"/>
      <c r="D762" s="20"/>
      <c r="E762" s="20"/>
      <c r="F762" s="20"/>
      <c r="G762" s="20"/>
      <c r="H762" s="20"/>
      <c r="I762" s="23"/>
      <c r="J762" s="20"/>
      <c r="K762" s="20"/>
      <c r="L762" s="20"/>
      <c r="M762" s="20"/>
      <c r="N762" s="20"/>
      <c r="O762" s="22"/>
      <c r="P762" s="20"/>
      <c r="Q762" s="20"/>
      <c r="R762" s="20"/>
      <c r="S762" s="20"/>
      <c r="T762" s="20"/>
      <c r="U762" s="20"/>
      <c r="V762" s="20"/>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row>
    <row r="763">
      <c r="A763" s="20"/>
      <c r="B763" s="20"/>
      <c r="C763" s="20"/>
      <c r="D763" s="20"/>
      <c r="E763" s="20"/>
      <c r="F763" s="20"/>
      <c r="G763" s="20"/>
      <c r="H763" s="20"/>
      <c r="I763" s="23"/>
      <c r="J763" s="20"/>
      <c r="K763" s="20"/>
      <c r="L763" s="20"/>
      <c r="M763" s="20"/>
      <c r="N763" s="20"/>
      <c r="O763" s="22"/>
      <c r="P763" s="20"/>
      <c r="Q763" s="20"/>
      <c r="R763" s="20"/>
      <c r="S763" s="20"/>
      <c r="T763" s="20"/>
      <c r="U763" s="20"/>
      <c r="V763" s="20"/>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row>
    <row r="764">
      <c r="A764" s="20"/>
      <c r="B764" s="20"/>
      <c r="C764" s="20"/>
      <c r="D764" s="20"/>
      <c r="E764" s="20"/>
      <c r="F764" s="20"/>
      <c r="G764" s="20"/>
      <c r="H764" s="20"/>
      <c r="I764" s="23"/>
      <c r="J764" s="20"/>
      <c r="K764" s="20"/>
      <c r="L764" s="20"/>
      <c r="M764" s="20"/>
      <c r="N764" s="20"/>
      <c r="O764" s="22"/>
      <c r="P764" s="20"/>
      <c r="Q764" s="20"/>
      <c r="R764" s="20"/>
      <c r="S764" s="20"/>
      <c r="T764" s="20"/>
      <c r="U764" s="20"/>
      <c r="V764" s="20"/>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row>
    <row r="765">
      <c r="A765" s="20"/>
      <c r="B765" s="20"/>
      <c r="C765" s="20"/>
      <c r="D765" s="20"/>
      <c r="E765" s="20"/>
      <c r="F765" s="20"/>
      <c r="G765" s="20"/>
      <c r="H765" s="20"/>
      <c r="I765" s="23"/>
      <c r="J765" s="20"/>
      <c r="K765" s="20"/>
      <c r="L765" s="20"/>
      <c r="M765" s="20"/>
      <c r="N765" s="20"/>
      <c r="O765" s="22"/>
      <c r="P765" s="20"/>
      <c r="Q765" s="20"/>
      <c r="R765" s="20"/>
      <c r="S765" s="20"/>
      <c r="T765" s="20"/>
      <c r="U765" s="20"/>
      <c r="V765" s="20"/>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row>
    <row r="766">
      <c r="A766" s="20"/>
      <c r="B766" s="20"/>
      <c r="C766" s="20"/>
      <c r="D766" s="20"/>
      <c r="E766" s="20"/>
      <c r="F766" s="20"/>
      <c r="G766" s="20"/>
      <c r="H766" s="20"/>
      <c r="I766" s="23"/>
      <c r="J766" s="20"/>
      <c r="K766" s="20"/>
      <c r="L766" s="20"/>
      <c r="M766" s="20"/>
      <c r="N766" s="20"/>
      <c r="O766" s="22"/>
      <c r="P766" s="20"/>
      <c r="Q766" s="20"/>
      <c r="R766" s="20"/>
      <c r="S766" s="20"/>
      <c r="T766" s="20"/>
      <c r="U766" s="20"/>
      <c r="V766" s="20"/>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row>
    <row r="767">
      <c r="A767" s="20"/>
      <c r="B767" s="20"/>
      <c r="C767" s="20"/>
      <c r="D767" s="20"/>
      <c r="E767" s="20"/>
      <c r="F767" s="20"/>
      <c r="G767" s="20"/>
      <c r="H767" s="20"/>
      <c r="I767" s="23"/>
      <c r="J767" s="20"/>
      <c r="K767" s="20"/>
      <c r="L767" s="20"/>
      <c r="M767" s="20"/>
      <c r="N767" s="20"/>
      <c r="O767" s="22"/>
      <c r="P767" s="20"/>
      <c r="Q767" s="20"/>
      <c r="R767" s="20"/>
      <c r="S767" s="20"/>
      <c r="T767" s="20"/>
      <c r="U767" s="20"/>
      <c r="V767" s="20"/>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row>
    <row r="768">
      <c r="A768" s="20"/>
      <c r="B768" s="20"/>
      <c r="C768" s="20"/>
      <c r="D768" s="20"/>
      <c r="E768" s="20"/>
      <c r="F768" s="20"/>
      <c r="G768" s="20"/>
      <c r="H768" s="20"/>
      <c r="I768" s="23"/>
      <c r="J768" s="20"/>
      <c r="K768" s="20"/>
      <c r="L768" s="20"/>
      <c r="M768" s="20"/>
      <c r="N768" s="20"/>
      <c r="O768" s="22"/>
      <c r="P768" s="20"/>
      <c r="Q768" s="20"/>
      <c r="R768" s="20"/>
      <c r="S768" s="20"/>
      <c r="T768" s="20"/>
      <c r="U768" s="20"/>
      <c r="V768" s="20"/>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row>
    <row r="769">
      <c r="A769" s="20"/>
      <c r="B769" s="20"/>
      <c r="C769" s="20"/>
      <c r="D769" s="20"/>
      <c r="E769" s="20"/>
      <c r="F769" s="20"/>
      <c r="G769" s="20"/>
      <c r="H769" s="20"/>
      <c r="I769" s="23"/>
      <c r="J769" s="20"/>
      <c r="K769" s="20"/>
      <c r="L769" s="20"/>
      <c r="M769" s="20"/>
      <c r="N769" s="20"/>
      <c r="O769" s="22"/>
      <c r="P769" s="20"/>
      <c r="Q769" s="20"/>
      <c r="R769" s="20"/>
      <c r="S769" s="20"/>
      <c r="T769" s="20"/>
      <c r="U769" s="20"/>
      <c r="V769" s="20"/>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row>
    <row r="770">
      <c r="A770" s="20"/>
      <c r="B770" s="20"/>
      <c r="C770" s="20"/>
      <c r="D770" s="20"/>
      <c r="E770" s="20"/>
      <c r="F770" s="20"/>
      <c r="G770" s="20"/>
      <c r="H770" s="20"/>
      <c r="I770" s="23"/>
      <c r="J770" s="20"/>
      <c r="K770" s="20"/>
      <c r="L770" s="20"/>
      <c r="M770" s="20"/>
      <c r="N770" s="20"/>
      <c r="O770" s="22"/>
      <c r="P770" s="20"/>
      <c r="Q770" s="20"/>
      <c r="R770" s="20"/>
      <c r="S770" s="20"/>
      <c r="T770" s="20"/>
      <c r="U770" s="20"/>
      <c r="V770" s="20"/>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row>
    <row r="771">
      <c r="A771" s="20"/>
      <c r="B771" s="20"/>
      <c r="C771" s="20"/>
      <c r="D771" s="20"/>
      <c r="E771" s="20"/>
      <c r="F771" s="20"/>
      <c r="G771" s="20"/>
      <c r="H771" s="20"/>
      <c r="I771" s="23"/>
      <c r="J771" s="20"/>
      <c r="K771" s="20"/>
      <c r="L771" s="20"/>
      <c r="M771" s="20"/>
      <c r="N771" s="20"/>
      <c r="O771" s="22"/>
      <c r="P771" s="20"/>
      <c r="Q771" s="20"/>
      <c r="R771" s="20"/>
      <c r="S771" s="20"/>
      <c r="T771" s="20"/>
      <c r="U771" s="20"/>
      <c r="V771" s="20"/>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row>
    <row r="772">
      <c r="A772" s="20"/>
      <c r="B772" s="20"/>
      <c r="C772" s="20"/>
      <c r="D772" s="20"/>
      <c r="E772" s="20"/>
      <c r="F772" s="20"/>
      <c r="G772" s="20"/>
      <c r="H772" s="20"/>
      <c r="I772" s="23"/>
      <c r="J772" s="20"/>
      <c r="K772" s="20"/>
      <c r="L772" s="20"/>
      <c r="M772" s="20"/>
      <c r="N772" s="20"/>
      <c r="O772" s="22"/>
      <c r="P772" s="20"/>
      <c r="Q772" s="20"/>
      <c r="R772" s="20"/>
      <c r="S772" s="20"/>
      <c r="T772" s="20"/>
      <c r="U772" s="20"/>
      <c r="V772" s="20"/>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row>
    <row r="773">
      <c r="A773" s="20"/>
      <c r="B773" s="20"/>
      <c r="C773" s="20"/>
      <c r="D773" s="20"/>
      <c r="E773" s="20"/>
      <c r="F773" s="20"/>
      <c r="G773" s="20"/>
      <c r="H773" s="20"/>
      <c r="I773" s="23"/>
      <c r="J773" s="20"/>
      <c r="K773" s="20"/>
      <c r="L773" s="20"/>
      <c r="M773" s="20"/>
      <c r="N773" s="20"/>
      <c r="O773" s="22"/>
      <c r="P773" s="20"/>
      <c r="Q773" s="20"/>
      <c r="R773" s="20"/>
      <c r="S773" s="20"/>
      <c r="T773" s="20"/>
      <c r="U773" s="20"/>
      <c r="V773" s="20"/>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row>
    <row r="774">
      <c r="A774" s="20"/>
      <c r="B774" s="20"/>
      <c r="C774" s="20"/>
      <c r="D774" s="20"/>
      <c r="E774" s="20"/>
      <c r="F774" s="20"/>
      <c r="G774" s="20"/>
      <c r="H774" s="20"/>
      <c r="I774" s="23"/>
      <c r="J774" s="20"/>
      <c r="K774" s="20"/>
      <c r="L774" s="20"/>
      <c r="M774" s="20"/>
      <c r="N774" s="20"/>
      <c r="O774" s="22"/>
      <c r="P774" s="20"/>
      <c r="Q774" s="20"/>
      <c r="R774" s="20"/>
      <c r="S774" s="20"/>
      <c r="T774" s="20"/>
      <c r="U774" s="20"/>
      <c r="V774" s="20"/>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row>
    <row r="775">
      <c r="A775" s="20"/>
      <c r="B775" s="20"/>
      <c r="C775" s="20"/>
      <c r="D775" s="20"/>
      <c r="E775" s="20"/>
      <c r="F775" s="20"/>
      <c r="G775" s="20"/>
      <c r="H775" s="20"/>
      <c r="I775" s="23"/>
      <c r="J775" s="20"/>
      <c r="K775" s="20"/>
      <c r="L775" s="20"/>
      <c r="M775" s="20"/>
      <c r="N775" s="20"/>
      <c r="O775" s="22"/>
      <c r="P775" s="20"/>
      <c r="Q775" s="20"/>
      <c r="R775" s="20"/>
      <c r="S775" s="20"/>
      <c r="T775" s="20"/>
      <c r="U775" s="20"/>
      <c r="V775" s="20"/>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row>
    <row r="776">
      <c r="A776" s="20"/>
      <c r="B776" s="20"/>
      <c r="C776" s="20"/>
      <c r="D776" s="20"/>
      <c r="E776" s="20"/>
      <c r="F776" s="20"/>
      <c r="G776" s="20"/>
      <c r="H776" s="20"/>
      <c r="I776" s="23"/>
      <c r="J776" s="20"/>
      <c r="K776" s="20"/>
      <c r="L776" s="20"/>
      <c r="M776" s="20"/>
      <c r="N776" s="20"/>
      <c r="O776" s="22"/>
      <c r="P776" s="20"/>
      <c r="Q776" s="20"/>
      <c r="R776" s="20"/>
      <c r="S776" s="20"/>
      <c r="T776" s="20"/>
      <c r="U776" s="20"/>
      <c r="V776" s="20"/>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row>
    <row r="777">
      <c r="A777" s="20"/>
      <c r="B777" s="20"/>
      <c r="C777" s="20"/>
      <c r="D777" s="20"/>
      <c r="E777" s="20"/>
      <c r="F777" s="20"/>
      <c r="G777" s="20"/>
      <c r="H777" s="20"/>
      <c r="I777" s="23"/>
      <c r="J777" s="20"/>
      <c r="K777" s="20"/>
      <c r="L777" s="20"/>
      <c r="M777" s="20"/>
      <c r="N777" s="20"/>
      <c r="O777" s="22"/>
      <c r="P777" s="20"/>
      <c r="Q777" s="20"/>
      <c r="R777" s="20"/>
      <c r="S777" s="20"/>
      <c r="T777" s="20"/>
      <c r="U777" s="20"/>
      <c r="V777" s="20"/>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row>
    <row r="778">
      <c r="A778" s="20"/>
      <c r="B778" s="20"/>
      <c r="C778" s="20"/>
      <c r="D778" s="20"/>
      <c r="E778" s="20"/>
      <c r="F778" s="20"/>
      <c r="G778" s="20"/>
      <c r="H778" s="20"/>
      <c r="I778" s="23"/>
      <c r="J778" s="20"/>
      <c r="K778" s="20"/>
      <c r="L778" s="20"/>
      <c r="M778" s="20"/>
      <c r="N778" s="20"/>
      <c r="O778" s="22"/>
      <c r="P778" s="20"/>
      <c r="Q778" s="20"/>
      <c r="R778" s="20"/>
      <c r="S778" s="20"/>
      <c r="T778" s="20"/>
      <c r="U778" s="20"/>
      <c r="V778" s="20"/>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row>
    <row r="779">
      <c r="A779" s="20"/>
      <c r="B779" s="20"/>
      <c r="C779" s="20"/>
      <c r="D779" s="20"/>
      <c r="E779" s="20"/>
      <c r="F779" s="20"/>
      <c r="G779" s="20"/>
      <c r="H779" s="20"/>
      <c r="I779" s="23"/>
      <c r="J779" s="20"/>
      <c r="K779" s="20"/>
      <c r="L779" s="20"/>
      <c r="M779" s="20"/>
      <c r="N779" s="20"/>
      <c r="O779" s="22"/>
      <c r="P779" s="20"/>
      <c r="Q779" s="20"/>
      <c r="R779" s="20"/>
      <c r="S779" s="20"/>
      <c r="T779" s="20"/>
      <c r="U779" s="20"/>
      <c r="V779" s="20"/>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row>
    <row r="780">
      <c r="A780" s="20"/>
      <c r="B780" s="20"/>
      <c r="C780" s="20"/>
      <c r="D780" s="20"/>
      <c r="E780" s="20"/>
      <c r="F780" s="20"/>
      <c r="G780" s="20"/>
      <c r="H780" s="20"/>
      <c r="I780" s="23"/>
      <c r="J780" s="20"/>
      <c r="K780" s="20"/>
      <c r="L780" s="20"/>
      <c r="M780" s="20"/>
      <c r="N780" s="20"/>
      <c r="O780" s="22"/>
      <c r="P780" s="20"/>
      <c r="Q780" s="20"/>
      <c r="R780" s="20"/>
      <c r="S780" s="20"/>
      <c r="T780" s="20"/>
      <c r="U780" s="20"/>
      <c r="V780" s="20"/>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row>
    <row r="781">
      <c r="A781" s="20"/>
      <c r="B781" s="20"/>
      <c r="C781" s="20"/>
      <c r="D781" s="20"/>
      <c r="E781" s="20"/>
      <c r="F781" s="20"/>
      <c r="G781" s="20"/>
      <c r="H781" s="20"/>
      <c r="I781" s="23"/>
      <c r="J781" s="20"/>
      <c r="K781" s="20"/>
      <c r="L781" s="20"/>
      <c r="M781" s="20"/>
      <c r="N781" s="20"/>
      <c r="O781" s="22"/>
      <c r="P781" s="20"/>
      <c r="Q781" s="20"/>
      <c r="R781" s="20"/>
      <c r="S781" s="20"/>
      <c r="T781" s="20"/>
      <c r="U781" s="20"/>
      <c r="V781" s="20"/>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row>
    <row r="782">
      <c r="A782" s="20"/>
      <c r="B782" s="20"/>
      <c r="C782" s="20"/>
      <c r="D782" s="20"/>
      <c r="E782" s="20"/>
      <c r="F782" s="20"/>
      <c r="G782" s="20"/>
      <c r="H782" s="20"/>
      <c r="I782" s="23"/>
      <c r="J782" s="20"/>
      <c r="K782" s="20"/>
      <c r="L782" s="20"/>
      <c r="M782" s="20"/>
      <c r="N782" s="20"/>
      <c r="O782" s="22"/>
      <c r="P782" s="20"/>
      <c r="Q782" s="20"/>
      <c r="R782" s="20"/>
      <c r="S782" s="20"/>
      <c r="T782" s="20"/>
      <c r="U782" s="20"/>
      <c r="V782" s="20"/>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row>
    <row r="783">
      <c r="A783" s="20"/>
      <c r="B783" s="20"/>
      <c r="C783" s="20"/>
      <c r="D783" s="20"/>
      <c r="E783" s="20"/>
      <c r="F783" s="20"/>
      <c r="G783" s="20"/>
      <c r="H783" s="20"/>
      <c r="I783" s="23"/>
      <c r="J783" s="20"/>
      <c r="K783" s="20"/>
      <c r="L783" s="20"/>
      <c r="M783" s="20"/>
      <c r="N783" s="20"/>
      <c r="O783" s="22"/>
      <c r="P783" s="20"/>
      <c r="Q783" s="20"/>
      <c r="R783" s="20"/>
      <c r="S783" s="20"/>
      <c r="T783" s="20"/>
      <c r="U783" s="20"/>
      <c r="V783" s="20"/>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row>
    <row r="784">
      <c r="A784" s="20"/>
      <c r="B784" s="20"/>
      <c r="C784" s="20"/>
      <c r="D784" s="20"/>
      <c r="E784" s="20"/>
      <c r="F784" s="20"/>
      <c r="G784" s="20"/>
      <c r="H784" s="20"/>
      <c r="I784" s="23"/>
      <c r="J784" s="20"/>
      <c r="K784" s="20"/>
      <c r="L784" s="20"/>
      <c r="M784" s="20"/>
      <c r="N784" s="20"/>
      <c r="O784" s="22"/>
      <c r="P784" s="20"/>
      <c r="Q784" s="20"/>
      <c r="R784" s="20"/>
      <c r="S784" s="20"/>
      <c r="T784" s="20"/>
      <c r="U784" s="20"/>
      <c r="V784" s="20"/>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row>
    <row r="785">
      <c r="A785" s="20"/>
      <c r="B785" s="20"/>
      <c r="C785" s="20"/>
      <c r="D785" s="20"/>
      <c r="E785" s="20"/>
      <c r="F785" s="20"/>
      <c r="G785" s="20"/>
      <c r="H785" s="20"/>
      <c r="I785" s="23"/>
      <c r="J785" s="20"/>
      <c r="K785" s="20"/>
      <c r="L785" s="20"/>
      <c r="M785" s="20"/>
      <c r="N785" s="20"/>
      <c r="O785" s="22"/>
      <c r="P785" s="20"/>
      <c r="Q785" s="20"/>
      <c r="R785" s="20"/>
      <c r="S785" s="20"/>
      <c r="T785" s="20"/>
      <c r="U785" s="20"/>
      <c r="V785" s="20"/>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row>
    <row r="786">
      <c r="A786" s="20"/>
      <c r="B786" s="20"/>
      <c r="C786" s="20"/>
      <c r="D786" s="20"/>
      <c r="E786" s="20"/>
      <c r="F786" s="20"/>
      <c r="G786" s="20"/>
      <c r="H786" s="20"/>
      <c r="I786" s="23"/>
      <c r="J786" s="20"/>
      <c r="K786" s="20"/>
      <c r="L786" s="20"/>
      <c r="M786" s="20"/>
      <c r="N786" s="20"/>
      <c r="O786" s="22"/>
      <c r="P786" s="20"/>
      <c r="Q786" s="20"/>
      <c r="R786" s="20"/>
      <c r="S786" s="20"/>
      <c r="T786" s="20"/>
      <c r="U786" s="20"/>
      <c r="V786" s="20"/>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row>
    <row r="787">
      <c r="A787" s="20"/>
      <c r="B787" s="20"/>
      <c r="C787" s="20"/>
      <c r="D787" s="20"/>
      <c r="E787" s="20"/>
      <c r="F787" s="20"/>
      <c r="G787" s="20"/>
      <c r="H787" s="20"/>
      <c r="I787" s="23"/>
      <c r="J787" s="20"/>
      <c r="K787" s="20"/>
      <c r="L787" s="20"/>
      <c r="M787" s="20"/>
      <c r="N787" s="20"/>
      <c r="O787" s="22"/>
      <c r="P787" s="20"/>
      <c r="Q787" s="20"/>
      <c r="R787" s="20"/>
      <c r="S787" s="20"/>
      <c r="T787" s="20"/>
      <c r="U787" s="20"/>
      <c r="V787" s="20"/>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row>
    <row r="788">
      <c r="A788" s="20"/>
      <c r="B788" s="20"/>
      <c r="C788" s="20"/>
      <c r="D788" s="20"/>
      <c r="E788" s="20"/>
      <c r="F788" s="20"/>
      <c r="G788" s="20"/>
      <c r="H788" s="20"/>
      <c r="I788" s="23"/>
      <c r="J788" s="20"/>
      <c r="K788" s="20"/>
      <c r="L788" s="20"/>
      <c r="M788" s="20"/>
      <c r="N788" s="20"/>
      <c r="O788" s="22"/>
      <c r="P788" s="20"/>
      <c r="Q788" s="20"/>
      <c r="R788" s="20"/>
      <c r="S788" s="20"/>
      <c r="T788" s="20"/>
      <c r="U788" s="20"/>
      <c r="V788" s="20"/>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row>
    <row r="789">
      <c r="A789" s="20"/>
      <c r="B789" s="20"/>
      <c r="C789" s="20"/>
      <c r="D789" s="20"/>
      <c r="E789" s="20"/>
      <c r="F789" s="20"/>
      <c r="G789" s="20"/>
      <c r="H789" s="20"/>
      <c r="I789" s="23"/>
      <c r="J789" s="20"/>
      <c r="K789" s="20"/>
      <c r="L789" s="20"/>
      <c r="M789" s="20"/>
      <c r="N789" s="20"/>
      <c r="O789" s="22"/>
      <c r="P789" s="20"/>
      <c r="Q789" s="20"/>
      <c r="R789" s="20"/>
      <c r="S789" s="20"/>
      <c r="T789" s="20"/>
      <c r="U789" s="20"/>
      <c r="V789" s="20"/>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row>
    <row r="790">
      <c r="A790" s="20"/>
      <c r="B790" s="20"/>
      <c r="C790" s="20"/>
      <c r="D790" s="20"/>
      <c r="E790" s="20"/>
      <c r="F790" s="20"/>
      <c r="G790" s="20"/>
      <c r="H790" s="20"/>
      <c r="I790" s="23"/>
      <c r="J790" s="20"/>
      <c r="K790" s="20"/>
      <c r="L790" s="20"/>
      <c r="M790" s="20"/>
      <c r="N790" s="20"/>
      <c r="O790" s="22"/>
      <c r="P790" s="20"/>
      <c r="Q790" s="20"/>
      <c r="R790" s="20"/>
      <c r="S790" s="20"/>
      <c r="T790" s="20"/>
      <c r="U790" s="20"/>
      <c r="V790" s="20"/>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row>
    <row r="791">
      <c r="A791" s="20"/>
      <c r="B791" s="20"/>
      <c r="C791" s="20"/>
      <c r="D791" s="20"/>
      <c r="E791" s="20"/>
      <c r="F791" s="20"/>
      <c r="G791" s="20"/>
      <c r="H791" s="20"/>
      <c r="I791" s="23"/>
      <c r="J791" s="20"/>
      <c r="K791" s="20"/>
      <c r="L791" s="20"/>
      <c r="M791" s="20"/>
      <c r="N791" s="20"/>
      <c r="O791" s="22"/>
      <c r="P791" s="20"/>
      <c r="Q791" s="20"/>
      <c r="R791" s="20"/>
      <c r="S791" s="20"/>
      <c r="T791" s="20"/>
      <c r="U791" s="20"/>
      <c r="V791" s="20"/>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row>
    <row r="792">
      <c r="A792" s="20"/>
      <c r="B792" s="20"/>
      <c r="C792" s="20"/>
      <c r="D792" s="20"/>
      <c r="E792" s="20"/>
      <c r="F792" s="20"/>
      <c r="G792" s="20"/>
      <c r="H792" s="20"/>
      <c r="I792" s="23"/>
      <c r="J792" s="20"/>
      <c r="K792" s="20"/>
      <c r="L792" s="20"/>
      <c r="M792" s="20"/>
      <c r="N792" s="20"/>
      <c r="O792" s="22"/>
      <c r="P792" s="20"/>
      <c r="Q792" s="20"/>
      <c r="R792" s="20"/>
      <c r="S792" s="20"/>
      <c r="T792" s="20"/>
      <c r="U792" s="20"/>
      <c r="V792" s="20"/>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row>
    <row r="793">
      <c r="A793" s="20"/>
      <c r="B793" s="20"/>
      <c r="C793" s="20"/>
      <c r="D793" s="20"/>
      <c r="E793" s="20"/>
      <c r="F793" s="20"/>
      <c r="G793" s="20"/>
      <c r="H793" s="20"/>
      <c r="I793" s="23"/>
      <c r="J793" s="20"/>
      <c r="K793" s="20"/>
      <c r="L793" s="20"/>
      <c r="M793" s="20"/>
      <c r="N793" s="20"/>
      <c r="O793" s="22"/>
      <c r="P793" s="20"/>
      <c r="Q793" s="20"/>
      <c r="R793" s="20"/>
      <c r="S793" s="20"/>
      <c r="T793" s="20"/>
      <c r="U793" s="20"/>
      <c r="V793" s="20"/>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row>
    <row r="794">
      <c r="A794" s="20"/>
      <c r="B794" s="20"/>
      <c r="C794" s="20"/>
      <c r="D794" s="20"/>
      <c r="E794" s="20"/>
      <c r="F794" s="20"/>
      <c r="G794" s="20"/>
      <c r="H794" s="20"/>
      <c r="I794" s="23"/>
      <c r="J794" s="20"/>
      <c r="K794" s="20"/>
      <c r="L794" s="20"/>
      <c r="M794" s="20"/>
      <c r="N794" s="20"/>
      <c r="O794" s="22"/>
      <c r="P794" s="20"/>
      <c r="Q794" s="20"/>
      <c r="R794" s="20"/>
      <c r="S794" s="20"/>
      <c r="T794" s="20"/>
      <c r="U794" s="20"/>
      <c r="V794" s="20"/>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row>
    <row r="795">
      <c r="A795" s="20"/>
      <c r="B795" s="20"/>
      <c r="C795" s="20"/>
      <c r="D795" s="20"/>
      <c r="E795" s="20"/>
      <c r="F795" s="20"/>
      <c r="G795" s="20"/>
      <c r="H795" s="20"/>
      <c r="I795" s="23"/>
      <c r="J795" s="20"/>
      <c r="K795" s="20"/>
      <c r="L795" s="20"/>
      <c r="M795" s="20"/>
      <c r="N795" s="20"/>
      <c r="O795" s="22"/>
      <c r="P795" s="20"/>
      <c r="Q795" s="20"/>
      <c r="R795" s="20"/>
      <c r="S795" s="20"/>
      <c r="T795" s="20"/>
      <c r="U795" s="20"/>
      <c r="V795" s="20"/>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row>
    <row r="796">
      <c r="A796" s="20"/>
      <c r="B796" s="20"/>
      <c r="C796" s="20"/>
      <c r="D796" s="20"/>
      <c r="E796" s="20"/>
      <c r="F796" s="20"/>
      <c r="G796" s="20"/>
      <c r="H796" s="20"/>
      <c r="I796" s="23"/>
      <c r="J796" s="20"/>
      <c r="K796" s="20"/>
      <c r="L796" s="20"/>
      <c r="M796" s="20"/>
      <c r="N796" s="20"/>
      <c r="O796" s="22"/>
      <c r="P796" s="20"/>
      <c r="Q796" s="20"/>
      <c r="R796" s="20"/>
      <c r="S796" s="20"/>
      <c r="T796" s="20"/>
      <c r="U796" s="20"/>
      <c r="V796" s="20"/>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row>
    <row r="797">
      <c r="A797" s="20"/>
      <c r="B797" s="20"/>
      <c r="C797" s="20"/>
      <c r="D797" s="20"/>
      <c r="E797" s="20"/>
      <c r="F797" s="20"/>
      <c r="G797" s="20"/>
      <c r="H797" s="20"/>
      <c r="I797" s="23"/>
      <c r="J797" s="20"/>
      <c r="K797" s="20"/>
      <c r="L797" s="20"/>
      <c r="M797" s="20"/>
      <c r="N797" s="20"/>
      <c r="O797" s="22"/>
      <c r="P797" s="20"/>
      <c r="Q797" s="20"/>
      <c r="R797" s="20"/>
      <c r="S797" s="20"/>
      <c r="T797" s="20"/>
      <c r="U797" s="20"/>
      <c r="V797" s="20"/>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row>
    <row r="798">
      <c r="A798" s="20"/>
      <c r="B798" s="20"/>
      <c r="C798" s="20"/>
      <c r="D798" s="20"/>
      <c r="E798" s="20"/>
      <c r="F798" s="20"/>
      <c r="G798" s="20"/>
      <c r="H798" s="20"/>
      <c r="I798" s="23"/>
      <c r="J798" s="20"/>
      <c r="K798" s="20"/>
      <c r="L798" s="20"/>
      <c r="M798" s="20"/>
      <c r="N798" s="20"/>
      <c r="O798" s="22"/>
      <c r="P798" s="20"/>
      <c r="Q798" s="20"/>
      <c r="R798" s="20"/>
      <c r="S798" s="20"/>
      <c r="T798" s="20"/>
      <c r="U798" s="20"/>
      <c r="V798" s="20"/>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row>
    <row r="799">
      <c r="A799" s="20"/>
      <c r="B799" s="20"/>
      <c r="C799" s="20"/>
      <c r="D799" s="20"/>
      <c r="E799" s="20"/>
      <c r="F799" s="20"/>
      <c r="G799" s="20"/>
      <c r="H799" s="20"/>
      <c r="I799" s="23"/>
      <c r="J799" s="20"/>
      <c r="K799" s="20"/>
      <c r="L799" s="20"/>
      <c r="M799" s="20"/>
      <c r="N799" s="20"/>
      <c r="O799" s="22"/>
      <c r="P799" s="20"/>
      <c r="Q799" s="20"/>
      <c r="R799" s="20"/>
      <c r="S799" s="20"/>
      <c r="T799" s="20"/>
      <c r="U799" s="20"/>
      <c r="V799" s="20"/>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row>
    <row r="800">
      <c r="A800" s="20"/>
      <c r="B800" s="20"/>
      <c r="C800" s="20"/>
      <c r="D800" s="20"/>
      <c r="E800" s="20"/>
      <c r="F800" s="20"/>
      <c r="G800" s="20"/>
      <c r="H800" s="20"/>
      <c r="I800" s="23"/>
      <c r="J800" s="20"/>
      <c r="K800" s="20"/>
      <c r="L800" s="20"/>
      <c r="M800" s="20"/>
      <c r="N800" s="20"/>
      <c r="O800" s="22"/>
      <c r="P800" s="20"/>
      <c r="Q800" s="20"/>
      <c r="R800" s="20"/>
      <c r="S800" s="20"/>
      <c r="T800" s="20"/>
      <c r="U800" s="20"/>
      <c r="V800" s="20"/>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row>
    <row r="801">
      <c r="A801" s="20"/>
      <c r="B801" s="20"/>
      <c r="C801" s="20"/>
      <c r="D801" s="20"/>
      <c r="E801" s="20"/>
      <c r="F801" s="20"/>
      <c r="G801" s="20"/>
      <c r="H801" s="20"/>
      <c r="I801" s="23"/>
      <c r="J801" s="20"/>
      <c r="K801" s="20"/>
      <c r="L801" s="20"/>
      <c r="M801" s="20"/>
      <c r="N801" s="20"/>
      <c r="O801" s="22"/>
      <c r="P801" s="20"/>
      <c r="Q801" s="20"/>
      <c r="R801" s="20"/>
      <c r="S801" s="20"/>
      <c r="T801" s="20"/>
      <c r="U801" s="20"/>
      <c r="V801" s="20"/>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row>
    <row r="802">
      <c r="A802" s="20"/>
      <c r="B802" s="20"/>
      <c r="C802" s="20"/>
      <c r="D802" s="20"/>
      <c r="E802" s="20"/>
      <c r="F802" s="20"/>
      <c r="G802" s="20"/>
      <c r="H802" s="20"/>
      <c r="I802" s="23"/>
      <c r="J802" s="20"/>
      <c r="K802" s="20"/>
      <c r="L802" s="20"/>
      <c r="M802" s="20"/>
      <c r="N802" s="20"/>
      <c r="O802" s="22"/>
      <c r="P802" s="20"/>
      <c r="Q802" s="20"/>
      <c r="R802" s="20"/>
      <c r="S802" s="20"/>
      <c r="T802" s="20"/>
      <c r="U802" s="20"/>
      <c r="V802" s="20"/>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row>
    <row r="803">
      <c r="A803" s="20"/>
      <c r="B803" s="20"/>
      <c r="C803" s="20"/>
      <c r="D803" s="20"/>
      <c r="E803" s="20"/>
      <c r="F803" s="20"/>
      <c r="G803" s="20"/>
      <c r="H803" s="20"/>
      <c r="I803" s="23"/>
      <c r="J803" s="20"/>
      <c r="K803" s="20"/>
      <c r="L803" s="20"/>
      <c r="M803" s="20"/>
      <c r="N803" s="20"/>
      <c r="O803" s="22"/>
      <c r="P803" s="20"/>
      <c r="Q803" s="20"/>
      <c r="R803" s="20"/>
      <c r="S803" s="20"/>
      <c r="T803" s="20"/>
      <c r="U803" s="20"/>
      <c r="V803" s="20"/>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row>
    <row r="804">
      <c r="A804" s="20"/>
      <c r="B804" s="20"/>
      <c r="C804" s="20"/>
      <c r="D804" s="20"/>
      <c r="E804" s="20"/>
      <c r="F804" s="20"/>
      <c r="G804" s="20"/>
      <c r="H804" s="20"/>
      <c r="I804" s="23"/>
      <c r="J804" s="20"/>
      <c r="K804" s="20"/>
      <c r="L804" s="20"/>
      <c r="M804" s="20"/>
      <c r="N804" s="20"/>
      <c r="O804" s="22"/>
      <c r="P804" s="20"/>
      <c r="Q804" s="20"/>
      <c r="R804" s="20"/>
      <c r="S804" s="20"/>
      <c r="T804" s="20"/>
      <c r="U804" s="20"/>
      <c r="V804" s="20"/>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row>
    <row r="805">
      <c r="A805" s="20"/>
      <c r="B805" s="20"/>
      <c r="C805" s="20"/>
      <c r="D805" s="20"/>
      <c r="E805" s="20"/>
      <c r="F805" s="20"/>
      <c r="G805" s="20"/>
      <c r="H805" s="20"/>
      <c r="I805" s="23"/>
      <c r="J805" s="20"/>
      <c r="K805" s="20"/>
      <c r="L805" s="20"/>
      <c r="M805" s="20"/>
      <c r="N805" s="20"/>
      <c r="O805" s="22"/>
      <c r="P805" s="20"/>
      <c r="Q805" s="20"/>
      <c r="R805" s="20"/>
      <c r="S805" s="20"/>
      <c r="T805" s="20"/>
      <c r="U805" s="20"/>
      <c r="V805" s="20"/>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row>
    <row r="806">
      <c r="A806" s="20"/>
      <c r="B806" s="20"/>
      <c r="C806" s="20"/>
      <c r="D806" s="20"/>
      <c r="E806" s="20"/>
      <c r="F806" s="20"/>
      <c r="G806" s="20"/>
      <c r="H806" s="20"/>
      <c r="I806" s="23"/>
      <c r="J806" s="20"/>
      <c r="K806" s="20"/>
      <c r="L806" s="20"/>
      <c r="M806" s="20"/>
      <c r="N806" s="20"/>
      <c r="O806" s="22"/>
      <c r="P806" s="20"/>
      <c r="Q806" s="20"/>
      <c r="R806" s="20"/>
      <c r="S806" s="20"/>
      <c r="T806" s="20"/>
      <c r="U806" s="20"/>
      <c r="V806" s="20"/>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row>
    <row r="807">
      <c r="A807" s="20"/>
      <c r="B807" s="20"/>
      <c r="C807" s="20"/>
      <c r="D807" s="20"/>
      <c r="E807" s="20"/>
      <c r="F807" s="20"/>
      <c r="G807" s="20"/>
      <c r="H807" s="20"/>
      <c r="I807" s="23"/>
      <c r="J807" s="20"/>
      <c r="K807" s="20"/>
      <c r="L807" s="20"/>
      <c r="M807" s="20"/>
      <c r="N807" s="20"/>
      <c r="O807" s="22"/>
      <c r="P807" s="20"/>
      <c r="Q807" s="20"/>
      <c r="R807" s="20"/>
      <c r="S807" s="20"/>
      <c r="T807" s="20"/>
      <c r="U807" s="20"/>
      <c r="V807" s="20"/>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row>
    <row r="808">
      <c r="A808" s="20"/>
      <c r="B808" s="20"/>
      <c r="C808" s="20"/>
      <c r="D808" s="20"/>
      <c r="E808" s="20"/>
      <c r="F808" s="20"/>
      <c r="G808" s="20"/>
      <c r="H808" s="20"/>
      <c r="I808" s="23"/>
      <c r="J808" s="20"/>
      <c r="K808" s="20"/>
      <c r="L808" s="20"/>
      <c r="M808" s="20"/>
      <c r="N808" s="20"/>
      <c r="O808" s="22"/>
      <c r="P808" s="20"/>
      <c r="Q808" s="20"/>
      <c r="R808" s="20"/>
      <c r="S808" s="20"/>
      <c r="T808" s="20"/>
      <c r="U808" s="20"/>
      <c r="V808" s="20"/>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row>
    <row r="809">
      <c r="A809" s="20"/>
      <c r="B809" s="20"/>
      <c r="C809" s="20"/>
      <c r="D809" s="20"/>
      <c r="E809" s="20"/>
      <c r="F809" s="20"/>
      <c r="G809" s="20"/>
      <c r="H809" s="20"/>
      <c r="I809" s="23"/>
      <c r="J809" s="20"/>
      <c r="K809" s="20"/>
      <c r="L809" s="20"/>
      <c r="M809" s="20"/>
      <c r="N809" s="20"/>
      <c r="O809" s="22"/>
      <c r="P809" s="20"/>
      <c r="Q809" s="20"/>
      <c r="R809" s="20"/>
      <c r="S809" s="20"/>
      <c r="T809" s="20"/>
      <c r="U809" s="20"/>
      <c r="V809" s="20"/>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row>
    <row r="810">
      <c r="A810" s="20"/>
      <c r="B810" s="20"/>
      <c r="C810" s="20"/>
      <c r="D810" s="20"/>
      <c r="E810" s="20"/>
      <c r="F810" s="20"/>
      <c r="G810" s="20"/>
      <c r="H810" s="20"/>
      <c r="I810" s="23"/>
      <c r="J810" s="20"/>
      <c r="K810" s="20"/>
      <c r="L810" s="20"/>
      <c r="M810" s="20"/>
      <c r="N810" s="20"/>
      <c r="O810" s="22"/>
      <c r="P810" s="20"/>
      <c r="Q810" s="20"/>
      <c r="R810" s="20"/>
      <c r="S810" s="20"/>
      <c r="T810" s="20"/>
      <c r="U810" s="20"/>
      <c r="V810" s="20"/>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row>
    <row r="811">
      <c r="A811" s="20"/>
      <c r="B811" s="20"/>
      <c r="C811" s="20"/>
      <c r="D811" s="20"/>
      <c r="E811" s="20"/>
      <c r="F811" s="20"/>
      <c r="G811" s="20"/>
      <c r="H811" s="20"/>
      <c r="I811" s="23"/>
      <c r="J811" s="20"/>
      <c r="K811" s="20"/>
      <c r="L811" s="20"/>
      <c r="M811" s="20"/>
      <c r="N811" s="20"/>
      <c r="O811" s="22"/>
      <c r="P811" s="20"/>
      <c r="Q811" s="20"/>
      <c r="R811" s="20"/>
      <c r="S811" s="20"/>
      <c r="T811" s="20"/>
      <c r="U811" s="20"/>
      <c r="V811" s="20"/>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row>
    <row r="812">
      <c r="A812" s="20"/>
      <c r="B812" s="20"/>
      <c r="C812" s="20"/>
      <c r="D812" s="20"/>
      <c r="E812" s="20"/>
      <c r="F812" s="20"/>
      <c r="G812" s="20"/>
      <c r="H812" s="20"/>
      <c r="I812" s="23"/>
      <c r="J812" s="20"/>
      <c r="K812" s="20"/>
      <c r="L812" s="20"/>
      <c r="M812" s="20"/>
      <c r="N812" s="20"/>
      <c r="O812" s="22"/>
      <c r="P812" s="20"/>
      <c r="Q812" s="20"/>
      <c r="R812" s="20"/>
      <c r="S812" s="20"/>
      <c r="T812" s="20"/>
      <c r="U812" s="20"/>
      <c r="V812" s="20"/>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row>
    <row r="813">
      <c r="A813" s="20"/>
      <c r="B813" s="20"/>
      <c r="C813" s="20"/>
      <c r="D813" s="20"/>
      <c r="E813" s="20"/>
      <c r="F813" s="20"/>
      <c r="G813" s="20"/>
      <c r="H813" s="20"/>
      <c r="I813" s="23"/>
      <c r="J813" s="20"/>
      <c r="K813" s="20"/>
      <c r="L813" s="20"/>
      <c r="M813" s="20"/>
      <c r="N813" s="20"/>
      <c r="O813" s="22"/>
      <c r="P813" s="20"/>
      <c r="Q813" s="20"/>
      <c r="R813" s="20"/>
      <c r="S813" s="20"/>
      <c r="T813" s="20"/>
      <c r="U813" s="20"/>
      <c r="V813" s="20"/>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row>
    <row r="814">
      <c r="A814" s="20"/>
      <c r="B814" s="20"/>
      <c r="C814" s="20"/>
      <c r="D814" s="20"/>
      <c r="E814" s="20"/>
      <c r="F814" s="20"/>
      <c r="G814" s="20"/>
      <c r="H814" s="20"/>
      <c r="I814" s="23"/>
      <c r="J814" s="20"/>
      <c r="K814" s="20"/>
      <c r="L814" s="20"/>
      <c r="M814" s="20"/>
      <c r="N814" s="20"/>
      <c r="O814" s="22"/>
      <c r="P814" s="20"/>
      <c r="Q814" s="20"/>
      <c r="R814" s="20"/>
      <c r="S814" s="20"/>
      <c r="T814" s="20"/>
      <c r="U814" s="20"/>
      <c r="V814" s="20"/>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row>
    <row r="815">
      <c r="A815" s="20"/>
      <c r="B815" s="20"/>
      <c r="C815" s="20"/>
      <c r="D815" s="20"/>
      <c r="E815" s="20"/>
      <c r="F815" s="20"/>
      <c r="G815" s="20"/>
      <c r="H815" s="20"/>
      <c r="I815" s="23"/>
      <c r="J815" s="20"/>
      <c r="K815" s="20"/>
      <c r="L815" s="20"/>
      <c r="M815" s="20"/>
      <c r="N815" s="20"/>
      <c r="O815" s="22"/>
      <c r="P815" s="20"/>
      <c r="Q815" s="20"/>
      <c r="R815" s="20"/>
      <c r="S815" s="20"/>
      <c r="T815" s="20"/>
      <c r="U815" s="20"/>
      <c r="V815" s="20"/>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row>
    <row r="816">
      <c r="A816" s="20"/>
      <c r="B816" s="20"/>
      <c r="C816" s="20"/>
      <c r="D816" s="20"/>
      <c r="E816" s="20"/>
      <c r="F816" s="20"/>
      <c r="G816" s="20"/>
      <c r="H816" s="20"/>
      <c r="I816" s="23"/>
      <c r="J816" s="20"/>
      <c r="K816" s="20"/>
      <c r="L816" s="20"/>
      <c r="M816" s="20"/>
      <c r="N816" s="20"/>
      <c r="O816" s="22"/>
      <c r="P816" s="20"/>
      <c r="Q816" s="20"/>
      <c r="R816" s="20"/>
      <c r="S816" s="20"/>
      <c r="T816" s="20"/>
      <c r="U816" s="20"/>
      <c r="V816" s="20"/>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row>
    <row r="817">
      <c r="A817" s="20"/>
      <c r="B817" s="20"/>
      <c r="C817" s="20"/>
      <c r="D817" s="20"/>
      <c r="E817" s="20"/>
      <c r="F817" s="20"/>
      <c r="G817" s="20"/>
      <c r="H817" s="20"/>
      <c r="I817" s="23"/>
      <c r="J817" s="20"/>
      <c r="K817" s="20"/>
      <c r="L817" s="20"/>
      <c r="M817" s="20"/>
      <c r="N817" s="20"/>
      <c r="O817" s="22"/>
      <c r="P817" s="20"/>
      <c r="Q817" s="20"/>
      <c r="R817" s="20"/>
      <c r="S817" s="20"/>
      <c r="T817" s="20"/>
      <c r="U817" s="20"/>
      <c r="V817" s="20"/>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row>
    <row r="818">
      <c r="A818" s="20"/>
      <c r="B818" s="20"/>
      <c r="C818" s="20"/>
      <c r="D818" s="20"/>
      <c r="E818" s="20"/>
      <c r="F818" s="20"/>
      <c r="G818" s="20"/>
      <c r="H818" s="20"/>
      <c r="I818" s="23"/>
      <c r="J818" s="20"/>
      <c r="K818" s="20"/>
      <c r="L818" s="20"/>
      <c r="M818" s="20"/>
      <c r="N818" s="20"/>
      <c r="O818" s="22"/>
      <c r="P818" s="20"/>
      <c r="Q818" s="20"/>
      <c r="R818" s="20"/>
      <c r="S818" s="20"/>
      <c r="T818" s="20"/>
      <c r="U818" s="20"/>
      <c r="V818" s="20"/>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row>
    <row r="819">
      <c r="A819" s="20"/>
      <c r="B819" s="20"/>
      <c r="C819" s="20"/>
      <c r="D819" s="20"/>
      <c r="E819" s="20"/>
      <c r="F819" s="20"/>
      <c r="G819" s="20"/>
      <c r="H819" s="20"/>
      <c r="I819" s="23"/>
      <c r="J819" s="20"/>
      <c r="K819" s="20"/>
      <c r="L819" s="20"/>
      <c r="M819" s="20"/>
      <c r="N819" s="20"/>
      <c r="O819" s="22"/>
      <c r="P819" s="20"/>
      <c r="Q819" s="20"/>
      <c r="R819" s="20"/>
      <c r="S819" s="20"/>
      <c r="T819" s="20"/>
      <c r="U819" s="20"/>
      <c r="V819" s="20"/>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row>
    <row r="820">
      <c r="A820" s="20"/>
      <c r="B820" s="20"/>
      <c r="C820" s="20"/>
      <c r="D820" s="20"/>
      <c r="E820" s="20"/>
      <c r="F820" s="20"/>
      <c r="G820" s="20"/>
      <c r="H820" s="20"/>
      <c r="I820" s="23"/>
      <c r="J820" s="20"/>
      <c r="K820" s="20"/>
      <c r="L820" s="20"/>
      <c r="M820" s="20"/>
      <c r="N820" s="20"/>
      <c r="O820" s="22"/>
      <c r="P820" s="20"/>
      <c r="Q820" s="20"/>
      <c r="R820" s="20"/>
      <c r="S820" s="20"/>
      <c r="T820" s="20"/>
      <c r="U820" s="20"/>
      <c r="V820" s="20"/>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row>
    <row r="821">
      <c r="A821" s="20"/>
      <c r="B821" s="20"/>
      <c r="C821" s="20"/>
      <c r="D821" s="20"/>
      <c r="E821" s="20"/>
      <c r="F821" s="20"/>
      <c r="G821" s="20"/>
      <c r="H821" s="20"/>
      <c r="I821" s="23"/>
      <c r="J821" s="20"/>
      <c r="K821" s="20"/>
      <c r="L821" s="20"/>
      <c r="M821" s="20"/>
      <c r="N821" s="20"/>
      <c r="O821" s="22"/>
      <c r="P821" s="20"/>
      <c r="Q821" s="20"/>
      <c r="R821" s="20"/>
      <c r="S821" s="20"/>
      <c r="T821" s="20"/>
      <c r="U821" s="20"/>
      <c r="V821" s="20"/>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row>
    <row r="822">
      <c r="A822" s="20"/>
      <c r="B822" s="20"/>
      <c r="C822" s="20"/>
      <c r="D822" s="20"/>
      <c r="E822" s="20"/>
      <c r="F822" s="20"/>
      <c r="G822" s="20"/>
      <c r="H822" s="20"/>
      <c r="I822" s="23"/>
      <c r="J822" s="20"/>
      <c r="K822" s="20"/>
      <c r="L822" s="20"/>
      <c r="M822" s="20"/>
      <c r="N822" s="20"/>
      <c r="O822" s="22"/>
      <c r="P822" s="20"/>
      <c r="Q822" s="20"/>
      <c r="R822" s="20"/>
      <c r="S822" s="20"/>
      <c r="T822" s="20"/>
      <c r="U822" s="20"/>
      <c r="V822" s="20"/>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row>
    <row r="823">
      <c r="A823" s="20"/>
      <c r="B823" s="20"/>
      <c r="C823" s="20"/>
      <c r="D823" s="20"/>
      <c r="E823" s="20"/>
      <c r="F823" s="20"/>
      <c r="G823" s="20"/>
      <c r="H823" s="20"/>
      <c r="I823" s="23"/>
      <c r="J823" s="20"/>
      <c r="K823" s="20"/>
      <c r="L823" s="20"/>
      <c r="M823" s="20"/>
      <c r="N823" s="20"/>
      <c r="O823" s="22"/>
      <c r="P823" s="20"/>
      <c r="Q823" s="20"/>
      <c r="R823" s="20"/>
      <c r="S823" s="20"/>
      <c r="T823" s="20"/>
      <c r="U823" s="20"/>
      <c r="V823" s="20"/>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row>
    <row r="824">
      <c r="A824" s="20"/>
      <c r="B824" s="20"/>
      <c r="C824" s="20"/>
      <c r="D824" s="20"/>
      <c r="E824" s="20"/>
      <c r="F824" s="20"/>
      <c r="G824" s="20"/>
      <c r="H824" s="20"/>
      <c r="I824" s="23"/>
      <c r="J824" s="20"/>
      <c r="K824" s="20"/>
      <c r="L824" s="20"/>
      <c r="M824" s="20"/>
      <c r="N824" s="20"/>
      <c r="O824" s="22"/>
      <c r="P824" s="20"/>
      <c r="Q824" s="20"/>
      <c r="R824" s="20"/>
      <c r="S824" s="20"/>
      <c r="T824" s="20"/>
      <c r="U824" s="20"/>
      <c r="V824" s="20"/>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row>
    <row r="825">
      <c r="A825" s="20"/>
      <c r="B825" s="20"/>
      <c r="C825" s="20"/>
      <c r="D825" s="20"/>
      <c r="E825" s="20"/>
      <c r="F825" s="20"/>
      <c r="G825" s="20"/>
      <c r="H825" s="20"/>
      <c r="I825" s="23"/>
      <c r="J825" s="20"/>
      <c r="K825" s="20"/>
      <c r="L825" s="20"/>
      <c r="M825" s="20"/>
      <c r="N825" s="20"/>
      <c r="O825" s="22"/>
      <c r="P825" s="20"/>
      <c r="Q825" s="20"/>
      <c r="R825" s="20"/>
      <c r="S825" s="20"/>
      <c r="T825" s="20"/>
      <c r="U825" s="20"/>
      <c r="V825" s="20"/>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row>
    <row r="826">
      <c r="A826" s="20"/>
      <c r="B826" s="20"/>
      <c r="C826" s="20"/>
      <c r="D826" s="20"/>
      <c r="E826" s="20"/>
      <c r="F826" s="20"/>
      <c r="G826" s="20"/>
      <c r="H826" s="20"/>
      <c r="I826" s="23"/>
      <c r="J826" s="20"/>
      <c r="K826" s="20"/>
      <c r="L826" s="20"/>
      <c r="M826" s="20"/>
      <c r="N826" s="20"/>
      <c r="O826" s="22"/>
      <c r="P826" s="20"/>
      <c r="Q826" s="20"/>
      <c r="R826" s="20"/>
      <c r="S826" s="20"/>
      <c r="T826" s="20"/>
      <c r="U826" s="20"/>
      <c r="V826" s="20"/>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row>
    <row r="827">
      <c r="A827" s="20"/>
      <c r="B827" s="20"/>
      <c r="C827" s="20"/>
      <c r="D827" s="20"/>
      <c r="E827" s="20"/>
      <c r="F827" s="20"/>
      <c r="G827" s="20"/>
      <c r="H827" s="20"/>
      <c r="I827" s="23"/>
      <c r="J827" s="20"/>
      <c r="K827" s="20"/>
      <c r="L827" s="20"/>
      <c r="M827" s="20"/>
      <c r="N827" s="20"/>
      <c r="O827" s="22"/>
      <c r="P827" s="20"/>
      <c r="Q827" s="20"/>
      <c r="R827" s="20"/>
      <c r="S827" s="20"/>
      <c r="T827" s="20"/>
      <c r="U827" s="20"/>
      <c r="V827" s="20"/>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row>
    <row r="828">
      <c r="A828" s="20"/>
      <c r="B828" s="20"/>
      <c r="C828" s="20"/>
      <c r="D828" s="20"/>
      <c r="E828" s="20"/>
      <c r="F828" s="20"/>
      <c r="G828" s="20"/>
      <c r="H828" s="20"/>
      <c r="I828" s="23"/>
      <c r="J828" s="20"/>
      <c r="K828" s="20"/>
      <c r="L828" s="20"/>
      <c r="M828" s="20"/>
      <c r="N828" s="20"/>
      <c r="O828" s="22"/>
      <c r="P828" s="20"/>
      <c r="Q828" s="20"/>
      <c r="R828" s="20"/>
      <c r="S828" s="20"/>
      <c r="T828" s="20"/>
      <c r="U828" s="20"/>
      <c r="V828" s="20"/>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row>
    <row r="829">
      <c r="A829" s="20"/>
      <c r="B829" s="20"/>
      <c r="C829" s="20"/>
      <c r="D829" s="20"/>
      <c r="E829" s="20"/>
      <c r="F829" s="20"/>
      <c r="G829" s="20"/>
      <c r="H829" s="20"/>
      <c r="I829" s="23"/>
      <c r="J829" s="20"/>
      <c r="K829" s="20"/>
      <c r="L829" s="20"/>
      <c r="M829" s="20"/>
      <c r="N829" s="20"/>
      <c r="O829" s="22"/>
      <c r="P829" s="20"/>
      <c r="Q829" s="20"/>
      <c r="R829" s="20"/>
      <c r="S829" s="20"/>
      <c r="T829" s="20"/>
      <c r="U829" s="20"/>
      <c r="V829" s="20"/>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row>
    <row r="830">
      <c r="A830" s="20"/>
      <c r="B830" s="20"/>
      <c r="C830" s="20"/>
      <c r="D830" s="20"/>
      <c r="E830" s="20"/>
      <c r="F830" s="20"/>
      <c r="G830" s="20"/>
      <c r="H830" s="20"/>
      <c r="I830" s="23"/>
      <c r="J830" s="20"/>
      <c r="K830" s="20"/>
      <c r="L830" s="20"/>
      <c r="M830" s="20"/>
      <c r="N830" s="20"/>
      <c r="O830" s="22"/>
      <c r="P830" s="20"/>
      <c r="Q830" s="20"/>
      <c r="R830" s="20"/>
      <c r="S830" s="20"/>
      <c r="T830" s="20"/>
      <c r="U830" s="20"/>
      <c r="V830" s="20"/>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row>
    <row r="831">
      <c r="A831" s="20"/>
      <c r="B831" s="20"/>
      <c r="C831" s="20"/>
      <c r="D831" s="20"/>
      <c r="E831" s="20"/>
      <c r="F831" s="20"/>
      <c r="G831" s="20"/>
      <c r="H831" s="20"/>
      <c r="I831" s="23"/>
      <c r="J831" s="20"/>
      <c r="K831" s="20"/>
      <c r="L831" s="20"/>
      <c r="M831" s="20"/>
      <c r="N831" s="20"/>
      <c r="O831" s="22"/>
      <c r="P831" s="20"/>
      <c r="Q831" s="20"/>
      <c r="R831" s="20"/>
      <c r="S831" s="20"/>
      <c r="T831" s="20"/>
      <c r="U831" s="20"/>
      <c r="V831" s="20"/>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row>
    <row r="832">
      <c r="A832" s="20"/>
      <c r="B832" s="20"/>
      <c r="C832" s="20"/>
      <c r="D832" s="20"/>
      <c r="E832" s="20"/>
      <c r="F832" s="20"/>
      <c r="G832" s="20"/>
      <c r="H832" s="20"/>
      <c r="I832" s="23"/>
      <c r="J832" s="20"/>
      <c r="K832" s="20"/>
      <c r="L832" s="20"/>
      <c r="M832" s="20"/>
      <c r="N832" s="20"/>
      <c r="O832" s="22"/>
      <c r="P832" s="20"/>
      <c r="Q832" s="20"/>
      <c r="R832" s="20"/>
      <c r="S832" s="20"/>
      <c r="T832" s="20"/>
      <c r="U832" s="20"/>
      <c r="V832" s="20"/>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row>
    <row r="833">
      <c r="A833" s="20"/>
      <c r="B833" s="20"/>
      <c r="C833" s="20"/>
      <c r="D833" s="20"/>
      <c r="E833" s="20"/>
      <c r="F833" s="20"/>
      <c r="G833" s="20"/>
      <c r="H833" s="20"/>
      <c r="I833" s="23"/>
      <c r="J833" s="20"/>
      <c r="K833" s="20"/>
      <c r="L833" s="20"/>
      <c r="M833" s="20"/>
      <c r="N833" s="20"/>
      <c r="O833" s="22"/>
      <c r="P833" s="20"/>
      <c r="Q833" s="20"/>
      <c r="R833" s="20"/>
      <c r="S833" s="20"/>
      <c r="T833" s="20"/>
      <c r="U833" s="20"/>
      <c r="V833" s="20"/>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row>
    <row r="834">
      <c r="A834" s="20"/>
      <c r="B834" s="20"/>
      <c r="C834" s="20"/>
      <c r="D834" s="20"/>
      <c r="E834" s="20"/>
      <c r="F834" s="20"/>
      <c r="G834" s="20"/>
      <c r="H834" s="20"/>
      <c r="I834" s="23"/>
      <c r="J834" s="20"/>
      <c r="K834" s="20"/>
      <c r="L834" s="20"/>
      <c r="M834" s="20"/>
      <c r="N834" s="20"/>
      <c r="O834" s="22"/>
      <c r="P834" s="20"/>
      <c r="Q834" s="20"/>
      <c r="R834" s="20"/>
      <c r="S834" s="20"/>
      <c r="T834" s="20"/>
      <c r="U834" s="20"/>
      <c r="V834" s="20"/>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row>
    <row r="835">
      <c r="A835" s="20"/>
      <c r="B835" s="20"/>
      <c r="C835" s="20"/>
      <c r="D835" s="20"/>
      <c r="E835" s="20"/>
      <c r="F835" s="20"/>
      <c r="G835" s="20"/>
      <c r="H835" s="20"/>
      <c r="I835" s="23"/>
      <c r="J835" s="20"/>
      <c r="K835" s="20"/>
      <c r="L835" s="20"/>
      <c r="M835" s="20"/>
      <c r="N835" s="20"/>
      <c r="O835" s="22"/>
      <c r="P835" s="20"/>
      <c r="Q835" s="20"/>
      <c r="R835" s="20"/>
      <c r="S835" s="20"/>
      <c r="T835" s="20"/>
      <c r="U835" s="20"/>
      <c r="V835" s="20"/>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row>
    <row r="836">
      <c r="A836" s="20"/>
      <c r="B836" s="20"/>
      <c r="C836" s="20"/>
      <c r="D836" s="20"/>
      <c r="E836" s="20"/>
      <c r="F836" s="20"/>
      <c r="G836" s="20"/>
      <c r="H836" s="20"/>
      <c r="I836" s="23"/>
      <c r="J836" s="20"/>
      <c r="K836" s="20"/>
      <c r="L836" s="20"/>
      <c r="M836" s="20"/>
      <c r="N836" s="20"/>
      <c r="O836" s="22"/>
      <c r="P836" s="20"/>
      <c r="Q836" s="20"/>
      <c r="R836" s="20"/>
      <c r="S836" s="20"/>
      <c r="T836" s="20"/>
      <c r="U836" s="20"/>
      <c r="V836" s="20"/>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row>
    <row r="837">
      <c r="A837" s="20"/>
      <c r="B837" s="20"/>
      <c r="C837" s="20"/>
      <c r="D837" s="20"/>
      <c r="E837" s="20"/>
      <c r="F837" s="20"/>
      <c r="G837" s="20"/>
      <c r="H837" s="20"/>
      <c r="I837" s="23"/>
      <c r="J837" s="20"/>
      <c r="K837" s="20"/>
      <c r="L837" s="20"/>
      <c r="M837" s="20"/>
      <c r="N837" s="20"/>
      <c r="O837" s="22"/>
      <c r="P837" s="20"/>
      <c r="Q837" s="20"/>
      <c r="R837" s="20"/>
      <c r="S837" s="20"/>
      <c r="T837" s="20"/>
      <c r="U837" s="20"/>
      <c r="V837" s="20"/>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row>
    <row r="838">
      <c r="A838" s="20"/>
      <c r="B838" s="20"/>
      <c r="C838" s="20"/>
      <c r="D838" s="20"/>
      <c r="E838" s="20"/>
      <c r="F838" s="20"/>
      <c r="G838" s="20"/>
      <c r="H838" s="20"/>
      <c r="I838" s="23"/>
      <c r="J838" s="20"/>
      <c r="K838" s="20"/>
      <c r="L838" s="20"/>
      <c r="M838" s="20"/>
      <c r="N838" s="20"/>
      <c r="O838" s="22"/>
      <c r="P838" s="20"/>
      <c r="Q838" s="20"/>
      <c r="R838" s="20"/>
      <c r="S838" s="20"/>
      <c r="T838" s="20"/>
      <c r="U838" s="20"/>
      <c r="V838" s="20"/>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row>
    <row r="839">
      <c r="A839" s="20"/>
      <c r="B839" s="20"/>
      <c r="C839" s="20"/>
      <c r="D839" s="20"/>
      <c r="E839" s="20"/>
      <c r="F839" s="20"/>
      <c r="G839" s="20"/>
      <c r="H839" s="20"/>
      <c r="I839" s="23"/>
      <c r="J839" s="20"/>
      <c r="K839" s="20"/>
      <c r="L839" s="20"/>
      <c r="M839" s="20"/>
      <c r="N839" s="20"/>
      <c r="O839" s="22"/>
      <c r="P839" s="20"/>
      <c r="Q839" s="20"/>
      <c r="R839" s="20"/>
      <c r="S839" s="20"/>
      <c r="T839" s="20"/>
      <c r="U839" s="20"/>
      <c r="V839" s="20"/>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row>
    <row r="840">
      <c r="A840" s="20"/>
      <c r="B840" s="20"/>
      <c r="C840" s="20"/>
      <c r="D840" s="20"/>
      <c r="E840" s="20"/>
      <c r="F840" s="20"/>
      <c r="G840" s="20"/>
      <c r="H840" s="20"/>
      <c r="I840" s="23"/>
      <c r="J840" s="20"/>
      <c r="K840" s="20"/>
      <c r="L840" s="20"/>
      <c r="M840" s="20"/>
      <c r="N840" s="20"/>
      <c r="O840" s="22"/>
      <c r="P840" s="20"/>
      <c r="Q840" s="20"/>
      <c r="R840" s="20"/>
      <c r="S840" s="20"/>
      <c r="T840" s="20"/>
      <c r="U840" s="20"/>
      <c r="V840" s="20"/>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row>
    <row r="841">
      <c r="A841" s="20"/>
      <c r="B841" s="20"/>
      <c r="C841" s="20"/>
      <c r="D841" s="20"/>
      <c r="E841" s="20"/>
      <c r="F841" s="20"/>
      <c r="G841" s="20"/>
      <c r="H841" s="20"/>
      <c r="I841" s="23"/>
      <c r="J841" s="20"/>
      <c r="K841" s="20"/>
      <c r="L841" s="20"/>
      <c r="M841" s="20"/>
      <c r="N841" s="20"/>
      <c r="O841" s="22"/>
      <c r="P841" s="20"/>
      <c r="Q841" s="20"/>
      <c r="R841" s="20"/>
      <c r="S841" s="20"/>
      <c r="T841" s="20"/>
      <c r="U841" s="20"/>
      <c r="V841" s="20"/>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row>
    <row r="842">
      <c r="A842" s="20"/>
      <c r="B842" s="20"/>
      <c r="C842" s="20"/>
      <c r="D842" s="20"/>
      <c r="E842" s="20"/>
      <c r="F842" s="20"/>
      <c r="G842" s="20"/>
      <c r="H842" s="20"/>
      <c r="I842" s="23"/>
      <c r="J842" s="20"/>
      <c r="K842" s="20"/>
      <c r="L842" s="20"/>
      <c r="M842" s="20"/>
      <c r="N842" s="20"/>
      <c r="O842" s="22"/>
      <c r="P842" s="20"/>
      <c r="Q842" s="20"/>
      <c r="R842" s="20"/>
      <c r="S842" s="20"/>
      <c r="T842" s="20"/>
      <c r="U842" s="20"/>
      <c r="V842" s="20"/>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row>
    <row r="843">
      <c r="A843" s="20"/>
      <c r="B843" s="20"/>
      <c r="C843" s="20"/>
      <c r="D843" s="20"/>
      <c r="E843" s="20"/>
      <c r="F843" s="20"/>
      <c r="G843" s="20"/>
      <c r="H843" s="20"/>
      <c r="I843" s="23"/>
      <c r="J843" s="20"/>
      <c r="K843" s="20"/>
      <c r="L843" s="20"/>
      <c r="M843" s="20"/>
      <c r="N843" s="20"/>
      <c r="O843" s="22"/>
      <c r="P843" s="20"/>
      <c r="Q843" s="20"/>
      <c r="R843" s="20"/>
      <c r="S843" s="20"/>
      <c r="T843" s="20"/>
      <c r="U843" s="20"/>
      <c r="V843" s="20"/>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row>
    <row r="844">
      <c r="A844" s="20"/>
      <c r="B844" s="20"/>
      <c r="C844" s="20"/>
      <c r="D844" s="20"/>
      <c r="E844" s="20"/>
      <c r="F844" s="20"/>
      <c r="G844" s="20"/>
      <c r="H844" s="20"/>
      <c r="I844" s="23"/>
      <c r="J844" s="20"/>
      <c r="K844" s="20"/>
      <c r="L844" s="20"/>
      <c r="M844" s="20"/>
      <c r="N844" s="20"/>
      <c r="O844" s="22"/>
      <c r="P844" s="20"/>
      <c r="Q844" s="20"/>
      <c r="R844" s="20"/>
      <c r="S844" s="20"/>
      <c r="T844" s="20"/>
      <c r="U844" s="20"/>
      <c r="V844" s="20"/>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row>
    <row r="845">
      <c r="A845" s="20"/>
      <c r="B845" s="20"/>
      <c r="C845" s="20"/>
      <c r="D845" s="20"/>
      <c r="E845" s="20"/>
      <c r="F845" s="20"/>
      <c r="G845" s="20"/>
      <c r="H845" s="20"/>
      <c r="I845" s="23"/>
      <c r="J845" s="20"/>
      <c r="K845" s="20"/>
      <c r="L845" s="20"/>
      <c r="M845" s="20"/>
      <c r="N845" s="20"/>
      <c r="O845" s="22"/>
      <c r="P845" s="20"/>
      <c r="Q845" s="20"/>
      <c r="R845" s="20"/>
      <c r="S845" s="20"/>
      <c r="T845" s="20"/>
      <c r="U845" s="20"/>
      <c r="V845" s="20"/>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row>
    <row r="846">
      <c r="A846" s="20"/>
      <c r="B846" s="20"/>
      <c r="C846" s="20"/>
      <c r="D846" s="20"/>
      <c r="E846" s="20"/>
      <c r="F846" s="20"/>
      <c r="G846" s="20"/>
      <c r="H846" s="20"/>
      <c r="I846" s="23"/>
      <c r="J846" s="20"/>
      <c r="K846" s="20"/>
      <c r="L846" s="20"/>
      <c r="M846" s="20"/>
      <c r="N846" s="20"/>
      <c r="O846" s="22"/>
      <c r="P846" s="20"/>
      <c r="Q846" s="20"/>
      <c r="R846" s="20"/>
      <c r="S846" s="20"/>
      <c r="T846" s="20"/>
      <c r="U846" s="20"/>
      <c r="V846" s="20"/>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row>
    <row r="847">
      <c r="A847" s="20"/>
      <c r="B847" s="20"/>
      <c r="C847" s="20"/>
      <c r="D847" s="20"/>
      <c r="E847" s="20"/>
      <c r="F847" s="20"/>
      <c r="G847" s="20"/>
      <c r="H847" s="20"/>
      <c r="I847" s="23"/>
      <c r="J847" s="20"/>
      <c r="K847" s="20"/>
      <c r="L847" s="20"/>
      <c r="M847" s="20"/>
      <c r="N847" s="20"/>
      <c r="O847" s="22"/>
      <c r="P847" s="20"/>
      <c r="Q847" s="20"/>
      <c r="R847" s="20"/>
      <c r="S847" s="20"/>
      <c r="T847" s="20"/>
      <c r="U847" s="20"/>
      <c r="V847" s="20"/>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row>
    <row r="848">
      <c r="A848" s="20"/>
      <c r="B848" s="20"/>
      <c r="C848" s="20"/>
      <c r="D848" s="20"/>
      <c r="E848" s="20"/>
      <c r="F848" s="20"/>
      <c r="G848" s="20"/>
      <c r="H848" s="20"/>
      <c r="I848" s="23"/>
      <c r="J848" s="20"/>
      <c r="K848" s="20"/>
      <c r="L848" s="20"/>
      <c r="M848" s="20"/>
      <c r="N848" s="20"/>
      <c r="O848" s="22"/>
      <c r="P848" s="20"/>
      <c r="Q848" s="20"/>
      <c r="R848" s="20"/>
      <c r="S848" s="20"/>
      <c r="T848" s="20"/>
      <c r="U848" s="20"/>
      <c r="V848" s="20"/>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row>
    <row r="849">
      <c r="A849" s="20"/>
      <c r="B849" s="20"/>
      <c r="C849" s="20"/>
      <c r="D849" s="20"/>
      <c r="E849" s="20"/>
      <c r="F849" s="20"/>
      <c r="G849" s="20"/>
      <c r="H849" s="20"/>
      <c r="I849" s="23"/>
      <c r="J849" s="20"/>
      <c r="K849" s="20"/>
      <c r="L849" s="20"/>
      <c r="M849" s="20"/>
      <c r="N849" s="20"/>
      <c r="O849" s="22"/>
      <c r="P849" s="20"/>
      <c r="Q849" s="20"/>
      <c r="R849" s="20"/>
      <c r="S849" s="20"/>
      <c r="T849" s="20"/>
      <c r="U849" s="20"/>
      <c r="V849" s="20"/>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row>
    <row r="850">
      <c r="A850" s="20"/>
      <c r="B850" s="20"/>
      <c r="C850" s="20"/>
      <c r="D850" s="20"/>
      <c r="E850" s="20"/>
      <c r="F850" s="20"/>
      <c r="G850" s="20"/>
      <c r="H850" s="20"/>
      <c r="I850" s="23"/>
      <c r="J850" s="20"/>
      <c r="K850" s="20"/>
      <c r="L850" s="20"/>
      <c r="M850" s="20"/>
      <c r="N850" s="20"/>
      <c r="O850" s="22"/>
      <c r="P850" s="20"/>
      <c r="Q850" s="20"/>
      <c r="R850" s="20"/>
      <c r="S850" s="20"/>
      <c r="T850" s="20"/>
      <c r="U850" s="20"/>
      <c r="V850" s="20"/>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row>
    <row r="851">
      <c r="A851" s="20"/>
      <c r="B851" s="20"/>
      <c r="C851" s="20"/>
      <c r="D851" s="20"/>
      <c r="E851" s="20"/>
      <c r="F851" s="20"/>
      <c r="G851" s="20"/>
      <c r="H851" s="20"/>
      <c r="I851" s="23"/>
      <c r="J851" s="20"/>
      <c r="K851" s="20"/>
      <c r="L851" s="20"/>
      <c r="M851" s="20"/>
      <c r="N851" s="20"/>
      <c r="O851" s="22"/>
      <c r="P851" s="20"/>
      <c r="Q851" s="20"/>
      <c r="R851" s="20"/>
      <c r="S851" s="20"/>
      <c r="T851" s="20"/>
      <c r="U851" s="20"/>
      <c r="V851" s="20"/>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row>
    <row r="852">
      <c r="A852" s="20"/>
      <c r="B852" s="20"/>
      <c r="C852" s="20"/>
      <c r="D852" s="20"/>
      <c r="E852" s="20"/>
      <c r="F852" s="20"/>
      <c r="G852" s="20"/>
      <c r="H852" s="20"/>
      <c r="I852" s="23"/>
      <c r="J852" s="20"/>
      <c r="K852" s="20"/>
      <c r="L852" s="20"/>
      <c r="M852" s="20"/>
      <c r="N852" s="20"/>
      <c r="O852" s="22"/>
      <c r="P852" s="20"/>
      <c r="Q852" s="20"/>
      <c r="R852" s="20"/>
      <c r="S852" s="20"/>
      <c r="T852" s="20"/>
      <c r="U852" s="20"/>
      <c r="V852" s="20"/>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row>
    <row r="853">
      <c r="A853" s="20"/>
      <c r="B853" s="20"/>
      <c r="C853" s="20"/>
      <c r="D853" s="20"/>
      <c r="E853" s="20"/>
      <c r="F853" s="20"/>
      <c r="G853" s="20"/>
      <c r="H853" s="20"/>
      <c r="I853" s="23"/>
      <c r="J853" s="20"/>
      <c r="K853" s="20"/>
      <c r="L853" s="20"/>
      <c r="M853" s="20"/>
      <c r="N853" s="20"/>
      <c r="O853" s="22"/>
      <c r="P853" s="20"/>
      <c r="Q853" s="20"/>
      <c r="R853" s="20"/>
      <c r="S853" s="20"/>
      <c r="T853" s="20"/>
      <c r="U853" s="20"/>
      <c r="V853" s="20"/>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row>
    <row r="854">
      <c r="A854" s="20"/>
      <c r="B854" s="20"/>
      <c r="C854" s="20"/>
      <c r="D854" s="20"/>
      <c r="E854" s="20"/>
      <c r="F854" s="20"/>
      <c r="G854" s="20"/>
      <c r="H854" s="20"/>
      <c r="I854" s="23"/>
      <c r="J854" s="20"/>
      <c r="K854" s="20"/>
      <c r="L854" s="20"/>
      <c r="M854" s="20"/>
      <c r="N854" s="20"/>
      <c r="O854" s="22"/>
      <c r="P854" s="20"/>
      <c r="Q854" s="20"/>
      <c r="R854" s="20"/>
      <c r="S854" s="20"/>
      <c r="T854" s="20"/>
      <c r="U854" s="20"/>
      <c r="V854" s="20"/>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row>
    <row r="855">
      <c r="A855" s="20"/>
      <c r="B855" s="20"/>
      <c r="C855" s="20"/>
      <c r="D855" s="20"/>
      <c r="E855" s="20"/>
      <c r="F855" s="20"/>
      <c r="G855" s="20"/>
      <c r="H855" s="20"/>
      <c r="I855" s="23"/>
      <c r="J855" s="20"/>
      <c r="K855" s="20"/>
      <c r="L855" s="20"/>
      <c r="M855" s="20"/>
      <c r="N855" s="20"/>
      <c r="O855" s="22"/>
      <c r="P855" s="20"/>
      <c r="Q855" s="20"/>
      <c r="R855" s="20"/>
      <c r="S855" s="20"/>
      <c r="T855" s="20"/>
      <c r="U855" s="20"/>
      <c r="V855" s="20"/>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row>
    <row r="856">
      <c r="A856" s="20"/>
      <c r="B856" s="20"/>
      <c r="C856" s="20"/>
      <c r="D856" s="20"/>
      <c r="E856" s="20"/>
      <c r="F856" s="20"/>
      <c r="G856" s="20"/>
      <c r="H856" s="20"/>
      <c r="I856" s="23"/>
      <c r="J856" s="20"/>
      <c r="K856" s="20"/>
      <c r="L856" s="20"/>
      <c r="M856" s="20"/>
      <c r="N856" s="20"/>
      <c r="O856" s="22"/>
      <c r="P856" s="20"/>
      <c r="Q856" s="20"/>
      <c r="R856" s="20"/>
      <c r="S856" s="20"/>
      <c r="T856" s="20"/>
      <c r="U856" s="20"/>
      <c r="V856" s="20"/>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row>
    <row r="857">
      <c r="A857" s="20"/>
      <c r="B857" s="20"/>
      <c r="C857" s="20"/>
      <c r="D857" s="20"/>
      <c r="E857" s="20"/>
      <c r="F857" s="20"/>
      <c r="G857" s="20"/>
      <c r="H857" s="20"/>
      <c r="I857" s="23"/>
      <c r="J857" s="20"/>
      <c r="K857" s="20"/>
      <c r="L857" s="20"/>
      <c r="M857" s="20"/>
      <c r="N857" s="20"/>
      <c r="O857" s="22"/>
      <c r="P857" s="20"/>
      <c r="Q857" s="20"/>
      <c r="R857" s="20"/>
      <c r="S857" s="20"/>
      <c r="T857" s="20"/>
      <c r="U857" s="20"/>
      <c r="V857" s="20"/>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row>
    <row r="858">
      <c r="A858" s="20"/>
      <c r="B858" s="20"/>
      <c r="C858" s="20"/>
      <c r="D858" s="20"/>
      <c r="E858" s="20"/>
      <c r="F858" s="20"/>
      <c r="G858" s="20"/>
      <c r="H858" s="20"/>
      <c r="I858" s="23"/>
      <c r="J858" s="20"/>
      <c r="K858" s="20"/>
      <c r="L858" s="20"/>
      <c r="M858" s="20"/>
      <c r="N858" s="20"/>
      <c r="O858" s="22"/>
      <c r="P858" s="20"/>
      <c r="Q858" s="20"/>
      <c r="R858" s="20"/>
      <c r="S858" s="20"/>
      <c r="T858" s="20"/>
      <c r="U858" s="20"/>
      <c r="V858" s="20"/>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row>
    <row r="859">
      <c r="A859" s="20"/>
      <c r="B859" s="20"/>
      <c r="C859" s="20"/>
      <c r="D859" s="20"/>
      <c r="E859" s="20"/>
      <c r="F859" s="20"/>
      <c r="G859" s="20"/>
      <c r="H859" s="20"/>
      <c r="I859" s="23"/>
      <c r="J859" s="20"/>
      <c r="K859" s="20"/>
      <c r="L859" s="20"/>
      <c r="M859" s="20"/>
      <c r="N859" s="20"/>
      <c r="O859" s="22"/>
      <c r="P859" s="20"/>
      <c r="Q859" s="20"/>
      <c r="R859" s="20"/>
      <c r="S859" s="20"/>
      <c r="T859" s="20"/>
      <c r="U859" s="20"/>
      <c r="V859" s="20"/>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row>
    <row r="860">
      <c r="A860" s="20"/>
      <c r="B860" s="20"/>
      <c r="C860" s="20"/>
      <c r="D860" s="20"/>
      <c r="E860" s="20"/>
      <c r="F860" s="20"/>
      <c r="G860" s="20"/>
      <c r="H860" s="20"/>
      <c r="I860" s="23"/>
      <c r="J860" s="20"/>
      <c r="K860" s="20"/>
      <c r="L860" s="20"/>
      <c r="M860" s="20"/>
      <c r="N860" s="20"/>
      <c r="O860" s="22"/>
      <c r="P860" s="20"/>
      <c r="Q860" s="20"/>
      <c r="R860" s="20"/>
      <c r="S860" s="20"/>
      <c r="T860" s="20"/>
      <c r="U860" s="20"/>
      <c r="V860" s="20"/>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row>
    <row r="861">
      <c r="A861" s="20"/>
      <c r="B861" s="20"/>
      <c r="C861" s="20"/>
      <c r="D861" s="20"/>
      <c r="E861" s="20"/>
      <c r="F861" s="20"/>
      <c r="G861" s="20"/>
      <c r="H861" s="20"/>
      <c r="I861" s="23"/>
      <c r="J861" s="20"/>
      <c r="K861" s="20"/>
      <c r="L861" s="20"/>
      <c r="M861" s="20"/>
      <c r="N861" s="20"/>
      <c r="O861" s="22"/>
      <c r="P861" s="20"/>
      <c r="Q861" s="20"/>
      <c r="R861" s="20"/>
      <c r="S861" s="20"/>
      <c r="T861" s="20"/>
      <c r="U861" s="20"/>
      <c r="V861" s="20"/>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row>
    <row r="862">
      <c r="A862" s="20"/>
      <c r="B862" s="20"/>
      <c r="C862" s="20"/>
      <c r="D862" s="20"/>
      <c r="E862" s="20"/>
      <c r="F862" s="20"/>
      <c r="G862" s="20"/>
      <c r="H862" s="20"/>
      <c r="I862" s="23"/>
      <c r="J862" s="20"/>
      <c r="K862" s="20"/>
      <c r="L862" s="20"/>
      <c r="M862" s="20"/>
      <c r="N862" s="20"/>
      <c r="O862" s="22"/>
      <c r="P862" s="20"/>
      <c r="Q862" s="20"/>
      <c r="R862" s="20"/>
      <c r="S862" s="20"/>
      <c r="T862" s="20"/>
      <c r="U862" s="20"/>
      <c r="V862" s="20"/>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row>
    <row r="863">
      <c r="A863" s="20"/>
      <c r="B863" s="20"/>
      <c r="C863" s="20"/>
      <c r="D863" s="20"/>
      <c r="E863" s="20"/>
      <c r="F863" s="20"/>
      <c r="G863" s="20"/>
      <c r="H863" s="20"/>
      <c r="I863" s="23"/>
      <c r="J863" s="20"/>
      <c r="K863" s="20"/>
      <c r="L863" s="20"/>
      <c r="M863" s="20"/>
      <c r="N863" s="20"/>
      <c r="O863" s="22"/>
      <c r="P863" s="20"/>
      <c r="Q863" s="20"/>
      <c r="R863" s="20"/>
      <c r="S863" s="20"/>
      <c r="T863" s="20"/>
      <c r="U863" s="20"/>
      <c r="V863" s="20"/>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row>
    <row r="864">
      <c r="A864" s="20"/>
      <c r="B864" s="20"/>
      <c r="C864" s="20"/>
      <c r="D864" s="20"/>
      <c r="E864" s="20"/>
      <c r="F864" s="20"/>
      <c r="G864" s="20"/>
      <c r="H864" s="20"/>
      <c r="I864" s="23"/>
      <c r="J864" s="20"/>
      <c r="K864" s="20"/>
      <c r="L864" s="20"/>
      <c r="M864" s="20"/>
      <c r="N864" s="20"/>
      <c r="O864" s="22"/>
      <c r="P864" s="20"/>
      <c r="Q864" s="20"/>
      <c r="R864" s="20"/>
      <c r="S864" s="20"/>
      <c r="T864" s="20"/>
      <c r="U864" s="20"/>
      <c r="V864" s="20"/>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row>
    <row r="865">
      <c r="A865" s="20"/>
      <c r="B865" s="20"/>
      <c r="C865" s="20"/>
      <c r="D865" s="20"/>
      <c r="E865" s="20"/>
      <c r="F865" s="20"/>
      <c r="G865" s="20"/>
      <c r="H865" s="20"/>
      <c r="I865" s="23"/>
      <c r="J865" s="20"/>
      <c r="K865" s="20"/>
      <c r="L865" s="20"/>
      <c r="M865" s="20"/>
      <c r="N865" s="20"/>
      <c r="O865" s="22"/>
      <c r="P865" s="20"/>
      <c r="Q865" s="20"/>
      <c r="R865" s="20"/>
      <c r="S865" s="20"/>
      <c r="T865" s="20"/>
      <c r="U865" s="20"/>
      <c r="V865" s="20"/>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row>
    <row r="866">
      <c r="A866" s="20"/>
      <c r="B866" s="20"/>
      <c r="C866" s="20"/>
      <c r="D866" s="20"/>
      <c r="E866" s="20"/>
      <c r="F866" s="20"/>
      <c r="G866" s="20"/>
      <c r="H866" s="20"/>
      <c r="I866" s="23"/>
      <c r="J866" s="20"/>
      <c r="K866" s="20"/>
      <c r="L866" s="20"/>
      <c r="M866" s="20"/>
      <c r="N866" s="20"/>
      <c r="O866" s="22"/>
      <c r="P866" s="20"/>
      <c r="Q866" s="20"/>
      <c r="R866" s="20"/>
      <c r="S866" s="20"/>
      <c r="T866" s="20"/>
      <c r="U866" s="20"/>
      <c r="V866" s="20"/>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row>
    <row r="867">
      <c r="A867" s="20"/>
      <c r="B867" s="20"/>
      <c r="C867" s="20"/>
      <c r="D867" s="20"/>
      <c r="E867" s="20"/>
      <c r="F867" s="20"/>
      <c r="G867" s="20"/>
      <c r="H867" s="20"/>
      <c r="I867" s="23"/>
      <c r="J867" s="20"/>
      <c r="K867" s="20"/>
      <c r="L867" s="20"/>
      <c r="M867" s="20"/>
      <c r="N867" s="20"/>
      <c r="O867" s="22"/>
      <c r="P867" s="20"/>
      <c r="Q867" s="20"/>
      <c r="R867" s="20"/>
      <c r="S867" s="20"/>
      <c r="T867" s="20"/>
      <c r="U867" s="20"/>
      <c r="V867" s="20"/>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row>
    <row r="868">
      <c r="A868" s="20"/>
      <c r="B868" s="20"/>
      <c r="C868" s="20"/>
      <c r="D868" s="20"/>
      <c r="E868" s="20"/>
      <c r="F868" s="20"/>
      <c r="G868" s="20"/>
      <c r="H868" s="20"/>
      <c r="I868" s="23"/>
      <c r="J868" s="20"/>
      <c r="K868" s="20"/>
      <c r="L868" s="20"/>
      <c r="M868" s="20"/>
      <c r="N868" s="20"/>
      <c r="O868" s="22"/>
      <c r="P868" s="20"/>
      <c r="Q868" s="20"/>
      <c r="R868" s="20"/>
      <c r="S868" s="20"/>
      <c r="T868" s="20"/>
      <c r="U868" s="20"/>
      <c r="V868" s="20"/>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row>
    <row r="869">
      <c r="A869" s="20"/>
      <c r="B869" s="20"/>
      <c r="C869" s="20"/>
      <c r="D869" s="20"/>
      <c r="E869" s="20"/>
      <c r="F869" s="20"/>
      <c r="G869" s="20"/>
      <c r="H869" s="20"/>
      <c r="I869" s="23"/>
      <c r="J869" s="20"/>
      <c r="K869" s="20"/>
      <c r="L869" s="20"/>
      <c r="M869" s="20"/>
      <c r="N869" s="20"/>
      <c r="O869" s="22"/>
      <c r="P869" s="20"/>
      <c r="Q869" s="20"/>
      <c r="R869" s="20"/>
      <c r="S869" s="20"/>
      <c r="T869" s="20"/>
      <c r="U869" s="20"/>
      <c r="V869" s="20"/>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row>
    <row r="870">
      <c r="A870" s="20"/>
      <c r="B870" s="20"/>
      <c r="C870" s="20"/>
      <c r="D870" s="20"/>
      <c r="E870" s="20"/>
      <c r="F870" s="20"/>
      <c r="G870" s="20"/>
      <c r="H870" s="20"/>
      <c r="I870" s="23"/>
      <c r="J870" s="20"/>
      <c r="K870" s="20"/>
      <c r="L870" s="20"/>
      <c r="M870" s="20"/>
      <c r="N870" s="20"/>
      <c r="O870" s="22"/>
      <c r="P870" s="20"/>
      <c r="Q870" s="20"/>
      <c r="R870" s="20"/>
      <c r="S870" s="20"/>
      <c r="T870" s="20"/>
      <c r="U870" s="20"/>
      <c r="V870" s="20"/>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row>
    <row r="871">
      <c r="A871" s="20"/>
      <c r="B871" s="20"/>
      <c r="C871" s="20"/>
      <c r="D871" s="20"/>
      <c r="E871" s="20"/>
      <c r="F871" s="20"/>
      <c r="G871" s="20"/>
      <c r="H871" s="20"/>
      <c r="I871" s="23"/>
      <c r="J871" s="20"/>
      <c r="K871" s="20"/>
      <c r="L871" s="20"/>
      <c r="M871" s="20"/>
      <c r="N871" s="20"/>
      <c r="O871" s="22"/>
      <c r="P871" s="20"/>
      <c r="Q871" s="20"/>
      <c r="R871" s="20"/>
      <c r="S871" s="20"/>
      <c r="T871" s="20"/>
      <c r="U871" s="20"/>
      <c r="V871" s="20"/>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row>
    <row r="872">
      <c r="A872" s="20"/>
      <c r="B872" s="20"/>
      <c r="C872" s="20"/>
      <c r="D872" s="20"/>
      <c r="E872" s="20"/>
      <c r="F872" s="20"/>
      <c r="G872" s="20"/>
      <c r="H872" s="20"/>
      <c r="I872" s="23"/>
      <c r="J872" s="20"/>
      <c r="K872" s="20"/>
      <c r="L872" s="20"/>
      <c r="M872" s="20"/>
      <c r="N872" s="20"/>
      <c r="O872" s="22"/>
      <c r="P872" s="20"/>
      <c r="Q872" s="20"/>
      <c r="R872" s="20"/>
      <c r="S872" s="20"/>
      <c r="T872" s="20"/>
      <c r="U872" s="20"/>
      <c r="V872" s="20"/>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row>
    <row r="873">
      <c r="A873" s="20"/>
      <c r="B873" s="20"/>
      <c r="C873" s="20"/>
      <c r="D873" s="20"/>
      <c r="E873" s="20"/>
      <c r="F873" s="20"/>
      <c r="G873" s="20"/>
      <c r="H873" s="20"/>
      <c r="I873" s="23"/>
      <c r="J873" s="20"/>
      <c r="K873" s="20"/>
      <c r="L873" s="20"/>
      <c r="M873" s="20"/>
      <c r="N873" s="20"/>
      <c r="O873" s="22"/>
      <c r="P873" s="20"/>
      <c r="Q873" s="20"/>
      <c r="R873" s="20"/>
      <c r="S873" s="20"/>
      <c r="T873" s="20"/>
      <c r="U873" s="20"/>
      <c r="V873" s="20"/>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row>
    <row r="874">
      <c r="A874" s="20"/>
      <c r="B874" s="20"/>
      <c r="C874" s="20"/>
      <c r="D874" s="20"/>
      <c r="E874" s="20"/>
      <c r="F874" s="20"/>
      <c r="G874" s="20"/>
      <c r="H874" s="20"/>
      <c r="I874" s="23"/>
      <c r="J874" s="20"/>
      <c r="K874" s="20"/>
      <c r="L874" s="20"/>
      <c r="M874" s="20"/>
      <c r="N874" s="20"/>
      <c r="O874" s="22"/>
      <c r="P874" s="20"/>
      <c r="Q874" s="20"/>
      <c r="R874" s="20"/>
      <c r="S874" s="20"/>
      <c r="T874" s="20"/>
      <c r="U874" s="20"/>
      <c r="V874" s="20"/>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row>
    <row r="875">
      <c r="A875" s="20"/>
      <c r="B875" s="20"/>
      <c r="C875" s="20"/>
      <c r="D875" s="20"/>
      <c r="E875" s="20"/>
      <c r="F875" s="20"/>
      <c r="G875" s="20"/>
      <c r="H875" s="20"/>
      <c r="I875" s="23"/>
      <c r="J875" s="20"/>
      <c r="K875" s="20"/>
      <c r="L875" s="20"/>
      <c r="M875" s="20"/>
      <c r="N875" s="20"/>
      <c r="O875" s="22"/>
      <c r="P875" s="20"/>
      <c r="Q875" s="20"/>
      <c r="R875" s="20"/>
      <c r="S875" s="20"/>
      <c r="T875" s="20"/>
      <c r="U875" s="20"/>
      <c r="V875" s="20"/>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row>
    <row r="876">
      <c r="A876" s="20"/>
      <c r="B876" s="20"/>
      <c r="C876" s="20"/>
      <c r="D876" s="20"/>
      <c r="E876" s="20"/>
      <c r="F876" s="20"/>
      <c r="G876" s="20"/>
      <c r="H876" s="20"/>
      <c r="I876" s="23"/>
      <c r="J876" s="20"/>
      <c r="K876" s="20"/>
      <c r="L876" s="20"/>
      <c r="M876" s="20"/>
      <c r="N876" s="20"/>
      <c r="O876" s="22"/>
      <c r="P876" s="20"/>
      <c r="Q876" s="20"/>
      <c r="R876" s="20"/>
      <c r="S876" s="20"/>
      <c r="T876" s="20"/>
      <c r="U876" s="20"/>
      <c r="V876" s="20"/>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row>
    <row r="877">
      <c r="A877" s="20"/>
      <c r="B877" s="20"/>
      <c r="C877" s="20"/>
      <c r="D877" s="20"/>
      <c r="E877" s="20"/>
      <c r="F877" s="20"/>
      <c r="G877" s="20"/>
      <c r="H877" s="20"/>
      <c r="I877" s="23"/>
      <c r="J877" s="20"/>
      <c r="K877" s="20"/>
      <c r="L877" s="20"/>
      <c r="M877" s="20"/>
      <c r="N877" s="20"/>
      <c r="O877" s="22"/>
      <c r="P877" s="20"/>
      <c r="Q877" s="20"/>
      <c r="R877" s="20"/>
      <c r="S877" s="20"/>
      <c r="T877" s="20"/>
      <c r="U877" s="20"/>
      <c r="V877" s="20"/>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row>
    <row r="878">
      <c r="A878" s="20"/>
      <c r="B878" s="20"/>
      <c r="C878" s="20"/>
      <c r="D878" s="20"/>
      <c r="E878" s="20"/>
      <c r="F878" s="20"/>
      <c r="G878" s="20"/>
      <c r="H878" s="20"/>
      <c r="I878" s="23"/>
      <c r="J878" s="20"/>
      <c r="K878" s="20"/>
      <c r="L878" s="20"/>
      <c r="M878" s="20"/>
      <c r="N878" s="20"/>
      <c r="O878" s="22"/>
      <c r="P878" s="20"/>
      <c r="Q878" s="20"/>
      <c r="R878" s="20"/>
      <c r="S878" s="20"/>
      <c r="T878" s="20"/>
      <c r="U878" s="20"/>
      <c r="V878" s="20"/>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row>
    <row r="879">
      <c r="A879" s="20"/>
      <c r="B879" s="20"/>
      <c r="C879" s="20"/>
      <c r="D879" s="20"/>
      <c r="E879" s="20"/>
      <c r="F879" s="20"/>
      <c r="G879" s="20"/>
      <c r="H879" s="20"/>
      <c r="I879" s="23"/>
      <c r="J879" s="20"/>
      <c r="K879" s="20"/>
      <c r="L879" s="20"/>
      <c r="M879" s="20"/>
      <c r="N879" s="20"/>
      <c r="O879" s="22"/>
      <c r="P879" s="20"/>
      <c r="Q879" s="20"/>
      <c r="R879" s="20"/>
      <c r="S879" s="20"/>
      <c r="T879" s="20"/>
      <c r="U879" s="20"/>
      <c r="V879" s="20"/>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row>
    <row r="880">
      <c r="A880" s="20"/>
      <c r="B880" s="20"/>
      <c r="C880" s="20"/>
      <c r="D880" s="20"/>
      <c r="E880" s="20"/>
      <c r="F880" s="20"/>
      <c r="G880" s="20"/>
      <c r="H880" s="20"/>
      <c r="I880" s="23"/>
      <c r="J880" s="20"/>
      <c r="K880" s="20"/>
      <c r="L880" s="20"/>
      <c r="M880" s="20"/>
      <c r="N880" s="20"/>
      <c r="O880" s="22"/>
      <c r="P880" s="20"/>
      <c r="Q880" s="20"/>
      <c r="R880" s="20"/>
      <c r="S880" s="20"/>
      <c r="T880" s="20"/>
      <c r="U880" s="20"/>
      <c r="V880" s="20"/>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row>
    <row r="881">
      <c r="A881" s="20"/>
      <c r="B881" s="20"/>
      <c r="C881" s="20"/>
      <c r="D881" s="20"/>
      <c r="E881" s="20"/>
      <c r="F881" s="20"/>
      <c r="G881" s="20"/>
      <c r="H881" s="20"/>
      <c r="I881" s="23"/>
      <c r="J881" s="20"/>
      <c r="K881" s="20"/>
      <c r="L881" s="20"/>
      <c r="M881" s="20"/>
      <c r="N881" s="20"/>
      <c r="O881" s="22"/>
      <c r="P881" s="20"/>
      <c r="Q881" s="20"/>
      <c r="R881" s="20"/>
      <c r="S881" s="20"/>
      <c r="T881" s="20"/>
      <c r="U881" s="20"/>
      <c r="V881" s="20"/>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row>
    <row r="882">
      <c r="A882" s="20"/>
      <c r="B882" s="20"/>
      <c r="C882" s="20"/>
      <c r="D882" s="20"/>
      <c r="E882" s="20"/>
      <c r="F882" s="20"/>
      <c r="G882" s="20"/>
      <c r="H882" s="20"/>
      <c r="I882" s="23"/>
      <c r="J882" s="20"/>
      <c r="K882" s="20"/>
      <c r="L882" s="20"/>
      <c r="M882" s="20"/>
      <c r="N882" s="20"/>
      <c r="O882" s="22"/>
      <c r="P882" s="20"/>
      <c r="Q882" s="20"/>
      <c r="R882" s="20"/>
      <c r="S882" s="20"/>
      <c r="T882" s="20"/>
      <c r="U882" s="20"/>
      <c r="V882" s="20"/>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row>
    <row r="883">
      <c r="A883" s="20"/>
      <c r="B883" s="20"/>
      <c r="C883" s="20"/>
      <c r="D883" s="20"/>
      <c r="E883" s="20"/>
      <c r="F883" s="20"/>
      <c r="G883" s="20"/>
      <c r="H883" s="20"/>
      <c r="I883" s="23"/>
      <c r="J883" s="20"/>
      <c r="K883" s="20"/>
      <c r="L883" s="20"/>
      <c r="M883" s="20"/>
      <c r="N883" s="20"/>
      <c r="O883" s="22"/>
      <c r="P883" s="20"/>
      <c r="Q883" s="20"/>
      <c r="R883" s="20"/>
      <c r="S883" s="20"/>
      <c r="T883" s="20"/>
      <c r="U883" s="20"/>
      <c r="V883" s="20"/>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row>
    <row r="884">
      <c r="A884" s="20"/>
      <c r="B884" s="20"/>
      <c r="C884" s="20"/>
      <c r="D884" s="20"/>
      <c r="E884" s="20"/>
      <c r="F884" s="20"/>
      <c r="G884" s="20"/>
      <c r="H884" s="20"/>
      <c r="I884" s="23"/>
      <c r="J884" s="20"/>
      <c r="K884" s="20"/>
      <c r="L884" s="20"/>
      <c r="M884" s="20"/>
      <c r="N884" s="20"/>
      <c r="O884" s="22"/>
      <c r="P884" s="20"/>
      <c r="Q884" s="20"/>
      <c r="R884" s="20"/>
      <c r="S884" s="20"/>
      <c r="T884" s="20"/>
      <c r="U884" s="20"/>
      <c r="V884" s="20"/>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row>
    <row r="885">
      <c r="A885" s="20"/>
      <c r="B885" s="20"/>
      <c r="C885" s="20"/>
      <c r="D885" s="20"/>
      <c r="E885" s="20"/>
      <c r="F885" s="20"/>
      <c r="G885" s="20"/>
      <c r="H885" s="20"/>
      <c r="I885" s="23"/>
      <c r="J885" s="20"/>
      <c r="K885" s="20"/>
      <c r="L885" s="20"/>
      <c r="M885" s="20"/>
      <c r="N885" s="20"/>
      <c r="O885" s="22"/>
      <c r="P885" s="20"/>
      <c r="Q885" s="20"/>
      <c r="R885" s="20"/>
      <c r="S885" s="20"/>
      <c r="T885" s="20"/>
      <c r="U885" s="20"/>
      <c r="V885" s="20"/>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row>
    <row r="886">
      <c r="A886" s="20"/>
      <c r="B886" s="20"/>
      <c r="C886" s="20"/>
      <c r="D886" s="20"/>
      <c r="E886" s="20"/>
      <c r="F886" s="20"/>
      <c r="G886" s="20"/>
      <c r="H886" s="20"/>
      <c r="I886" s="23"/>
      <c r="J886" s="20"/>
      <c r="K886" s="20"/>
      <c r="L886" s="20"/>
      <c r="M886" s="20"/>
      <c r="N886" s="20"/>
      <c r="O886" s="22"/>
      <c r="P886" s="20"/>
      <c r="Q886" s="20"/>
      <c r="R886" s="20"/>
      <c r="S886" s="20"/>
      <c r="T886" s="20"/>
      <c r="U886" s="20"/>
      <c r="V886" s="20"/>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row>
    <row r="887">
      <c r="A887" s="20"/>
      <c r="B887" s="20"/>
      <c r="C887" s="20"/>
      <c r="D887" s="20"/>
      <c r="E887" s="20"/>
      <c r="F887" s="20"/>
      <c r="G887" s="20"/>
      <c r="H887" s="20"/>
      <c r="I887" s="23"/>
      <c r="J887" s="20"/>
      <c r="K887" s="20"/>
      <c r="L887" s="20"/>
      <c r="M887" s="20"/>
      <c r="N887" s="20"/>
      <c r="O887" s="22"/>
      <c r="P887" s="20"/>
      <c r="Q887" s="20"/>
      <c r="R887" s="20"/>
      <c r="S887" s="20"/>
      <c r="T887" s="20"/>
      <c r="U887" s="20"/>
      <c r="V887" s="20"/>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row>
    <row r="888">
      <c r="A888" s="20"/>
      <c r="B888" s="20"/>
      <c r="C888" s="20"/>
      <c r="D888" s="20"/>
      <c r="E888" s="20"/>
      <c r="F888" s="20"/>
      <c r="G888" s="20"/>
      <c r="H888" s="20"/>
      <c r="I888" s="23"/>
      <c r="J888" s="20"/>
      <c r="K888" s="20"/>
      <c r="L888" s="20"/>
      <c r="M888" s="20"/>
      <c r="N888" s="20"/>
      <c r="O888" s="22"/>
      <c r="P888" s="20"/>
      <c r="Q888" s="20"/>
      <c r="R888" s="20"/>
      <c r="S888" s="20"/>
      <c r="T888" s="20"/>
      <c r="U888" s="20"/>
      <c r="V888" s="20"/>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row>
    <row r="889">
      <c r="A889" s="20"/>
      <c r="B889" s="20"/>
      <c r="C889" s="20"/>
      <c r="D889" s="20"/>
      <c r="E889" s="20"/>
      <c r="F889" s="20"/>
      <c r="G889" s="20"/>
      <c r="H889" s="20"/>
      <c r="I889" s="23"/>
      <c r="J889" s="20"/>
      <c r="K889" s="20"/>
      <c r="L889" s="20"/>
      <c r="M889" s="20"/>
      <c r="N889" s="20"/>
      <c r="O889" s="22"/>
      <c r="P889" s="20"/>
      <c r="Q889" s="20"/>
      <c r="R889" s="20"/>
      <c r="S889" s="20"/>
      <c r="T889" s="20"/>
      <c r="U889" s="20"/>
      <c r="V889" s="20"/>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row>
    <row r="890">
      <c r="A890" s="20"/>
      <c r="B890" s="20"/>
      <c r="C890" s="20"/>
      <c r="D890" s="20"/>
      <c r="E890" s="20"/>
      <c r="F890" s="20"/>
      <c r="G890" s="20"/>
      <c r="H890" s="20"/>
      <c r="I890" s="23"/>
      <c r="J890" s="20"/>
      <c r="K890" s="20"/>
      <c r="L890" s="20"/>
      <c r="M890" s="20"/>
      <c r="N890" s="20"/>
      <c r="O890" s="22"/>
      <c r="P890" s="20"/>
      <c r="Q890" s="20"/>
      <c r="R890" s="20"/>
      <c r="S890" s="20"/>
      <c r="T890" s="20"/>
      <c r="U890" s="20"/>
      <c r="V890" s="20"/>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row>
    <row r="891">
      <c r="A891" s="20"/>
      <c r="B891" s="20"/>
      <c r="C891" s="20"/>
      <c r="D891" s="20"/>
      <c r="E891" s="20"/>
      <c r="F891" s="20"/>
      <c r="G891" s="20"/>
      <c r="H891" s="20"/>
      <c r="I891" s="23"/>
      <c r="J891" s="20"/>
      <c r="K891" s="20"/>
      <c r="L891" s="20"/>
      <c r="M891" s="20"/>
      <c r="N891" s="20"/>
      <c r="O891" s="22"/>
      <c r="P891" s="20"/>
      <c r="Q891" s="20"/>
      <c r="R891" s="20"/>
      <c r="S891" s="20"/>
      <c r="T891" s="20"/>
      <c r="U891" s="20"/>
      <c r="V891" s="20"/>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row>
    <row r="892">
      <c r="A892" s="20"/>
      <c r="B892" s="20"/>
      <c r="C892" s="20"/>
      <c r="D892" s="20"/>
      <c r="E892" s="20"/>
      <c r="F892" s="20"/>
      <c r="G892" s="20"/>
      <c r="H892" s="20"/>
      <c r="I892" s="23"/>
      <c r="J892" s="20"/>
      <c r="K892" s="20"/>
      <c r="L892" s="20"/>
      <c r="M892" s="20"/>
      <c r="N892" s="20"/>
      <c r="O892" s="22"/>
      <c r="P892" s="20"/>
      <c r="Q892" s="20"/>
      <c r="R892" s="20"/>
      <c r="S892" s="20"/>
      <c r="T892" s="20"/>
      <c r="U892" s="20"/>
      <c r="V892" s="20"/>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row>
    <row r="893">
      <c r="A893" s="20"/>
      <c r="B893" s="20"/>
      <c r="C893" s="20"/>
      <c r="D893" s="20"/>
      <c r="E893" s="20"/>
      <c r="F893" s="20"/>
      <c r="G893" s="20"/>
      <c r="H893" s="20"/>
      <c r="I893" s="23"/>
      <c r="J893" s="20"/>
      <c r="K893" s="20"/>
      <c r="L893" s="20"/>
      <c r="M893" s="20"/>
      <c r="N893" s="20"/>
      <c r="O893" s="22"/>
      <c r="P893" s="20"/>
      <c r="Q893" s="20"/>
      <c r="R893" s="20"/>
      <c r="S893" s="20"/>
      <c r="T893" s="20"/>
      <c r="U893" s="20"/>
      <c r="V893" s="20"/>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row>
    <row r="894">
      <c r="A894" s="20"/>
      <c r="B894" s="20"/>
      <c r="C894" s="20"/>
      <c r="D894" s="20"/>
      <c r="E894" s="20"/>
      <c r="F894" s="20"/>
      <c r="G894" s="20"/>
      <c r="H894" s="20"/>
      <c r="I894" s="23"/>
      <c r="J894" s="20"/>
      <c r="K894" s="20"/>
      <c r="L894" s="20"/>
      <c r="M894" s="20"/>
      <c r="N894" s="20"/>
      <c r="O894" s="22"/>
      <c r="P894" s="20"/>
      <c r="Q894" s="20"/>
      <c r="R894" s="20"/>
      <c r="S894" s="20"/>
      <c r="T894" s="20"/>
      <c r="U894" s="20"/>
      <c r="V894" s="20"/>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row>
    <row r="895">
      <c r="A895" s="20"/>
      <c r="B895" s="20"/>
      <c r="C895" s="20"/>
      <c r="D895" s="20"/>
      <c r="E895" s="20"/>
      <c r="F895" s="20"/>
      <c r="G895" s="20"/>
      <c r="H895" s="20"/>
      <c r="I895" s="23"/>
      <c r="J895" s="20"/>
      <c r="K895" s="20"/>
      <c r="L895" s="20"/>
      <c r="M895" s="20"/>
      <c r="N895" s="20"/>
      <c r="O895" s="22"/>
      <c r="P895" s="20"/>
      <c r="Q895" s="20"/>
      <c r="R895" s="20"/>
      <c r="S895" s="20"/>
      <c r="T895" s="20"/>
      <c r="U895" s="20"/>
      <c r="V895" s="20"/>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row>
    <row r="896">
      <c r="A896" s="20"/>
      <c r="B896" s="20"/>
      <c r="C896" s="20"/>
      <c r="D896" s="20"/>
      <c r="E896" s="20"/>
      <c r="F896" s="20"/>
      <c r="G896" s="20"/>
      <c r="H896" s="20"/>
      <c r="I896" s="23"/>
      <c r="J896" s="20"/>
      <c r="K896" s="20"/>
      <c r="L896" s="20"/>
      <c r="M896" s="20"/>
      <c r="N896" s="20"/>
      <c r="O896" s="22"/>
      <c r="P896" s="20"/>
      <c r="Q896" s="20"/>
      <c r="R896" s="20"/>
      <c r="S896" s="20"/>
      <c r="T896" s="20"/>
      <c r="U896" s="20"/>
      <c r="V896" s="20"/>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row>
    <row r="897">
      <c r="A897" s="20"/>
      <c r="B897" s="20"/>
      <c r="C897" s="20"/>
      <c r="D897" s="20"/>
      <c r="E897" s="20"/>
      <c r="F897" s="20"/>
      <c r="G897" s="20"/>
      <c r="H897" s="20"/>
      <c r="I897" s="23"/>
      <c r="J897" s="20"/>
      <c r="K897" s="20"/>
      <c r="L897" s="20"/>
      <c r="M897" s="20"/>
      <c r="N897" s="20"/>
      <c r="O897" s="22"/>
      <c r="P897" s="20"/>
      <c r="Q897" s="20"/>
      <c r="R897" s="20"/>
      <c r="S897" s="20"/>
      <c r="T897" s="20"/>
      <c r="U897" s="20"/>
      <c r="V897" s="20"/>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row>
    <row r="898">
      <c r="A898" s="20"/>
      <c r="B898" s="20"/>
      <c r="C898" s="20"/>
      <c r="D898" s="20"/>
      <c r="E898" s="20"/>
      <c r="F898" s="20"/>
      <c r="G898" s="20"/>
      <c r="H898" s="20"/>
      <c r="I898" s="23"/>
      <c r="J898" s="20"/>
      <c r="K898" s="20"/>
      <c r="L898" s="20"/>
      <c r="M898" s="20"/>
      <c r="N898" s="20"/>
      <c r="O898" s="22"/>
      <c r="P898" s="20"/>
      <c r="Q898" s="20"/>
      <c r="R898" s="20"/>
      <c r="S898" s="20"/>
      <c r="T898" s="20"/>
      <c r="U898" s="20"/>
      <c r="V898" s="20"/>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row>
    <row r="899">
      <c r="A899" s="20"/>
      <c r="B899" s="20"/>
      <c r="C899" s="20"/>
      <c r="D899" s="20"/>
      <c r="E899" s="20"/>
      <c r="F899" s="20"/>
      <c r="G899" s="20"/>
      <c r="H899" s="20"/>
      <c r="I899" s="23"/>
      <c r="J899" s="20"/>
      <c r="K899" s="20"/>
      <c r="L899" s="20"/>
      <c r="M899" s="20"/>
      <c r="N899" s="20"/>
      <c r="O899" s="22"/>
      <c r="P899" s="20"/>
      <c r="Q899" s="20"/>
      <c r="R899" s="20"/>
      <c r="S899" s="20"/>
      <c r="T899" s="20"/>
      <c r="U899" s="20"/>
      <c r="V899" s="20"/>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row>
    <row r="900">
      <c r="A900" s="20"/>
      <c r="B900" s="20"/>
      <c r="C900" s="20"/>
      <c r="D900" s="20"/>
      <c r="E900" s="20"/>
      <c r="F900" s="20"/>
      <c r="G900" s="20"/>
      <c r="H900" s="20"/>
      <c r="I900" s="23"/>
      <c r="J900" s="20"/>
      <c r="K900" s="20"/>
      <c r="L900" s="20"/>
      <c r="M900" s="20"/>
      <c r="N900" s="20"/>
      <c r="O900" s="22"/>
      <c r="P900" s="20"/>
      <c r="Q900" s="20"/>
      <c r="R900" s="20"/>
      <c r="S900" s="20"/>
      <c r="T900" s="20"/>
      <c r="U900" s="20"/>
      <c r="V900" s="20"/>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row>
    <row r="901">
      <c r="A901" s="20"/>
      <c r="B901" s="20"/>
      <c r="C901" s="20"/>
      <c r="D901" s="20"/>
      <c r="E901" s="20"/>
      <c r="F901" s="20"/>
      <c r="G901" s="20"/>
      <c r="H901" s="20"/>
      <c r="I901" s="23"/>
      <c r="J901" s="20"/>
      <c r="K901" s="20"/>
      <c r="L901" s="20"/>
      <c r="M901" s="20"/>
      <c r="N901" s="20"/>
      <c r="O901" s="22"/>
      <c r="P901" s="20"/>
      <c r="Q901" s="20"/>
      <c r="R901" s="20"/>
      <c r="S901" s="20"/>
      <c r="T901" s="20"/>
      <c r="U901" s="20"/>
      <c r="V901" s="20"/>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row>
    <row r="902">
      <c r="A902" s="20"/>
      <c r="B902" s="20"/>
      <c r="C902" s="20"/>
      <c r="D902" s="20"/>
      <c r="E902" s="20"/>
      <c r="F902" s="20"/>
      <c r="G902" s="20"/>
      <c r="H902" s="20"/>
      <c r="I902" s="23"/>
      <c r="J902" s="20"/>
      <c r="K902" s="20"/>
      <c r="L902" s="20"/>
      <c r="M902" s="20"/>
      <c r="N902" s="20"/>
      <c r="O902" s="22"/>
      <c r="P902" s="20"/>
      <c r="Q902" s="20"/>
      <c r="R902" s="20"/>
      <c r="S902" s="20"/>
      <c r="T902" s="20"/>
      <c r="U902" s="20"/>
      <c r="V902" s="20"/>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row>
    <row r="903">
      <c r="A903" s="20"/>
      <c r="B903" s="20"/>
      <c r="C903" s="20"/>
      <c r="D903" s="20"/>
      <c r="E903" s="20"/>
      <c r="F903" s="20"/>
      <c r="G903" s="20"/>
      <c r="H903" s="20"/>
      <c r="I903" s="23"/>
      <c r="J903" s="20"/>
      <c r="K903" s="20"/>
      <c r="L903" s="20"/>
      <c r="M903" s="20"/>
      <c r="N903" s="20"/>
      <c r="O903" s="22"/>
      <c r="P903" s="20"/>
      <c r="Q903" s="20"/>
      <c r="R903" s="20"/>
      <c r="S903" s="20"/>
      <c r="T903" s="20"/>
      <c r="U903" s="20"/>
      <c r="V903" s="20"/>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row>
    <row r="904">
      <c r="A904" s="20"/>
      <c r="B904" s="20"/>
      <c r="C904" s="20"/>
      <c r="D904" s="20"/>
      <c r="E904" s="20"/>
      <c r="F904" s="20"/>
      <c r="G904" s="20"/>
      <c r="H904" s="20"/>
      <c r="I904" s="23"/>
      <c r="J904" s="20"/>
      <c r="K904" s="20"/>
      <c r="L904" s="20"/>
      <c r="M904" s="20"/>
      <c r="N904" s="20"/>
      <c r="O904" s="22"/>
      <c r="P904" s="20"/>
      <c r="Q904" s="20"/>
      <c r="R904" s="20"/>
      <c r="S904" s="20"/>
      <c r="T904" s="20"/>
      <c r="U904" s="20"/>
      <c r="V904" s="20"/>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row>
    <row r="905">
      <c r="A905" s="20"/>
      <c r="B905" s="20"/>
      <c r="C905" s="20"/>
      <c r="D905" s="20"/>
      <c r="E905" s="20"/>
      <c r="F905" s="20"/>
      <c r="G905" s="20"/>
      <c r="H905" s="20"/>
      <c r="I905" s="23"/>
      <c r="J905" s="20"/>
      <c r="K905" s="20"/>
      <c r="L905" s="20"/>
      <c r="M905" s="20"/>
      <c r="N905" s="20"/>
      <c r="O905" s="22"/>
      <c r="P905" s="20"/>
      <c r="Q905" s="20"/>
      <c r="R905" s="20"/>
      <c r="S905" s="20"/>
      <c r="T905" s="20"/>
      <c r="U905" s="20"/>
      <c r="V905" s="20"/>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row>
    <row r="906">
      <c r="A906" s="20"/>
      <c r="B906" s="20"/>
      <c r="C906" s="20"/>
      <c r="D906" s="20"/>
      <c r="E906" s="20"/>
      <c r="F906" s="20"/>
      <c r="G906" s="20"/>
      <c r="H906" s="20"/>
      <c r="I906" s="23"/>
      <c r="J906" s="20"/>
      <c r="K906" s="20"/>
      <c r="L906" s="20"/>
      <c r="M906" s="20"/>
      <c r="N906" s="20"/>
      <c r="O906" s="22"/>
      <c r="P906" s="20"/>
      <c r="Q906" s="20"/>
      <c r="R906" s="20"/>
      <c r="S906" s="20"/>
      <c r="T906" s="20"/>
      <c r="U906" s="20"/>
      <c r="V906" s="20"/>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row>
    <row r="907">
      <c r="A907" s="20"/>
      <c r="B907" s="20"/>
      <c r="C907" s="20"/>
      <c r="D907" s="20"/>
      <c r="E907" s="20"/>
      <c r="F907" s="20"/>
      <c r="G907" s="20"/>
      <c r="H907" s="20"/>
      <c r="I907" s="23"/>
      <c r="J907" s="20"/>
      <c r="K907" s="20"/>
      <c r="L907" s="20"/>
      <c r="M907" s="20"/>
      <c r="N907" s="20"/>
      <c r="O907" s="22"/>
      <c r="P907" s="20"/>
      <c r="Q907" s="20"/>
      <c r="R907" s="20"/>
      <c r="S907" s="20"/>
      <c r="T907" s="20"/>
      <c r="U907" s="20"/>
      <c r="V907" s="20"/>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row>
    <row r="908">
      <c r="A908" s="20"/>
      <c r="B908" s="20"/>
      <c r="C908" s="20"/>
      <c r="D908" s="20"/>
      <c r="E908" s="20"/>
      <c r="F908" s="20"/>
      <c r="G908" s="20"/>
      <c r="H908" s="20"/>
      <c r="I908" s="23"/>
      <c r="J908" s="20"/>
      <c r="K908" s="20"/>
      <c r="L908" s="20"/>
      <c r="M908" s="20"/>
      <c r="N908" s="20"/>
      <c r="O908" s="22"/>
      <c r="P908" s="20"/>
      <c r="Q908" s="20"/>
      <c r="R908" s="20"/>
      <c r="S908" s="20"/>
      <c r="T908" s="20"/>
      <c r="U908" s="20"/>
      <c r="V908" s="20"/>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row>
    <row r="909">
      <c r="A909" s="20"/>
      <c r="B909" s="20"/>
      <c r="C909" s="20"/>
      <c r="D909" s="20"/>
      <c r="E909" s="20"/>
      <c r="F909" s="20"/>
      <c r="G909" s="20"/>
      <c r="H909" s="20"/>
      <c r="I909" s="23"/>
      <c r="J909" s="20"/>
      <c r="K909" s="20"/>
      <c r="L909" s="20"/>
      <c r="M909" s="20"/>
      <c r="N909" s="20"/>
      <c r="O909" s="22"/>
      <c r="P909" s="20"/>
      <c r="Q909" s="20"/>
      <c r="R909" s="20"/>
      <c r="S909" s="20"/>
      <c r="T909" s="20"/>
      <c r="U909" s="20"/>
      <c r="V909" s="20"/>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row>
    <row r="910">
      <c r="A910" s="20"/>
      <c r="B910" s="20"/>
      <c r="C910" s="20"/>
      <c r="D910" s="20"/>
      <c r="E910" s="20"/>
      <c r="F910" s="20"/>
      <c r="G910" s="20"/>
      <c r="H910" s="20"/>
      <c r="I910" s="23"/>
      <c r="J910" s="20"/>
      <c r="K910" s="20"/>
      <c r="L910" s="20"/>
      <c r="M910" s="20"/>
      <c r="N910" s="20"/>
      <c r="O910" s="22"/>
      <c r="P910" s="20"/>
      <c r="Q910" s="20"/>
      <c r="R910" s="20"/>
      <c r="S910" s="20"/>
      <c r="T910" s="20"/>
      <c r="U910" s="20"/>
      <c r="V910" s="20"/>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row>
    <row r="911">
      <c r="A911" s="20"/>
      <c r="B911" s="20"/>
      <c r="C911" s="20"/>
      <c r="D911" s="20"/>
      <c r="E911" s="20"/>
      <c r="F911" s="20"/>
      <c r="G911" s="20"/>
      <c r="H911" s="20"/>
      <c r="I911" s="23"/>
      <c r="J911" s="20"/>
      <c r="K911" s="20"/>
      <c r="L911" s="20"/>
      <c r="M911" s="20"/>
      <c r="N911" s="20"/>
      <c r="O911" s="22"/>
      <c r="P911" s="20"/>
      <c r="Q911" s="20"/>
      <c r="R911" s="20"/>
      <c r="S911" s="20"/>
      <c r="T911" s="20"/>
      <c r="U911" s="20"/>
      <c r="V911" s="20"/>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row>
    <row r="912">
      <c r="A912" s="20"/>
      <c r="B912" s="20"/>
      <c r="C912" s="20"/>
      <c r="D912" s="20"/>
      <c r="E912" s="20"/>
      <c r="F912" s="20"/>
      <c r="G912" s="20"/>
      <c r="H912" s="20"/>
      <c r="I912" s="23"/>
      <c r="J912" s="20"/>
      <c r="K912" s="20"/>
      <c r="L912" s="20"/>
      <c r="M912" s="20"/>
      <c r="N912" s="20"/>
      <c r="O912" s="22"/>
      <c r="P912" s="20"/>
      <c r="Q912" s="20"/>
      <c r="R912" s="20"/>
      <c r="S912" s="20"/>
      <c r="T912" s="20"/>
      <c r="U912" s="20"/>
      <c r="V912" s="20"/>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row>
    <row r="913">
      <c r="A913" s="20"/>
      <c r="B913" s="20"/>
      <c r="C913" s="20"/>
      <c r="D913" s="20"/>
      <c r="E913" s="20"/>
      <c r="F913" s="20"/>
      <c r="G913" s="20"/>
      <c r="H913" s="20"/>
      <c r="I913" s="23"/>
      <c r="J913" s="20"/>
      <c r="K913" s="20"/>
      <c r="L913" s="20"/>
      <c r="M913" s="20"/>
      <c r="N913" s="20"/>
      <c r="O913" s="22"/>
      <c r="P913" s="20"/>
      <c r="Q913" s="20"/>
      <c r="R913" s="20"/>
      <c r="S913" s="20"/>
      <c r="T913" s="20"/>
      <c r="U913" s="20"/>
      <c r="V913" s="20"/>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row>
    <row r="914">
      <c r="A914" s="20"/>
      <c r="B914" s="20"/>
      <c r="C914" s="20"/>
      <c r="D914" s="20"/>
      <c r="E914" s="20"/>
      <c r="F914" s="20"/>
      <c r="G914" s="20"/>
      <c r="H914" s="20"/>
      <c r="I914" s="23"/>
      <c r="J914" s="20"/>
      <c r="K914" s="20"/>
      <c r="L914" s="20"/>
      <c r="M914" s="20"/>
      <c r="N914" s="20"/>
      <c r="O914" s="22"/>
      <c r="P914" s="20"/>
      <c r="Q914" s="20"/>
      <c r="R914" s="20"/>
      <c r="S914" s="20"/>
      <c r="T914" s="20"/>
      <c r="U914" s="20"/>
      <c r="V914" s="20"/>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row>
    <row r="915">
      <c r="A915" s="20"/>
      <c r="B915" s="20"/>
      <c r="C915" s="20"/>
      <c r="D915" s="20"/>
      <c r="E915" s="20"/>
      <c r="F915" s="20"/>
      <c r="G915" s="20"/>
      <c r="H915" s="20"/>
      <c r="I915" s="23"/>
      <c r="J915" s="20"/>
      <c r="K915" s="20"/>
      <c r="L915" s="20"/>
      <c r="M915" s="20"/>
      <c r="N915" s="20"/>
      <c r="O915" s="22"/>
      <c r="P915" s="20"/>
      <c r="Q915" s="20"/>
      <c r="R915" s="20"/>
      <c r="S915" s="20"/>
      <c r="T915" s="20"/>
      <c r="U915" s="20"/>
      <c r="V915" s="20"/>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row>
    <row r="916">
      <c r="A916" s="20"/>
      <c r="B916" s="20"/>
      <c r="C916" s="20"/>
      <c r="D916" s="20"/>
      <c r="E916" s="20"/>
      <c r="F916" s="20"/>
      <c r="G916" s="20"/>
      <c r="H916" s="20"/>
      <c r="I916" s="23"/>
      <c r="J916" s="20"/>
      <c r="K916" s="20"/>
      <c r="L916" s="20"/>
      <c r="M916" s="20"/>
      <c r="N916" s="20"/>
      <c r="O916" s="22"/>
      <c r="P916" s="20"/>
      <c r="Q916" s="20"/>
      <c r="R916" s="20"/>
      <c r="S916" s="20"/>
      <c r="T916" s="20"/>
      <c r="U916" s="20"/>
      <c r="V916" s="20"/>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row>
    <row r="917">
      <c r="A917" s="20"/>
      <c r="B917" s="20"/>
      <c r="C917" s="20"/>
      <c r="D917" s="20"/>
      <c r="E917" s="20"/>
      <c r="F917" s="20"/>
      <c r="G917" s="20"/>
      <c r="H917" s="20"/>
      <c r="I917" s="23"/>
      <c r="J917" s="20"/>
      <c r="K917" s="20"/>
      <c r="L917" s="20"/>
      <c r="M917" s="20"/>
      <c r="N917" s="20"/>
      <c r="O917" s="22"/>
      <c r="P917" s="20"/>
      <c r="Q917" s="20"/>
      <c r="R917" s="20"/>
      <c r="S917" s="20"/>
      <c r="T917" s="20"/>
      <c r="U917" s="20"/>
      <c r="V917" s="20"/>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row>
    <row r="918">
      <c r="A918" s="20"/>
      <c r="B918" s="20"/>
      <c r="C918" s="20"/>
      <c r="D918" s="20"/>
      <c r="E918" s="20"/>
      <c r="F918" s="20"/>
      <c r="G918" s="20"/>
      <c r="H918" s="20"/>
      <c r="I918" s="23"/>
      <c r="J918" s="20"/>
      <c r="K918" s="20"/>
      <c r="L918" s="20"/>
      <c r="M918" s="20"/>
      <c r="N918" s="20"/>
      <c r="O918" s="22"/>
      <c r="P918" s="20"/>
      <c r="Q918" s="20"/>
      <c r="R918" s="20"/>
      <c r="S918" s="20"/>
      <c r="T918" s="20"/>
      <c r="U918" s="20"/>
      <c r="V918" s="20"/>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row>
    <row r="919">
      <c r="A919" s="20"/>
      <c r="B919" s="20"/>
      <c r="C919" s="20"/>
      <c r="D919" s="20"/>
      <c r="E919" s="20"/>
      <c r="F919" s="20"/>
      <c r="G919" s="20"/>
      <c r="H919" s="20"/>
      <c r="I919" s="23"/>
      <c r="J919" s="20"/>
      <c r="K919" s="20"/>
      <c r="L919" s="20"/>
      <c r="M919" s="20"/>
      <c r="N919" s="20"/>
      <c r="O919" s="22"/>
      <c r="P919" s="20"/>
      <c r="Q919" s="20"/>
      <c r="R919" s="20"/>
      <c r="S919" s="20"/>
      <c r="T919" s="20"/>
      <c r="U919" s="20"/>
      <c r="V919" s="20"/>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row>
    <row r="920">
      <c r="A920" s="20"/>
      <c r="B920" s="20"/>
      <c r="C920" s="20"/>
      <c r="D920" s="20"/>
      <c r="E920" s="20"/>
      <c r="F920" s="20"/>
      <c r="G920" s="20"/>
      <c r="H920" s="20"/>
      <c r="I920" s="23"/>
      <c r="J920" s="20"/>
      <c r="K920" s="20"/>
      <c r="L920" s="20"/>
      <c r="M920" s="20"/>
      <c r="N920" s="20"/>
      <c r="O920" s="22"/>
      <c r="P920" s="20"/>
      <c r="Q920" s="20"/>
      <c r="R920" s="20"/>
      <c r="S920" s="20"/>
      <c r="T920" s="20"/>
      <c r="U920" s="20"/>
      <c r="V920" s="20"/>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row>
    <row r="921">
      <c r="A921" s="20"/>
      <c r="B921" s="20"/>
      <c r="C921" s="20"/>
      <c r="D921" s="20"/>
      <c r="E921" s="20"/>
      <c r="F921" s="20"/>
      <c r="G921" s="20"/>
      <c r="H921" s="20"/>
      <c r="I921" s="23"/>
      <c r="J921" s="20"/>
      <c r="K921" s="20"/>
      <c r="L921" s="20"/>
      <c r="M921" s="20"/>
      <c r="N921" s="20"/>
      <c r="O921" s="22"/>
      <c r="P921" s="20"/>
      <c r="Q921" s="20"/>
      <c r="R921" s="20"/>
      <c r="S921" s="20"/>
      <c r="T921" s="20"/>
      <c r="U921" s="20"/>
      <c r="V921" s="20"/>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row>
    <row r="922">
      <c r="A922" s="20"/>
      <c r="B922" s="20"/>
      <c r="C922" s="20"/>
      <c r="D922" s="20"/>
      <c r="E922" s="20"/>
      <c r="F922" s="20"/>
      <c r="G922" s="20"/>
      <c r="H922" s="20"/>
      <c r="I922" s="23"/>
      <c r="J922" s="20"/>
      <c r="K922" s="20"/>
      <c r="L922" s="20"/>
      <c r="M922" s="20"/>
      <c r="N922" s="20"/>
      <c r="O922" s="22"/>
      <c r="P922" s="20"/>
      <c r="Q922" s="20"/>
      <c r="R922" s="20"/>
      <c r="S922" s="20"/>
      <c r="T922" s="20"/>
      <c r="U922" s="20"/>
      <c r="V922" s="20"/>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row>
    <row r="923">
      <c r="A923" s="20"/>
      <c r="B923" s="20"/>
      <c r="C923" s="20"/>
      <c r="D923" s="20"/>
      <c r="E923" s="20"/>
      <c r="F923" s="20"/>
      <c r="G923" s="20"/>
      <c r="H923" s="20"/>
      <c r="I923" s="23"/>
      <c r="J923" s="20"/>
      <c r="K923" s="20"/>
      <c r="L923" s="20"/>
      <c r="M923" s="20"/>
      <c r="N923" s="20"/>
      <c r="O923" s="22"/>
      <c r="P923" s="20"/>
      <c r="Q923" s="20"/>
      <c r="R923" s="20"/>
      <c r="S923" s="20"/>
      <c r="T923" s="20"/>
      <c r="U923" s="20"/>
      <c r="V923" s="20"/>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row>
    <row r="924">
      <c r="A924" s="20"/>
      <c r="B924" s="20"/>
      <c r="C924" s="20"/>
      <c r="D924" s="20"/>
      <c r="E924" s="20"/>
      <c r="F924" s="20"/>
      <c r="G924" s="20"/>
      <c r="H924" s="20"/>
      <c r="I924" s="23"/>
      <c r="J924" s="20"/>
      <c r="K924" s="20"/>
      <c r="L924" s="20"/>
      <c r="M924" s="20"/>
      <c r="N924" s="20"/>
      <c r="O924" s="22"/>
      <c r="P924" s="20"/>
      <c r="Q924" s="20"/>
      <c r="R924" s="20"/>
      <c r="S924" s="20"/>
      <c r="T924" s="20"/>
      <c r="U924" s="20"/>
      <c r="V924" s="20"/>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row>
    <row r="925">
      <c r="A925" s="20"/>
      <c r="B925" s="20"/>
      <c r="C925" s="20"/>
      <c r="D925" s="20"/>
      <c r="E925" s="20"/>
      <c r="F925" s="20"/>
      <c r="G925" s="20"/>
      <c r="H925" s="20"/>
      <c r="I925" s="23"/>
      <c r="J925" s="20"/>
      <c r="K925" s="20"/>
      <c r="L925" s="20"/>
      <c r="M925" s="20"/>
      <c r="N925" s="20"/>
      <c r="O925" s="22"/>
      <c r="P925" s="20"/>
      <c r="Q925" s="20"/>
      <c r="R925" s="20"/>
      <c r="S925" s="20"/>
      <c r="T925" s="20"/>
      <c r="U925" s="20"/>
      <c r="V925" s="20"/>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row>
    <row r="926">
      <c r="A926" s="20"/>
      <c r="B926" s="20"/>
      <c r="C926" s="20"/>
      <c r="D926" s="20"/>
      <c r="E926" s="20"/>
      <c r="F926" s="20"/>
      <c r="G926" s="20"/>
      <c r="H926" s="20"/>
      <c r="I926" s="23"/>
      <c r="J926" s="20"/>
      <c r="K926" s="20"/>
      <c r="L926" s="20"/>
      <c r="M926" s="20"/>
      <c r="N926" s="20"/>
      <c r="O926" s="22"/>
      <c r="P926" s="20"/>
      <c r="Q926" s="20"/>
      <c r="R926" s="20"/>
      <c r="S926" s="20"/>
      <c r="T926" s="20"/>
      <c r="U926" s="20"/>
      <c r="V926" s="20"/>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row>
    <row r="927">
      <c r="A927" s="20"/>
      <c r="B927" s="20"/>
      <c r="C927" s="20"/>
      <c r="D927" s="20"/>
      <c r="E927" s="20"/>
      <c r="F927" s="20"/>
      <c r="G927" s="20"/>
      <c r="H927" s="20"/>
      <c r="I927" s="23"/>
      <c r="J927" s="20"/>
      <c r="K927" s="20"/>
      <c r="L927" s="20"/>
      <c r="M927" s="20"/>
      <c r="N927" s="20"/>
      <c r="O927" s="22"/>
      <c r="P927" s="20"/>
      <c r="Q927" s="20"/>
      <c r="R927" s="20"/>
      <c r="S927" s="20"/>
      <c r="T927" s="20"/>
      <c r="U927" s="20"/>
      <c r="V927" s="20"/>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row>
    <row r="928">
      <c r="A928" s="20"/>
      <c r="B928" s="20"/>
      <c r="C928" s="20"/>
      <c r="D928" s="20"/>
      <c r="E928" s="20"/>
      <c r="F928" s="20"/>
      <c r="G928" s="20"/>
      <c r="H928" s="20"/>
      <c r="I928" s="23"/>
      <c r="J928" s="20"/>
      <c r="K928" s="20"/>
      <c r="L928" s="20"/>
      <c r="M928" s="20"/>
      <c r="N928" s="20"/>
      <c r="O928" s="22"/>
      <c r="P928" s="20"/>
      <c r="Q928" s="20"/>
      <c r="R928" s="20"/>
      <c r="S928" s="20"/>
      <c r="T928" s="20"/>
      <c r="U928" s="20"/>
      <c r="V928" s="20"/>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row>
    <row r="929">
      <c r="A929" s="20"/>
      <c r="B929" s="20"/>
      <c r="C929" s="20"/>
      <c r="D929" s="20"/>
      <c r="E929" s="20"/>
      <c r="F929" s="20"/>
      <c r="G929" s="20"/>
      <c r="H929" s="20"/>
      <c r="I929" s="23"/>
      <c r="J929" s="20"/>
      <c r="K929" s="20"/>
      <c r="L929" s="20"/>
      <c r="M929" s="20"/>
      <c r="N929" s="20"/>
      <c r="O929" s="22"/>
      <c r="P929" s="20"/>
      <c r="Q929" s="20"/>
      <c r="R929" s="20"/>
      <c r="S929" s="20"/>
      <c r="T929" s="20"/>
      <c r="U929" s="20"/>
      <c r="V929" s="20"/>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row>
    <row r="930">
      <c r="A930" s="20"/>
      <c r="B930" s="20"/>
      <c r="C930" s="20"/>
      <c r="D930" s="20"/>
      <c r="E930" s="20"/>
      <c r="F930" s="20"/>
      <c r="G930" s="20"/>
      <c r="H930" s="20"/>
      <c r="I930" s="23"/>
      <c r="J930" s="20"/>
      <c r="K930" s="20"/>
      <c r="L930" s="20"/>
      <c r="M930" s="20"/>
      <c r="N930" s="20"/>
      <c r="O930" s="22"/>
      <c r="P930" s="20"/>
      <c r="Q930" s="20"/>
      <c r="R930" s="20"/>
      <c r="S930" s="20"/>
      <c r="T930" s="20"/>
      <c r="U930" s="20"/>
      <c r="V930" s="20"/>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row>
    <row r="931">
      <c r="A931" s="20"/>
      <c r="B931" s="20"/>
      <c r="C931" s="20"/>
      <c r="D931" s="20"/>
      <c r="E931" s="20"/>
      <c r="F931" s="20"/>
      <c r="G931" s="20"/>
      <c r="H931" s="20"/>
      <c r="I931" s="23"/>
      <c r="J931" s="20"/>
      <c r="K931" s="20"/>
      <c r="L931" s="20"/>
      <c r="M931" s="20"/>
      <c r="N931" s="20"/>
      <c r="O931" s="22"/>
      <c r="P931" s="20"/>
      <c r="Q931" s="20"/>
      <c r="R931" s="20"/>
      <c r="S931" s="20"/>
      <c r="T931" s="20"/>
      <c r="U931" s="20"/>
      <c r="V931" s="20"/>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row>
    <row r="932">
      <c r="A932" s="20"/>
      <c r="B932" s="20"/>
      <c r="C932" s="20"/>
      <c r="D932" s="20"/>
      <c r="E932" s="20"/>
      <c r="F932" s="20"/>
      <c r="G932" s="20"/>
      <c r="H932" s="20"/>
      <c r="I932" s="23"/>
      <c r="J932" s="20"/>
      <c r="K932" s="20"/>
      <c r="L932" s="20"/>
      <c r="M932" s="20"/>
      <c r="N932" s="20"/>
      <c r="O932" s="22"/>
      <c r="P932" s="20"/>
      <c r="Q932" s="20"/>
      <c r="R932" s="20"/>
      <c r="S932" s="20"/>
      <c r="T932" s="20"/>
      <c r="U932" s="20"/>
      <c r="V932" s="20"/>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row>
    <row r="933">
      <c r="A933" s="20"/>
      <c r="B933" s="20"/>
      <c r="C933" s="20"/>
      <c r="D933" s="20"/>
      <c r="E933" s="20"/>
      <c r="F933" s="20"/>
      <c r="G933" s="20"/>
      <c r="H933" s="20"/>
      <c r="I933" s="23"/>
      <c r="J933" s="20"/>
      <c r="K933" s="20"/>
      <c r="L933" s="20"/>
      <c r="M933" s="20"/>
      <c r="N933" s="20"/>
      <c r="O933" s="22"/>
      <c r="P933" s="20"/>
      <c r="Q933" s="20"/>
      <c r="R933" s="20"/>
      <c r="S933" s="20"/>
      <c r="T933" s="20"/>
      <c r="U933" s="20"/>
      <c r="V933" s="20"/>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row>
    <row r="934">
      <c r="A934" s="20"/>
      <c r="B934" s="20"/>
      <c r="C934" s="20"/>
      <c r="D934" s="20"/>
      <c r="E934" s="20"/>
      <c r="F934" s="20"/>
      <c r="G934" s="20"/>
      <c r="H934" s="20"/>
      <c r="I934" s="23"/>
      <c r="J934" s="20"/>
      <c r="K934" s="20"/>
      <c r="L934" s="20"/>
      <c r="M934" s="20"/>
      <c r="N934" s="20"/>
      <c r="O934" s="22"/>
      <c r="P934" s="20"/>
      <c r="Q934" s="20"/>
      <c r="R934" s="20"/>
      <c r="S934" s="20"/>
      <c r="T934" s="20"/>
      <c r="U934" s="20"/>
      <c r="V934" s="20"/>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row>
    <row r="935">
      <c r="A935" s="20"/>
      <c r="B935" s="20"/>
      <c r="C935" s="20"/>
      <c r="D935" s="20"/>
      <c r="E935" s="20"/>
      <c r="F935" s="20"/>
      <c r="G935" s="20"/>
      <c r="H935" s="20"/>
      <c r="I935" s="23"/>
      <c r="J935" s="20"/>
      <c r="K935" s="20"/>
      <c r="L935" s="20"/>
      <c r="M935" s="20"/>
      <c r="N935" s="20"/>
      <c r="O935" s="22"/>
      <c r="P935" s="20"/>
      <c r="Q935" s="20"/>
      <c r="R935" s="20"/>
      <c r="S935" s="20"/>
      <c r="T935" s="20"/>
      <c r="U935" s="20"/>
      <c r="V935" s="20"/>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row>
    <row r="936">
      <c r="A936" s="20"/>
      <c r="B936" s="20"/>
      <c r="C936" s="20"/>
      <c r="D936" s="20"/>
      <c r="E936" s="20"/>
      <c r="F936" s="20"/>
      <c r="G936" s="20"/>
      <c r="H936" s="20"/>
      <c r="I936" s="23"/>
      <c r="J936" s="20"/>
      <c r="K936" s="20"/>
      <c r="L936" s="20"/>
      <c r="M936" s="20"/>
      <c r="N936" s="20"/>
      <c r="O936" s="22"/>
      <c r="P936" s="20"/>
      <c r="Q936" s="20"/>
      <c r="R936" s="20"/>
      <c r="S936" s="20"/>
      <c r="T936" s="20"/>
      <c r="U936" s="20"/>
      <c r="V936" s="20"/>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row>
    <row r="937">
      <c r="A937" s="20"/>
      <c r="B937" s="20"/>
      <c r="C937" s="20"/>
      <c r="D937" s="20"/>
      <c r="E937" s="20"/>
      <c r="F937" s="20"/>
      <c r="G937" s="20"/>
      <c r="H937" s="20"/>
      <c r="I937" s="23"/>
      <c r="J937" s="20"/>
      <c r="K937" s="20"/>
      <c r="L937" s="20"/>
      <c r="M937" s="20"/>
      <c r="N937" s="20"/>
      <c r="O937" s="22"/>
      <c r="P937" s="20"/>
      <c r="Q937" s="20"/>
      <c r="R937" s="20"/>
      <c r="S937" s="20"/>
      <c r="T937" s="20"/>
      <c r="U937" s="20"/>
      <c r="V937" s="20"/>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row>
    <row r="938">
      <c r="A938" s="20"/>
      <c r="B938" s="20"/>
      <c r="C938" s="20"/>
      <c r="D938" s="20"/>
      <c r="E938" s="20"/>
      <c r="F938" s="20"/>
      <c r="G938" s="20"/>
      <c r="H938" s="20"/>
      <c r="I938" s="23"/>
      <c r="J938" s="20"/>
      <c r="K938" s="20"/>
      <c r="L938" s="20"/>
      <c r="M938" s="20"/>
      <c r="N938" s="20"/>
      <c r="O938" s="22"/>
      <c r="P938" s="20"/>
      <c r="Q938" s="20"/>
      <c r="R938" s="20"/>
      <c r="S938" s="20"/>
      <c r="T938" s="20"/>
      <c r="U938" s="20"/>
      <c r="V938" s="20"/>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row>
    <row r="939">
      <c r="A939" s="20"/>
      <c r="B939" s="20"/>
      <c r="C939" s="20"/>
      <c r="D939" s="20"/>
      <c r="E939" s="20"/>
      <c r="F939" s="20"/>
      <c r="G939" s="20"/>
      <c r="H939" s="20"/>
      <c r="I939" s="23"/>
      <c r="J939" s="20"/>
      <c r="K939" s="20"/>
      <c r="L939" s="20"/>
      <c r="M939" s="20"/>
      <c r="N939" s="20"/>
      <c r="O939" s="22"/>
      <c r="P939" s="20"/>
      <c r="Q939" s="20"/>
      <c r="R939" s="20"/>
      <c r="S939" s="20"/>
      <c r="T939" s="20"/>
      <c r="U939" s="20"/>
      <c r="V939" s="20"/>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row>
    <row r="940">
      <c r="A940" s="20"/>
      <c r="B940" s="20"/>
      <c r="C940" s="20"/>
      <c r="D940" s="20"/>
      <c r="E940" s="20"/>
      <c r="F940" s="20"/>
      <c r="G940" s="20"/>
      <c r="H940" s="20"/>
      <c r="I940" s="23"/>
      <c r="J940" s="20"/>
      <c r="K940" s="20"/>
      <c r="L940" s="20"/>
      <c r="M940" s="20"/>
      <c r="N940" s="20"/>
      <c r="O940" s="22"/>
      <c r="P940" s="20"/>
      <c r="Q940" s="20"/>
      <c r="R940" s="20"/>
      <c r="S940" s="20"/>
      <c r="T940" s="20"/>
      <c r="U940" s="20"/>
      <c r="V940" s="20"/>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row>
    <row r="941">
      <c r="A941" s="20"/>
      <c r="B941" s="20"/>
      <c r="C941" s="20"/>
      <c r="D941" s="20"/>
      <c r="E941" s="20"/>
      <c r="F941" s="20"/>
      <c r="G941" s="20"/>
      <c r="H941" s="20"/>
      <c r="I941" s="23"/>
      <c r="J941" s="20"/>
      <c r="K941" s="20"/>
      <c r="L941" s="20"/>
      <c r="M941" s="20"/>
      <c r="N941" s="20"/>
      <c r="O941" s="22"/>
      <c r="P941" s="20"/>
      <c r="Q941" s="20"/>
      <c r="R941" s="20"/>
      <c r="S941" s="20"/>
      <c r="T941" s="20"/>
      <c r="U941" s="20"/>
      <c r="V941" s="20"/>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row>
    <row r="942">
      <c r="A942" s="20"/>
      <c r="B942" s="20"/>
      <c r="C942" s="20"/>
      <c r="D942" s="20"/>
      <c r="E942" s="20"/>
      <c r="F942" s="20"/>
      <c r="G942" s="20"/>
      <c r="H942" s="20"/>
      <c r="I942" s="23"/>
      <c r="J942" s="20"/>
      <c r="K942" s="20"/>
      <c r="L942" s="20"/>
      <c r="M942" s="20"/>
      <c r="N942" s="20"/>
      <c r="O942" s="22"/>
      <c r="P942" s="20"/>
      <c r="Q942" s="20"/>
      <c r="R942" s="20"/>
      <c r="S942" s="20"/>
      <c r="T942" s="20"/>
      <c r="U942" s="20"/>
      <c r="V942" s="20"/>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row>
    <row r="943">
      <c r="A943" s="20"/>
      <c r="B943" s="20"/>
      <c r="C943" s="20"/>
      <c r="D943" s="20"/>
      <c r="E943" s="20"/>
      <c r="F943" s="20"/>
      <c r="G943" s="20"/>
      <c r="H943" s="20"/>
      <c r="I943" s="23"/>
      <c r="J943" s="20"/>
      <c r="K943" s="20"/>
      <c r="L943" s="20"/>
      <c r="M943" s="20"/>
      <c r="N943" s="20"/>
      <c r="O943" s="22"/>
      <c r="P943" s="20"/>
      <c r="Q943" s="20"/>
      <c r="R943" s="20"/>
      <c r="S943" s="20"/>
      <c r="T943" s="20"/>
      <c r="U943" s="20"/>
      <c r="V943" s="20"/>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row>
    <row r="944">
      <c r="A944" s="20"/>
      <c r="B944" s="20"/>
      <c r="C944" s="20"/>
      <c r="D944" s="20"/>
      <c r="E944" s="20"/>
      <c r="F944" s="20"/>
      <c r="G944" s="20"/>
      <c r="H944" s="20"/>
      <c r="I944" s="23"/>
      <c r="J944" s="20"/>
      <c r="K944" s="20"/>
      <c r="L944" s="20"/>
      <c r="M944" s="20"/>
      <c r="N944" s="20"/>
      <c r="O944" s="22"/>
      <c r="P944" s="20"/>
      <c r="Q944" s="20"/>
      <c r="R944" s="20"/>
      <c r="S944" s="20"/>
      <c r="T944" s="20"/>
      <c r="U944" s="20"/>
      <c r="V944" s="20"/>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row>
    <row r="945">
      <c r="A945" s="20"/>
      <c r="B945" s="20"/>
      <c r="C945" s="20"/>
      <c r="D945" s="20"/>
      <c r="E945" s="20"/>
      <c r="F945" s="20"/>
      <c r="G945" s="20"/>
      <c r="H945" s="20"/>
      <c r="I945" s="23"/>
      <c r="J945" s="20"/>
      <c r="K945" s="20"/>
      <c r="L945" s="20"/>
      <c r="M945" s="20"/>
      <c r="N945" s="20"/>
      <c r="O945" s="22"/>
      <c r="P945" s="20"/>
      <c r="Q945" s="20"/>
      <c r="R945" s="20"/>
      <c r="S945" s="20"/>
      <c r="T945" s="20"/>
      <c r="U945" s="20"/>
      <c r="V945" s="20"/>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row>
    <row r="946">
      <c r="A946" s="20"/>
      <c r="B946" s="20"/>
      <c r="C946" s="20"/>
      <c r="D946" s="20"/>
      <c r="E946" s="20"/>
      <c r="F946" s="20"/>
      <c r="G946" s="20"/>
      <c r="H946" s="20"/>
      <c r="I946" s="23"/>
      <c r="J946" s="20"/>
      <c r="K946" s="20"/>
      <c r="L946" s="20"/>
      <c r="M946" s="20"/>
      <c r="N946" s="20"/>
      <c r="O946" s="22"/>
      <c r="P946" s="20"/>
      <c r="Q946" s="20"/>
      <c r="R946" s="20"/>
      <c r="S946" s="20"/>
      <c r="T946" s="20"/>
      <c r="U946" s="20"/>
      <c r="V946" s="20"/>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row>
    <row r="947">
      <c r="A947" s="20"/>
      <c r="B947" s="20"/>
      <c r="C947" s="20"/>
      <c r="D947" s="20"/>
      <c r="E947" s="20"/>
      <c r="F947" s="20"/>
      <c r="G947" s="20"/>
      <c r="H947" s="20"/>
      <c r="I947" s="23"/>
      <c r="J947" s="20"/>
      <c r="K947" s="20"/>
      <c r="L947" s="20"/>
      <c r="M947" s="20"/>
      <c r="N947" s="20"/>
      <c r="O947" s="22"/>
      <c r="P947" s="20"/>
      <c r="Q947" s="20"/>
      <c r="R947" s="20"/>
      <c r="S947" s="20"/>
      <c r="T947" s="20"/>
      <c r="U947" s="20"/>
      <c r="V947" s="20"/>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row>
    <row r="948">
      <c r="A948" s="20"/>
      <c r="B948" s="20"/>
      <c r="C948" s="20"/>
      <c r="D948" s="20"/>
      <c r="E948" s="20"/>
      <c r="F948" s="20"/>
      <c r="G948" s="20"/>
      <c r="H948" s="20"/>
      <c r="I948" s="23"/>
      <c r="J948" s="20"/>
      <c r="K948" s="20"/>
      <c r="L948" s="20"/>
      <c r="M948" s="20"/>
      <c r="N948" s="20"/>
      <c r="O948" s="22"/>
      <c r="P948" s="20"/>
      <c r="Q948" s="20"/>
      <c r="R948" s="20"/>
      <c r="S948" s="20"/>
      <c r="T948" s="20"/>
      <c r="U948" s="20"/>
      <c r="V948" s="20"/>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row>
    <row r="949">
      <c r="A949" s="20"/>
      <c r="B949" s="20"/>
      <c r="C949" s="20"/>
      <c r="D949" s="20"/>
      <c r="E949" s="20"/>
      <c r="F949" s="20"/>
      <c r="G949" s="20"/>
      <c r="H949" s="20"/>
      <c r="I949" s="23"/>
      <c r="J949" s="20"/>
      <c r="K949" s="20"/>
      <c r="L949" s="20"/>
      <c r="M949" s="20"/>
      <c r="N949" s="20"/>
      <c r="O949" s="22"/>
      <c r="P949" s="20"/>
      <c r="Q949" s="20"/>
      <c r="R949" s="20"/>
      <c r="S949" s="20"/>
      <c r="T949" s="20"/>
      <c r="U949" s="20"/>
      <c r="V949" s="20"/>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row>
    <row r="950">
      <c r="A950" s="20"/>
      <c r="B950" s="20"/>
      <c r="C950" s="20"/>
      <c r="D950" s="20"/>
      <c r="E950" s="20"/>
      <c r="F950" s="20"/>
      <c r="G950" s="20"/>
      <c r="H950" s="20"/>
      <c r="I950" s="23"/>
      <c r="J950" s="20"/>
      <c r="K950" s="20"/>
      <c r="L950" s="20"/>
      <c r="M950" s="20"/>
      <c r="N950" s="20"/>
      <c r="O950" s="22"/>
      <c r="P950" s="20"/>
      <c r="Q950" s="20"/>
      <c r="R950" s="20"/>
      <c r="S950" s="20"/>
      <c r="T950" s="20"/>
      <c r="U950" s="20"/>
      <c r="V950" s="20"/>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row>
    <row r="951">
      <c r="A951" s="20"/>
      <c r="B951" s="20"/>
      <c r="C951" s="20"/>
      <c r="D951" s="20"/>
      <c r="E951" s="20"/>
      <c r="F951" s="20"/>
      <c r="G951" s="20"/>
      <c r="H951" s="20"/>
      <c r="I951" s="23"/>
      <c r="J951" s="20"/>
      <c r="K951" s="20"/>
      <c r="L951" s="20"/>
      <c r="M951" s="20"/>
      <c r="N951" s="20"/>
      <c r="O951" s="22"/>
      <c r="P951" s="20"/>
      <c r="Q951" s="20"/>
      <c r="R951" s="20"/>
      <c r="S951" s="20"/>
      <c r="T951" s="20"/>
      <c r="U951" s="20"/>
      <c r="V951" s="20"/>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row>
    <row r="952">
      <c r="A952" s="20"/>
      <c r="B952" s="20"/>
      <c r="C952" s="20"/>
      <c r="D952" s="20"/>
      <c r="E952" s="20"/>
      <c r="F952" s="20"/>
      <c r="G952" s="20"/>
      <c r="H952" s="20"/>
      <c r="I952" s="23"/>
      <c r="J952" s="20"/>
      <c r="K952" s="20"/>
      <c r="L952" s="20"/>
      <c r="M952" s="20"/>
      <c r="N952" s="20"/>
      <c r="O952" s="22"/>
      <c r="P952" s="20"/>
      <c r="Q952" s="20"/>
      <c r="R952" s="20"/>
      <c r="S952" s="20"/>
      <c r="T952" s="20"/>
      <c r="U952" s="20"/>
      <c r="V952" s="20"/>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row>
    <row r="953">
      <c r="A953" s="20"/>
      <c r="B953" s="20"/>
      <c r="C953" s="20"/>
      <c r="D953" s="20"/>
      <c r="E953" s="20"/>
      <c r="F953" s="20"/>
      <c r="G953" s="20"/>
      <c r="H953" s="20"/>
      <c r="I953" s="23"/>
      <c r="J953" s="20"/>
      <c r="K953" s="20"/>
      <c r="L953" s="20"/>
      <c r="M953" s="20"/>
      <c r="N953" s="20"/>
      <c r="O953" s="22"/>
      <c r="P953" s="20"/>
      <c r="Q953" s="20"/>
      <c r="R953" s="20"/>
      <c r="S953" s="20"/>
      <c r="T953" s="20"/>
      <c r="U953" s="20"/>
      <c r="V953" s="20"/>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row>
    <row r="954">
      <c r="A954" s="20"/>
      <c r="B954" s="20"/>
      <c r="C954" s="20"/>
      <c r="D954" s="20"/>
      <c r="E954" s="20"/>
      <c r="F954" s="20"/>
      <c r="G954" s="20"/>
      <c r="H954" s="20"/>
      <c r="I954" s="23"/>
      <c r="J954" s="20"/>
      <c r="K954" s="20"/>
      <c r="L954" s="20"/>
      <c r="M954" s="20"/>
      <c r="N954" s="20"/>
      <c r="O954" s="22"/>
      <c r="P954" s="20"/>
      <c r="Q954" s="20"/>
      <c r="R954" s="20"/>
      <c r="S954" s="20"/>
      <c r="T954" s="20"/>
      <c r="U954" s="20"/>
      <c r="V954" s="20"/>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row>
    <row r="955">
      <c r="A955" s="20"/>
      <c r="B955" s="20"/>
      <c r="C955" s="20"/>
      <c r="D955" s="20"/>
      <c r="E955" s="20"/>
      <c r="F955" s="20"/>
      <c r="G955" s="20"/>
      <c r="H955" s="20"/>
      <c r="I955" s="23"/>
      <c r="J955" s="20"/>
      <c r="K955" s="20"/>
      <c r="L955" s="20"/>
      <c r="M955" s="20"/>
      <c r="N955" s="20"/>
      <c r="O955" s="22"/>
      <c r="P955" s="20"/>
      <c r="Q955" s="20"/>
      <c r="R955" s="20"/>
      <c r="S955" s="20"/>
      <c r="T955" s="20"/>
      <c r="U955" s="20"/>
      <c r="V955" s="20"/>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row>
    <row r="956">
      <c r="A956" s="20"/>
      <c r="B956" s="20"/>
      <c r="C956" s="20"/>
      <c r="D956" s="20"/>
      <c r="E956" s="20"/>
      <c r="F956" s="20"/>
      <c r="G956" s="20"/>
      <c r="H956" s="20"/>
      <c r="I956" s="23"/>
      <c r="J956" s="20"/>
      <c r="K956" s="20"/>
      <c r="L956" s="20"/>
      <c r="M956" s="20"/>
      <c r="N956" s="20"/>
      <c r="O956" s="22"/>
      <c r="P956" s="20"/>
      <c r="Q956" s="20"/>
      <c r="R956" s="20"/>
      <c r="S956" s="20"/>
      <c r="T956" s="20"/>
      <c r="U956" s="20"/>
      <c r="V956" s="20"/>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row>
    <row r="957">
      <c r="A957" s="20"/>
      <c r="B957" s="20"/>
      <c r="C957" s="20"/>
      <c r="D957" s="20"/>
      <c r="E957" s="20"/>
      <c r="F957" s="20"/>
      <c r="G957" s="20"/>
      <c r="H957" s="20"/>
      <c r="I957" s="23"/>
      <c r="J957" s="20"/>
      <c r="K957" s="20"/>
      <c r="L957" s="20"/>
      <c r="M957" s="20"/>
      <c r="N957" s="20"/>
      <c r="O957" s="22"/>
      <c r="P957" s="20"/>
      <c r="Q957" s="20"/>
      <c r="R957" s="20"/>
      <c r="S957" s="20"/>
      <c r="T957" s="20"/>
      <c r="U957" s="20"/>
      <c r="V957" s="20"/>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row>
    <row r="958">
      <c r="A958" s="20"/>
      <c r="B958" s="20"/>
      <c r="C958" s="20"/>
      <c r="D958" s="20"/>
      <c r="E958" s="20"/>
      <c r="F958" s="20"/>
      <c r="G958" s="20"/>
      <c r="H958" s="20"/>
      <c r="I958" s="23"/>
      <c r="J958" s="20"/>
      <c r="K958" s="20"/>
      <c r="L958" s="20"/>
      <c r="M958" s="20"/>
      <c r="N958" s="20"/>
      <c r="O958" s="22"/>
      <c r="P958" s="20"/>
      <c r="Q958" s="20"/>
      <c r="R958" s="20"/>
      <c r="S958" s="20"/>
      <c r="T958" s="20"/>
      <c r="U958" s="20"/>
      <c r="V958" s="20"/>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row>
    <row r="959">
      <c r="A959" s="20"/>
      <c r="B959" s="20"/>
      <c r="C959" s="20"/>
      <c r="D959" s="20"/>
      <c r="E959" s="20"/>
      <c r="F959" s="20"/>
      <c r="G959" s="20"/>
      <c r="H959" s="20"/>
      <c r="I959" s="23"/>
      <c r="J959" s="20"/>
      <c r="K959" s="20"/>
      <c r="L959" s="20"/>
      <c r="M959" s="20"/>
      <c r="N959" s="20"/>
      <c r="O959" s="22"/>
      <c r="P959" s="20"/>
      <c r="Q959" s="20"/>
      <c r="R959" s="20"/>
      <c r="S959" s="20"/>
      <c r="T959" s="20"/>
      <c r="U959" s="20"/>
      <c r="V959" s="20"/>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row>
    <row r="960">
      <c r="A960" s="20"/>
      <c r="B960" s="20"/>
      <c r="C960" s="20"/>
      <c r="D960" s="20"/>
      <c r="E960" s="20"/>
      <c r="F960" s="20"/>
      <c r="G960" s="20"/>
      <c r="H960" s="20"/>
      <c r="I960" s="23"/>
      <c r="J960" s="20"/>
      <c r="K960" s="20"/>
      <c r="L960" s="20"/>
      <c r="M960" s="20"/>
      <c r="N960" s="20"/>
      <c r="O960" s="22"/>
      <c r="P960" s="20"/>
      <c r="Q960" s="20"/>
      <c r="R960" s="20"/>
      <c r="S960" s="20"/>
      <c r="T960" s="20"/>
      <c r="U960" s="20"/>
      <c r="V960" s="20"/>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row>
    <row r="961">
      <c r="A961" s="20"/>
      <c r="B961" s="20"/>
      <c r="C961" s="20"/>
      <c r="D961" s="20"/>
      <c r="E961" s="20"/>
      <c r="F961" s="20"/>
      <c r="G961" s="20"/>
      <c r="H961" s="20"/>
      <c r="I961" s="23"/>
      <c r="J961" s="20"/>
      <c r="K961" s="20"/>
      <c r="L961" s="20"/>
      <c r="M961" s="20"/>
      <c r="N961" s="20"/>
      <c r="O961" s="22"/>
      <c r="P961" s="20"/>
      <c r="Q961" s="20"/>
      <c r="R961" s="20"/>
      <c r="S961" s="20"/>
      <c r="T961" s="20"/>
      <c r="U961" s="20"/>
      <c r="V961" s="20"/>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row>
    <row r="962">
      <c r="A962" s="20"/>
      <c r="B962" s="20"/>
      <c r="C962" s="20"/>
      <c r="D962" s="20"/>
      <c r="E962" s="20"/>
      <c r="F962" s="20"/>
      <c r="G962" s="20"/>
      <c r="H962" s="20"/>
      <c r="I962" s="23"/>
      <c r="J962" s="20"/>
      <c r="K962" s="20"/>
      <c r="L962" s="20"/>
      <c r="M962" s="20"/>
      <c r="N962" s="20"/>
      <c r="O962" s="22"/>
      <c r="P962" s="20"/>
      <c r="Q962" s="20"/>
      <c r="R962" s="20"/>
      <c r="S962" s="20"/>
      <c r="T962" s="20"/>
      <c r="U962" s="20"/>
      <c r="V962" s="20"/>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row>
    <row r="963">
      <c r="A963" s="20"/>
      <c r="B963" s="20"/>
      <c r="C963" s="20"/>
      <c r="D963" s="20"/>
      <c r="E963" s="20"/>
      <c r="F963" s="20"/>
      <c r="G963" s="20"/>
      <c r="H963" s="20"/>
      <c r="I963" s="23"/>
      <c r="J963" s="20"/>
      <c r="K963" s="20"/>
      <c r="L963" s="20"/>
      <c r="M963" s="20"/>
      <c r="N963" s="20"/>
      <c r="O963" s="22"/>
      <c r="P963" s="20"/>
      <c r="Q963" s="20"/>
      <c r="R963" s="20"/>
      <c r="S963" s="20"/>
      <c r="T963" s="20"/>
      <c r="U963" s="20"/>
      <c r="V963" s="20"/>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row>
    <row r="964">
      <c r="A964" s="20"/>
      <c r="B964" s="20"/>
      <c r="C964" s="20"/>
      <c r="D964" s="20"/>
      <c r="E964" s="20"/>
      <c r="F964" s="20"/>
      <c r="G964" s="20"/>
      <c r="H964" s="20"/>
      <c r="I964" s="23"/>
      <c r="J964" s="20"/>
      <c r="K964" s="20"/>
      <c r="L964" s="20"/>
      <c r="M964" s="20"/>
      <c r="N964" s="20"/>
      <c r="O964" s="22"/>
      <c r="P964" s="20"/>
      <c r="Q964" s="20"/>
      <c r="R964" s="20"/>
      <c r="S964" s="20"/>
      <c r="T964" s="20"/>
      <c r="U964" s="20"/>
      <c r="V964" s="20"/>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row>
    <row r="965">
      <c r="A965" s="20"/>
      <c r="B965" s="20"/>
      <c r="C965" s="20"/>
      <c r="D965" s="20"/>
      <c r="E965" s="20"/>
      <c r="F965" s="20"/>
      <c r="G965" s="20"/>
      <c r="H965" s="20"/>
      <c r="I965" s="23"/>
      <c r="J965" s="20"/>
      <c r="K965" s="20"/>
      <c r="L965" s="20"/>
      <c r="M965" s="20"/>
      <c r="N965" s="20"/>
      <c r="O965" s="22"/>
      <c r="P965" s="20"/>
      <c r="Q965" s="20"/>
      <c r="R965" s="20"/>
      <c r="S965" s="20"/>
      <c r="T965" s="20"/>
      <c r="U965" s="20"/>
      <c r="V965" s="20"/>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row>
    <row r="966">
      <c r="A966" s="20"/>
      <c r="B966" s="20"/>
      <c r="C966" s="20"/>
      <c r="D966" s="20"/>
      <c r="E966" s="20"/>
      <c r="F966" s="20"/>
      <c r="G966" s="20"/>
      <c r="H966" s="20"/>
      <c r="I966" s="23"/>
      <c r="J966" s="20"/>
      <c r="K966" s="20"/>
      <c r="L966" s="20"/>
      <c r="M966" s="20"/>
      <c r="N966" s="20"/>
      <c r="O966" s="22"/>
      <c r="P966" s="20"/>
      <c r="Q966" s="20"/>
      <c r="R966" s="20"/>
      <c r="S966" s="20"/>
      <c r="T966" s="20"/>
      <c r="U966" s="20"/>
      <c r="V966" s="20"/>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row>
    <row r="967">
      <c r="A967" s="20"/>
      <c r="B967" s="20"/>
      <c r="C967" s="20"/>
      <c r="D967" s="20"/>
      <c r="E967" s="20"/>
      <c r="F967" s="20"/>
      <c r="G967" s="20"/>
      <c r="H967" s="20"/>
      <c r="I967" s="23"/>
      <c r="J967" s="20"/>
      <c r="K967" s="20"/>
      <c r="L967" s="20"/>
      <c r="M967" s="20"/>
      <c r="N967" s="20"/>
      <c r="O967" s="22"/>
      <c r="P967" s="20"/>
      <c r="Q967" s="20"/>
      <c r="R967" s="20"/>
      <c r="S967" s="20"/>
      <c r="T967" s="20"/>
      <c r="U967" s="20"/>
      <c r="V967" s="20"/>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row>
    <row r="968">
      <c r="A968" s="20"/>
      <c r="B968" s="20"/>
      <c r="C968" s="20"/>
      <c r="D968" s="20"/>
      <c r="E968" s="20"/>
      <c r="F968" s="20"/>
      <c r="G968" s="20"/>
      <c r="H968" s="20"/>
      <c r="I968" s="23"/>
      <c r="J968" s="20"/>
      <c r="K968" s="20"/>
      <c r="L968" s="20"/>
      <c r="M968" s="20"/>
      <c r="N968" s="20"/>
      <c r="O968" s="22"/>
      <c r="P968" s="20"/>
      <c r="Q968" s="20"/>
      <c r="R968" s="20"/>
      <c r="S968" s="20"/>
      <c r="T968" s="20"/>
      <c r="U968" s="20"/>
      <c r="V968" s="20"/>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row>
    <row r="969">
      <c r="A969" s="20"/>
      <c r="B969" s="20"/>
      <c r="C969" s="20"/>
      <c r="D969" s="20"/>
      <c r="E969" s="20"/>
      <c r="F969" s="20"/>
      <c r="G969" s="20"/>
      <c r="H969" s="20"/>
      <c r="I969" s="23"/>
      <c r="J969" s="20"/>
      <c r="K969" s="20"/>
      <c r="L969" s="20"/>
      <c r="M969" s="20"/>
      <c r="N969" s="20"/>
      <c r="O969" s="22"/>
      <c r="P969" s="20"/>
      <c r="Q969" s="20"/>
      <c r="R969" s="20"/>
      <c r="S969" s="20"/>
      <c r="T969" s="20"/>
      <c r="U969" s="20"/>
      <c r="V969" s="20"/>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row>
    <row r="970">
      <c r="A970" s="20"/>
      <c r="B970" s="20"/>
      <c r="C970" s="20"/>
      <c r="D970" s="20"/>
      <c r="E970" s="20"/>
      <c r="F970" s="20"/>
      <c r="G970" s="20"/>
      <c r="H970" s="20"/>
      <c r="I970" s="23"/>
      <c r="J970" s="20"/>
      <c r="K970" s="20"/>
      <c r="L970" s="20"/>
      <c r="M970" s="20"/>
      <c r="N970" s="20"/>
      <c r="O970" s="22"/>
      <c r="P970" s="20"/>
      <c r="Q970" s="20"/>
      <c r="R970" s="20"/>
      <c r="S970" s="20"/>
      <c r="T970" s="20"/>
      <c r="U970" s="20"/>
      <c r="V970" s="20"/>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row>
    <row r="971">
      <c r="A971" s="20"/>
      <c r="B971" s="20"/>
      <c r="C971" s="20"/>
      <c r="D971" s="20"/>
      <c r="E971" s="20"/>
      <c r="F971" s="20"/>
      <c r="G971" s="20"/>
      <c r="H971" s="20"/>
      <c r="I971" s="23"/>
      <c r="J971" s="20"/>
      <c r="K971" s="20"/>
      <c r="L971" s="20"/>
      <c r="M971" s="20"/>
      <c r="N971" s="20"/>
      <c r="O971" s="22"/>
      <c r="P971" s="20"/>
      <c r="Q971" s="20"/>
      <c r="R971" s="20"/>
      <c r="S971" s="20"/>
      <c r="T971" s="20"/>
      <c r="U971" s="20"/>
      <c r="V971" s="20"/>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row>
    <row r="972">
      <c r="A972" s="20"/>
      <c r="B972" s="20"/>
      <c r="C972" s="20"/>
      <c r="D972" s="20"/>
      <c r="E972" s="20"/>
      <c r="F972" s="20"/>
      <c r="G972" s="20"/>
      <c r="H972" s="20"/>
      <c r="I972" s="23"/>
      <c r="J972" s="20"/>
      <c r="K972" s="20"/>
      <c r="L972" s="20"/>
      <c r="M972" s="20"/>
      <c r="N972" s="20"/>
      <c r="O972" s="22"/>
      <c r="P972" s="20"/>
      <c r="Q972" s="20"/>
      <c r="R972" s="20"/>
      <c r="S972" s="20"/>
      <c r="T972" s="20"/>
      <c r="U972" s="20"/>
      <c r="V972" s="20"/>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row>
    <row r="973">
      <c r="A973" s="20"/>
      <c r="B973" s="20"/>
      <c r="C973" s="20"/>
      <c r="D973" s="20"/>
      <c r="E973" s="20"/>
      <c r="F973" s="20"/>
      <c r="G973" s="20"/>
      <c r="H973" s="20"/>
      <c r="I973" s="23"/>
      <c r="J973" s="20"/>
      <c r="K973" s="20"/>
      <c r="L973" s="20"/>
      <c r="M973" s="20"/>
      <c r="N973" s="20"/>
      <c r="O973" s="22"/>
      <c r="P973" s="20"/>
      <c r="Q973" s="20"/>
      <c r="R973" s="20"/>
      <c r="S973" s="20"/>
      <c r="T973" s="20"/>
      <c r="U973" s="20"/>
      <c r="V973" s="20"/>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row>
    <row r="974">
      <c r="A974" s="20"/>
      <c r="B974" s="20"/>
      <c r="C974" s="20"/>
      <c r="D974" s="20"/>
      <c r="E974" s="20"/>
      <c r="F974" s="20"/>
      <c r="G974" s="20"/>
      <c r="H974" s="20"/>
      <c r="I974" s="23"/>
      <c r="J974" s="20"/>
      <c r="K974" s="20"/>
      <c r="L974" s="20"/>
      <c r="M974" s="20"/>
      <c r="N974" s="20"/>
      <c r="O974" s="22"/>
      <c r="P974" s="20"/>
      <c r="Q974" s="20"/>
      <c r="R974" s="20"/>
      <c r="S974" s="20"/>
      <c r="T974" s="20"/>
      <c r="U974" s="20"/>
      <c r="V974" s="20"/>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row>
    <row r="975">
      <c r="A975" s="20"/>
      <c r="B975" s="20"/>
      <c r="C975" s="20"/>
      <c r="D975" s="20"/>
      <c r="E975" s="20"/>
      <c r="F975" s="20"/>
      <c r="G975" s="20"/>
      <c r="H975" s="20"/>
      <c r="I975" s="23"/>
      <c r="J975" s="20"/>
      <c r="K975" s="20"/>
      <c r="L975" s="20"/>
      <c r="M975" s="20"/>
      <c r="N975" s="20"/>
      <c r="O975" s="22"/>
      <c r="P975" s="20"/>
      <c r="Q975" s="20"/>
      <c r="R975" s="20"/>
      <c r="S975" s="20"/>
      <c r="T975" s="20"/>
      <c r="U975" s="20"/>
      <c r="V975" s="20"/>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row>
    <row r="976">
      <c r="A976" s="20"/>
      <c r="B976" s="20"/>
      <c r="C976" s="20"/>
      <c r="D976" s="20"/>
      <c r="E976" s="20"/>
      <c r="F976" s="20"/>
      <c r="G976" s="20"/>
      <c r="H976" s="20"/>
      <c r="I976" s="23"/>
      <c r="J976" s="20"/>
      <c r="K976" s="20"/>
      <c r="L976" s="20"/>
      <c r="M976" s="20"/>
      <c r="N976" s="20"/>
      <c r="O976" s="22"/>
      <c r="P976" s="20"/>
      <c r="Q976" s="20"/>
      <c r="R976" s="20"/>
      <c r="S976" s="20"/>
      <c r="T976" s="20"/>
      <c r="U976" s="20"/>
      <c r="V976" s="20"/>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row>
    <row r="977">
      <c r="A977" s="20"/>
      <c r="B977" s="20"/>
      <c r="C977" s="20"/>
      <c r="D977" s="20"/>
      <c r="E977" s="20"/>
      <c r="F977" s="20"/>
      <c r="G977" s="20"/>
      <c r="H977" s="20"/>
      <c r="I977" s="23"/>
      <c r="J977" s="20"/>
      <c r="K977" s="20"/>
      <c r="L977" s="20"/>
      <c r="M977" s="20"/>
      <c r="N977" s="20"/>
      <c r="O977" s="22"/>
      <c r="P977" s="20"/>
      <c r="Q977" s="20"/>
      <c r="R977" s="20"/>
      <c r="S977" s="20"/>
      <c r="T977" s="20"/>
      <c r="U977" s="20"/>
      <c r="V977" s="20"/>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row>
    <row r="978">
      <c r="A978" s="20"/>
      <c r="B978" s="20"/>
      <c r="C978" s="20"/>
      <c r="D978" s="20"/>
      <c r="E978" s="20"/>
      <c r="F978" s="20"/>
      <c r="G978" s="20"/>
      <c r="H978" s="20"/>
      <c r="I978" s="23"/>
      <c r="J978" s="20"/>
      <c r="K978" s="20"/>
      <c r="L978" s="20"/>
      <c r="M978" s="20"/>
      <c r="N978" s="20"/>
      <c r="O978" s="22"/>
      <c r="P978" s="20"/>
      <c r="Q978" s="20"/>
      <c r="R978" s="20"/>
      <c r="S978" s="20"/>
      <c r="T978" s="20"/>
      <c r="U978" s="20"/>
      <c r="V978" s="20"/>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row>
    <row r="979">
      <c r="A979" s="20"/>
      <c r="B979" s="20"/>
      <c r="C979" s="20"/>
      <c r="D979" s="20"/>
      <c r="E979" s="20"/>
      <c r="F979" s="20"/>
      <c r="G979" s="20"/>
      <c r="H979" s="20"/>
      <c r="I979" s="23"/>
      <c r="J979" s="20"/>
      <c r="K979" s="20"/>
      <c r="L979" s="20"/>
      <c r="M979" s="20"/>
      <c r="N979" s="20"/>
      <c r="O979" s="22"/>
      <c r="P979" s="20"/>
      <c r="Q979" s="20"/>
      <c r="R979" s="20"/>
      <c r="S979" s="20"/>
      <c r="T979" s="20"/>
      <c r="U979" s="20"/>
      <c r="V979" s="20"/>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row>
    <row r="980">
      <c r="A980" s="20"/>
      <c r="B980" s="20"/>
      <c r="C980" s="20"/>
      <c r="D980" s="20"/>
      <c r="E980" s="20"/>
      <c r="F980" s="20"/>
      <c r="G980" s="20"/>
      <c r="H980" s="20"/>
      <c r="I980" s="23"/>
      <c r="J980" s="20"/>
      <c r="K980" s="20"/>
      <c r="L980" s="20"/>
      <c r="M980" s="20"/>
      <c r="N980" s="20"/>
      <c r="O980" s="22"/>
      <c r="P980" s="20"/>
      <c r="Q980" s="20"/>
      <c r="R980" s="20"/>
      <c r="S980" s="20"/>
      <c r="T980" s="20"/>
      <c r="U980" s="20"/>
      <c r="V980" s="20"/>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row>
    <row r="981">
      <c r="A981" s="20"/>
      <c r="B981" s="20"/>
      <c r="C981" s="20"/>
      <c r="D981" s="20"/>
      <c r="E981" s="20"/>
      <c r="F981" s="20"/>
      <c r="G981" s="20"/>
      <c r="H981" s="20"/>
      <c r="I981" s="23"/>
      <c r="J981" s="20"/>
      <c r="K981" s="20"/>
      <c r="L981" s="20"/>
      <c r="M981" s="20"/>
      <c r="N981" s="20"/>
      <c r="O981" s="22"/>
      <c r="P981" s="20"/>
      <c r="Q981" s="20"/>
      <c r="R981" s="20"/>
      <c r="S981" s="20"/>
      <c r="T981" s="20"/>
      <c r="U981" s="20"/>
      <c r="V981" s="20"/>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row>
    <row r="982">
      <c r="A982" s="20"/>
      <c r="B982" s="20"/>
      <c r="C982" s="20"/>
      <c r="D982" s="20"/>
      <c r="E982" s="20"/>
      <c r="F982" s="20"/>
      <c r="G982" s="20"/>
      <c r="H982" s="20"/>
      <c r="I982" s="23"/>
      <c r="J982" s="20"/>
      <c r="K982" s="20"/>
      <c r="L982" s="20"/>
      <c r="M982" s="20"/>
      <c r="N982" s="20"/>
      <c r="O982" s="22"/>
      <c r="P982" s="20"/>
      <c r="Q982" s="20"/>
      <c r="R982" s="20"/>
      <c r="S982" s="20"/>
      <c r="T982" s="20"/>
      <c r="U982" s="20"/>
      <c r="V982" s="20"/>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row>
    <row r="983">
      <c r="A983" s="20"/>
      <c r="B983" s="20"/>
      <c r="C983" s="20"/>
      <c r="D983" s="20"/>
      <c r="E983" s="20"/>
      <c r="F983" s="20"/>
      <c r="G983" s="20"/>
      <c r="H983" s="20"/>
      <c r="I983" s="23"/>
      <c r="J983" s="20"/>
      <c r="K983" s="20"/>
      <c r="L983" s="20"/>
      <c r="M983" s="20"/>
      <c r="N983" s="20"/>
      <c r="O983" s="22"/>
      <c r="P983" s="20"/>
      <c r="Q983" s="20"/>
      <c r="R983" s="20"/>
      <c r="S983" s="20"/>
      <c r="T983" s="20"/>
      <c r="U983" s="20"/>
      <c r="V983" s="20"/>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row>
    <row r="984">
      <c r="A984" s="20"/>
      <c r="B984" s="20"/>
      <c r="C984" s="20"/>
      <c r="D984" s="20"/>
      <c r="E984" s="20"/>
      <c r="F984" s="20"/>
      <c r="G984" s="20"/>
      <c r="H984" s="20"/>
      <c r="I984" s="23"/>
      <c r="J984" s="20"/>
      <c r="K984" s="20"/>
      <c r="L984" s="20"/>
      <c r="M984" s="20"/>
      <c r="N984" s="20"/>
      <c r="O984" s="22"/>
      <c r="P984" s="20"/>
      <c r="Q984" s="20"/>
      <c r="R984" s="20"/>
      <c r="S984" s="20"/>
      <c r="T984" s="20"/>
      <c r="U984" s="20"/>
      <c r="V984" s="20"/>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row>
    <row r="985">
      <c r="A985" s="20"/>
      <c r="B985" s="20"/>
      <c r="C985" s="20"/>
      <c r="D985" s="20"/>
      <c r="E985" s="20"/>
      <c r="F985" s="20"/>
      <c r="G985" s="20"/>
      <c r="H985" s="20"/>
      <c r="I985" s="23"/>
      <c r="J985" s="20"/>
      <c r="K985" s="20"/>
      <c r="L985" s="20"/>
      <c r="M985" s="20"/>
      <c r="N985" s="20"/>
      <c r="O985" s="22"/>
      <c r="P985" s="20"/>
      <c r="Q985" s="20"/>
      <c r="R985" s="20"/>
      <c r="S985" s="20"/>
      <c r="T985" s="20"/>
      <c r="U985" s="20"/>
      <c r="V985" s="20"/>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row>
    <row r="986">
      <c r="A986" s="20"/>
      <c r="B986" s="20"/>
      <c r="C986" s="20"/>
      <c r="D986" s="20"/>
      <c r="E986" s="20"/>
      <c r="F986" s="20"/>
      <c r="G986" s="20"/>
      <c r="H986" s="20"/>
      <c r="I986" s="23"/>
      <c r="J986" s="20"/>
      <c r="K986" s="20"/>
      <c r="L986" s="20"/>
      <c r="M986" s="20"/>
      <c r="N986" s="20"/>
      <c r="O986" s="22"/>
      <c r="P986" s="20"/>
      <c r="Q986" s="20"/>
      <c r="R986" s="20"/>
      <c r="S986" s="20"/>
      <c r="T986" s="20"/>
      <c r="U986" s="20"/>
      <c r="V986" s="20"/>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row>
    <row r="987">
      <c r="A987" s="20"/>
      <c r="B987" s="20"/>
      <c r="C987" s="20"/>
      <c r="D987" s="20"/>
      <c r="E987" s="20"/>
      <c r="F987" s="20"/>
      <c r="G987" s="20"/>
      <c r="H987" s="20"/>
      <c r="I987" s="23"/>
      <c r="J987" s="20"/>
      <c r="K987" s="20"/>
      <c r="L987" s="20"/>
      <c r="M987" s="20"/>
      <c r="N987" s="20"/>
      <c r="O987" s="22"/>
      <c r="P987" s="20"/>
      <c r="Q987" s="20"/>
      <c r="R987" s="20"/>
      <c r="S987" s="20"/>
      <c r="T987" s="20"/>
      <c r="U987" s="20"/>
      <c r="V987" s="20"/>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row>
    <row r="988">
      <c r="A988" s="20"/>
      <c r="B988" s="20"/>
      <c r="C988" s="20"/>
      <c r="D988" s="20"/>
      <c r="E988" s="20"/>
      <c r="F988" s="20"/>
      <c r="G988" s="20"/>
      <c r="H988" s="20"/>
      <c r="I988" s="23"/>
      <c r="J988" s="20"/>
      <c r="K988" s="20"/>
      <c r="L988" s="20"/>
      <c r="M988" s="20"/>
      <c r="N988" s="20"/>
      <c r="O988" s="22"/>
      <c r="P988" s="20"/>
      <c r="Q988" s="20"/>
      <c r="R988" s="20"/>
      <c r="S988" s="20"/>
      <c r="T988" s="20"/>
      <c r="U988" s="20"/>
      <c r="V988" s="20"/>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row>
    <row r="989">
      <c r="A989" s="20"/>
      <c r="B989" s="20"/>
      <c r="C989" s="20"/>
      <c r="D989" s="20"/>
      <c r="E989" s="20"/>
      <c r="F989" s="20"/>
      <c r="G989" s="20"/>
      <c r="H989" s="20"/>
      <c r="I989" s="23"/>
      <c r="J989" s="20"/>
      <c r="K989" s="20"/>
      <c r="L989" s="20"/>
      <c r="M989" s="20"/>
      <c r="N989" s="20"/>
      <c r="O989" s="22"/>
      <c r="P989" s="20"/>
      <c r="Q989" s="20"/>
      <c r="R989" s="20"/>
      <c r="S989" s="20"/>
      <c r="T989" s="20"/>
      <c r="U989" s="20"/>
      <c r="V989" s="20"/>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row>
    <row r="990">
      <c r="A990" s="20"/>
      <c r="B990" s="20"/>
      <c r="C990" s="20"/>
      <c r="D990" s="20"/>
      <c r="E990" s="20"/>
      <c r="F990" s="20"/>
      <c r="G990" s="20"/>
      <c r="H990" s="20"/>
      <c r="I990" s="23"/>
      <c r="J990" s="20"/>
      <c r="K990" s="20"/>
      <c r="L990" s="20"/>
      <c r="M990" s="20"/>
      <c r="N990" s="20"/>
      <c r="O990" s="22"/>
      <c r="P990" s="20"/>
      <c r="Q990" s="20"/>
      <c r="R990" s="20"/>
      <c r="S990" s="20"/>
      <c r="T990" s="20"/>
      <c r="U990" s="20"/>
      <c r="V990" s="20"/>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row>
    <row r="991">
      <c r="A991" s="20"/>
      <c r="B991" s="20"/>
      <c r="C991" s="20"/>
      <c r="D991" s="20"/>
      <c r="E991" s="20"/>
      <c r="F991" s="20"/>
      <c r="G991" s="20"/>
      <c r="H991" s="20"/>
      <c r="I991" s="23"/>
      <c r="J991" s="20"/>
      <c r="K991" s="20"/>
      <c r="L991" s="20"/>
      <c r="M991" s="20"/>
      <c r="N991" s="20"/>
      <c r="O991" s="22"/>
      <c r="P991" s="20"/>
      <c r="Q991" s="20"/>
      <c r="R991" s="20"/>
      <c r="S991" s="20"/>
      <c r="T991" s="20"/>
      <c r="U991" s="20"/>
      <c r="V991" s="20"/>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row>
    <row r="992">
      <c r="A992" s="20"/>
      <c r="B992" s="20"/>
      <c r="C992" s="20"/>
      <c r="D992" s="20"/>
      <c r="E992" s="20"/>
      <c r="F992" s="20"/>
      <c r="G992" s="20"/>
      <c r="H992" s="20"/>
      <c r="I992" s="23"/>
      <c r="J992" s="20"/>
      <c r="K992" s="20"/>
      <c r="L992" s="20"/>
      <c r="M992" s="20"/>
      <c r="N992" s="20"/>
      <c r="O992" s="22"/>
      <c r="P992" s="20"/>
      <c r="Q992" s="20"/>
      <c r="R992" s="20"/>
      <c r="S992" s="20"/>
      <c r="T992" s="20"/>
      <c r="U992" s="20"/>
      <c r="V992" s="20"/>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row>
    <row r="993">
      <c r="A993" s="20"/>
      <c r="B993" s="20"/>
      <c r="C993" s="20"/>
      <c r="D993" s="20"/>
      <c r="E993" s="20"/>
      <c r="F993" s="20"/>
      <c r="G993" s="20"/>
      <c r="H993" s="20"/>
      <c r="I993" s="23"/>
      <c r="J993" s="20"/>
      <c r="K993" s="20"/>
      <c r="L993" s="20"/>
      <c r="M993" s="20"/>
      <c r="N993" s="20"/>
      <c r="O993" s="22"/>
      <c r="P993" s="20"/>
      <c r="Q993" s="20"/>
      <c r="R993" s="20"/>
      <c r="S993" s="20"/>
      <c r="T993" s="20"/>
      <c r="U993" s="20"/>
      <c r="V993" s="20"/>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row>
    <row r="994">
      <c r="A994" s="20"/>
      <c r="B994" s="20"/>
      <c r="C994" s="20"/>
      <c r="D994" s="20"/>
      <c r="E994" s="20"/>
      <c r="F994" s="20"/>
      <c r="G994" s="20"/>
      <c r="H994" s="20"/>
      <c r="I994" s="23"/>
      <c r="J994" s="20"/>
      <c r="K994" s="20"/>
      <c r="L994" s="20"/>
      <c r="M994" s="20"/>
      <c r="N994" s="20"/>
      <c r="O994" s="22"/>
      <c r="P994" s="20"/>
      <c r="Q994" s="20"/>
      <c r="R994" s="20"/>
      <c r="S994" s="20"/>
      <c r="T994" s="20"/>
      <c r="U994" s="20"/>
      <c r="V994" s="20"/>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row>
    <row r="995">
      <c r="A995" s="20"/>
      <c r="B995" s="20"/>
      <c r="C995" s="20"/>
      <c r="D995" s="20"/>
      <c r="E995" s="20"/>
      <c r="F995" s="20"/>
      <c r="G995" s="20"/>
      <c r="H995" s="20"/>
      <c r="I995" s="23"/>
      <c r="J995" s="20"/>
      <c r="K995" s="20"/>
      <c r="L995" s="20"/>
      <c r="M995" s="20"/>
      <c r="N995" s="20"/>
      <c r="O995" s="22"/>
      <c r="P995" s="20"/>
      <c r="Q995" s="20"/>
      <c r="R995" s="20"/>
      <c r="S995" s="20"/>
      <c r="T995" s="20"/>
      <c r="U995" s="20"/>
      <c r="V995" s="20"/>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row>
    <row r="996">
      <c r="A996" s="20"/>
      <c r="B996" s="20"/>
      <c r="C996" s="20"/>
      <c r="D996" s="20"/>
      <c r="E996" s="20"/>
      <c r="F996" s="20"/>
      <c r="G996" s="20"/>
      <c r="H996" s="20"/>
      <c r="I996" s="23"/>
      <c r="J996" s="20"/>
      <c r="K996" s="20"/>
      <c r="L996" s="20"/>
      <c r="M996" s="20"/>
      <c r="N996" s="20"/>
      <c r="O996" s="22"/>
      <c r="P996" s="20"/>
      <c r="Q996" s="20"/>
      <c r="R996" s="20"/>
      <c r="S996" s="20"/>
      <c r="T996" s="20"/>
      <c r="U996" s="20"/>
      <c r="V996" s="20"/>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row>
    <row r="997">
      <c r="A997" s="20"/>
      <c r="B997" s="20"/>
      <c r="C997" s="20"/>
      <c r="D997" s="20"/>
      <c r="E997" s="20"/>
      <c r="F997" s="20"/>
      <c r="G997" s="20"/>
      <c r="H997" s="20"/>
      <c r="I997" s="23"/>
      <c r="J997" s="20"/>
      <c r="K997" s="20"/>
      <c r="L997" s="20"/>
      <c r="M997" s="20"/>
      <c r="N997" s="20"/>
      <c r="O997" s="22"/>
      <c r="P997" s="20"/>
      <c r="Q997" s="20"/>
      <c r="R997" s="20"/>
      <c r="S997" s="20"/>
      <c r="T997" s="20"/>
      <c r="U997" s="20"/>
      <c r="V997" s="20"/>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row>
    <row r="998">
      <c r="A998" s="20"/>
      <c r="B998" s="20"/>
      <c r="C998" s="20"/>
      <c r="D998" s="20"/>
      <c r="E998" s="20"/>
      <c r="F998" s="20"/>
      <c r="G998" s="20"/>
      <c r="H998" s="20"/>
      <c r="I998" s="23"/>
      <c r="J998" s="20"/>
      <c r="K998" s="20"/>
      <c r="L998" s="20"/>
      <c r="M998" s="20"/>
      <c r="N998" s="20"/>
      <c r="O998" s="22"/>
      <c r="P998" s="20"/>
      <c r="Q998" s="20"/>
      <c r="R998" s="20"/>
      <c r="S998" s="20"/>
      <c r="T998" s="20"/>
      <c r="U998" s="20"/>
      <c r="V998" s="20"/>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row>
    <row r="999">
      <c r="A999" s="20"/>
      <c r="B999" s="20"/>
      <c r="C999" s="20"/>
      <c r="D999" s="20"/>
      <c r="E999" s="20"/>
      <c r="F999" s="20"/>
      <c r="G999" s="20"/>
      <c r="H999" s="20"/>
      <c r="I999" s="23"/>
      <c r="J999" s="20"/>
      <c r="K999" s="20"/>
      <c r="L999" s="20"/>
      <c r="M999" s="20"/>
      <c r="N999" s="20"/>
      <c r="O999" s="22"/>
      <c r="P999" s="20"/>
      <c r="Q999" s="20"/>
      <c r="R999" s="20"/>
      <c r="S999" s="20"/>
      <c r="T999" s="20"/>
      <c r="U999" s="20"/>
      <c r="V999" s="20"/>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row>
    <row r="1000">
      <c r="A1000" s="20"/>
      <c r="B1000" s="20"/>
      <c r="C1000" s="20"/>
      <c r="D1000" s="20"/>
      <c r="E1000" s="20"/>
      <c r="F1000" s="20"/>
      <c r="G1000" s="20"/>
      <c r="H1000" s="20"/>
      <c r="I1000" s="23"/>
      <c r="J1000" s="20"/>
      <c r="K1000" s="20"/>
      <c r="L1000" s="20"/>
      <c r="M1000" s="20"/>
      <c r="N1000" s="20"/>
      <c r="O1000" s="22"/>
      <c r="P1000" s="20"/>
      <c r="Q1000" s="20"/>
      <c r="R1000" s="20"/>
      <c r="S1000" s="20"/>
      <c r="T1000" s="20"/>
      <c r="U1000" s="20"/>
      <c r="V1000" s="20"/>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row>
    <row r="1001">
      <c r="A1001" s="20"/>
      <c r="B1001" s="20"/>
      <c r="C1001" s="20"/>
      <c r="D1001" s="20"/>
      <c r="E1001" s="20"/>
      <c r="F1001" s="20"/>
      <c r="G1001" s="20"/>
      <c r="H1001" s="20"/>
      <c r="I1001" s="23"/>
      <c r="J1001" s="20"/>
      <c r="K1001" s="20"/>
      <c r="L1001" s="20"/>
      <c r="M1001" s="20"/>
      <c r="N1001" s="20"/>
      <c r="O1001" s="22"/>
      <c r="P1001" s="20"/>
      <c r="Q1001" s="20"/>
      <c r="R1001" s="20"/>
      <c r="S1001" s="20"/>
      <c r="T1001" s="20"/>
      <c r="U1001" s="20"/>
      <c r="V1001" s="20"/>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row>
  </sheetData>
  <dataValidations>
    <dataValidation type="list" allowBlank="1" showErrorMessage="1" sqref="AL29">
      <formula1>Dados!$A$1:$V$1</formula1>
    </dataValidation>
    <dataValidation type="list" allowBlank="1" showErrorMessage="1" sqref="AL19:AL28 AL30:AL38">
      <formula1>Dados!$A$1:$V$1</formula1>
    </dataValidation>
  </dataValidations>
  <hyperlinks>
    <hyperlink r:id="rId1" ref="AM19"/>
    <hyperlink r:id="rId2" ref="AM20"/>
    <hyperlink r:id="rId3" ref="AM21"/>
    <hyperlink r:id="rId4" ref="AM22"/>
    <hyperlink r:id="rId5" ref="AM23"/>
    <hyperlink r:id="rId6" ref="AM24"/>
    <hyperlink r:id="rId7" ref="AM25"/>
    <hyperlink r:id="rId8" ref="AM26"/>
    <hyperlink r:id="rId9" ref="AM27"/>
    <hyperlink r:id="rId10" ref="AM28"/>
    <hyperlink r:id="rId11" ref="AM29"/>
    <hyperlink r:id="rId12" ref="AM30"/>
  </hyperlinks>
  <printOptions gridLines="1" horizontalCentered="1"/>
  <pageMargins bottom="0.75" footer="0.0" header="0.0" left="0.7" right="0.7" top="0.75"/>
  <pageSetup fitToHeight="0" paperSize="9" cellComments="atEnd" orientation="landscape" pageOrder="overThenDown"/>
  <drawing r:id="rId13"/>
  <tableParts count="1">
    <tablePart r:id="rId1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75"/>
  <cols>
    <col customWidth="1" min="1" max="1" width="1.13"/>
    <col customWidth="1" min="2" max="2" width="34.13"/>
    <col customWidth="1" min="3" max="3" width="9.38"/>
    <col customWidth="1" min="4" max="4" width="11.63"/>
    <col customWidth="1" min="5" max="5" width="14.75"/>
    <col customWidth="1" min="6" max="6" width="2.25"/>
    <col customWidth="1" min="7" max="7" width="10.5"/>
    <col customWidth="1" min="8" max="8" width="10.0"/>
    <col customWidth="1" min="9" max="9" width="9.63"/>
    <col customWidth="1" min="10" max="10" width="11.63"/>
    <col customWidth="1" min="11" max="11" width="10.5"/>
    <col customWidth="1" min="12" max="12" width="12.0"/>
    <col customWidth="1" min="13" max="13" width="10.5"/>
    <col customWidth="1" min="14" max="14" width="5.25"/>
    <col customWidth="1" min="15" max="15" width="13.0"/>
    <col customWidth="1" min="16" max="16" width="2.38"/>
    <col customWidth="1" min="17" max="20" width="11.5"/>
    <col customWidth="1" min="21" max="21" width="2.38"/>
    <col customWidth="1" min="22" max="25" width="9.0"/>
    <col customWidth="1" min="26" max="26" width="3.13"/>
    <col customWidth="1" min="27" max="27" width="12.88"/>
    <col customWidth="1" min="28" max="28" width="2.13"/>
  </cols>
  <sheetData>
    <row r="1">
      <c r="A1" s="42"/>
      <c r="B1" s="43"/>
      <c r="C1" s="44"/>
      <c r="D1" s="44"/>
      <c r="E1" s="44"/>
      <c r="F1" s="43"/>
      <c r="G1" s="43"/>
      <c r="H1" s="43"/>
      <c r="I1" s="43"/>
      <c r="J1" s="43"/>
      <c r="K1" s="43"/>
      <c r="L1" s="43"/>
      <c r="M1" s="43"/>
      <c r="N1" s="44"/>
      <c r="O1" s="44"/>
      <c r="P1" s="44"/>
      <c r="Q1" s="44"/>
      <c r="R1" s="44"/>
      <c r="S1" s="44"/>
      <c r="T1" s="44"/>
      <c r="U1" s="44"/>
      <c r="V1" s="44"/>
      <c r="W1" s="44"/>
      <c r="X1" s="44"/>
      <c r="Y1" s="44"/>
      <c r="Z1" s="44"/>
      <c r="AA1" s="44"/>
      <c r="AB1" s="45"/>
      <c r="AC1" s="46"/>
      <c r="AD1" s="46"/>
      <c r="AE1" s="46"/>
      <c r="AF1" s="46"/>
      <c r="AG1" s="46"/>
      <c r="AH1" s="46"/>
      <c r="AI1" s="46"/>
      <c r="AJ1" s="46"/>
    </row>
    <row r="2">
      <c r="A2" s="47"/>
      <c r="B2" s="48"/>
      <c r="C2" s="49"/>
      <c r="D2" s="49"/>
      <c r="E2" s="49"/>
      <c r="F2" s="50"/>
      <c r="G2" s="50"/>
      <c r="H2" s="50"/>
      <c r="I2" s="50"/>
      <c r="J2" s="50"/>
      <c r="K2" s="48"/>
      <c r="L2" s="48"/>
      <c r="M2" s="48"/>
      <c r="N2" s="49"/>
      <c r="O2" s="49"/>
      <c r="P2" s="49"/>
      <c r="Q2" s="49"/>
      <c r="R2" s="49"/>
      <c r="S2" s="49"/>
      <c r="T2" s="49"/>
      <c r="U2" s="49"/>
      <c r="V2" s="49"/>
      <c r="W2" s="49"/>
      <c r="X2" s="49"/>
      <c r="Y2" s="49"/>
      <c r="Z2" s="49"/>
      <c r="AA2" s="49"/>
      <c r="AB2" s="51"/>
      <c r="AC2" s="46"/>
      <c r="AD2" s="46"/>
      <c r="AE2" s="46"/>
      <c r="AF2" s="46"/>
      <c r="AG2" s="46"/>
      <c r="AH2" s="46"/>
      <c r="AI2" s="46"/>
      <c r="AJ2" s="46"/>
    </row>
    <row r="3">
      <c r="A3" s="47"/>
      <c r="B3" s="48"/>
      <c r="C3" s="49"/>
      <c r="D3" s="49"/>
      <c r="E3" s="49"/>
      <c r="F3" s="52" t="s">
        <v>142</v>
      </c>
      <c r="G3" s="50"/>
      <c r="H3" s="50"/>
      <c r="I3" s="53"/>
      <c r="J3" s="52"/>
      <c r="K3" s="48"/>
      <c r="L3" s="48"/>
      <c r="M3" s="48"/>
      <c r="N3" s="49"/>
      <c r="O3" s="49"/>
      <c r="P3" s="49"/>
      <c r="Q3" s="49"/>
      <c r="R3" s="49"/>
      <c r="S3" s="49"/>
      <c r="T3" s="49"/>
      <c r="U3" s="49"/>
      <c r="V3" s="49"/>
      <c r="W3" s="49"/>
      <c r="X3" s="49"/>
      <c r="Y3" s="49"/>
      <c r="Z3" s="49"/>
      <c r="AA3" s="49"/>
      <c r="AB3" s="51"/>
      <c r="AC3" s="46"/>
      <c r="AD3" s="46"/>
      <c r="AE3" s="46"/>
      <c r="AF3" s="46"/>
      <c r="AG3" s="46"/>
      <c r="AH3" s="46"/>
      <c r="AI3" s="46"/>
      <c r="AJ3" s="46"/>
    </row>
    <row r="4">
      <c r="A4" s="47"/>
      <c r="B4" s="50"/>
      <c r="C4" s="54"/>
      <c r="D4" s="54"/>
      <c r="E4" s="54"/>
      <c r="F4" s="50"/>
      <c r="G4" s="50"/>
      <c r="H4" s="50"/>
      <c r="I4" s="50"/>
      <c r="J4" s="50"/>
      <c r="K4" s="50"/>
      <c r="L4" s="50"/>
      <c r="M4" s="50"/>
      <c r="N4" s="49"/>
      <c r="O4" s="54"/>
      <c r="P4" s="54"/>
      <c r="Q4" s="54"/>
      <c r="R4" s="54"/>
      <c r="S4" s="54"/>
      <c r="T4" s="54"/>
      <c r="U4" s="54"/>
      <c r="V4" s="54"/>
      <c r="W4" s="54"/>
      <c r="X4" s="54"/>
      <c r="Y4" s="54"/>
      <c r="Z4" s="54"/>
      <c r="AA4" s="54"/>
      <c r="AB4" s="51"/>
      <c r="AC4" s="46"/>
      <c r="AD4" s="46"/>
      <c r="AE4" s="46"/>
      <c r="AF4" s="46"/>
      <c r="AG4" s="46"/>
      <c r="AH4" s="46"/>
      <c r="AI4" s="46"/>
      <c r="AJ4" s="46"/>
    </row>
    <row r="5" ht="18.75" customHeight="1">
      <c r="A5" s="47"/>
      <c r="B5" s="50"/>
      <c r="C5" s="50"/>
      <c r="D5" s="50"/>
      <c r="E5" s="50"/>
      <c r="F5" s="50"/>
      <c r="G5" s="55" t="s">
        <v>143</v>
      </c>
      <c r="H5" s="56"/>
      <c r="I5" s="56"/>
      <c r="J5" s="56"/>
      <c r="K5" s="56"/>
      <c r="L5" s="56"/>
      <c r="M5" s="57"/>
      <c r="N5" s="58"/>
      <c r="O5" s="55" t="s">
        <v>144</v>
      </c>
      <c r="P5" s="56"/>
      <c r="Q5" s="56"/>
      <c r="R5" s="56"/>
      <c r="S5" s="56"/>
      <c r="T5" s="56"/>
      <c r="U5" s="56"/>
      <c r="V5" s="56"/>
      <c r="W5" s="56"/>
      <c r="X5" s="56"/>
      <c r="Y5" s="56"/>
      <c r="Z5" s="56"/>
      <c r="AA5" s="57"/>
      <c r="AB5" s="59"/>
      <c r="AC5" s="46"/>
      <c r="AD5" s="46"/>
      <c r="AE5" s="46"/>
      <c r="AF5" s="46"/>
      <c r="AG5" s="46"/>
      <c r="AH5" s="60"/>
      <c r="AI5" s="46"/>
      <c r="AJ5" s="46"/>
    </row>
    <row r="6" ht="21.75" customHeight="1">
      <c r="A6" s="61"/>
      <c r="B6" s="62"/>
      <c r="C6" s="63" t="s">
        <v>145</v>
      </c>
      <c r="D6" s="56"/>
      <c r="E6" s="57"/>
      <c r="F6" s="50"/>
      <c r="G6" s="64" t="s">
        <v>146</v>
      </c>
      <c r="H6" s="56"/>
      <c r="I6" s="56"/>
      <c r="J6" s="56"/>
      <c r="K6" s="56"/>
      <c r="L6" s="56"/>
      <c r="M6" s="57"/>
      <c r="N6" s="65"/>
      <c r="O6" s="66" t="s">
        <v>147</v>
      </c>
      <c r="P6" s="67"/>
      <c r="Q6" s="64" t="s">
        <v>148</v>
      </c>
      <c r="R6" s="56"/>
      <c r="S6" s="56"/>
      <c r="T6" s="57"/>
      <c r="U6" s="68"/>
      <c r="V6" s="69" t="s">
        <v>149</v>
      </c>
      <c r="W6" s="56"/>
      <c r="X6" s="56"/>
      <c r="Y6" s="57"/>
      <c r="Z6" s="67"/>
      <c r="AA6" s="70" t="s">
        <v>150</v>
      </c>
      <c r="AB6" s="59"/>
      <c r="AC6" s="46"/>
      <c r="AD6" s="46"/>
      <c r="AE6" s="46"/>
      <c r="AF6" s="46"/>
      <c r="AG6" s="46"/>
      <c r="AH6" s="46"/>
      <c r="AI6" s="46"/>
      <c r="AJ6" s="46"/>
    </row>
    <row r="7">
      <c r="A7" s="61"/>
      <c r="B7" s="71" t="s">
        <v>151</v>
      </c>
      <c r="C7" s="71" t="s">
        <v>152</v>
      </c>
      <c r="D7" s="71" t="s">
        <v>153</v>
      </c>
      <c r="E7" s="71" t="s">
        <v>154</v>
      </c>
      <c r="F7" s="58"/>
      <c r="G7" s="71" t="s">
        <v>155</v>
      </c>
      <c r="H7" s="71" t="s">
        <v>156</v>
      </c>
      <c r="I7" s="71" t="s">
        <v>157</v>
      </c>
      <c r="J7" s="71" t="s">
        <v>158</v>
      </c>
      <c r="K7" s="71" t="s">
        <v>159</v>
      </c>
      <c r="L7" s="71" t="s">
        <v>160</v>
      </c>
      <c r="M7" s="71" t="s">
        <v>161</v>
      </c>
      <c r="N7" s="65"/>
      <c r="O7" s="71" t="s">
        <v>162</v>
      </c>
      <c r="P7" s="49"/>
      <c r="Q7" s="71" t="s">
        <v>163</v>
      </c>
      <c r="R7" s="71" t="s">
        <v>164</v>
      </c>
      <c r="S7" s="72" t="s">
        <v>165</v>
      </c>
      <c r="T7" s="71" t="s">
        <v>166</v>
      </c>
      <c r="U7" s="49"/>
      <c r="V7" s="73" t="s">
        <v>167</v>
      </c>
      <c r="W7" s="74" t="s">
        <v>168</v>
      </c>
      <c r="X7" s="74" t="s">
        <v>169</v>
      </c>
      <c r="Y7" s="75" t="s">
        <v>170</v>
      </c>
      <c r="Z7" s="76"/>
      <c r="AA7" s="77"/>
      <c r="AB7" s="59"/>
      <c r="AC7" s="46"/>
      <c r="AD7" s="46"/>
      <c r="AE7" s="46"/>
      <c r="AF7" s="46"/>
      <c r="AG7" s="46"/>
      <c r="AH7" s="46"/>
      <c r="AI7" s="46"/>
      <c r="AJ7" s="46"/>
    </row>
    <row r="8" ht="24.75" customHeight="1">
      <c r="A8" s="61"/>
      <c r="B8" s="78" t="s">
        <v>4</v>
      </c>
      <c r="C8" s="79">
        <f>IFERROR(__xludf.DUMMYFUNCTION("IMPORTRANGE(Dados!AM19,""Canvas de Projeto!H27"")"),2.439052021E9)</f>
        <v>2439052021</v>
      </c>
      <c r="D8" s="79" t="str">
        <f>IFERROR(__xludf.DUMMYFUNCTION("IMPORTRANGE(Dados!AM19,""Canvas de Projeto!H28"")"),"2404013192024C")</f>
        <v>2404013192024C</v>
      </c>
      <c r="E8" s="79" t="str">
        <f>IFERROR(__xludf.DUMMYFUNCTION("IMPORTRANGE(Dados!AM19,""Canvas de Projeto!G18"")"),"24001.043753/2023-62")</f>
        <v>24001.043753/2023-62</v>
      </c>
      <c r="F8" s="49"/>
      <c r="G8" s="80">
        <f>SUMIFS('Plano de capacitação - 2024'!$N$6:$N1011,'Plano de capacitação - 2024'!$A$6:$A1011,"Qualificação em Sala de Vacina")</f>
        <v>220</v>
      </c>
      <c r="H8" s="80">
        <f>SUMIFS('Plano de capacitação - 2024'!$O$6:$O1011,'Plano de capacitação - 2024'!$A$6:$A1011,"Qualificação em Sala de Vacina")</f>
        <v>241</v>
      </c>
      <c r="I8" s="80">
        <f>SUMIFS('Plano de capacitação - 2024'!$P$6:$P1011,'Plano de capacitação - 2024'!$A$6:$A1011,"Qualificação em Sala de Vacina")</f>
        <v>146</v>
      </c>
      <c r="J8" s="81">
        <f t="shared" ref="J8:J28" si="1">IF(I8=0,0,I8/G8)</f>
        <v>0.6636363636</v>
      </c>
      <c r="K8" s="81">
        <f t="shared" ref="K8:K28" si="2">IF(((G8-I8)/G8)=100%,0, (G8-I8)/G8)</f>
        <v>0.3363636364</v>
      </c>
      <c r="L8" s="81">
        <f t="shared" ref="L8:L28" si="3">IF(I8=0,0,I8/H8)</f>
        <v>0.6058091286</v>
      </c>
      <c r="M8" s="81">
        <f t="shared" ref="M8:M28" si="4">IF(((H8-I8)/H8)=100%,0, (H8-I8)/H8)</f>
        <v>0.3941908714</v>
      </c>
      <c r="N8" s="82"/>
      <c r="O8" s="83">
        <f>IFERROR(__xludf.DUMMYFUNCTION("IMPORTRANGE(Dados!AM19,""Canvas de Projeto!T10"")"),1.0)</f>
        <v>1</v>
      </c>
      <c r="P8" s="49"/>
      <c r="Q8" s="84">
        <v>111864.0</v>
      </c>
      <c r="R8" s="84">
        <f>IFERROR(__xludf.DUMMYFUNCTION("IMPORTRANGE(Dados!AM19,""Canvas de Projeto!H56"")"),92868.94)</f>
        <v>92868.94</v>
      </c>
      <c r="S8" s="84">
        <f>IFERROR(__xludf.DUMMYFUNCTION("IMPORTRANGE(Dados!AM19,""Canvas de Projeto!H58"")"),92196.94)</f>
        <v>92196.94</v>
      </c>
      <c r="T8" s="84">
        <f>IFERROR(__xludf.DUMMYFUNCTION("IMPORTRANGE(Dados!AM19,""Canvas de Projeto!J56"")"),672.0)</f>
        <v>672</v>
      </c>
      <c r="U8" s="49"/>
      <c r="V8" s="85">
        <f>IFERROR(__xludf.DUMMYFUNCTION("IMPORTRANGE(Dados!AM19,""ENTREGAS E INDICADORES!D21"")"),0.0)</f>
        <v>0</v>
      </c>
      <c r="W8" s="85">
        <f>IFERROR(__xludf.DUMMYFUNCTION("IMPORTRANGE(Dados!AM19,""ENTREGAS E INDICADORES!D25"")"),33.0)</f>
        <v>33</v>
      </c>
      <c r="X8" s="85">
        <f>IFERROR(__xludf.DUMMYFUNCTION("IMPORTRANGE(Dados!AM19,""ENTREGAS E INDICADORES!D30"")"),113.0)</f>
        <v>113</v>
      </c>
      <c r="Y8" s="86">
        <f t="shared" ref="Y8:Y27" si="5">SUM(V8:X8)</f>
        <v>146</v>
      </c>
      <c r="Z8" s="82"/>
      <c r="AA8" s="83" t="str">
        <f>IFERROR(__xludf.DUMMYFUNCTION("IMPORTRANGE(Dados!AM19,""Canvas de Projeto!J5"")"),"Carmem Abreu")</f>
        <v>Carmem Abreu</v>
      </c>
      <c r="AB8" s="87"/>
      <c r="AC8" s="46"/>
      <c r="AD8" s="46"/>
      <c r="AE8" s="46"/>
      <c r="AF8" s="46"/>
      <c r="AG8" s="46"/>
      <c r="AH8" s="46"/>
      <c r="AI8" s="46"/>
      <c r="AJ8" s="46"/>
    </row>
    <row r="9" ht="24.75" customHeight="1">
      <c r="A9" s="61"/>
      <c r="B9" s="40" t="s">
        <v>5</v>
      </c>
      <c r="C9" s="79">
        <f>IFERROR(__xludf.DUMMYFUNCTION("IMPORTRANGE(Dados!AM20,""Canvas de Projeto!H27"")"),2.439062022E9)</f>
        <v>2439062022</v>
      </c>
      <c r="D9" s="79" t="str">
        <f>IFERROR(__xludf.DUMMYFUNCTION("IMPORTRANGE(Dados!AM20,""Canvas de Projeto!H28"")"),"2404013202024C")</f>
        <v>2404013202024C</v>
      </c>
      <c r="E9" s="79" t="str">
        <f>IFERROR(__xludf.DUMMYFUNCTION("IMPORTRANGE(Dados!AM20,""Canvas de Projeto!G18"")"),"")</f>
        <v/>
      </c>
      <c r="F9" s="49"/>
      <c r="G9" s="80">
        <f>SUMIFS('Plano de capacitação - 2024'!$N$6:$N1011,'Plano de capacitação - 2024'!$A$6:$A1011,"Qualificação e resposta às emergências em saúde")</f>
        <v>65</v>
      </c>
      <c r="H9" s="80">
        <f>SUMIFS('Plano de capacitação - 2024'!$O$6:$O1011,'Plano de capacitação - 2024'!$A$6:$A1011,"Qualificação e resposta às emergências em saúde")</f>
        <v>66</v>
      </c>
      <c r="I9" s="80">
        <f>SUMIFS('Plano de capacitação - 2024'!$P$6:$P1011,'Plano de capacitação - 2024'!$A$6:$A1011,"Qualificação e resposta às emergências em saúde")</f>
        <v>54</v>
      </c>
      <c r="J9" s="81">
        <f t="shared" si="1"/>
        <v>0.8307692308</v>
      </c>
      <c r="K9" s="81">
        <f t="shared" si="2"/>
        <v>0.1692307692</v>
      </c>
      <c r="L9" s="81">
        <f t="shared" si="3"/>
        <v>0.8181818182</v>
      </c>
      <c r="M9" s="81">
        <f t="shared" si="4"/>
        <v>0.1818181818</v>
      </c>
      <c r="N9" s="76"/>
      <c r="O9" s="83">
        <f>IFERROR(__xludf.DUMMYFUNCTION("IMPORTRANGE(Dados!AM20,""Canvas de Projeto!T10"")"),1.0)</f>
        <v>1</v>
      </c>
      <c r="P9" s="49"/>
      <c r="Q9" s="84">
        <v>130286.0</v>
      </c>
      <c r="R9" s="84">
        <f>IFERROR(__xludf.DUMMYFUNCTION("IMPORTRANGE(Dados!AM20,""Canvas de Projeto!H42"")"),111416.04)</f>
        <v>111416.04</v>
      </c>
      <c r="S9" s="84">
        <f>IFERROR(__xludf.DUMMYFUNCTION("IMPORTRANGE(Dados!AM20,""Canvas de Projeto!H58"")"),101246.04)</f>
        <v>101246.04</v>
      </c>
      <c r="T9" s="84">
        <f>IFERROR(__xludf.DUMMYFUNCTION("IMPORTRANGE(Dados!AM20,""Canvas de Projeto!J56"")"),10170.0)</f>
        <v>10170</v>
      </c>
      <c r="U9" s="49"/>
      <c r="V9" s="85">
        <f>IFERROR(__xludf.DUMMYFUNCTION("IMPORTRANGE(Dados!AM20,""ENTREGAS E INDICADORES!D21"")"),0.0)</f>
        <v>0</v>
      </c>
      <c r="W9" s="85">
        <f>IFERROR(__xludf.DUMMYFUNCTION("IMPORTRANGE(Dados!AM20,""ENTREGAS E INDICADORES!D25"")"),54.0)</f>
        <v>54</v>
      </c>
      <c r="X9" s="85">
        <f>IFERROR(__xludf.DUMMYFUNCTION("IMPORTRANGE(Dados!AM20,""ENTREGAS E INDICADORES!D30"")"),0.0)</f>
        <v>0</v>
      </c>
      <c r="Y9" s="86">
        <f t="shared" si="5"/>
        <v>54</v>
      </c>
      <c r="Z9" s="76"/>
      <c r="AA9" s="83" t="str">
        <f>IFERROR(__xludf.DUMMYFUNCTION("IMPORTRANGE(Dados!AM20,""Canvas de Projeto!J5"")"),"Nayara Cabral")</f>
        <v>Nayara Cabral</v>
      </c>
      <c r="AB9" s="59"/>
      <c r="AC9" s="46"/>
      <c r="AD9" s="46"/>
      <c r="AE9" s="46"/>
      <c r="AF9" s="46"/>
      <c r="AG9" s="46"/>
      <c r="AH9" s="46"/>
      <c r="AI9" s="46"/>
      <c r="AJ9" s="46"/>
    </row>
    <row r="10" ht="24.75" customHeight="1">
      <c r="A10" s="61"/>
      <c r="B10" s="40" t="s">
        <v>1</v>
      </c>
      <c r="C10" s="79">
        <f>IFERROR(__xludf.DUMMYFUNCTION("IMPORTRANGE(Dados!AM21,""Canvas de Projeto!H27"")"),2.439042016E9)</f>
        <v>2439042016</v>
      </c>
      <c r="D10" s="79" t="str">
        <f>IFERROR(__xludf.DUMMYFUNCTION("IMPORTRANGE(Dados!AM21,""Canvas de Projeto!H28"")"),"2404013152024C")</f>
        <v>2404013152024C</v>
      </c>
      <c r="E10" s="79" t="str">
        <f>IFERROR(__xludf.DUMMYFUNCTION("IMPORTRANGE(Dados!AM21,""Canvas de Projeto!G18"")"),"24001.043753/2023-62")</f>
        <v>24001.043753/2023-62</v>
      </c>
      <c r="F10" s="49"/>
      <c r="G10" s="80">
        <f>SUMIFS('Plano de capacitação - 2024'!$N$6:$N1011,'Plano de capacitação - 2024'!$A$6:$A1011,"Epidemiologia em Serviço")</f>
        <v>240</v>
      </c>
      <c r="H10" s="80">
        <f>SUMIFS('Plano de capacitação - 2024'!$O$6:$O1011,'Plano de capacitação - 2024'!$A$6:$A1011,"Epidemiologia em Serviço")</f>
        <v>286</v>
      </c>
      <c r="I10" s="80">
        <f>SUMIFS('Plano de capacitação - 2024'!$P$6:$P1011,'Plano de capacitação - 2024'!$A$6:$A1011,"Epidemiologia em Serviço")</f>
        <v>199</v>
      </c>
      <c r="J10" s="81">
        <f t="shared" si="1"/>
        <v>0.8291666667</v>
      </c>
      <c r="K10" s="81">
        <f t="shared" si="2"/>
        <v>0.1708333333</v>
      </c>
      <c r="L10" s="81">
        <f t="shared" si="3"/>
        <v>0.6958041958</v>
      </c>
      <c r="M10" s="81">
        <f t="shared" si="4"/>
        <v>0.3041958042</v>
      </c>
      <c r="N10" s="76"/>
      <c r="O10" s="83" t="str">
        <f>IFERROR(__xludf.DUMMYFUNCTION("IMPORTRANGE(Dados!AM21,""Canvas de Projeto!T10"")"),"#REF!")</f>
        <v>#REF!</v>
      </c>
      <c r="P10" s="49"/>
      <c r="Q10" s="84">
        <v>326323.0</v>
      </c>
      <c r="R10" s="84">
        <f>IFERROR(__xludf.DUMMYFUNCTION("IMPORTRANGE(Dados!AM21,""Canvas de Projeto!H56"")"),298146.51)</f>
        <v>298146.51</v>
      </c>
      <c r="S10" s="84">
        <f>IFERROR(__xludf.DUMMYFUNCTION("IMPORTRANGE(Dados!AM21,""Canvas de Projeto!H58"")"),296850.47)</f>
        <v>296850.47</v>
      </c>
      <c r="T10" s="84">
        <f>IFERROR(__xludf.DUMMYFUNCTION("IMPORTRANGE(Dados!AM21,""Canvas de Projeto!J56"")"),1296.0400000000373)</f>
        <v>1296.04</v>
      </c>
      <c r="U10" s="49"/>
      <c r="V10" s="85">
        <f>IFERROR(__xludf.DUMMYFUNCTION("IMPORTRANGE(Dados!AM21,""ENTREGAS E INDICADORES!D21"")"),20.0)</f>
        <v>20</v>
      </c>
      <c r="W10" s="85">
        <f>IFERROR(__xludf.DUMMYFUNCTION("IMPORTRANGE(Dados!AM21,""ENTREGAS E INDICADORES!D25"")"),125.0)</f>
        <v>125</v>
      </c>
      <c r="X10" s="85">
        <f>IFERROR(__xludf.DUMMYFUNCTION("IMPORTRANGE(Dados!AM21,""ENTREGAS E INDICADORES!D30"")"),54.0)</f>
        <v>54</v>
      </c>
      <c r="Y10" s="86">
        <f t="shared" si="5"/>
        <v>199</v>
      </c>
      <c r="Z10" s="76"/>
      <c r="AA10" s="83" t="str">
        <f>IFERROR(__xludf.DUMMYFUNCTION("IMPORTRANGE(Dados!AM21,""Canvas de Projeto!J5"")"),"Eudenio Nogueira")</f>
        <v>Eudenio Nogueira</v>
      </c>
      <c r="AB10" s="59"/>
      <c r="AC10" s="46"/>
      <c r="AD10" s="46"/>
      <c r="AE10" s="46"/>
      <c r="AF10" s="46"/>
      <c r="AG10" s="46"/>
      <c r="AH10" s="46"/>
      <c r="AI10" s="46"/>
      <c r="AJ10" s="46"/>
    </row>
    <row r="11" ht="24.75" customHeight="1">
      <c r="A11" s="61"/>
      <c r="B11" s="40" t="s">
        <v>2</v>
      </c>
      <c r="C11" s="79">
        <f>IFERROR(__xludf.DUMMYFUNCTION("IMPORTRANGE(Dados!AM22,""Canvas de Projeto!H27"")"),2.439062016E9)</f>
        <v>2439062016</v>
      </c>
      <c r="D11" s="79" t="str">
        <f>IFERROR(__xludf.DUMMYFUNCTION("IMPORTRANGE(Dados!AM22,""Canvas de Projeto!H28"")"),"2404013162024C")</f>
        <v>2404013162024C</v>
      </c>
      <c r="E11" s="79" t="str">
        <f>IFERROR(__xludf.DUMMYFUNCTION("IMPORTRANGE(Dados!AM22,""Canvas de Projeto!G18"")"),"24001.043753/2023-62")</f>
        <v>24001.043753/2023-62</v>
      </c>
      <c r="F11" s="49"/>
      <c r="G11" s="80">
        <f>SUMIFS('Plano de capacitação - 2024'!$N$6:$N1011,'Plano de capacitação - 2024'!$A$6:$A1011,"IST/HIV/AIDS e Hepatites Virais")</f>
        <v>60</v>
      </c>
      <c r="H11" s="80">
        <f>SUMIFS('Plano de capacitação - 2024'!$O$6:$O1011,'Plano de capacitação - 2024'!$A$6:$A1011,"IST/HIV/AIDS e Hepatites Virais")</f>
        <v>71</v>
      </c>
      <c r="I11" s="80">
        <f>SUMIFS('Plano de capacitação - 2024'!$P$6:$P1011,'Plano de capacitação - 2024'!$A$6:$A1011,"IST/HIV/AIDS e Hepatites Virais")</f>
        <v>46</v>
      </c>
      <c r="J11" s="81">
        <f t="shared" si="1"/>
        <v>0.7666666667</v>
      </c>
      <c r="K11" s="81">
        <f t="shared" si="2"/>
        <v>0.2333333333</v>
      </c>
      <c r="L11" s="81">
        <f t="shared" si="3"/>
        <v>0.6478873239</v>
      </c>
      <c r="M11" s="81">
        <f t="shared" si="4"/>
        <v>0.3521126761</v>
      </c>
      <c r="N11" s="76"/>
      <c r="O11" s="83" t="str">
        <f>IFERROR(__xludf.DUMMYFUNCTION("IMPORTRANGE(Dados!AM22,""Canvas de Projeto!T10"")"),"#REF!")</f>
        <v>#REF!</v>
      </c>
      <c r="P11" s="49"/>
      <c r="Q11" s="84">
        <v>112490.0</v>
      </c>
      <c r="R11" s="84">
        <f>IFERROR(__xludf.DUMMYFUNCTION("IMPORTRANGE(Dados!AM22,""Canvas de Projeto!H56"")"),82275.98)</f>
        <v>82275.98</v>
      </c>
      <c r="S11" s="84">
        <f>IFERROR(__xludf.DUMMYFUNCTION("IMPORTRANGE(Dados!AM22,""Canvas de Projeto!H58"")"),82275.98)</f>
        <v>82275.98</v>
      </c>
      <c r="T11" s="84">
        <f>IFERROR(__xludf.DUMMYFUNCTION("IMPORTRANGE(Dados!AM22,""Canvas de Projeto!J56"")"),0.0)</f>
        <v>0</v>
      </c>
      <c r="U11" s="49"/>
      <c r="V11" s="85">
        <f>IFERROR(__xludf.DUMMYFUNCTION("IMPORTRANGE(Dados!AM22,""ENTREGAS E INDICADORES!D21"")"),0.0)</f>
        <v>0</v>
      </c>
      <c r="W11" s="85">
        <f>IFERROR(__xludf.DUMMYFUNCTION("IMPORTRANGE(Dados!AM22,""ENTREGAS E INDICADORES!D25"")"),46.0)</f>
        <v>46</v>
      </c>
      <c r="X11" s="85">
        <f>IFERROR(__xludf.DUMMYFUNCTION("IMPORTRANGE(Dados!AM22,""ENTREGAS E INDICADORES!D30"")"),0.0)</f>
        <v>0</v>
      </c>
      <c r="Y11" s="86">
        <f t="shared" si="5"/>
        <v>46</v>
      </c>
      <c r="Z11" s="76"/>
      <c r="AA11" s="83" t="str">
        <f>IFERROR(__xludf.DUMMYFUNCTION("IMPORTRANGE(Dados!AM22,""Canvas de Projeto!J5"")"),"Eudenio Nogueira")</f>
        <v>Eudenio Nogueira</v>
      </c>
      <c r="AB11" s="59"/>
      <c r="AC11" s="46"/>
      <c r="AD11" s="46"/>
      <c r="AE11" s="46"/>
      <c r="AF11" s="46"/>
      <c r="AG11" s="46"/>
      <c r="AH11" s="46"/>
      <c r="AI11" s="46"/>
      <c r="AJ11" s="46"/>
    </row>
    <row r="12" ht="24.75" customHeight="1">
      <c r="A12" s="61"/>
      <c r="B12" s="40" t="s">
        <v>0</v>
      </c>
      <c r="C12" s="79">
        <f>IFERROR(__xludf.DUMMYFUNCTION("IMPORTRANGE(Dados!AM23,""Canvas de Projeto!H27"")"),2.439062021E9)</f>
        <v>2439062021</v>
      </c>
      <c r="D12" s="79" t="str">
        <f>IFERROR(__xludf.DUMMYFUNCTION("IMPORTRANGE(Dados!AM23,""Canvas de Projeto!H28"")"),"2404013172024C")</f>
        <v>2404013172024C</v>
      </c>
      <c r="E12" s="79" t="str">
        <f>IFERROR(__xludf.DUMMYFUNCTION("IMPORTRANGE(Dados!AM23,""Canvas de Projeto!G18"")"),"")</f>
        <v/>
      </c>
      <c r="F12" s="49"/>
      <c r="G12" s="80">
        <f>SUMIFS('Plano de capacitação - 2024'!$N$6:$N1011,'Plano de capacitação - 2024'!$A$6:$A1011,"Vigilância e Controle das  Endemias")</f>
        <v>225</v>
      </c>
      <c r="H12" s="80">
        <f>SUMIFS('Plano de capacitação - 2024'!$O$6:$O1011,'Plano de capacitação - 2024'!$A$6:$A1011,"Vigilância e Controle das  Endemias")</f>
        <v>549</v>
      </c>
      <c r="I12" s="80">
        <f>SUMIFS('Plano de capacitação - 2024'!$P$6:$P1011,'Plano de capacitação - 2024'!$A$6:$A1011,"Vigilância e Controle das  Endemias")</f>
        <v>428</v>
      </c>
      <c r="J12" s="81">
        <f t="shared" si="1"/>
        <v>1.902222222</v>
      </c>
      <c r="K12" s="81">
        <f t="shared" si="2"/>
        <v>-0.9022222222</v>
      </c>
      <c r="L12" s="81">
        <f t="shared" si="3"/>
        <v>0.7795992714</v>
      </c>
      <c r="M12" s="81">
        <f t="shared" si="4"/>
        <v>0.2204007286</v>
      </c>
      <c r="N12" s="76"/>
      <c r="O12" s="83">
        <f>IFERROR(__xludf.DUMMYFUNCTION("IMPORTRANGE(Dados!AM23,""Canvas de Projeto!T10"")"),0.9999999999999999)</f>
        <v>1</v>
      </c>
      <c r="P12" s="49"/>
      <c r="Q12" s="84">
        <v>207038.0</v>
      </c>
      <c r="R12" s="84">
        <f>IFERROR(__xludf.DUMMYFUNCTION("IMPORTRANGE(Dados!AM23,""Canvas de Projeto!H56"")"),163170.24)</f>
        <v>163170.24</v>
      </c>
      <c r="S12" s="84">
        <f>IFERROR(__xludf.DUMMYFUNCTION("IMPORTRANGE(Dados!AM23,""Canvas de Projeto!H58"")"),159721.48)</f>
        <v>159721.48</v>
      </c>
      <c r="T12" s="84">
        <f>IFERROR(__xludf.DUMMYFUNCTION("IMPORTRANGE(Dados!AM23,""Canvas de Projeto!J56"")"),3448.75999999998)</f>
        <v>3448.76</v>
      </c>
      <c r="U12" s="49"/>
      <c r="V12" s="85">
        <f>IFERROR(__xludf.DUMMYFUNCTION("IMPORTRANGE(Dados!AM23,""ENTREGAS E INDICADORES!D21"")"),0.0)</f>
        <v>0</v>
      </c>
      <c r="W12" s="85">
        <f>IFERROR(__xludf.DUMMYFUNCTION("IMPORTRANGE(Dados!AM23,""ENTREGAS E INDICADORES!D25"")"),35.0)</f>
        <v>35</v>
      </c>
      <c r="X12" s="85">
        <f>IFERROR(__xludf.DUMMYFUNCTION("IMPORTRANGE(Dados!AM23,""ENTREGAS E INDICADORES!D30"")"),393.0)</f>
        <v>393</v>
      </c>
      <c r="Y12" s="86">
        <f t="shared" si="5"/>
        <v>428</v>
      </c>
      <c r="Z12" s="76"/>
      <c r="AA12" s="83" t="str">
        <f>IFERROR(__xludf.DUMMYFUNCTION("IMPORTRANGE(Dados!AM23,""Canvas de Projeto!J5"")"),"Nayara Cabral")</f>
        <v>Nayara Cabral</v>
      </c>
      <c r="AB12" s="59"/>
      <c r="AC12" s="46"/>
      <c r="AD12" s="46"/>
      <c r="AE12" s="46"/>
      <c r="AF12" s="46"/>
      <c r="AG12" s="46"/>
      <c r="AH12" s="46"/>
      <c r="AI12" s="46"/>
      <c r="AJ12" s="46"/>
    </row>
    <row r="13" ht="24.75" customHeight="1">
      <c r="A13" s="61"/>
      <c r="B13" s="40" t="s">
        <v>3</v>
      </c>
      <c r="C13" s="79">
        <f>IFERROR(__xludf.DUMMYFUNCTION("IMPORTRANGE(Dados!AM24,""Canvas de Projeto!H27"")"),2.439092021E9)</f>
        <v>2439092021</v>
      </c>
      <c r="D13" s="79" t="str">
        <f>IFERROR(__xludf.DUMMYFUNCTION("IMPORTRANGE(Dados!AM24,""Canvas de Projeto!H28"")"),"2404013182024C")</f>
        <v>2404013182024C</v>
      </c>
      <c r="E13" s="79" t="str">
        <f>IFERROR(__xludf.DUMMYFUNCTION("IMPORTRANGE(Dados!AM24,""Canvas de Projeto!G18"")"),"")</f>
        <v/>
      </c>
      <c r="F13" s="49"/>
      <c r="G13" s="80">
        <f>SUMIFS('Plano de capacitação - 2024'!$N$6:$N1011,'Plano de capacitação - 2024'!$A$6:$A1011,"Capacitação em Vigilância em Saúde do(a) Trabalhador(a)")</f>
        <v>220</v>
      </c>
      <c r="H13" s="80">
        <f>SUMIFS('Plano de capacitação - 2024'!$O$6:$O1011,'Plano de capacitação - 2024'!$A$6:$A1011,"Capacitação em Vigilância em Saúde do(a) Trabalhador(a)")</f>
        <v>345</v>
      </c>
      <c r="I13" s="80">
        <f>SUMIFS('Plano de capacitação - 2024'!$P$6:$P1011,'Plano de capacitação - 2024'!$A$6:$A1011,"Capacitação em Vigilância em Saúde do(a) Trabalhador(a)")</f>
        <v>218</v>
      </c>
      <c r="J13" s="81">
        <f t="shared" si="1"/>
        <v>0.9909090909</v>
      </c>
      <c r="K13" s="81">
        <f t="shared" si="2"/>
        <v>0.009090909091</v>
      </c>
      <c r="L13" s="81">
        <f t="shared" si="3"/>
        <v>0.631884058</v>
      </c>
      <c r="M13" s="81">
        <f t="shared" si="4"/>
        <v>0.368115942</v>
      </c>
      <c r="N13" s="76"/>
      <c r="O13" s="83">
        <f>IFERROR(__xludf.DUMMYFUNCTION("IMPORTRANGE(Dados!AM24,""Canvas de Projeto!T10"")"),0.9999999999999999)</f>
        <v>1</v>
      </c>
      <c r="P13" s="49"/>
      <c r="Q13" s="84">
        <v>283727.0</v>
      </c>
      <c r="R13" s="84">
        <f>IFERROR(__xludf.DUMMYFUNCTION("IMPORTRANGE(Dados!AM24,""Canvas de Projeto!H56"")"),283727.0)</f>
        <v>283727</v>
      </c>
      <c r="S13" s="84">
        <f>IFERROR(__xludf.DUMMYFUNCTION("IMPORTRANGE(Dados!AM24,""Canvas de Projeto!H58"")"),245952.19)</f>
        <v>245952.19</v>
      </c>
      <c r="T13" s="84">
        <f>IFERROR(__xludf.DUMMYFUNCTION("IMPORTRANGE(Dados!AM24,""Canvas de Projeto!J56"")"),37774.81)</f>
        <v>37774.81</v>
      </c>
      <c r="U13" s="49"/>
      <c r="V13" s="85">
        <f>IFERROR(__xludf.DUMMYFUNCTION("IMPORTRANGE(Dados!AM24,""ENTREGAS E INDICADORES!D21"")"),0.0)</f>
        <v>0</v>
      </c>
      <c r="W13" s="85">
        <f>IFERROR(__xludf.DUMMYFUNCTION("IMPORTRANGE(Dados!AM24,""ENTREGAS E INDICADORES!D25"")"),108.0)</f>
        <v>108</v>
      </c>
      <c r="X13" s="85">
        <f>IFERROR(__xludf.DUMMYFUNCTION("IMPORTRANGE(Dados!AM24,""ENTREGAS E INDICADORES!D30"")"),110.0)</f>
        <v>110</v>
      </c>
      <c r="Y13" s="86">
        <f t="shared" si="5"/>
        <v>218</v>
      </c>
      <c r="Z13" s="76"/>
      <c r="AA13" s="83" t="str">
        <f>IFERROR(__xludf.DUMMYFUNCTION("IMPORTRANGE(Dados!AM24,""Canvas de Projeto!J5"")"),"Nayara Cabral")</f>
        <v>Nayara Cabral</v>
      </c>
      <c r="AB13" s="59"/>
      <c r="AC13" s="46"/>
      <c r="AD13" s="46"/>
      <c r="AE13" s="46"/>
      <c r="AF13" s="46"/>
      <c r="AG13" s="46"/>
      <c r="AH13" s="46"/>
      <c r="AI13" s="46"/>
      <c r="AJ13" s="46"/>
    </row>
    <row r="14" ht="24.75" customHeight="1">
      <c r="A14" s="61"/>
      <c r="B14" s="40" t="s">
        <v>6</v>
      </c>
      <c r="C14" s="79">
        <f>IFERROR(__xludf.DUMMYFUNCTION("IMPORTRANGE(Dados!AM25,""Canvas de Projeto!H27"")"),2.439052016E9)</f>
        <v>2439052016</v>
      </c>
      <c r="D14" s="79" t="str">
        <f>IFERROR(__xludf.DUMMYFUNCTION("IMPORTRANGE(Dados!AM25,""Canvas de Projeto!H28"")"),"2404013252024C")</f>
        <v>2404013252024C</v>
      </c>
      <c r="E14" s="79" t="str">
        <f>IFERROR(__xludf.DUMMYFUNCTION("IMPORTRANGE(Dados!AM25,""Canvas de Projeto!G18"")"),"24001.043753/2023-62")</f>
        <v>24001.043753/2023-62</v>
      </c>
      <c r="F14" s="49"/>
      <c r="G14" s="80">
        <f>SUMIFS('Plano de capacitação - 2024'!$N$6:$N1011,'Plano de capacitação - 2024'!$A$6:$A1011,"Qualificação em Vigilância Sanitária")</f>
        <v>80</v>
      </c>
      <c r="H14" s="80">
        <f>SUMIFS('Plano de capacitação - 2024'!$O$6:$O1011,'Plano de capacitação - 2024'!$A$6:$A1011,"Qualificação em Vigilância Sanitária")</f>
        <v>86</v>
      </c>
      <c r="I14" s="80">
        <f>SUMIFS('Plano de capacitação - 2024'!$P$6:$P1011,'Plano de capacitação - 2024'!$A$6:$A1011,"Qualificação em Vigilância Sanitária")</f>
        <v>65</v>
      </c>
      <c r="J14" s="81">
        <f t="shared" si="1"/>
        <v>0.8125</v>
      </c>
      <c r="K14" s="81">
        <f t="shared" si="2"/>
        <v>0.1875</v>
      </c>
      <c r="L14" s="81">
        <f t="shared" si="3"/>
        <v>0.7558139535</v>
      </c>
      <c r="M14" s="81">
        <f t="shared" si="4"/>
        <v>0.2441860465</v>
      </c>
      <c r="N14" s="76"/>
      <c r="O14" s="83" t="str">
        <f>IFERROR(__xludf.DUMMYFUNCTION("IMPORTRANGE(Dados!AM25,""Canvas de Projeto!T10"")"),"#REF!")</f>
        <v>#REF!</v>
      </c>
      <c r="P14" s="49"/>
      <c r="Q14" s="84">
        <v>159440.0</v>
      </c>
      <c r="R14" s="84">
        <f>IFERROR(__xludf.DUMMYFUNCTION("IMPORTRANGE(Dados!AM25,""Canvas de Projeto!H56"")"),127418.7)</f>
        <v>127418.7</v>
      </c>
      <c r="S14" s="84">
        <f>IFERROR(__xludf.DUMMYFUNCTION("IMPORTRANGE(Dados!AM25,""Canvas de Projeto!H58"")"),127418.7)</f>
        <v>127418.7</v>
      </c>
      <c r="T14" s="84">
        <f>IFERROR(__xludf.DUMMYFUNCTION("IMPORTRANGE(Dados!AM25,""Canvas de Projeto!J56"")"),0.0)</f>
        <v>0</v>
      </c>
      <c r="U14" s="49"/>
      <c r="V14" s="85">
        <f>IFERROR(__xludf.DUMMYFUNCTION("IMPORTRANGE(Dados!AM25,""ENTREGAS E INDICADORES!D21"")"),0.0)</f>
        <v>0</v>
      </c>
      <c r="W14" s="85">
        <f>IFERROR(__xludf.DUMMYFUNCTION("IMPORTRANGE(Dados!AM25,""ENTREGAS E INDICADORES!D25"")"),25.0)</f>
        <v>25</v>
      </c>
      <c r="X14" s="85">
        <f>IFERROR(__xludf.DUMMYFUNCTION("IMPORTRANGE(Dados!AM25,""ENTREGAS E INDICADORES!D30"")"),40.0)</f>
        <v>40</v>
      </c>
      <c r="Y14" s="86">
        <f t="shared" si="5"/>
        <v>65</v>
      </c>
      <c r="Z14" s="76"/>
      <c r="AA14" s="83" t="str">
        <f>IFERROR(__xludf.DUMMYFUNCTION("IMPORTRANGE(Dados!AM25,""Canvas de Projeto!J5"")"),"Eudenio Nogueira")</f>
        <v>Eudenio Nogueira</v>
      </c>
      <c r="AB14" s="59"/>
      <c r="AC14" s="46"/>
      <c r="AD14" s="46"/>
      <c r="AE14" s="46"/>
      <c r="AF14" s="46"/>
      <c r="AG14" s="46"/>
      <c r="AH14" s="46"/>
      <c r="AI14" s="46"/>
      <c r="AJ14" s="46"/>
    </row>
    <row r="15" ht="24.75" customHeight="1">
      <c r="A15" s="61"/>
      <c r="B15" s="40" t="s">
        <v>14</v>
      </c>
      <c r="C15" s="79">
        <f>IFERROR(__xludf.DUMMYFUNCTION("IMPORTRANGE(Dados!AM26,""Canvas de Projeto!H27"")"),2.439062019E9)</f>
        <v>2439062019</v>
      </c>
      <c r="D15" s="79" t="str">
        <f>IFERROR(__xludf.DUMMYFUNCTION("IMPORTRANGE(Dados!AM26,""Canvas de Projeto!H28"")"),"2404013412024C")</f>
        <v>2404013412024C</v>
      </c>
      <c r="E15" s="79" t="str">
        <f>IFERROR(__xludf.DUMMYFUNCTION("IMPORTRANGE(Dados!AM26,""Canvas de Projeto!G18"")"),"24001.015457/2024-52")</f>
        <v>24001.015457/2024-52</v>
      </c>
      <c r="F15" s="49"/>
      <c r="G15" s="80">
        <f>SUMIFS('Plano de capacitação - 2024'!$N$6:$N1011,'Plano de capacitação - 2024'!$A$6:$A1011,"Transplante")</f>
        <v>436</v>
      </c>
      <c r="H15" s="80">
        <f>SUMIFS('Plano de capacitação - 2024'!$O$6:$O1011,'Plano de capacitação - 2024'!$A$6:$A1011,"Transplante")</f>
        <v>593</v>
      </c>
      <c r="I15" s="80">
        <f>SUMIFS('Plano de capacitação - 2024'!$P$6:$P1011,'Plano de capacitação - 2024'!$A$6:$A1011,"Transplante")</f>
        <v>443</v>
      </c>
      <c r="J15" s="81">
        <f t="shared" si="1"/>
        <v>1.016055046</v>
      </c>
      <c r="K15" s="81">
        <f t="shared" si="2"/>
        <v>-0.01605504587</v>
      </c>
      <c r="L15" s="81">
        <f t="shared" si="3"/>
        <v>0.7470489039</v>
      </c>
      <c r="M15" s="81">
        <f t="shared" si="4"/>
        <v>0.2529510961</v>
      </c>
      <c r="N15" s="76"/>
      <c r="O15" s="83">
        <f>IFERROR(__xludf.DUMMYFUNCTION("IMPORTRANGE(Dados!AM26,""Canvas de Projeto!T10"")"),1.0)</f>
        <v>1</v>
      </c>
      <c r="P15" s="49"/>
      <c r="Q15" s="84">
        <v>158590.0</v>
      </c>
      <c r="R15" s="84">
        <f>IFERROR(__xludf.DUMMYFUNCTION("IMPORTRANGE(Dados!AM26,""Canvas de Projeto!H56"")"),198332.11)</f>
        <v>198332.11</v>
      </c>
      <c r="S15" s="84">
        <f>IFERROR(__xludf.DUMMYFUNCTION("IMPORTRANGE(Dados!AM26,""Canvas de Projeto!H58"")"),196192.18)</f>
        <v>196192.18</v>
      </c>
      <c r="T15" s="84">
        <f>IFERROR(__xludf.DUMMYFUNCTION("IMPORTRANGE(Dados!AM26,""Canvas de Projeto!J56"")"),2139.929999999993)</f>
        <v>2139.93</v>
      </c>
      <c r="U15" s="49"/>
      <c r="V15" s="85">
        <f>IFERROR(__xludf.DUMMYFUNCTION("IMPORTRANGE(Dados!AM26,""ENTREGAS E INDICADORES!D21"")"),0.0)</f>
        <v>0</v>
      </c>
      <c r="W15" s="85">
        <f>IFERROR(__xludf.DUMMYFUNCTION("IMPORTRANGE(Dados!AM26,""ENTREGAS E INDICADORES!D25"")"),129.0)</f>
        <v>129</v>
      </c>
      <c r="X15" s="85">
        <f>IFERROR(__xludf.DUMMYFUNCTION("IMPORTRANGE(Dados!AM26,""ENTREGAS E INDICADORES!D30"")"),314.0)</f>
        <v>314</v>
      </c>
      <c r="Y15" s="86">
        <f t="shared" si="5"/>
        <v>443</v>
      </c>
      <c r="Z15" s="76"/>
      <c r="AA15" s="83" t="str">
        <f>IFERROR(__xludf.DUMMYFUNCTION("IMPORTRANGE(Dados!AM26,""Canvas de Projeto!J5"")"),"Carmem Abreu")</f>
        <v>Carmem Abreu</v>
      </c>
      <c r="AB15" s="59"/>
      <c r="AC15" s="46"/>
      <c r="AD15" s="46"/>
      <c r="AE15" s="46"/>
      <c r="AF15" s="46"/>
      <c r="AG15" s="46"/>
      <c r="AH15" s="46"/>
      <c r="AI15" s="46"/>
      <c r="AJ15" s="46"/>
    </row>
    <row r="16" ht="24.75" customHeight="1">
      <c r="A16" s="61"/>
      <c r="B16" s="88" t="s">
        <v>7</v>
      </c>
      <c r="C16" s="79">
        <f>IFERROR(__xludf.DUMMYFUNCTION("IMPORTRANGE(Dados!AM27,""Canvas de Projeto!H27"")"),2.43916202E9)</f>
        <v>2439162020</v>
      </c>
      <c r="D16" s="79" t="str">
        <f>IFERROR(__xludf.DUMMYFUNCTION("IMPORTRANGE(Dados!AM27,""Canvas de Projeto!H28"")"),"2404013242024C")</f>
        <v>2404013242024C</v>
      </c>
      <c r="E16" s="79" t="str">
        <f>IFERROR(__xludf.DUMMYFUNCTION("IMPORTRANGE(Dados!AM27,""Canvas de Projeto!G18"")"),"")</f>
        <v/>
      </c>
      <c r="F16" s="49"/>
      <c r="G16" s="80">
        <f>SUMIFS('Plano de capacitação - 2024'!$N$6:$N1011,'Plano de capacitação - 2024'!$A$6:$A1011,"RESE - Projeto de Apoio à Implementação da Educação Permanente em Saúde no Ceará")</f>
        <v>195</v>
      </c>
      <c r="H16" s="80">
        <f>SUMIFS('Plano de capacitação - 2024'!$O$6:$O1011,'Plano de capacitação - 2024'!$A$6:$A1011,"RESE - Projeto de Apoio à Implementação da Educação Permanente em Saúde no Ceará")</f>
        <v>254</v>
      </c>
      <c r="I16" s="80">
        <f>SUMIFS('Plano de capacitação - 2024'!$P$6:$P1011,'Plano de capacitação - 2024'!$A$6:$A1011,"RESE - Projeto de Apoio à Implementação da Educação Permanente em Saúde no Ceará")</f>
        <v>165</v>
      </c>
      <c r="J16" s="81">
        <f t="shared" si="1"/>
        <v>0.8461538462</v>
      </c>
      <c r="K16" s="81">
        <f t="shared" si="2"/>
        <v>0.1538461538</v>
      </c>
      <c r="L16" s="81">
        <f t="shared" si="3"/>
        <v>0.6496062992</v>
      </c>
      <c r="M16" s="81">
        <f t="shared" si="4"/>
        <v>0.3503937008</v>
      </c>
      <c r="N16" s="76"/>
      <c r="O16" s="83">
        <f>IFERROR(__xludf.DUMMYFUNCTION("IMPORTRANGE(Dados!AM27,""Canvas de Projeto!T10"")"),1.0)</f>
        <v>1</v>
      </c>
      <c r="P16" s="49"/>
      <c r="Q16" s="84">
        <v>799944.07</v>
      </c>
      <c r="R16" s="84">
        <f>IFERROR(__xludf.DUMMYFUNCTION("IMPORTRANGE(Dados!AM27,""Canvas de Projeto!H42"")"),515517.43)</f>
        <v>515517.43</v>
      </c>
      <c r="S16" s="84">
        <f>IFERROR(__xludf.DUMMYFUNCTION("IMPORTRANGE(Dados!AM27,""Canvas de Projeto!H58"")"),517784.1)</f>
        <v>517784.1</v>
      </c>
      <c r="T16" s="84">
        <f>IFERROR(__xludf.DUMMYFUNCTION("IMPORTRANGE(Dados!AM27,""Canvas de Projeto!J56"")"),116288.01000000001)</f>
        <v>116288.01</v>
      </c>
      <c r="U16" s="49"/>
      <c r="V16" s="85">
        <f>IFERROR(__xludf.DUMMYFUNCTION("IMPORTRANGE(Dados!AM27,""ENTREGAS E INDICADORES!D21"")"),0.0)</f>
        <v>0</v>
      </c>
      <c r="W16" s="85">
        <f>IFERROR(__xludf.DUMMYFUNCTION("IMPORTRANGE(Dados!AM27,""ENTREGAS E INDICADORES!D25"")"),5.0)</f>
        <v>5</v>
      </c>
      <c r="X16" s="85">
        <f>IFERROR(__xludf.DUMMYFUNCTION("IMPORTRANGE(Dados!AM27,""ENTREGAS E INDICADORES!D30"")"),160.0)</f>
        <v>160</v>
      </c>
      <c r="Y16" s="86">
        <f t="shared" si="5"/>
        <v>165</v>
      </c>
      <c r="Z16" s="76"/>
      <c r="AA16" s="83" t="str">
        <f>IFERROR(__xludf.DUMMYFUNCTION("IMPORTRANGE(Dados!AM27,""Canvas de Projeto!J5"")"),"Marconi Brandão")</f>
        <v>Marconi Brandão</v>
      </c>
      <c r="AB16" s="59"/>
      <c r="AC16" s="46"/>
      <c r="AD16" s="46"/>
      <c r="AE16" s="46"/>
      <c r="AF16" s="46"/>
      <c r="AG16" s="46"/>
      <c r="AH16" s="46"/>
      <c r="AI16" s="46"/>
      <c r="AJ16" s="46"/>
    </row>
    <row r="17" ht="24.75" customHeight="1">
      <c r="A17" s="61"/>
      <c r="B17" s="89" t="s">
        <v>8</v>
      </c>
      <c r="C17" s="79">
        <f>IFERROR(__xludf.DUMMYFUNCTION("IMPORTRANGE(Dados!AM28,""Canvas de Projeto!H27"")"),2.439022024E9)</f>
        <v>2439022024</v>
      </c>
      <c r="D17" s="79" t="str">
        <f>IFERROR(__xludf.DUMMYFUNCTION("IMPORTRANGE(Dados!AM28,""Canvas de Projeto!H28"")"),"2404013262024C")</f>
        <v>2404013262024C</v>
      </c>
      <c r="E17" s="79" t="str">
        <f>IFERROR(__xludf.DUMMYFUNCTION("IMPORTRANGE(Dados!AM28,""Canvas de Projeto!G18"")"),"")</f>
        <v/>
      </c>
      <c r="F17" s="49"/>
      <c r="G17" s="80">
        <f>SUMIFS('Plano de capacitação - 2024'!$N$6:$N1011,'Plano de capacitação - 2024'!$A$6:$A1011,"PERFORSM - Percursos Formativos no Campo da Saúde Mental")</f>
        <v>1200</v>
      </c>
      <c r="H17" s="80">
        <f>SUM('Plano de capacitação - 2024'!O73:O96)</f>
        <v>2210</v>
      </c>
      <c r="I17" s="80">
        <f>SUM('Plano de capacitação - 2024'!P73:P96)</f>
        <v>1033</v>
      </c>
      <c r="J17" s="81">
        <f t="shared" si="1"/>
        <v>0.8608333333</v>
      </c>
      <c r="K17" s="81">
        <f t="shared" si="2"/>
        <v>0.1391666667</v>
      </c>
      <c r="L17" s="81">
        <f t="shared" si="3"/>
        <v>0.4674208145</v>
      </c>
      <c r="M17" s="81">
        <f t="shared" si="4"/>
        <v>0.5325791855</v>
      </c>
      <c r="N17" s="76"/>
      <c r="O17" s="83">
        <f>IFERROR(__xludf.DUMMYFUNCTION("IMPORTRANGE(Dados!AM28,""Canvas de Projeto!T10"")"),1.0000000000000002)</f>
        <v>1</v>
      </c>
      <c r="P17" s="49"/>
      <c r="Q17" s="84">
        <v>797140.0</v>
      </c>
      <c r="R17" s="84">
        <f>IFERROR(__xludf.DUMMYFUNCTION("IMPORTRANGE(Dados!AM28,""Canvas de Projeto!H56"")"),732558.0)</f>
        <v>732558</v>
      </c>
      <c r="S17" s="84">
        <f>IFERROR(__xludf.DUMMYFUNCTION("IMPORTRANGE(Dados!AM28,""Canvas de Projeto!H58"")"),600971.48)</f>
        <v>600971.48</v>
      </c>
      <c r="T17" s="84">
        <f>IFERROR(__xludf.DUMMYFUNCTION("IMPORTRANGE(Dados!AM28,""Canvas de Projeto!J56"")"),131586.52000000002)</f>
        <v>131586.52</v>
      </c>
      <c r="U17" s="49"/>
      <c r="V17" s="85">
        <f>IFERROR(__xludf.DUMMYFUNCTION("IMPORTRANGE(Dados!AM28,""ENTREGAS E INDICADORES!D21"")"),0.0)</f>
        <v>0</v>
      </c>
      <c r="W17" s="85">
        <f>IFERROR(__xludf.DUMMYFUNCTION("IMPORTRANGE(Dados!AM28,""ENTREGAS E INDICADORES!D25"")"),345.0)</f>
        <v>345</v>
      </c>
      <c r="X17" s="85">
        <f>IFERROR(__xludf.DUMMYFUNCTION("IMPORTRANGE(Dados!AM28,""ENTREGAS E INDICADORES!D30"")"),688.0)</f>
        <v>688</v>
      </c>
      <c r="Y17" s="86">
        <f t="shared" si="5"/>
        <v>1033</v>
      </c>
      <c r="Z17" s="76"/>
      <c r="AA17" s="83" t="str">
        <f>IFERROR(__xludf.DUMMYFUNCTION("IMPORTRANGE(Dados!AM28,""Canvas de Projeto!J5"")"),"Marconi Brandão")</f>
        <v>Marconi Brandão</v>
      </c>
      <c r="AB17" s="59"/>
      <c r="AC17" s="46"/>
      <c r="AD17" s="46"/>
      <c r="AE17" s="46"/>
      <c r="AF17" s="46"/>
      <c r="AG17" s="46"/>
      <c r="AH17" s="46"/>
      <c r="AI17" s="46"/>
      <c r="AJ17" s="46"/>
    </row>
    <row r="18" ht="25.5" customHeight="1">
      <c r="A18" s="61"/>
      <c r="B18" s="40" t="s">
        <v>18</v>
      </c>
      <c r="C18" s="79">
        <f>IFERROR(__xludf.DUMMYFUNCTION("IMPORTRANGE(Dados!AM29,""Canvas de Projeto!H27"")"),2.439052017E9)</f>
        <v>2439052017</v>
      </c>
      <c r="D18" s="79" t="str">
        <f>IFERROR(__xludf.DUMMYFUNCTION("IMPORTRANGE(Dados!AM29,""Canvas de Projeto!H28"")"),"2404013402024C")</f>
        <v>2404013402024C</v>
      </c>
      <c r="E18" s="79" t="str">
        <f>IFERROR(__xludf.DUMMYFUNCTION("IMPORTRANGE(Dados!AM29,""Canvas de Projeto!G18"")"),"24022.001945/2024-34")</f>
        <v>24022.001945/2024-34</v>
      </c>
      <c r="F18" s="49"/>
      <c r="G18" s="80">
        <f>SUMIFS('Plano de capacitação - 2024'!$N$6:$N1011,'Plano de capacitação - 2024'!$A$6:$A1011,"Ciclo de Atualização em Manejo Clínico e Diagnóstico Laboratorial das Arboviroses")</f>
        <v>620</v>
      </c>
      <c r="H18" s="80">
        <f>SUMIFS('Plano de capacitação - 2024'!$O$6:$O1011,'Plano de capacitação - 2024'!$A$6:$A1011,"Ciclo de Atualização em Manejo Clínico e Diagnóstico Laboratorial das Arboviroses")</f>
        <v>1052</v>
      </c>
      <c r="I18" s="80">
        <f>SUMIFS('Plano de capacitação - 2024'!$P$6:$P1011,'Plano de capacitação - 2024'!$A$6:$A1011,"Ciclo de Atualização em Manejo Clínico e Diagnóstico Laboratorial das Arboviroses")</f>
        <v>682</v>
      </c>
      <c r="J18" s="81">
        <f t="shared" si="1"/>
        <v>1.1</v>
      </c>
      <c r="K18" s="81">
        <f t="shared" si="2"/>
        <v>-0.1</v>
      </c>
      <c r="L18" s="81">
        <f t="shared" si="3"/>
        <v>0.6482889734</v>
      </c>
      <c r="M18" s="81">
        <f t="shared" si="4"/>
        <v>0.3517110266</v>
      </c>
      <c r="N18" s="76"/>
      <c r="O18" s="83" t="str">
        <f>IFERROR(__xludf.DUMMYFUNCTION("IMPORTRANGE(Dados!AM29,""Canvas de Projeto!T10"")"),"#REF!")</f>
        <v>#REF!</v>
      </c>
      <c r="P18" s="49"/>
      <c r="Q18" s="84">
        <v>138072.59</v>
      </c>
      <c r="R18" s="84">
        <f>IFERROR(__xludf.DUMMYFUNCTION("IMPORTRANGE(Dados!AM29,""Canvas de Projeto!H56"")"),104072.59)</f>
        <v>104072.59</v>
      </c>
      <c r="S18" s="84">
        <f>IFERROR(__xludf.DUMMYFUNCTION("IMPORTRANGE(Dados!AM29,""Canvas de Projeto!H58"")"),103367.64)</f>
        <v>103367.64</v>
      </c>
      <c r="T18" s="84">
        <f>IFERROR(__xludf.DUMMYFUNCTION("IMPORTRANGE(Dados!AM29,""Canvas de Projeto!J56"")"),704.9499999999971)</f>
        <v>704.95</v>
      </c>
      <c r="U18" s="58"/>
      <c r="V18" s="85">
        <f>IFERROR(__xludf.DUMMYFUNCTION("IMPORTRANGE(Dados!AM29,""ENTREGAS E INDICADORES!D21"")"),0.0)</f>
        <v>0</v>
      </c>
      <c r="W18" s="85">
        <f>IFERROR(__xludf.DUMMYFUNCTION("IMPORTRANGE(Dados!AM29,""ENTREGAS E INDICADORES!D25"")"),393.0)</f>
        <v>393</v>
      </c>
      <c r="X18" s="85">
        <f>IFERROR(__xludf.DUMMYFUNCTION("IMPORTRANGE(Dados!AM29,""ENTREGAS E INDICADORES!D30"")"),289.0)</f>
        <v>289</v>
      </c>
      <c r="Y18" s="86">
        <f t="shared" si="5"/>
        <v>682</v>
      </c>
      <c r="Z18" s="76"/>
      <c r="AA18" s="83" t="str">
        <f>IFERROR(__xludf.DUMMYFUNCTION("IMPORTRANGE(Dados!AM29,""Canvas de Projeto!J5"")"),"Eudenio Nogueira")</f>
        <v>Eudenio Nogueira</v>
      </c>
      <c r="AB18" s="59"/>
      <c r="AC18" s="46"/>
      <c r="AD18" s="46"/>
      <c r="AE18" s="46"/>
      <c r="AF18" s="46"/>
      <c r="AG18" s="46"/>
      <c r="AH18" s="46"/>
      <c r="AI18" s="46"/>
      <c r="AJ18" s="46"/>
    </row>
    <row r="19" ht="24.75" customHeight="1">
      <c r="A19" s="61"/>
      <c r="B19" s="40" t="s">
        <v>11</v>
      </c>
      <c r="C19" s="79">
        <f>IFERROR(__xludf.DUMMYFUNCTION("IMPORTRANGE(Dados!AM30,""Canvas de Projeto!H27"")"),2.439062024E9)</f>
        <v>2439062024</v>
      </c>
      <c r="D19" s="79" t="str">
        <f>IFERROR(__xludf.DUMMYFUNCTION("IMPORTRANGE(Dados!AM30,""Canvas de Projeto!H28"")"),"2404013642024C")</f>
        <v>2404013642024C</v>
      </c>
      <c r="E19" s="79" t="str">
        <f>IFERROR(__xludf.DUMMYFUNCTION("IMPORTRANGE(Dados!AM30,""Canvas de Projeto!G18"")"),"24001.048089/2023-48")</f>
        <v>24001.048089/2023-48</v>
      </c>
      <c r="F19" s="49"/>
      <c r="G19" s="80">
        <f>SUMIFS('Plano de capacitação - 2024'!$N$6:$N1011,'Plano de capacitação - 2024'!$A$6:$A1011,"Projeto de Educação Permanente em Urgência e Emergência")</f>
        <v>30</v>
      </c>
      <c r="H19" s="80">
        <f>SUMIFS('Plano de capacitação - 2024'!$O$6:$O1011,'Plano de capacitação - 2024'!$A$6:$A1011,"Projeto de Educação Permanente em Urgência e Emergência")</f>
        <v>33</v>
      </c>
      <c r="I19" s="80">
        <f>SUMIFS('Plano de capacitação - 2024'!$P$6:$P1011,'Plano de capacitação - 2024'!$A$6:$A1011,"Projeto de Educação Permanente em Urgência e Emergência")</f>
        <v>0</v>
      </c>
      <c r="J19" s="81">
        <f t="shared" si="1"/>
        <v>0</v>
      </c>
      <c r="K19" s="81">
        <f t="shared" si="2"/>
        <v>0</v>
      </c>
      <c r="L19" s="81">
        <f t="shared" si="3"/>
        <v>0</v>
      </c>
      <c r="M19" s="81">
        <f t="shared" si="4"/>
        <v>0</v>
      </c>
      <c r="N19" s="76"/>
      <c r="O19" s="83" t="str">
        <f>IFERROR(__xludf.DUMMYFUNCTION("IMPORTRANGE(Dados!AM30,""Canvas de Projeto!T10"")"),"#REF!")</f>
        <v>#REF!</v>
      </c>
      <c r="P19" s="49"/>
      <c r="Q19" s="84">
        <v>212330.0</v>
      </c>
      <c r="R19" s="84">
        <f>IFERROR(__xludf.DUMMYFUNCTION("IMPORTRANGE(Dados!AM30,""Canvas de Projeto!H56"")"),54366.0)</f>
        <v>54366</v>
      </c>
      <c r="S19" s="84">
        <f>IFERROR(__xludf.DUMMYFUNCTION("IMPORTRANGE(Dados!AM30,""Canvas de Projeto!H58"")"),53886.0)</f>
        <v>53886</v>
      </c>
      <c r="T19" s="84">
        <f>IFERROR(__xludf.DUMMYFUNCTION("IMPORTRANGE(Dados!AM30,""Canvas de Projeto!J56"")"),480.0)</f>
        <v>480</v>
      </c>
      <c r="U19" s="49"/>
      <c r="V19" s="85">
        <f>IFERROR(__xludf.DUMMYFUNCTION("IMPORTRANGE(Dados!AM30,""ENTREGAS E INDICADORES!D21"")"),0.0)</f>
        <v>0</v>
      </c>
      <c r="W19" s="85">
        <f>IFERROR(__xludf.DUMMYFUNCTION("IMPORTRANGE(Dados!AM30,""ENTREGAS E INDICADORES!D25"")"),0.0)</f>
        <v>0</v>
      </c>
      <c r="X19" s="85">
        <f>IFERROR(__xludf.DUMMYFUNCTION("IMPORTRANGE(Dados!AM30,""ENTREGAS E INDICADORES!D30"")"),0.0)</f>
        <v>0</v>
      </c>
      <c r="Y19" s="86">
        <f t="shared" si="5"/>
        <v>0</v>
      </c>
      <c r="Z19" s="76"/>
      <c r="AA19" s="83" t="str">
        <f>IFERROR(__xludf.DUMMYFUNCTION("IMPORTRANGE(Dados!AM30,""Canvas de Projeto!J5"")"),"Eudenio Nogueira")</f>
        <v>Eudenio Nogueira</v>
      </c>
      <c r="AB19" s="59"/>
      <c r="AC19" s="46"/>
      <c r="AD19" s="46"/>
      <c r="AE19" s="46"/>
      <c r="AF19" s="46"/>
      <c r="AG19" s="46"/>
      <c r="AH19" s="46"/>
      <c r="AI19" s="46"/>
      <c r="AJ19" s="46"/>
    </row>
    <row r="20" ht="24.75" customHeight="1">
      <c r="A20" s="61"/>
      <c r="B20" s="40" t="s">
        <v>10</v>
      </c>
      <c r="C20" s="79"/>
      <c r="D20" s="79"/>
      <c r="E20" s="79"/>
      <c r="F20" s="49"/>
      <c r="G20" s="80">
        <f>SUMIFS('Plano de capacitação - 2024'!$N$6:$N1011,'Plano de capacitação - 2024'!$A$6:$A1011,"Projeto de Educação Permanente em Infectologia")</f>
        <v>100</v>
      </c>
      <c r="H20" s="80">
        <f>SUMIFS('Plano de capacitação - 2024'!$O$6:$O1011,'Plano de capacitação - 2024'!$A$6:$A1011,"Projeto de Educação Permanente em Infectologia")</f>
        <v>63</v>
      </c>
      <c r="I20" s="80">
        <f>SUMIFS('Plano de capacitação - 2024'!$P$6:$P1011,'Plano de capacitação - 2024'!$A$6:$A1011,"Projeto de Educação Permanente em Infectologia")</f>
        <v>36</v>
      </c>
      <c r="J20" s="81">
        <f t="shared" si="1"/>
        <v>0.36</v>
      </c>
      <c r="K20" s="81">
        <f t="shared" si="2"/>
        <v>0.64</v>
      </c>
      <c r="L20" s="81">
        <f t="shared" si="3"/>
        <v>0.5714285714</v>
      </c>
      <c r="M20" s="81">
        <f t="shared" si="4"/>
        <v>0.4285714286</v>
      </c>
      <c r="N20" s="76"/>
      <c r="O20" s="83">
        <v>1.0</v>
      </c>
      <c r="P20" s="49"/>
      <c r="Q20" s="84">
        <v>0.0</v>
      </c>
      <c r="R20" s="84">
        <v>0.0</v>
      </c>
      <c r="S20" s="84">
        <v>0.0</v>
      </c>
      <c r="T20" s="84">
        <v>0.0</v>
      </c>
      <c r="U20" s="49"/>
      <c r="V20" s="85">
        <v>0.0</v>
      </c>
      <c r="W20" s="85">
        <v>0.0</v>
      </c>
      <c r="X20" s="85">
        <v>36.0</v>
      </c>
      <c r="Y20" s="86">
        <f t="shared" si="5"/>
        <v>36</v>
      </c>
      <c r="Z20" s="76"/>
      <c r="AA20" s="90" t="s">
        <v>171</v>
      </c>
      <c r="AB20" s="59"/>
      <c r="AC20" s="46"/>
      <c r="AD20" s="46"/>
      <c r="AE20" s="46"/>
      <c r="AF20" s="46"/>
      <c r="AG20" s="46"/>
      <c r="AH20" s="46"/>
      <c r="AI20" s="46"/>
      <c r="AJ20" s="46"/>
    </row>
    <row r="21" ht="24.75" hidden="1" customHeight="1">
      <c r="A21" s="61"/>
      <c r="B21" s="40" t="s">
        <v>12</v>
      </c>
      <c r="C21" s="79"/>
      <c r="D21" s="79"/>
      <c r="E21" s="79"/>
      <c r="F21" s="49"/>
      <c r="G21" s="80">
        <f>SUMIFS('Plano de capacitação - 2024'!$N$6:$N1011,'Plano de capacitação - 2024'!$A$6:$A1011,"REGULAÇÃO")</f>
        <v>120</v>
      </c>
      <c r="H21" s="80">
        <f>SUMIFS('Plano de capacitação - 2024'!$O$6:$O1011,'Plano de capacitação - 2024'!$A$6:$A1011,"REGULAÇÃO")</f>
        <v>0</v>
      </c>
      <c r="I21" s="80">
        <f>SUMIFS('Plano de capacitação - 2024'!$P$6:$P1011,'Plano de capacitação - 2024'!$A$6:$A1011,"REGULAÇÃO")</f>
        <v>0</v>
      </c>
      <c r="J21" s="81">
        <f t="shared" si="1"/>
        <v>0</v>
      </c>
      <c r="K21" s="81">
        <f t="shared" si="2"/>
        <v>0</v>
      </c>
      <c r="L21" s="81">
        <f t="shared" si="3"/>
        <v>0</v>
      </c>
      <c r="M21" s="81" t="str">
        <f t="shared" si="4"/>
        <v>#DIV/0!</v>
      </c>
      <c r="N21" s="76"/>
      <c r="O21" s="83"/>
      <c r="P21" s="49"/>
      <c r="Q21" s="84"/>
      <c r="R21" s="84"/>
      <c r="S21" s="84"/>
      <c r="T21" s="84"/>
      <c r="U21" s="49"/>
      <c r="V21" s="85"/>
      <c r="W21" s="85"/>
      <c r="X21" s="85"/>
      <c r="Y21" s="86">
        <f t="shared" si="5"/>
        <v>0</v>
      </c>
      <c r="Z21" s="76"/>
      <c r="AA21" s="83"/>
      <c r="AB21" s="59"/>
      <c r="AC21" s="46"/>
      <c r="AD21" s="46"/>
      <c r="AE21" s="46"/>
      <c r="AF21" s="46"/>
      <c r="AG21" s="46"/>
      <c r="AH21" s="46"/>
      <c r="AI21" s="46"/>
      <c r="AJ21" s="46"/>
    </row>
    <row r="22" ht="24.75" hidden="1" customHeight="1">
      <c r="A22" s="61"/>
      <c r="B22" s="40" t="s">
        <v>13</v>
      </c>
      <c r="C22" s="79"/>
      <c r="D22" s="79"/>
      <c r="E22" s="79"/>
      <c r="F22" s="49"/>
      <c r="G22" s="80">
        <f>SUMIFS('Plano de capacitação - 2024'!$N$6:$N1011,'Plano de capacitação - 2024'!$A$6:$A1011,"Pé Diabético")</f>
        <v>120</v>
      </c>
      <c r="H22" s="80">
        <f>SUMIFS('Plano de capacitação - 2024'!$O$6:$O1011,'Plano de capacitação - 2024'!$A$6:$A1011,"Pé Diabético")</f>
        <v>0</v>
      </c>
      <c r="I22" s="80">
        <f>SUMIFS('Plano de capacitação - 2024'!$P$6:$P1011,'Plano de capacitação - 2024'!$A$6:$A1011,"Pé Diabético")</f>
        <v>0</v>
      </c>
      <c r="J22" s="81">
        <f t="shared" si="1"/>
        <v>0</v>
      </c>
      <c r="K22" s="81">
        <f t="shared" si="2"/>
        <v>0</v>
      </c>
      <c r="L22" s="81">
        <f t="shared" si="3"/>
        <v>0</v>
      </c>
      <c r="M22" s="81" t="str">
        <f t="shared" si="4"/>
        <v>#DIV/0!</v>
      </c>
      <c r="N22" s="76"/>
      <c r="O22" s="83"/>
      <c r="P22" s="49"/>
      <c r="Q22" s="84"/>
      <c r="R22" s="84"/>
      <c r="S22" s="84"/>
      <c r="T22" s="84"/>
      <c r="U22" s="49"/>
      <c r="V22" s="85"/>
      <c r="W22" s="85"/>
      <c r="X22" s="85"/>
      <c r="Y22" s="86">
        <f t="shared" si="5"/>
        <v>0</v>
      </c>
      <c r="Z22" s="76"/>
      <c r="AA22" s="83"/>
      <c r="AB22" s="59"/>
      <c r="AC22" s="46"/>
      <c r="AD22" s="46"/>
      <c r="AE22" s="46"/>
      <c r="AF22" s="46"/>
      <c r="AG22" s="46"/>
      <c r="AH22" s="46"/>
      <c r="AI22" s="46"/>
      <c r="AJ22" s="46"/>
    </row>
    <row r="23" ht="24.75" hidden="1" customHeight="1">
      <c r="A23" s="61"/>
      <c r="B23" s="40" t="s">
        <v>9</v>
      </c>
      <c r="C23" s="79"/>
      <c r="D23" s="79"/>
      <c r="E23" s="79"/>
      <c r="F23" s="49"/>
      <c r="G23" s="80">
        <f>SUMIFS('Plano de capacitação - 2024'!$N$6:$N1011,'Plano de capacitação - 2024'!$A$6:$A1011,"Instituto de Prevenção do Câncer (IPC)")</f>
        <v>150</v>
      </c>
      <c r="H23" s="80">
        <f>SUMIFS('Plano de capacitação - 2024'!$O$6:$O1011,'Plano de capacitação - 2024'!$A$6:$A1011,"Instituto de Prevenção do Câncer (IPC)")</f>
        <v>0</v>
      </c>
      <c r="I23" s="80">
        <f>SUMIFS('Plano de capacitação - 2024'!$P$6:$P1011,'Plano de capacitação - 2024'!$A$6:$A1011,"Instituto de Prevenção do Câncer (IPC)")</f>
        <v>0</v>
      </c>
      <c r="J23" s="81">
        <f t="shared" si="1"/>
        <v>0</v>
      </c>
      <c r="K23" s="81">
        <f t="shared" si="2"/>
        <v>0</v>
      </c>
      <c r="L23" s="81">
        <f t="shared" si="3"/>
        <v>0</v>
      </c>
      <c r="M23" s="81" t="str">
        <f t="shared" si="4"/>
        <v>#DIV/0!</v>
      </c>
      <c r="N23" s="76"/>
      <c r="O23" s="83"/>
      <c r="P23" s="49"/>
      <c r="Q23" s="84"/>
      <c r="R23" s="84"/>
      <c r="S23" s="84"/>
      <c r="T23" s="84"/>
      <c r="U23" s="49"/>
      <c r="V23" s="85"/>
      <c r="W23" s="85"/>
      <c r="X23" s="85"/>
      <c r="Y23" s="86">
        <f t="shared" si="5"/>
        <v>0</v>
      </c>
      <c r="Z23" s="76"/>
      <c r="AA23" s="83"/>
      <c r="AB23" s="59"/>
      <c r="AC23" s="46"/>
      <c r="AD23" s="46"/>
      <c r="AE23" s="46"/>
      <c r="AF23" s="46"/>
      <c r="AG23" s="46"/>
      <c r="AH23" s="46"/>
      <c r="AI23" s="46"/>
      <c r="AJ23" s="46"/>
    </row>
    <row r="24" ht="24.75" hidden="1" customHeight="1">
      <c r="A24" s="61"/>
      <c r="B24" s="40" t="s">
        <v>15</v>
      </c>
      <c r="C24" s="79"/>
      <c r="D24" s="79"/>
      <c r="E24" s="79"/>
      <c r="F24" s="49"/>
      <c r="G24" s="80">
        <f>SUMIFS('Plano de capacitação - 2024'!$N$6:$N1011,'Plano de capacitação - 2024'!$A$6:$A1011,"Movimenta Assitência Farmacêutica")</f>
        <v>0</v>
      </c>
      <c r="H24" s="80">
        <f>SUMIFS('Plano de capacitação - 2024'!$O$6:$O1011,'Plano de capacitação - 2024'!$A$6:$A1011,"Movimenta Assitência Farmacêutica")</f>
        <v>0</v>
      </c>
      <c r="I24" s="80">
        <f>SUMIFS('Plano de capacitação - 2024'!$P$6:$P1011,'Plano de capacitação - 2024'!$A$6:$A1011,"Movimenta Assitência Farmacêutica")</f>
        <v>0</v>
      </c>
      <c r="J24" s="81">
        <f t="shared" si="1"/>
        <v>0</v>
      </c>
      <c r="K24" s="81" t="str">
        <f t="shared" si="2"/>
        <v>#DIV/0!</v>
      </c>
      <c r="L24" s="81">
        <f t="shared" si="3"/>
        <v>0</v>
      </c>
      <c r="M24" s="81" t="str">
        <f t="shared" si="4"/>
        <v>#DIV/0!</v>
      </c>
      <c r="N24" s="76"/>
      <c r="O24" s="83"/>
      <c r="P24" s="49"/>
      <c r="Q24" s="84"/>
      <c r="R24" s="84"/>
      <c r="S24" s="84"/>
      <c r="T24" s="84"/>
      <c r="U24" s="49"/>
      <c r="V24" s="85"/>
      <c r="W24" s="85"/>
      <c r="X24" s="85"/>
      <c r="Y24" s="86">
        <f t="shared" si="5"/>
        <v>0</v>
      </c>
      <c r="Z24" s="76"/>
      <c r="AA24" s="83"/>
      <c r="AB24" s="59"/>
      <c r="AC24" s="46"/>
      <c r="AD24" s="46"/>
      <c r="AE24" s="46"/>
      <c r="AF24" s="46"/>
      <c r="AG24" s="46"/>
      <c r="AH24" s="46"/>
      <c r="AI24" s="46"/>
      <c r="AJ24" s="46"/>
    </row>
    <row r="25" ht="24.75" hidden="1" customHeight="1">
      <c r="A25" s="61"/>
      <c r="B25" s="40" t="s">
        <v>16</v>
      </c>
      <c r="C25" s="79"/>
      <c r="D25" s="79"/>
      <c r="E25" s="79"/>
      <c r="F25" s="49"/>
      <c r="G25" s="80">
        <f>SUMIFS('Plano de capacitação - 2024'!$N$6:$N1011,'Plano de capacitação - 2024'!$A$6:$A1011,"Materno Infantil")</f>
        <v>0</v>
      </c>
      <c r="H25" s="80">
        <f>SUMIFS('Plano de capacitação - 2024'!$O$6:$O1011,'Plano de capacitação - 2024'!$A$6:$A1011,"Materno Infantil")</f>
        <v>0</v>
      </c>
      <c r="I25" s="80">
        <f>SUMIFS('Plano de capacitação - 2024'!$P$6:$P1011,'Plano de capacitação - 2024'!$A$6:$A1011,"Materno Infantil")</f>
        <v>0</v>
      </c>
      <c r="J25" s="81">
        <f t="shared" si="1"/>
        <v>0</v>
      </c>
      <c r="K25" s="81" t="str">
        <f t="shared" si="2"/>
        <v>#DIV/0!</v>
      </c>
      <c r="L25" s="81">
        <f t="shared" si="3"/>
        <v>0</v>
      </c>
      <c r="M25" s="81" t="str">
        <f t="shared" si="4"/>
        <v>#DIV/0!</v>
      </c>
      <c r="N25" s="76"/>
      <c r="O25" s="83"/>
      <c r="P25" s="49"/>
      <c r="Q25" s="84"/>
      <c r="R25" s="84"/>
      <c r="S25" s="84"/>
      <c r="T25" s="84"/>
      <c r="U25" s="49"/>
      <c r="V25" s="85"/>
      <c r="W25" s="85"/>
      <c r="X25" s="85"/>
      <c r="Y25" s="86">
        <f t="shared" si="5"/>
        <v>0</v>
      </c>
      <c r="Z25" s="76"/>
      <c r="AA25" s="83"/>
      <c r="AB25" s="59"/>
      <c r="AC25" s="46"/>
      <c r="AD25" s="46"/>
      <c r="AE25" s="46"/>
      <c r="AF25" s="46"/>
      <c r="AG25" s="46"/>
      <c r="AH25" s="46"/>
      <c r="AI25" s="46"/>
      <c r="AJ25" s="46"/>
    </row>
    <row r="26" ht="25.5" customHeight="1">
      <c r="A26" s="61"/>
      <c r="B26" s="40" t="s">
        <v>17</v>
      </c>
      <c r="C26" s="79"/>
      <c r="D26" s="79"/>
      <c r="E26" s="79"/>
      <c r="F26" s="49"/>
      <c r="G26" s="80">
        <v>0.0</v>
      </c>
      <c r="H26" s="80">
        <f>SUMIFS('Plano de capacitação - 2024'!$O$6:$O1011,'Plano de capacitação - 2024'!$A$6:$A1011,"Hemovigilância e Biovigilância")</f>
        <v>0</v>
      </c>
      <c r="I26" s="80">
        <f>SUMIFS('Plano de capacitação - 2024'!$P$6:$P1011,'Plano de capacitação - 2024'!$A$6:$A1011,"Hemovigilância e Biovigilância")</f>
        <v>0</v>
      </c>
      <c r="J26" s="81">
        <f t="shared" si="1"/>
        <v>0</v>
      </c>
      <c r="K26" s="81" t="str">
        <f t="shared" si="2"/>
        <v>#DIV/0!</v>
      </c>
      <c r="L26" s="81">
        <f t="shared" si="3"/>
        <v>0</v>
      </c>
      <c r="M26" s="81" t="str">
        <f t="shared" si="4"/>
        <v>#DIV/0!</v>
      </c>
      <c r="N26" s="76"/>
      <c r="O26" s="83"/>
      <c r="P26" s="49"/>
      <c r="Q26" s="84">
        <v>276536.0</v>
      </c>
      <c r="R26" s="91"/>
      <c r="S26" s="91"/>
      <c r="T26" s="91"/>
      <c r="U26" s="58"/>
      <c r="V26" s="85"/>
      <c r="W26" s="85"/>
      <c r="X26" s="85"/>
      <c r="Y26" s="86">
        <f t="shared" si="5"/>
        <v>0</v>
      </c>
      <c r="Z26" s="76"/>
      <c r="AA26" s="83" t="s">
        <v>172</v>
      </c>
      <c r="AB26" s="59"/>
      <c r="AC26" s="46"/>
      <c r="AD26" s="46"/>
      <c r="AE26" s="46"/>
      <c r="AF26" s="46"/>
      <c r="AG26" s="46"/>
      <c r="AH26" s="46"/>
      <c r="AI26" s="46"/>
      <c r="AJ26" s="46"/>
    </row>
    <row r="27" ht="24.75" hidden="1" customHeight="1">
      <c r="A27" s="61"/>
      <c r="B27" s="40"/>
      <c r="C27" s="79"/>
      <c r="D27" s="79"/>
      <c r="E27" s="79"/>
      <c r="F27" s="49"/>
      <c r="G27" s="80">
        <f>SUMIFS('Plano de capacitação - 2024'!$N$6:$N1011,'Plano de capacitação - 2024'!$A$6:$A1011,"AutoSMAPS")</f>
        <v>0</v>
      </c>
      <c r="H27" s="80">
        <f>SUMIFS('Plano de capacitação - 2024'!$O$6:$O1011,'Plano de capacitação - 2024'!$A$6:$A1011,"AutoSMAPS")</f>
        <v>0</v>
      </c>
      <c r="I27" s="80">
        <f>SUMIFS('Plano de capacitação - 2024'!$P$6:$P1011,'Plano de capacitação - 2024'!$A$6:$A1011,"AutoSMAPS")</f>
        <v>0</v>
      </c>
      <c r="J27" s="81">
        <f t="shared" si="1"/>
        <v>0</v>
      </c>
      <c r="K27" s="81" t="str">
        <f t="shared" si="2"/>
        <v>#DIV/0!</v>
      </c>
      <c r="L27" s="81">
        <f t="shared" si="3"/>
        <v>0</v>
      </c>
      <c r="M27" s="81" t="str">
        <f t="shared" si="4"/>
        <v>#DIV/0!</v>
      </c>
      <c r="N27" s="76"/>
      <c r="O27" s="83"/>
      <c r="P27" s="49"/>
      <c r="Q27" s="84"/>
      <c r="R27" s="84"/>
      <c r="S27" s="84"/>
      <c r="T27" s="84"/>
      <c r="U27" s="49"/>
      <c r="V27" s="85"/>
      <c r="W27" s="85"/>
      <c r="X27" s="85"/>
      <c r="Y27" s="86">
        <f t="shared" si="5"/>
        <v>0</v>
      </c>
      <c r="Z27" s="76"/>
      <c r="AA27" s="83"/>
      <c r="AB27" s="59"/>
      <c r="AC27" s="46"/>
      <c r="AD27" s="46"/>
      <c r="AE27" s="46"/>
      <c r="AF27" s="46"/>
      <c r="AG27" s="46"/>
      <c r="AH27" s="46"/>
      <c r="AI27" s="46"/>
      <c r="AJ27" s="46"/>
    </row>
    <row r="28" ht="25.5" customHeight="1">
      <c r="A28" s="61"/>
      <c r="B28" s="92" t="s">
        <v>173</v>
      </c>
      <c r="C28" s="93"/>
      <c r="D28" s="56"/>
      <c r="E28" s="57"/>
      <c r="F28" s="49"/>
      <c r="G28" s="94">
        <f>SUM(G8:G20,G25)</f>
        <v>3691</v>
      </c>
      <c r="H28" s="94">
        <f t="shared" ref="H28:I28" si="6">SUM(H8:H20,H26)</f>
        <v>5849</v>
      </c>
      <c r="I28" s="94">
        <f t="shared" si="6"/>
        <v>3515</v>
      </c>
      <c r="J28" s="95">
        <f t="shared" si="1"/>
        <v>0.9523164454</v>
      </c>
      <c r="K28" s="95">
        <f t="shared" si="2"/>
        <v>0.04768355459</v>
      </c>
      <c r="L28" s="95">
        <f t="shared" si="3"/>
        <v>0.6009574286</v>
      </c>
      <c r="M28" s="95">
        <f t="shared" si="4"/>
        <v>0.3990425714</v>
      </c>
      <c r="N28" s="76"/>
      <c r="O28" s="96" t="str">
        <f>MEDIAN(O8:O20,O26)</f>
        <v>#REF!</v>
      </c>
      <c r="P28" s="49"/>
      <c r="Q28" s="91">
        <f t="shared" ref="Q28:T28" si="7">SUM(Q8:Q26)</f>
        <v>3713780.66</v>
      </c>
      <c r="R28" s="91">
        <f t="shared" si="7"/>
        <v>2763869.54</v>
      </c>
      <c r="S28" s="91">
        <f t="shared" si="7"/>
        <v>2577863.2</v>
      </c>
      <c r="T28" s="91">
        <f t="shared" si="7"/>
        <v>304561.02</v>
      </c>
      <c r="U28" s="58"/>
      <c r="V28" s="97">
        <f t="shared" ref="V28:Y28" si="8">SUM(V8:V26)</f>
        <v>20</v>
      </c>
      <c r="W28" s="97">
        <f t="shared" si="8"/>
        <v>1298</v>
      </c>
      <c r="X28" s="97">
        <f t="shared" si="8"/>
        <v>2197</v>
      </c>
      <c r="Y28" s="97">
        <f t="shared" si="8"/>
        <v>3515</v>
      </c>
      <c r="Z28" s="76"/>
      <c r="AA28" s="96"/>
      <c r="AB28" s="59"/>
      <c r="AC28" s="46"/>
      <c r="AD28" s="46"/>
      <c r="AE28" s="46"/>
      <c r="AF28" s="46"/>
      <c r="AG28" s="46"/>
      <c r="AH28" s="46"/>
      <c r="AI28" s="46"/>
      <c r="AJ28" s="46"/>
    </row>
    <row r="29">
      <c r="A29" s="98"/>
      <c r="B29" s="68"/>
      <c r="C29" s="49"/>
      <c r="D29" s="49"/>
      <c r="E29" s="49"/>
      <c r="F29" s="68"/>
      <c r="G29" s="68"/>
      <c r="H29" s="68"/>
      <c r="I29" s="68"/>
      <c r="J29" s="99" t="s">
        <v>174</v>
      </c>
      <c r="M29" s="100"/>
      <c r="N29" s="49"/>
      <c r="O29" s="49"/>
      <c r="P29" s="49"/>
      <c r="Q29" s="49"/>
      <c r="R29" s="49"/>
      <c r="S29" s="49"/>
      <c r="T29" s="49"/>
      <c r="U29" s="49"/>
      <c r="V29" s="68"/>
      <c r="W29" s="49"/>
      <c r="X29" s="49"/>
      <c r="Y29" s="49"/>
      <c r="Z29" s="49"/>
      <c r="AA29" s="49"/>
      <c r="AB29" s="51"/>
      <c r="AC29" s="46"/>
      <c r="AD29" s="46"/>
      <c r="AE29" s="46"/>
      <c r="AF29" s="46"/>
      <c r="AG29" s="46"/>
      <c r="AH29" s="46"/>
      <c r="AI29" s="46"/>
      <c r="AJ29" s="46"/>
    </row>
    <row r="30">
      <c r="A30" s="98"/>
      <c r="B30" s="101"/>
      <c r="C30" s="49"/>
      <c r="D30" s="49"/>
      <c r="E30" s="49"/>
      <c r="F30" s="49"/>
      <c r="G30" s="49"/>
      <c r="H30" s="49"/>
      <c r="I30" s="49"/>
      <c r="J30" s="102"/>
      <c r="K30" s="103"/>
      <c r="L30" s="103"/>
      <c r="M30" s="104"/>
      <c r="N30" s="49"/>
      <c r="O30" s="49"/>
      <c r="P30" s="49"/>
      <c r="Q30" s="49"/>
      <c r="R30" s="49"/>
      <c r="S30" s="49"/>
      <c r="T30" s="49"/>
      <c r="U30" s="49"/>
      <c r="V30" s="49"/>
      <c r="W30" s="49"/>
      <c r="X30" s="49"/>
      <c r="Y30" s="49"/>
      <c r="Z30" s="49"/>
      <c r="AA30" s="49"/>
      <c r="AB30" s="51"/>
      <c r="AC30" s="46"/>
      <c r="AD30" s="46"/>
      <c r="AE30" s="46"/>
      <c r="AF30" s="46"/>
      <c r="AG30" s="46"/>
      <c r="AH30" s="46"/>
      <c r="AI30" s="46"/>
      <c r="AJ30" s="46"/>
    </row>
    <row r="31">
      <c r="A31" s="98"/>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51"/>
      <c r="AC31" s="46"/>
      <c r="AD31" s="46"/>
      <c r="AE31" s="46"/>
      <c r="AF31" s="46"/>
      <c r="AG31" s="46"/>
      <c r="AH31" s="46"/>
      <c r="AI31" s="46"/>
      <c r="AJ31" s="46"/>
    </row>
    <row r="32">
      <c r="A32" s="98"/>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51"/>
      <c r="AC32" s="46"/>
      <c r="AD32" s="46"/>
      <c r="AE32" s="46"/>
      <c r="AF32" s="46"/>
      <c r="AG32" s="46"/>
      <c r="AH32" s="46"/>
      <c r="AI32" s="46"/>
      <c r="AJ32" s="46"/>
    </row>
    <row r="33">
      <c r="A33" s="98"/>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51"/>
      <c r="AC33" s="46"/>
      <c r="AD33" s="46"/>
      <c r="AE33" s="46"/>
      <c r="AF33" s="46"/>
      <c r="AG33" s="46"/>
      <c r="AH33" s="46"/>
      <c r="AI33" s="46"/>
      <c r="AJ33" s="46"/>
    </row>
    <row r="34">
      <c r="A34" s="98"/>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51"/>
      <c r="AC34" s="46"/>
      <c r="AD34" s="46"/>
      <c r="AE34" s="46"/>
      <c r="AF34" s="46"/>
      <c r="AG34" s="46"/>
      <c r="AH34" s="46"/>
      <c r="AI34" s="46"/>
      <c r="AJ34" s="46"/>
    </row>
    <row r="35">
      <c r="A35" s="98"/>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51"/>
      <c r="AC35" s="46"/>
      <c r="AD35" s="46"/>
      <c r="AE35" s="46"/>
      <c r="AF35" s="46"/>
      <c r="AG35" s="46"/>
      <c r="AH35" s="46"/>
      <c r="AI35" s="46"/>
      <c r="AJ35" s="46"/>
    </row>
    <row r="36">
      <c r="A36" s="98"/>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51"/>
      <c r="AC36" s="46"/>
      <c r="AD36" s="46"/>
      <c r="AE36" s="46"/>
      <c r="AF36" s="46"/>
      <c r="AG36" s="46"/>
      <c r="AH36" s="46"/>
      <c r="AI36" s="46"/>
      <c r="AJ36" s="46"/>
    </row>
    <row r="37">
      <c r="A37" s="98"/>
      <c r="B37" s="49"/>
      <c r="C37" s="49"/>
      <c r="D37" s="49"/>
      <c r="E37" s="49"/>
      <c r="F37" s="49"/>
      <c r="G37" s="49"/>
      <c r="H37" s="49"/>
      <c r="I37" s="49"/>
      <c r="J37" s="49"/>
      <c r="K37" s="49"/>
      <c r="L37" s="49"/>
      <c r="M37" s="49"/>
      <c r="N37" s="49"/>
      <c r="O37" s="49"/>
      <c r="P37" s="49"/>
      <c r="Q37" s="49"/>
      <c r="R37" s="49"/>
      <c r="S37" s="49"/>
      <c r="T37" s="49"/>
      <c r="U37" s="49"/>
      <c r="V37" s="49"/>
      <c r="W37" s="49"/>
      <c r="X37" s="49"/>
      <c r="Y37" s="49"/>
      <c r="Z37" s="49"/>
      <c r="AA37" s="49"/>
      <c r="AB37" s="51"/>
      <c r="AC37" s="46"/>
      <c r="AD37" s="46"/>
      <c r="AE37" s="46"/>
      <c r="AF37" s="46"/>
      <c r="AG37" s="46"/>
      <c r="AH37" s="46"/>
      <c r="AI37" s="46"/>
      <c r="AJ37" s="46"/>
    </row>
    <row r="38">
      <c r="A38" s="98"/>
      <c r="B38" s="49"/>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51"/>
      <c r="AC38" s="46"/>
      <c r="AD38" s="46"/>
      <c r="AE38" s="46"/>
      <c r="AF38" s="46"/>
      <c r="AG38" s="46"/>
      <c r="AH38" s="46"/>
      <c r="AI38" s="46"/>
      <c r="AJ38" s="46"/>
    </row>
    <row r="39">
      <c r="A39" s="98"/>
      <c r="B39" s="49"/>
      <c r="C39" s="49"/>
      <c r="D39" s="49"/>
      <c r="E39" s="49"/>
      <c r="F39" s="49"/>
      <c r="G39" s="49"/>
      <c r="H39" s="49"/>
      <c r="I39" s="49"/>
      <c r="J39" s="49"/>
      <c r="K39" s="49"/>
      <c r="L39" s="49"/>
      <c r="M39" s="49"/>
      <c r="N39" s="49"/>
      <c r="O39" s="49"/>
      <c r="P39" s="49"/>
      <c r="Q39" s="49"/>
      <c r="R39" s="49"/>
      <c r="S39" s="49"/>
      <c r="T39" s="49"/>
      <c r="U39" s="49"/>
      <c r="V39" s="49"/>
      <c r="W39" s="49"/>
      <c r="X39" s="49"/>
      <c r="Y39" s="49"/>
      <c r="Z39" s="49"/>
      <c r="AA39" s="49"/>
      <c r="AB39" s="51"/>
      <c r="AC39" s="46"/>
      <c r="AD39" s="46"/>
      <c r="AE39" s="46"/>
      <c r="AF39" s="46"/>
      <c r="AG39" s="46"/>
      <c r="AH39" s="46"/>
      <c r="AI39" s="46"/>
      <c r="AJ39" s="46"/>
    </row>
    <row r="40">
      <c r="A40" s="98"/>
      <c r="B40" s="49"/>
      <c r="C40" s="49"/>
      <c r="D40" s="49"/>
      <c r="E40" s="49"/>
      <c r="F40" s="49"/>
      <c r="G40" s="49"/>
      <c r="H40" s="49"/>
      <c r="I40" s="49"/>
      <c r="J40" s="49"/>
      <c r="K40" s="49"/>
      <c r="L40" s="49"/>
      <c r="M40" s="49"/>
      <c r="N40" s="49"/>
      <c r="O40" s="49"/>
      <c r="P40" s="49"/>
      <c r="Q40" s="49"/>
      <c r="R40" s="49"/>
      <c r="S40" s="49"/>
      <c r="T40" s="49"/>
      <c r="U40" s="49"/>
      <c r="V40" s="49"/>
      <c r="W40" s="49"/>
      <c r="X40" s="49"/>
      <c r="Y40" s="49"/>
      <c r="Z40" s="49"/>
      <c r="AA40" s="49"/>
      <c r="AB40" s="51"/>
      <c r="AC40" s="46"/>
      <c r="AD40" s="46"/>
      <c r="AE40" s="46"/>
      <c r="AF40" s="46"/>
      <c r="AG40" s="46"/>
      <c r="AH40" s="46"/>
      <c r="AI40" s="46"/>
      <c r="AJ40" s="46"/>
    </row>
    <row r="41">
      <c r="A41" s="98"/>
      <c r="B41" s="49"/>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51"/>
      <c r="AC41" s="46"/>
      <c r="AD41" s="46"/>
      <c r="AE41" s="46"/>
      <c r="AF41" s="46"/>
      <c r="AG41" s="46"/>
      <c r="AH41" s="46"/>
      <c r="AI41" s="46"/>
      <c r="AJ41" s="46"/>
    </row>
    <row r="42">
      <c r="A42" s="98"/>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51"/>
      <c r="AC42" s="46"/>
      <c r="AD42" s="46"/>
      <c r="AE42" s="46"/>
      <c r="AF42" s="46"/>
      <c r="AG42" s="46"/>
      <c r="AH42" s="46"/>
      <c r="AI42" s="46"/>
      <c r="AJ42" s="46"/>
    </row>
    <row r="43">
      <c r="A43" s="98"/>
      <c r="B43" s="49"/>
      <c r="C43" s="49"/>
      <c r="D43" s="49"/>
      <c r="E43" s="49"/>
      <c r="F43" s="49"/>
      <c r="G43" s="49"/>
      <c r="H43" s="49"/>
      <c r="I43" s="49"/>
      <c r="J43" s="49"/>
      <c r="K43" s="49"/>
      <c r="L43" s="49"/>
      <c r="M43" s="49"/>
      <c r="N43" s="49"/>
      <c r="O43" s="49"/>
      <c r="P43" s="49"/>
      <c r="Q43" s="49"/>
      <c r="R43" s="49"/>
      <c r="S43" s="49"/>
      <c r="T43" s="49"/>
      <c r="U43" s="49"/>
      <c r="V43" s="49"/>
      <c r="W43" s="49"/>
      <c r="X43" s="49"/>
      <c r="Y43" s="49"/>
      <c r="Z43" s="49"/>
      <c r="AA43" s="49"/>
      <c r="AB43" s="51"/>
      <c r="AC43" s="46"/>
      <c r="AD43" s="46"/>
      <c r="AE43" s="46"/>
      <c r="AF43" s="46"/>
      <c r="AG43" s="46"/>
      <c r="AH43" s="46"/>
      <c r="AI43" s="46"/>
      <c r="AJ43" s="46"/>
    </row>
    <row r="44">
      <c r="A44" s="98"/>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51"/>
      <c r="AC44" s="46"/>
      <c r="AD44" s="46"/>
      <c r="AE44" s="46"/>
      <c r="AF44" s="46"/>
      <c r="AG44" s="46"/>
      <c r="AH44" s="46"/>
      <c r="AI44" s="46"/>
      <c r="AJ44" s="46"/>
    </row>
    <row r="45">
      <c r="A45" s="98"/>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51"/>
      <c r="AC45" s="46"/>
      <c r="AD45" s="46"/>
      <c r="AE45" s="46"/>
      <c r="AF45" s="46"/>
      <c r="AG45" s="46"/>
      <c r="AH45" s="46"/>
      <c r="AI45" s="46"/>
      <c r="AJ45" s="46"/>
    </row>
    <row r="46">
      <c r="A46" s="98"/>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51"/>
      <c r="AC46" s="46"/>
      <c r="AD46" s="46"/>
      <c r="AE46" s="46"/>
      <c r="AF46" s="46"/>
      <c r="AG46" s="46"/>
      <c r="AH46" s="46"/>
      <c r="AI46" s="46"/>
      <c r="AJ46" s="46"/>
    </row>
    <row r="47">
      <c r="A47" s="98"/>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51"/>
      <c r="AC47" s="46"/>
      <c r="AD47" s="46"/>
      <c r="AE47" s="46"/>
      <c r="AF47" s="46"/>
      <c r="AG47" s="46"/>
      <c r="AH47" s="46"/>
      <c r="AI47" s="46"/>
      <c r="AJ47" s="46"/>
    </row>
    <row r="48">
      <c r="A48" s="98"/>
      <c r="B48" s="49"/>
      <c r="C48" s="49"/>
      <c r="D48" s="49"/>
      <c r="E48" s="49"/>
      <c r="F48" s="49"/>
      <c r="G48" s="49"/>
      <c r="H48" s="49"/>
      <c r="I48" s="49"/>
      <c r="J48" s="49"/>
      <c r="K48" s="49"/>
      <c r="L48" s="49"/>
      <c r="M48" s="49"/>
      <c r="N48" s="49"/>
      <c r="O48" s="49"/>
      <c r="P48" s="49"/>
      <c r="Q48" s="49"/>
      <c r="R48" s="49"/>
      <c r="S48" s="49"/>
      <c r="T48" s="49"/>
      <c r="U48" s="49"/>
      <c r="V48" s="49"/>
      <c r="W48" s="49"/>
      <c r="X48" s="49"/>
      <c r="Y48" s="49"/>
      <c r="Z48" s="49"/>
      <c r="AA48" s="49"/>
      <c r="AB48" s="51"/>
      <c r="AC48" s="46"/>
      <c r="AD48" s="46"/>
      <c r="AE48" s="46"/>
      <c r="AF48" s="46"/>
      <c r="AG48" s="46"/>
      <c r="AH48" s="46"/>
      <c r="AI48" s="46"/>
      <c r="AJ48" s="46"/>
    </row>
    <row r="49">
      <c r="A49" s="98"/>
      <c r="B49" s="49"/>
      <c r="C49" s="49"/>
      <c r="D49" s="49"/>
      <c r="E49" s="49"/>
      <c r="F49" s="49"/>
      <c r="G49" s="49"/>
      <c r="H49" s="49"/>
      <c r="I49" s="49"/>
      <c r="J49" s="49"/>
      <c r="K49" s="49"/>
      <c r="L49" s="49"/>
      <c r="M49" s="49"/>
      <c r="N49" s="49"/>
      <c r="O49" s="49"/>
      <c r="P49" s="49"/>
      <c r="Q49" s="49"/>
      <c r="R49" s="49"/>
      <c r="S49" s="49"/>
      <c r="T49" s="49"/>
      <c r="U49" s="49"/>
      <c r="V49" s="49"/>
      <c r="W49" s="49"/>
      <c r="X49" s="49"/>
      <c r="Y49" s="49"/>
      <c r="Z49" s="49"/>
      <c r="AA49" s="49"/>
      <c r="AB49" s="51"/>
      <c r="AC49" s="46"/>
      <c r="AD49" s="46"/>
      <c r="AE49" s="46"/>
      <c r="AF49" s="46"/>
      <c r="AG49" s="46"/>
      <c r="AH49" s="46"/>
      <c r="AI49" s="46"/>
      <c r="AJ49" s="46"/>
    </row>
    <row r="50">
      <c r="A50" s="98"/>
      <c r="B50" s="49"/>
      <c r="C50" s="49"/>
      <c r="D50" s="49"/>
      <c r="E50" s="49"/>
      <c r="F50" s="49"/>
      <c r="G50" s="49"/>
      <c r="H50" s="49"/>
      <c r="I50" s="49"/>
      <c r="J50" s="49"/>
      <c r="K50" s="49"/>
      <c r="L50" s="49"/>
      <c r="M50" s="49"/>
      <c r="N50" s="49"/>
      <c r="O50" s="49"/>
      <c r="P50" s="49"/>
      <c r="Q50" s="49"/>
      <c r="R50" s="49"/>
      <c r="S50" s="49"/>
      <c r="T50" s="49"/>
      <c r="U50" s="49"/>
      <c r="V50" s="49"/>
      <c r="W50" s="49"/>
      <c r="X50" s="49"/>
      <c r="Y50" s="49"/>
      <c r="Z50" s="49"/>
      <c r="AA50" s="49"/>
      <c r="AB50" s="51"/>
      <c r="AC50" s="46"/>
      <c r="AD50" s="46"/>
      <c r="AE50" s="46"/>
      <c r="AF50" s="46"/>
      <c r="AG50" s="46"/>
      <c r="AH50" s="46"/>
      <c r="AI50" s="46"/>
      <c r="AJ50" s="46"/>
    </row>
    <row r="51">
      <c r="A51" s="98"/>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51"/>
      <c r="AC51" s="46"/>
      <c r="AD51" s="46"/>
      <c r="AE51" s="46"/>
      <c r="AF51" s="46"/>
      <c r="AG51" s="46"/>
      <c r="AH51" s="46"/>
      <c r="AI51" s="46"/>
      <c r="AJ51" s="46"/>
    </row>
    <row r="52">
      <c r="A52" s="98"/>
      <c r="B52" s="49"/>
      <c r="C52" s="49"/>
      <c r="D52" s="49"/>
      <c r="E52" s="49"/>
      <c r="F52" s="49"/>
      <c r="G52" s="49"/>
      <c r="H52" s="49"/>
      <c r="I52" s="49"/>
      <c r="J52" s="49"/>
      <c r="K52" s="49"/>
      <c r="L52" s="49"/>
      <c r="M52" s="49"/>
      <c r="N52" s="49"/>
      <c r="O52" s="49"/>
      <c r="P52" s="49"/>
      <c r="Q52" s="49"/>
      <c r="R52" s="49"/>
      <c r="S52" s="49"/>
      <c r="T52" s="49"/>
      <c r="U52" s="49"/>
      <c r="V52" s="49"/>
      <c r="W52" s="49"/>
      <c r="X52" s="49"/>
      <c r="Y52" s="49"/>
      <c r="Z52" s="49"/>
      <c r="AA52" s="49"/>
      <c r="AB52" s="51"/>
      <c r="AC52" s="46"/>
      <c r="AD52" s="46"/>
      <c r="AE52" s="46"/>
      <c r="AF52" s="46"/>
      <c r="AG52" s="46"/>
      <c r="AH52" s="46"/>
      <c r="AI52" s="46"/>
      <c r="AJ52" s="46"/>
    </row>
    <row r="53">
      <c r="A53" s="98"/>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51"/>
      <c r="AC53" s="46"/>
      <c r="AD53" s="46"/>
      <c r="AE53" s="46"/>
      <c r="AF53" s="46"/>
      <c r="AG53" s="46"/>
      <c r="AH53" s="46"/>
      <c r="AI53" s="46"/>
      <c r="AJ53" s="46"/>
    </row>
    <row r="54">
      <c r="A54" s="98"/>
      <c r="B54" s="49"/>
      <c r="C54" s="49"/>
      <c r="D54" s="49"/>
      <c r="E54" s="49"/>
      <c r="F54" s="49"/>
      <c r="G54" s="49"/>
      <c r="H54" s="49"/>
      <c r="I54" s="49"/>
      <c r="J54" s="49"/>
      <c r="K54" s="49"/>
      <c r="L54" s="49"/>
      <c r="M54" s="49"/>
      <c r="N54" s="49"/>
      <c r="O54" s="49"/>
      <c r="P54" s="49"/>
      <c r="Q54" s="49"/>
      <c r="R54" s="49"/>
      <c r="S54" s="49"/>
      <c r="T54" s="49"/>
      <c r="U54" s="49"/>
      <c r="V54" s="49"/>
      <c r="W54" s="49"/>
      <c r="X54" s="49"/>
      <c r="Y54" s="49"/>
      <c r="Z54" s="49"/>
      <c r="AA54" s="49"/>
      <c r="AB54" s="51"/>
      <c r="AC54" s="46"/>
      <c r="AD54" s="46"/>
      <c r="AE54" s="46"/>
      <c r="AF54" s="46"/>
      <c r="AG54" s="46"/>
      <c r="AH54" s="46"/>
      <c r="AI54" s="46"/>
      <c r="AJ54" s="46"/>
    </row>
    <row r="55">
      <c r="A55" s="98"/>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51"/>
      <c r="AC55" s="46"/>
      <c r="AD55" s="46"/>
      <c r="AE55" s="46"/>
      <c r="AF55" s="46"/>
      <c r="AG55" s="46"/>
      <c r="AH55" s="46"/>
      <c r="AI55" s="46"/>
      <c r="AJ55" s="46"/>
    </row>
    <row r="56">
      <c r="A56" s="98"/>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51"/>
      <c r="AC56" s="46"/>
      <c r="AD56" s="46"/>
      <c r="AE56" s="46"/>
      <c r="AF56" s="46"/>
      <c r="AG56" s="46"/>
      <c r="AH56" s="46"/>
      <c r="AI56" s="46"/>
      <c r="AJ56" s="46"/>
    </row>
    <row r="57">
      <c r="A57" s="98"/>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51"/>
      <c r="AC57" s="46"/>
      <c r="AD57" s="46"/>
      <c r="AE57" s="46"/>
      <c r="AF57" s="46"/>
      <c r="AG57" s="46"/>
      <c r="AH57" s="46"/>
      <c r="AI57" s="46"/>
      <c r="AJ57" s="46"/>
    </row>
    <row r="58">
      <c r="A58" s="98"/>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51"/>
      <c r="AC58" s="46"/>
      <c r="AD58" s="46"/>
      <c r="AE58" s="46"/>
      <c r="AF58" s="46"/>
      <c r="AG58" s="46"/>
      <c r="AH58" s="46"/>
      <c r="AI58" s="46"/>
      <c r="AJ58" s="46"/>
    </row>
    <row r="59">
      <c r="A59" s="98"/>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51"/>
      <c r="AC59" s="46"/>
      <c r="AD59" s="46"/>
      <c r="AE59" s="46"/>
      <c r="AF59" s="46"/>
      <c r="AG59" s="46"/>
      <c r="AH59" s="46"/>
      <c r="AI59" s="46"/>
      <c r="AJ59" s="46"/>
    </row>
    <row r="60">
      <c r="A60" s="98"/>
      <c r="B60" s="49"/>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51"/>
      <c r="AC60" s="46"/>
      <c r="AD60" s="46"/>
      <c r="AE60" s="46"/>
      <c r="AF60" s="46"/>
      <c r="AG60" s="46"/>
      <c r="AH60" s="46"/>
      <c r="AI60" s="46"/>
      <c r="AJ60" s="46"/>
    </row>
    <row r="61">
      <c r="A61" s="98"/>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51"/>
      <c r="AC61" s="46"/>
      <c r="AD61" s="46"/>
      <c r="AE61" s="46"/>
      <c r="AF61" s="46"/>
      <c r="AG61" s="46"/>
      <c r="AH61" s="46"/>
      <c r="AI61" s="46"/>
      <c r="AJ61" s="46"/>
    </row>
    <row r="62">
      <c r="A62" s="98"/>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51"/>
      <c r="AC62" s="46"/>
      <c r="AD62" s="46"/>
      <c r="AE62" s="46"/>
      <c r="AF62" s="46"/>
      <c r="AG62" s="46"/>
      <c r="AH62" s="46"/>
      <c r="AI62" s="46"/>
      <c r="AJ62" s="46"/>
    </row>
    <row r="63">
      <c r="A63" s="98"/>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51"/>
      <c r="AC63" s="46"/>
      <c r="AD63" s="46"/>
      <c r="AE63" s="46"/>
      <c r="AF63" s="46"/>
      <c r="AG63" s="46"/>
      <c r="AH63" s="46"/>
      <c r="AI63" s="46"/>
      <c r="AJ63" s="46"/>
    </row>
    <row r="64">
      <c r="A64" s="98"/>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51"/>
      <c r="AC64" s="46"/>
      <c r="AD64" s="46"/>
      <c r="AE64" s="46"/>
      <c r="AF64" s="46"/>
      <c r="AG64" s="46"/>
      <c r="AH64" s="46"/>
      <c r="AI64" s="46"/>
      <c r="AJ64" s="46"/>
    </row>
    <row r="65">
      <c r="A65" s="98"/>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51"/>
      <c r="AC65" s="46"/>
      <c r="AD65" s="46"/>
      <c r="AE65" s="46"/>
      <c r="AF65" s="46"/>
      <c r="AG65" s="46"/>
      <c r="AH65" s="46"/>
      <c r="AI65" s="46"/>
      <c r="AJ65" s="46"/>
    </row>
    <row r="66">
      <c r="A66" s="98"/>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51"/>
      <c r="AC66" s="46"/>
      <c r="AD66" s="46"/>
      <c r="AE66" s="46"/>
      <c r="AF66" s="46"/>
      <c r="AG66" s="46"/>
      <c r="AH66" s="46"/>
      <c r="AI66" s="46"/>
      <c r="AJ66" s="46"/>
    </row>
    <row r="67">
      <c r="A67" s="98"/>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51"/>
      <c r="AC67" s="46"/>
      <c r="AD67" s="46"/>
      <c r="AE67" s="46"/>
      <c r="AF67" s="46"/>
      <c r="AG67" s="46"/>
      <c r="AH67" s="46"/>
      <c r="AI67" s="46"/>
      <c r="AJ67" s="46"/>
    </row>
    <row r="68">
      <c r="A68" s="98"/>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51"/>
      <c r="AC68" s="46"/>
      <c r="AD68" s="46"/>
      <c r="AE68" s="46"/>
      <c r="AF68" s="46"/>
      <c r="AG68" s="46"/>
      <c r="AH68" s="46"/>
      <c r="AI68" s="46"/>
      <c r="AJ68" s="46"/>
    </row>
    <row r="69">
      <c r="A69" s="98"/>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51"/>
      <c r="AC69" s="46"/>
      <c r="AD69" s="46"/>
      <c r="AE69" s="46"/>
      <c r="AF69" s="46"/>
      <c r="AG69" s="46"/>
      <c r="AH69" s="46"/>
      <c r="AI69" s="46"/>
      <c r="AJ69" s="46"/>
    </row>
    <row r="70">
      <c r="A70" s="98"/>
      <c r="B70" s="49"/>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51"/>
      <c r="AC70" s="46"/>
      <c r="AD70" s="46"/>
      <c r="AE70" s="46"/>
      <c r="AF70" s="46"/>
      <c r="AG70" s="46"/>
      <c r="AH70" s="46"/>
      <c r="AI70" s="46"/>
      <c r="AJ70" s="46"/>
    </row>
    <row r="71">
      <c r="A71" s="98"/>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51"/>
      <c r="AC71" s="46"/>
      <c r="AD71" s="46"/>
      <c r="AE71" s="46"/>
      <c r="AF71" s="46"/>
      <c r="AG71" s="46"/>
      <c r="AH71" s="46"/>
      <c r="AI71" s="46"/>
      <c r="AJ71" s="46"/>
    </row>
    <row r="72">
      <c r="A72" s="98"/>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51"/>
      <c r="AC72" s="46"/>
      <c r="AD72" s="46"/>
      <c r="AE72" s="46"/>
      <c r="AF72" s="46"/>
      <c r="AG72" s="46"/>
      <c r="AH72" s="46"/>
      <c r="AI72" s="46"/>
      <c r="AJ72" s="46"/>
    </row>
    <row r="73">
      <c r="A73" s="98"/>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51"/>
      <c r="AC73" s="46"/>
      <c r="AD73" s="46"/>
      <c r="AE73" s="46"/>
      <c r="AF73" s="46"/>
      <c r="AG73" s="46"/>
      <c r="AH73" s="46"/>
      <c r="AI73" s="46"/>
      <c r="AJ73" s="46"/>
    </row>
    <row r="74">
      <c r="A74" s="98"/>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51"/>
      <c r="AC74" s="46"/>
      <c r="AD74" s="46"/>
      <c r="AE74" s="46"/>
      <c r="AF74" s="46"/>
      <c r="AG74" s="46"/>
      <c r="AH74" s="46"/>
      <c r="AI74" s="46"/>
      <c r="AJ74" s="46"/>
    </row>
    <row r="75">
      <c r="A75" s="98"/>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51"/>
      <c r="AC75" s="46"/>
      <c r="AD75" s="46"/>
      <c r="AE75" s="46"/>
      <c r="AF75" s="46"/>
      <c r="AG75" s="46"/>
      <c r="AH75" s="46"/>
      <c r="AI75" s="46"/>
      <c r="AJ75" s="46"/>
    </row>
    <row r="76">
      <c r="A76" s="98"/>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51"/>
      <c r="AC76" s="46"/>
      <c r="AD76" s="46"/>
      <c r="AE76" s="46"/>
      <c r="AF76" s="46"/>
      <c r="AG76" s="46"/>
      <c r="AH76" s="46"/>
      <c r="AI76" s="46"/>
      <c r="AJ76" s="46"/>
    </row>
    <row r="77">
      <c r="A77" s="98"/>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51"/>
      <c r="AC77" s="46"/>
      <c r="AD77" s="46"/>
      <c r="AE77" s="46"/>
      <c r="AF77" s="46"/>
      <c r="AG77" s="46"/>
      <c r="AH77" s="46"/>
      <c r="AI77" s="46"/>
      <c r="AJ77" s="46"/>
    </row>
    <row r="78">
      <c r="A78" s="98"/>
      <c r="B78" s="49"/>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51"/>
      <c r="AC78" s="46"/>
      <c r="AD78" s="46"/>
      <c r="AE78" s="46"/>
      <c r="AF78" s="46"/>
      <c r="AG78" s="46"/>
      <c r="AH78" s="46"/>
      <c r="AI78" s="46"/>
      <c r="AJ78" s="46"/>
    </row>
    <row r="79">
      <c r="A79" s="98"/>
      <c r="B79" s="49"/>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51"/>
      <c r="AC79" s="46"/>
      <c r="AD79" s="46"/>
      <c r="AE79" s="46"/>
      <c r="AF79" s="46"/>
      <c r="AG79" s="46"/>
      <c r="AH79" s="46"/>
      <c r="AI79" s="46"/>
      <c r="AJ79" s="46"/>
    </row>
    <row r="80">
      <c r="A80" s="98"/>
      <c r="B80" s="49"/>
      <c r="C80" s="49"/>
      <c r="D80" s="49"/>
      <c r="E80" s="49"/>
      <c r="F80" s="49"/>
      <c r="G80" s="49"/>
      <c r="H80" s="49"/>
      <c r="I80" s="49"/>
      <c r="J80" s="49"/>
      <c r="K80" s="49"/>
      <c r="L80" s="49"/>
      <c r="M80" s="49"/>
      <c r="N80" s="49"/>
      <c r="O80" s="49"/>
      <c r="P80" s="49"/>
      <c r="Q80" s="49"/>
      <c r="R80" s="49"/>
      <c r="S80" s="49"/>
      <c r="T80" s="49"/>
      <c r="U80" s="49"/>
      <c r="V80" s="49"/>
      <c r="W80" s="49"/>
      <c r="X80" s="49"/>
      <c r="Y80" s="49"/>
      <c r="Z80" s="49"/>
      <c r="AA80" s="49"/>
      <c r="AB80" s="51"/>
      <c r="AC80" s="46"/>
      <c r="AD80" s="46"/>
      <c r="AE80" s="46"/>
      <c r="AF80" s="46"/>
      <c r="AG80" s="46"/>
      <c r="AH80" s="46"/>
      <c r="AI80" s="46"/>
      <c r="AJ80" s="46"/>
    </row>
    <row r="81">
      <c r="A81" s="98"/>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c r="AB81" s="51"/>
      <c r="AC81" s="46"/>
      <c r="AD81" s="46"/>
      <c r="AE81" s="46"/>
      <c r="AF81" s="46"/>
      <c r="AG81" s="46"/>
      <c r="AH81" s="46"/>
      <c r="AI81" s="46"/>
      <c r="AJ81" s="46"/>
    </row>
    <row r="82">
      <c r="A82" s="98"/>
      <c r="B82" s="49"/>
      <c r="C82" s="49"/>
      <c r="D82" s="49"/>
      <c r="E82" s="49"/>
      <c r="F82" s="49"/>
      <c r="G82" s="49"/>
      <c r="H82" s="49"/>
      <c r="I82" s="49"/>
      <c r="J82" s="49"/>
      <c r="K82" s="49"/>
      <c r="L82" s="49"/>
      <c r="M82" s="49"/>
      <c r="N82" s="49"/>
      <c r="O82" s="49"/>
      <c r="P82" s="49"/>
      <c r="Q82" s="49"/>
      <c r="R82" s="49"/>
      <c r="S82" s="49"/>
      <c r="T82" s="49"/>
      <c r="U82" s="49"/>
      <c r="V82" s="49"/>
      <c r="W82" s="49"/>
      <c r="X82" s="49"/>
      <c r="Y82" s="49"/>
      <c r="Z82" s="49"/>
      <c r="AA82" s="49"/>
      <c r="AB82" s="51"/>
      <c r="AC82" s="46"/>
      <c r="AD82" s="46"/>
      <c r="AE82" s="46"/>
      <c r="AF82" s="46"/>
      <c r="AG82" s="46"/>
      <c r="AH82" s="46"/>
      <c r="AI82" s="46"/>
      <c r="AJ82" s="46"/>
    </row>
    <row r="83">
      <c r="A83" s="105"/>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7"/>
      <c r="AC83" s="46"/>
      <c r="AD83" s="46"/>
      <c r="AE83" s="46"/>
      <c r="AF83" s="46"/>
      <c r="AG83" s="46"/>
      <c r="AH83" s="46"/>
      <c r="AI83" s="46"/>
      <c r="AJ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row>
    <row r="86">
      <c r="A86" s="46"/>
      <c r="B86" s="46"/>
      <c r="C86" s="46"/>
      <c r="D86" s="46"/>
      <c r="E86" s="46"/>
      <c r="F86" s="46"/>
      <c r="G86" s="60"/>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row>
    <row r="87">
      <c r="A87" s="46"/>
      <c r="B87" s="46"/>
      <c r="C87" s="46"/>
      <c r="D87" s="46"/>
      <c r="E87" s="46"/>
      <c r="F87" s="46"/>
      <c r="G87" s="60"/>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row>
    <row r="88">
      <c r="A88" s="46"/>
      <c r="B88" s="46"/>
      <c r="C88" s="46"/>
      <c r="D88" s="46"/>
      <c r="E88" s="46"/>
      <c r="F88" s="46"/>
      <c r="G88" s="60"/>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row>
    <row r="89">
      <c r="A89" s="46"/>
      <c r="B89" s="46"/>
      <c r="C89" s="46"/>
      <c r="D89" s="46"/>
      <c r="E89" s="46"/>
      <c r="F89" s="46"/>
      <c r="G89" s="46"/>
      <c r="H89" s="46"/>
      <c r="I89" s="46"/>
      <c r="J89" s="46"/>
      <c r="K89" s="46"/>
      <c r="L89" s="46"/>
      <c r="M89" s="46"/>
      <c r="N89" s="46"/>
      <c r="O89" s="46"/>
      <c r="P89" s="46"/>
      <c r="Q89" s="46"/>
      <c r="R89" s="46"/>
      <c r="S89" s="46"/>
      <c r="T89" s="46"/>
      <c r="U89" s="46"/>
      <c r="V89" s="46"/>
      <c r="W89" s="60"/>
      <c r="X89" s="46"/>
      <c r="Y89" s="46"/>
      <c r="Z89" s="46"/>
      <c r="AA89" s="46"/>
      <c r="AB89" s="46"/>
      <c r="AC89" s="46"/>
      <c r="AD89" s="46"/>
      <c r="AE89" s="46"/>
      <c r="AF89" s="46"/>
      <c r="AG89" s="46"/>
      <c r="AH89" s="46"/>
      <c r="AI89" s="46"/>
      <c r="AJ89" s="46"/>
    </row>
    <row r="90">
      <c r="A90" s="46"/>
      <c r="B90" s="46"/>
      <c r="C90" s="46"/>
      <c r="D90" s="46"/>
      <c r="E90" s="46"/>
      <c r="F90" s="46"/>
      <c r="G90" s="46"/>
      <c r="H90" s="46"/>
      <c r="I90" s="46"/>
      <c r="J90" s="46"/>
      <c r="K90" s="46"/>
      <c r="L90" s="46"/>
      <c r="M90" s="46"/>
      <c r="N90" s="46"/>
      <c r="O90" s="46"/>
      <c r="P90" s="46"/>
      <c r="Q90" s="46"/>
      <c r="R90" s="46"/>
      <c r="S90" s="46"/>
      <c r="T90" s="46"/>
      <c r="U90" s="46"/>
      <c r="V90" s="46"/>
      <c r="W90" s="60"/>
      <c r="X90" s="46"/>
      <c r="Y90" s="46"/>
      <c r="Z90" s="46"/>
      <c r="AA90" s="46"/>
      <c r="AB90" s="46"/>
      <c r="AC90" s="46"/>
      <c r="AD90" s="46"/>
      <c r="AE90" s="46"/>
      <c r="AF90" s="46"/>
      <c r="AG90" s="46"/>
      <c r="AH90" s="46"/>
      <c r="AI90" s="46"/>
      <c r="AJ90" s="46"/>
    </row>
    <row r="91">
      <c r="A91" s="46"/>
      <c r="B91" s="46"/>
      <c r="C91" s="46"/>
      <c r="D91" s="46"/>
      <c r="E91" s="46"/>
      <c r="F91" s="46"/>
      <c r="G91" s="46"/>
      <c r="H91" s="46"/>
      <c r="I91" s="46"/>
      <c r="J91" s="46"/>
      <c r="K91" s="46"/>
      <c r="L91" s="46"/>
      <c r="M91" s="46"/>
      <c r="N91" s="46"/>
      <c r="O91" s="46"/>
      <c r="P91" s="46"/>
      <c r="Q91" s="46"/>
      <c r="R91" s="46"/>
      <c r="S91" s="46"/>
      <c r="T91" s="46"/>
      <c r="U91" s="46"/>
      <c r="V91" s="46"/>
      <c r="W91" s="60"/>
      <c r="X91" s="46"/>
      <c r="Y91" s="46"/>
      <c r="Z91" s="46"/>
      <c r="AA91" s="46"/>
      <c r="AB91" s="46"/>
      <c r="AC91" s="46"/>
      <c r="AD91" s="46"/>
      <c r="AE91" s="46"/>
      <c r="AF91" s="46"/>
      <c r="AG91" s="46"/>
      <c r="AH91" s="46"/>
      <c r="AI91" s="46"/>
      <c r="AJ91" s="46"/>
    </row>
    <row r="92">
      <c r="A92" s="46"/>
      <c r="B92" s="46"/>
      <c r="C92" s="46"/>
      <c r="D92" s="46"/>
      <c r="E92" s="46"/>
      <c r="F92" s="46"/>
      <c r="G92" s="46"/>
      <c r="H92" s="46"/>
      <c r="I92" s="46"/>
      <c r="J92" s="46"/>
      <c r="K92" s="46"/>
      <c r="L92" s="46"/>
      <c r="M92" s="46"/>
      <c r="N92" s="46"/>
      <c r="O92" s="46"/>
      <c r="P92" s="46"/>
      <c r="Q92" s="46"/>
      <c r="R92" s="46"/>
      <c r="S92" s="46"/>
      <c r="T92" s="46"/>
      <c r="U92" s="46"/>
      <c r="V92" s="46"/>
      <c r="W92" s="60"/>
      <c r="X92" s="46"/>
      <c r="Y92" s="46"/>
      <c r="Z92" s="46"/>
      <c r="AA92" s="46"/>
      <c r="AB92" s="46"/>
      <c r="AC92" s="46"/>
      <c r="AD92" s="46"/>
      <c r="AE92" s="46"/>
      <c r="AF92" s="46"/>
      <c r="AG92" s="46"/>
      <c r="AH92" s="46"/>
      <c r="AI92" s="46"/>
      <c r="AJ92" s="46"/>
    </row>
    <row r="93">
      <c r="A93" s="46"/>
      <c r="B93" s="46"/>
      <c r="C93" s="46"/>
      <c r="D93" s="46"/>
      <c r="E93" s="46"/>
      <c r="F93" s="46"/>
      <c r="G93" s="46"/>
      <c r="H93" s="46"/>
      <c r="I93" s="46"/>
      <c r="J93" s="46"/>
      <c r="K93" s="46"/>
      <c r="L93" s="46"/>
      <c r="M93" s="46"/>
      <c r="N93" s="46"/>
      <c r="O93" s="46"/>
      <c r="P93" s="46"/>
      <c r="Q93" s="46"/>
      <c r="R93" s="46"/>
      <c r="S93" s="46"/>
      <c r="T93" s="46"/>
      <c r="U93" s="46"/>
      <c r="V93" s="46"/>
      <c r="W93" s="60"/>
      <c r="X93" s="46"/>
      <c r="Y93" s="46"/>
      <c r="Z93" s="46"/>
      <c r="AA93" s="46"/>
      <c r="AB93" s="46"/>
      <c r="AC93" s="46"/>
      <c r="AD93" s="46"/>
      <c r="AE93" s="46"/>
      <c r="AF93" s="46"/>
      <c r="AG93" s="46"/>
      <c r="AH93" s="46"/>
      <c r="AI93" s="46"/>
      <c r="AJ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c r="AA114" s="46"/>
      <c r="AB114" s="46"/>
      <c r="AC114" s="46"/>
      <c r="AD114" s="46"/>
      <c r="AE114" s="46"/>
      <c r="AF114" s="46"/>
      <c r="AG114" s="46"/>
      <c r="AH114" s="46"/>
      <c r="AI114" s="46"/>
      <c r="AJ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c r="AA115" s="46"/>
      <c r="AB115" s="46"/>
      <c r="AC115" s="46"/>
      <c r="AD115" s="46"/>
      <c r="AE115" s="46"/>
      <c r="AF115" s="46"/>
      <c r="AG115" s="46"/>
      <c r="AH115" s="46"/>
      <c r="AI115" s="46"/>
      <c r="AJ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c r="AA117" s="46"/>
      <c r="AB117" s="46"/>
      <c r="AC117" s="46"/>
      <c r="AD117" s="46"/>
      <c r="AE117" s="46"/>
      <c r="AF117" s="46"/>
      <c r="AG117" s="46"/>
      <c r="AH117" s="46"/>
      <c r="AI117" s="46"/>
      <c r="AJ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c r="AA118" s="46"/>
      <c r="AB118" s="46"/>
      <c r="AC118" s="46"/>
      <c r="AD118" s="46"/>
      <c r="AE118" s="46"/>
      <c r="AF118" s="46"/>
      <c r="AG118" s="46"/>
      <c r="AH118" s="46"/>
      <c r="AI118" s="46"/>
      <c r="AJ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c r="AA121" s="46"/>
      <c r="AB121" s="46"/>
      <c r="AC121" s="46"/>
      <c r="AD121" s="46"/>
      <c r="AE121" s="46"/>
      <c r="AF121" s="46"/>
      <c r="AG121" s="46"/>
      <c r="AH121" s="46"/>
      <c r="AI121" s="46"/>
      <c r="AJ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c r="AA123" s="46"/>
      <c r="AB123" s="46"/>
      <c r="AC123" s="46"/>
      <c r="AD123" s="46"/>
      <c r="AE123" s="46"/>
      <c r="AF123" s="46"/>
      <c r="AG123" s="46"/>
      <c r="AH123" s="46"/>
      <c r="AI123" s="46"/>
      <c r="AJ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c r="AA125" s="46"/>
      <c r="AB125" s="46"/>
      <c r="AC125" s="46"/>
      <c r="AD125" s="46"/>
      <c r="AE125" s="46"/>
      <c r="AF125" s="46"/>
      <c r="AG125" s="46"/>
      <c r="AH125" s="46"/>
      <c r="AI125" s="46"/>
      <c r="AJ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c r="AA126" s="46"/>
      <c r="AB126" s="46"/>
      <c r="AC126" s="46"/>
      <c r="AD126" s="46"/>
      <c r="AE126" s="46"/>
      <c r="AF126" s="46"/>
      <c r="AG126" s="46"/>
      <c r="AH126" s="46"/>
      <c r="AI126" s="46"/>
      <c r="AJ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c r="AA127" s="46"/>
      <c r="AB127" s="46"/>
      <c r="AC127" s="46"/>
      <c r="AD127" s="46"/>
      <c r="AE127" s="46"/>
      <c r="AF127" s="46"/>
      <c r="AG127" s="46"/>
      <c r="AH127" s="46"/>
      <c r="AI127" s="46"/>
      <c r="AJ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c r="AA129" s="46"/>
      <c r="AB129" s="46"/>
      <c r="AC129" s="46"/>
      <c r="AD129" s="46"/>
      <c r="AE129" s="46"/>
      <c r="AF129" s="46"/>
      <c r="AG129" s="46"/>
      <c r="AH129" s="46"/>
      <c r="AI129" s="46"/>
      <c r="AJ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c r="AA132" s="46"/>
      <c r="AB132" s="46"/>
      <c r="AC132" s="46"/>
      <c r="AD132" s="46"/>
      <c r="AE132" s="46"/>
      <c r="AF132" s="46"/>
      <c r="AG132" s="46"/>
      <c r="AH132" s="46"/>
      <c r="AI132" s="46"/>
      <c r="AJ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c r="AA134" s="46"/>
      <c r="AB134" s="46"/>
      <c r="AC134" s="46"/>
      <c r="AD134" s="46"/>
      <c r="AE134" s="46"/>
      <c r="AF134" s="46"/>
      <c r="AG134" s="46"/>
      <c r="AH134" s="46"/>
      <c r="AI134" s="46"/>
      <c r="AJ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c r="AA135" s="46"/>
      <c r="AB135" s="46"/>
      <c r="AC135" s="46"/>
      <c r="AD135" s="46"/>
      <c r="AE135" s="46"/>
      <c r="AF135" s="46"/>
      <c r="AG135" s="46"/>
      <c r="AH135" s="46"/>
      <c r="AI135" s="46"/>
      <c r="AJ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c r="AA136" s="46"/>
      <c r="AB136" s="46"/>
      <c r="AC136" s="46"/>
      <c r="AD136" s="46"/>
      <c r="AE136" s="46"/>
      <c r="AF136" s="46"/>
      <c r="AG136" s="46"/>
      <c r="AH136" s="46"/>
      <c r="AI136" s="46"/>
      <c r="AJ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c r="AA138" s="46"/>
      <c r="AB138" s="46"/>
      <c r="AC138" s="46"/>
      <c r="AD138" s="46"/>
      <c r="AE138" s="46"/>
      <c r="AF138" s="46"/>
      <c r="AG138" s="46"/>
      <c r="AH138" s="46"/>
      <c r="AI138" s="46"/>
      <c r="AJ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c r="AA139" s="46"/>
      <c r="AB139" s="46"/>
      <c r="AC139" s="46"/>
      <c r="AD139" s="46"/>
      <c r="AE139" s="46"/>
      <c r="AF139" s="46"/>
      <c r="AG139" s="46"/>
      <c r="AH139" s="46"/>
      <c r="AI139" s="46"/>
      <c r="AJ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c r="AA140" s="46"/>
      <c r="AB140" s="46"/>
      <c r="AC140" s="46"/>
      <c r="AD140" s="46"/>
      <c r="AE140" s="46"/>
      <c r="AF140" s="46"/>
      <c r="AG140" s="46"/>
      <c r="AH140" s="46"/>
      <c r="AI140" s="46"/>
      <c r="AJ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c r="AA141" s="46"/>
      <c r="AB141" s="46"/>
      <c r="AC141" s="46"/>
      <c r="AD141" s="46"/>
      <c r="AE141" s="46"/>
      <c r="AF141" s="46"/>
      <c r="AG141" s="46"/>
      <c r="AH141" s="46"/>
      <c r="AI141" s="46"/>
      <c r="AJ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c r="AA142" s="46"/>
      <c r="AB142" s="46"/>
      <c r="AC142" s="46"/>
      <c r="AD142" s="46"/>
      <c r="AE142" s="46"/>
      <c r="AF142" s="46"/>
      <c r="AG142" s="46"/>
      <c r="AH142" s="46"/>
      <c r="AI142" s="46"/>
      <c r="AJ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c r="AA143" s="46"/>
      <c r="AB143" s="46"/>
      <c r="AC143" s="46"/>
      <c r="AD143" s="46"/>
      <c r="AE143" s="46"/>
      <c r="AF143" s="46"/>
      <c r="AG143" s="46"/>
      <c r="AH143" s="46"/>
      <c r="AI143" s="46"/>
      <c r="AJ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c r="AA145" s="46"/>
      <c r="AB145" s="46"/>
      <c r="AC145" s="46"/>
      <c r="AD145" s="46"/>
      <c r="AE145" s="46"/>
      <c r="AF145" s="46"/>
      <c r="AG145" s="46"/>
      <c r="AH145" s="46"/>
      <c r="AI145" s="46"/>
      <c r="AJ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c r="AA146" s="46"/>
      <c r="AB146" s="46"/>
      <c r="AC146" s="46"/>
      <c r="AD146" s="46"/>
      <c r="AE146" s="46"/>
      <c r="AF146" s="46"/>
      <c r="AG146" s="46"/>
      <c r="AH146" s="46"/>
      <c r="AI146" s="46"/>
      <c r="AJ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c r="AI147" s="46"/>
      <c r="AJ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c r="AA148" s="46"/>
      <c r="AB148" s="46"/>
      <c r="AC148" s="46"/>
      <c r="AD148" s="46"/>
      <c r="AE148" s="46"/>
      <c r="AF148" s="46"/>
      <c r="AG148" s="46"/>
      <c r="AH148" s="46"/>
      <c r="AI148" s="46"/>
      <c r="AJ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c r="AA149" s="46"/>
      <c r="AB149" s="46"/>
      <c r="AC149" s="46"/>
      <c r="AD149" s="46"/>
      <c r="AE149" s="46"/>
      <c r="AF149" s="46"/>
      <c r="AG149" s="46"/>
      <c r="AH149" s="46"/>
      <c r="AI149" s="46"/>
      <c r="AJ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c r="AH150" s="46"/>
      <c r="AI150" s="46"/>
      <c r="AJ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c r="AA151" s="46"/>
      <c r="AB151" s="46"/>
      <c r="AC151" s="46"/>
      <c r="AD151" s="46"/>
      <c r="AE151" s="46"/>
      <c r="AF151" s="46"/>
      <c r="AG151" s="46"/>
      <c r="AH151" s="46"/>
      <c r="AI151" s="46"/>
      <c r="AJ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c r="AA152" s="46"/>
      <c r="AB152" s="46"/>
      <c r="AC152" s="46"/>
      <c r="AD152" s="46"/>
      <c r="AE152" s="46"/>
      <c r="AF152" s="46"/>
      <c r="AG152" s="46"/>
      <c r="AH152" s="46"/>
      <c r="AI152" s="46"/>
      <c r="AJ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c r="AA153" s="46"/>
      <c r="AB153" s="46"/>
      <c r="AC153" s="46"/>
      <c r="AD153" s="46"/>
      <c r="AE153" s="46"/>
      <c r="AF153" s="46"/>
      <c r="AG153" s="46"/>
      <c r="AH153" s="46"/>
      <c r="AI153" s="46"/>
      <c r="AJ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c r="AA154" s="46"/>
      <c r="AB154" s="46"/>
      <c r="AC154" s="46"/>
      <c r="AD154" s="46"/>
      <c r="AE154" s="46"/>
      <c r="AF154" s="46"/>
      <c r="AG154" s="46"/>
      <c r="AH154" s="46"/>
      <c r="AI154" s="46"/>
      <c r="AJ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c r="AA156" s="46"/>
      <c r="AB156" s="46"/>
      <c r="AC156" s="46"/>
      <c r="AD156" s="46"/>
      <c r="AE156" s="46"/>
      <c r="AF156" s="46"/>
      <c r="AG156" s="46"/>
      <c r="AH156" s="46"/>
      <c r="AI156" s="46"/>
      <c r="AJ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c r="AA157" s="46"/>
      <c r="AB157" s="46"/>
      <c r="AC157" s="46"/>
      <c r="AD157" s="46"/>
      <c r="AE157" s="46"/>
      <c r="AF157" s="46"/>
      <c r="AG157" s="46"/>
      <c r="AH157" s="46"/>
      <c r="AI157" s="46"/>
      <c r="AJ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c r="AA158" s="46"/>
      <c r="AB158" s="46"/>
      <c r="AC158" s="46"/>
      <c r="AD158" s="46"/>
      <c r="AE158" s="46"/>
      <c r="AF158" s="46"/>
      <c r="AG158" s="46"/>
      <c r="AH158" s="46"/>
      <c r="AI158" s="46"/>
      <c r="AJ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c r="AA159" s="46"/>
      <c r="AB159" s="46"/>
      <c r="AC159" s="46"/>
      <c r="AD159" s="46"/>
      <c r="AE159" s="46"/>
      <c r="AF159" s="46"/>
      <c r="AG159" s="46"/>
      <c r="AH159" s="46"/>
      <c r="AI159" s="46"/>
      <c r="AJ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c r="AA160" s="46"/>
      <c r="AB160" s="46"/>
      <c r="AC160" s="46"/>
      <c r="AD160" s="46"/>
      <c r="AE160" s="46"/>
      <c r="AF160" s="46"/>
      <c r="AG160" s="46"/>
      <c r="AH160" s="46"/>
      <c r="AI160" s="46"/>
      <c r="AJ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c r="AA161" s="46"/>
      <c r="AB161" s="46"/>
      <c r="AC161" s="46"/>
      <c r="AD161" s="46"/>
      <c r="AE161" s="46"/>
      <c r="AF161" s="46"/>
      <c r="AG161" s="46"/>
      <c r="AH161" s="46"/>
      <c r="AI161" s="46"/>
      <c r="AJ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c r="AA162" s="46"/>
      <c r="AB162" s="46"/>
      <c r="AC162" s="46"/>
      <c r="AD162" s="46"/>
      <c r="AE162" s="46"/>
      <c r="AF162" s="46"/>
      <c r="AG162" s="46"/>
      <c r="AH162" s="46"/>
      <c r="AI162" s="46"/>
      <c r="AJ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c r="AA163" s="46"/>
      <c r="AB163" s="46"/>
      <c r="AC163" s="46"/>
      <c r="AD163" s="46"/>
      <c r="AE163" s="46"/>
      <c r="AF163" s="46"/>
      <c r="AG163" s="46"/>
      <c r="AH163" s="46"/>
      <c r="AI163" s="46"/>
      <c r="AJ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c r="AA164" s="46"/>
      <c r="AB164" s="46"/>
      <c r="AC164" s="46"/>
      <c r="AD164" s="46"/>
      <c r="AE164" s="46"/>
      <c r="AF164" s="46"/>
      <c r="AG164" s="46"/>
      <c r="AH164" s="46"/>
      <c r="AI164" s="46"/>
      <c r="AJ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c r="AA165" s="46"/>
      <c r="AB165" s="46"/>
      <c r="AC165" s="46"/>
      <c r="AD165" s="46"/>
      <c r="AE165" s="46"/>
      <c r="AF165" s="46"/>
      <c r="AG165" s="46"/>
      <c r="AH165" s="46"/>
      <c r="AI165" s="46"/>
      <c r="AJ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c r="AA166" s="46"/>
      <c r="AB166" s="46"/>
      <c r="AC166" s="46"/>
      <c r="AD166" s="46"/>
      <c r="AE166" s="46"/>
      <c r="AF166" s="46"/>
      <c r="AG166" s="46"/>
      <c r="AH166" s="46"/>
      <c r="AI166" s="46"/>
      <c r="AJ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c r="AA167" s="46"/>
      <c r="AB167" s="46"/>
      <c r="AC167" s="46"/>
      <c r="AD167" s="46"/>
      <c r="AE167" s="46"/>
      <c r="AF167" s="46"/>
      <c r="AG167" s="46"/>
      <c r="AH167" s="46"/>
      <c r="AI167" s="46"/>
      <c r="AJ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c r="AA168" s="46"/>
      <c r="AB168" s="46"/>
      <c r="AC168" s="46"/>
      <c r="AD168" s="46"/>
      <c r="AE168" s="46"/>
      <c r="AF168" s="46"/>
      <c r="AG168" s="46"/>
      <c r="AH168" s="46"/>
      <c r="AI168" s="46"/>
      <c r="AJ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c r="AA169" s="46"/>
      <c r="AB169" s="46"/>
      <c r="AC169" s="46"/>
      <c r="AD169" s="46"/>
      <c r="AE169" s="46"/>
      <c r="AF169" s="46"/>
      <c r="AG169" s="46"/>
      <c r="AH169" s="46"/>
      <c r="AI169" s="46"/>
      <c r="AJ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c r="AA170" s="46"/>
      <c r="AB170" s="46"/>
      <c r="AC170" s="46"/>
      <c r="AD170" s="46"/>
      <c r="AE170" s="46"/>
      <c r="AF170" s="46"/>
      <c r="AG170" s="46"/>
      <c r="AH170" s="46"/>
      <c r="AI170" s="46"/>
      <c r="AJ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c r="AA171" s="46"/>
      <c r="AB171" s="46"/>
      <c r="AC171" s="46"/>
      <c r="AD171" s="46"/>
      <c r="AE171" s="46"/>
      <c r="AF171" s="46"/>
      <c r="AG171" s="46"/>
      <c r="AH171" s="46"/>
      <c r="AI171" s="46"/>
      <c r="AJ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c r="AA175" s="46"/>
      <c r="AB175" s="46"/>
      <c r="AC175" s="46"/>
      <c r="AD175" s="46"/>
      <c r="AE175" s="46"/>
      <c r="AF175" s="46"/>
      <c r="AG175" s="46"/>
      <c r="AH175" s="46"/>
      <c r="AI175" s="46"/>
      <c r="AJ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c r="AA176" s="46"/>
      <c r="AB176" s="46"/>
      <c r="AC176" s="46"/>
      <c r="AD176" s="46"/>
      <c r="AE176" s="46"/>
      <c r="AF176" s="46"/>
      <c r="AG176" s="46"/>
      <c r="AH176" s="46"/>
      <c r="AI176" s="46"/>
      <c r="AJ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c r="AA177" s="46"/>
      <c r="AB177" s="46"/>
      <c r="AC177" s="46"/>
      <c r="AD177" s="46"/>
      <c r="AE177" s="46"/>
      <c r="AF177" s="46"/>
      <c r="AG177" s="46"/>
      <c r="AH177" s="46"/>
      <c r="AI177" s="46"/>
      <c r="AJ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c r="AA178" s="46"/>
      <c r="AB178" s="46"/>
      <c r="AC178" s="46"/>
      <c r="AD178" s="46"/>
      <c r="AE178" s="46"/>
      <c r="AF178" s="46"/>
      <c r="AG178" s="46"/>
      <c r="AH178" s="46"/>
      <c r="AI178" s="46"/>
      <c r="AJ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c r="AA179" s="46"/>
      <c r="AB179" s="46"/>
      <c r="AC179" s="46"/>
      <c r="AD179" s="46"/>
      <c r="AE179" s="46"/>
      <c r="AF179" s="46"/>
      <c r="AG179" s="46"/>
      <c r="AH179" s="46"/>
      <c r="AI179" s="46"/>
      <c r="AJ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c r="AC180" s="46"/>
      <c r="AD180" s="46"/>
      <c r="AE180" s="46"/>
      <c r="AF180" s="46"/>
      <c r="AG180" s="46"/>
      <c r="AH180" s="46"/>
      <c r="AI180" s="46"/>
      <c r="AJ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c r="AA182" s="46"/>
      <c r="AB182" s="46"/>
      <c r="AC182" s="46"/>
      <c r="AD182" s="46"/>
      <c r="AE182" s="46"/>
      <c r="AF182" s="46"/>
      <c r="AG182" s="46"/>
      <c r="AH182" s="46"/>
      <c r="AI182" s="46"/>
      <c r="AJ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c r="AA183" s="46"/>
      <c r="AB183" s="46"/>
      <c r="AC183" s="46"/>
      <c r="AD183" s="46"/>
      <c r="AE183" s="46"/>
      <c r="AF183" s="46"/>
      <c r="AG183" s="46"/>
      <c r="AH183" s="46"/>
      <c r="AI183" s="46"/>
      <c r="AJ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c r="AA184" s="46"/>
      <c r="AB184" s="46"/>
      <c r="AC184" s="46"/>
      <c r="AD184" s="46"/>
      <c r="AE184" s="46"/>
      <c r="AF184" s="46"/>
      <c r="AG184" s="46"/>
      <c r="AH184" s="46"/>
      <c r="AI184" s="46"/>
      <c r="AJ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c r="AA185" s="46"/>
      <c r="AB185" s="46"/>
      <c r="AC185" s="46"/>
      <c r="AD185" s="46"/>
      <c r="AE185" s="46"/>
      <c r="AF185" s="46"/>
      <c r="AG185" s="46"/>
      <c r="AH185" s="46"/>
      <c r="AI185" s="46"/>
      <c r="AJ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c r="AA186" s="46"/>
      <c r="AB186" s="46"/>
      <c r="AC186" s="46"/>
      <c r="AD186" s="46"/>
      <c r="AE186" s="46"/>
      <c r="AF186" s="46"/>
      <c r="AG186" s="46"/>
      <c r="AH186" s="46"/>
      <c r="AI186" s="46"/>
      <c r="AJ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c r="AA187" s="46"/>
      <c r="AB187" s="46"/>
      <c r="AC187" s="46"/>
      <c r="AD187" s="46"/>
      <c r="AE187" s="46"/>
      <c r="AF187" s="46"/>
      <c r="AG187" s="46"/>
      <c r="AH187" s="46"/>
      <c r="AI187" s="46"/>
      <c r="AJ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c r="AA188" s="46"/>
      <c r="AB188" s="46"/>
      <c r="AC188" s="46"/>
      <c r="AD188" s="46"/>
      <c r="AE188" s="46"/>
      <c r="AF188" s="46"/>
      <c r="AG188" s="46"/>
      <c r="AH188" s="46"/>
      <c r="AI188" s="46"/>
      <c r="AJ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c r="AA189" s="46"/>
      <c r="AB189" s="46"/>
      <c r="AC189" s="46"/>
      <c r="AD189" s="46"/>
      <c r="AE189" s="46"/>
      <c r="AF189" s="46"/>
      <c r="AG189" s="46"/>
      <c r="AH189" s="46"/>
      <c r="AI189" s="46"/>
      <c r="AJ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c r="AA190" s="46"/>
      <c r="AB190" s="46"/>
      <c r="AC190" s="46"/>
      <c r="AD190" s="46"/>
      <c r="AE190" s="46"/>
      <c r="AF190" s="46"/>
      <c r="AG190" s="46"/>
      <c r="AH190" s="46"/>
      <c r="AI190" s="46"/>
      <c r="AJ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c r="AA191" s="46"/>
      <c r="AB191" s="46"/>
      <c r="AC191" s="46"/>
      <c r="AD191" s="46"/>
      <c r="AE191" s="46"/>
      <c r="AF191" s="46"/>
      <c r="AG191" s="46"/>
      <c r="AH191" s="46"/>
      <c r="AI191" s="46"/>
      <c r="AJ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c r="AA192" s="46"/>
      <c r="AB192" s="46"/>
      <c r="AC192" s="46"/>
      <c r="AD192" s="46"/>
      <c r="AE192" s="46"/>
      <c r="AF192" s="46"/>
      <c r="AG192" s="46"/>
      <c r="AH192" s="46"/>
      <c r="AI192" s="46"/>
      <c r="AJ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c r="AA194" s="46"/>
      <c r="AB194" s="46"/>
      <c r="AC194" s="46"/>
      <c r="AD194" s="46"/>
      <c r="AE194" s="46"/>
      <c r="AF194" s="46"/>
      <c r="AG194" s="46"/>
      <c r="AH194" s="46"/>
      <c r="AI194" s="46"/>
      <c r="AJ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c r="AA195" s="46"/>
      <c r="AB195" s="46"/>
      <c r="AC195" s="46"/>
      <c r="AD195" s="46"/>
      <c r="AE195" s="46"/>
      <c r="AF195" s="46"/>
      <c r="AG195" s="46"/>
      <c r="AH195" s="46"/>
      <c r="AI195" s="46"/>
      <c r="AJ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c r="AA196" s="46"/>
      <c r="AB196" s="46"/>
      <c r="AC196" s="46"/>
      <c r="AD196" s="46"/>
      <c r="AE196" s="46"/>
      <c r="AF196" s="46"/>
      <c r="AG196" s="46"/>
      <c r="AH196" s="46"/>
      <c r="AI196" s="46"/>
      <c r="AJ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c r="AA197" s="46"/>
      <c r="AB197" s="46"/>
      <c r="AC197" s="46"/>
      <c r="AD197" s="46"/>
      <c r="AE197" s="46"/>
      <c r="AF197" s="46"/>
      <c r="AG197" s="46"/>
      <c r="AH197" s="46"/>
      <c r="AI197" s="46"/>
      <c r="AJ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c r="AA198" s="46"/>
      <c r="AB198" s="46"/>
      <c r="AC198" s="46"/>
      <c r="AD198" s="46"/>
      <c r="AE198" s="46"/>
      <c r="AF198" s="46"/>
      <c r="AG198" s="46"/>
      <c r="AH198" s="46"/>
      <c r="AI198" s="46"/>
      <c r="AJ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c r="AA199" s="46"/>
      <c r="AB199" s="46"/>
      <c r="AC199" s="46"/>
      <c r="AD199" s="46"/>
      <c r="AE199" s="46"/>
      <c r="AF199" s="46"/>
      <c r="AG199" s="46"/>
      <c r="AH199" s="46"/>
      <c r="AI199" s="46"/>
      <c r="AJ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c r="AA200" s="46"/>
      <c r="AB200" s="46"/>
      <c r="AC200" s="46"/>
      <c r="AD200" s="46"/>
      <c r="AE200" s="46"/>
      <c r="AF200" s="46"/>
      <c r="AG200" s="46"/>
      <c r="AH200" s="46"/>
      <c r="AI200" s="46"/>
      <c r="AJ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c r="AA201" s="46"/>
      <c r="AB201" s="46"/>
      <c r="AC201" s="46"/>
      <c r="AD201" s="46"/>
      <c r="AE201" s="46"/>
      <c r="AF201" s="46"/>
      <c r="AG201" s="46"/>
      <c r="AH201" s="46"/>
      <c r="AI201" s="46"/>
      <c r="AJ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c r="AA202" s="46"/>
      <c r="AB202" s="46"/>
      <c r="AC202" s="46"/>
      <c r="AD202" s="46"/>
      <c r="AE202" s="46"/>
      <c r="AF202" s="46"/>
      <c r="AG202" s="46"/>
      <c r="AH202" s="46"/>
      <c r="AI202" s="46"/>
      <c r="AJ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c r="AA203" s="46"/>
      <c r="AB203" s="46"/>
      <c r="AC203" s="46"/>
      <c r="AD203" s="46"/>
      <c r="AE203" s="46"/>
      <c r="AF203" s="46"/>
      <c r="AG203" s="46"/>
      <c r="AH203" s="46"/>
      <c r="AI203" s="46"/>
      <c r="AJ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c r="AA204" s="46"/>
      <c r="AB204" s="46"/>
      <c r="AC204" s="46"/>
      <c r="AD204" s="46"/>
      <c r="AE204" s="46"/>
      <c r="AF204" s="46"/>
      <c r="AG204" s="46"/>
      <c r="AH204" s="46"/>
      <c r="AI204" s="46"/>
      <c r="AJ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c r="AA207" s="46"/>
      <c r="AB207" s="46"/>
      <c r="AC207" s="46"/>
      <c r="AD207" s="46"/>
      <c r="AE207" s="46"/>
      <c r="AF207" s="46"/>
      <c r="AG207" s="46"/>
      <c r="AH207" s="46"/>
      <c r="AI207" s="46"/>
      <c r="AJ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c r="AA208" s="46"/>
      <c r="AB208" s="46"/>
      <c r="AC208" s="46"/>
      <c r="AD208" s="46"/>
      <c r="AE208" s="46"/>
      <c r="AF208" s="46"/>
      <c r="AG208" s="46"/>
      <c r="AH208" s="46"/>
      <c r="AI208" s="46"/>
      <c r="AJ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c r="AA209" s="46"/>
      <c r="AB209" s="46"/>
      <c r="AC209" s="46"/>
      <c r="AD209" s="46"/>
      <c r="AE209" s="46"/>
      <c r="AF209" s="46"/>
      <c r="AG209" s="46"/>
      <c r="AH209" s="46"/>
      <c r="AI209" s="46"/>
      <c r="AJ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c r="AA210" s="46"/>
      <c r="AB210" s="46"/>
      <c r="AC210" s="46"/>
      <c r="AD210" s="46"/>
      <c r="AE210" s="46"/>
      <c r="AF210" s="46"/>
      <c r="AG210" s="46"/>
      <c r="AH210" s="46"/>
      <c r="AI210" s="46"/>
      <c r="AJ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c r="AA213" s="46"/>
      <c r="AB213" s="46"/>
      <c r="AC213" s="46"/>
      <c r="AD213" s="46"/>
      <c r="AE213" s="46"/>
      <c r="AF213" s="46"/>
      <c r="AG213" s="46"/>
      <c r="AH213" s="46"/>
      <c r="AI213" s="46"/>
      <c r="AJ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c r="AA214" s="46"/>
      <c r="AB214" s="46"/>
      <c r="AC214" s="46"/>
      <c r="AD214" s="46"/>
      <c r="AE214" s="46"/>
      <c r="AF214" s="46"/>
      <c r="AG214" s="46"/>
      <c r="AH214" s="46"/>
      <c r="AI214" s="46"/>
      <c r="AJ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c r="AA217" s="46"/>
      <c r="AB217" s="46"/>
      <c r="AC217" s="46"/>
      <c r="AD217" s="46"/>
      <c r="AE217" s="46"/>
      <c r="AF217" s="46"/>
      <c r="AG217" s="46"/>
      <c r="AH217" s="46"/>
      <c r="AI217" s="46"/>
      <c r="AJ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c r="AA218" s="46"/>
      <c r="AB218" s="46"/>
      <c r="AC218" s="46"/>
      <c r="AD218" s="46"/>
      <c r="AE218" s="46"/>
      <c r="AF218" s="46"/>
      <c r="AG218" s="46"/>
      <c r="AH218" s="46"/>
      <c r="AI218" s="46"/>
      <c r="AJ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c r="AA220" s="46"/>
      <c r="AB220" s="46"/>
      <c r="AC220" s="46"/>
      <c r="AD220" s="46"/>
      <c r="AE220" s="46"/>
      <c r="AF220" s="46"/>
      <c r="AG220" s="46"/>
      <c r="AH220" s="46"/>
      <c r="AI220" s="46"/>
      <c r="AJ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c r="AA221" s="46"/>
      <c r="AB221" s="46"/>
      <c r="AC221" s="46"/>
      <c r="AD221" s="46"/>
      <c r="AE221" s="46"/>
      <c r="AF221" s="46"/>
      <c r="AG221" s="46"/>
      <c r="AH221" s="46"/>
      <c r="AI221" s="46"/>
      <c r="AJ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c r="AA222" s="46"/>
      <c r="AB222" s="46"/>
      <c r="AC222" s="46"/>
      <c r="AD222" s="46"/>
      <c r="AE222" s="46"/>
      <c r="AF222" s="46"/>
      <c r="AG222" s="46"/>
      <c r="AH222" s="46"/>
      <c r="AI222" s="46"/>
      <c r="AJ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c r="AA223" s="46"/>
      <c r="AB223" s="46"/>
      <c r="AC223" s="46"/>
      <c r="AD223" s="46"/>
      <c r="AE223" s="46"/>
      <c r="AF223" s="46"/>
      <c r="AG223" s="46"/>
      <c r="AH223" s="46"/>
      <c r="AI223" s="46"/>
      <c r="AJ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c r="AA225" s="46"/>
      <c r="AB225" s="46"/>
      <c r="AC225" s="46"/>
      <c r="AD225" s="46"/>
      <c r="AE225" s="46"/>
      <c r="AF225" s="46"/>
      <c r="AG225" s="46"/>
      <c r="AH225" s="46"/>
      <c r="AI225" s="46"/>
      <c r="AJ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c r="AA227" s="46"/>
      <c r="AB227" s="46"/>
      <c r="AC227" s="46"/>
      <c r="AD227" s="46"/>
      <c r="AE227" s="46"/>
      <c r="AF227" s="46"/>
      <c r="AG227" s="46"/>
      <c r="AH227" s="46"/>
      <c r="AI227" s="46"/>
      <c r="AJ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c r="AH229" s="46"/>
      <c r="AI229" s="46"/>
      <c r="AJ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c r="AA230" s="46"/>
      <c r="AB230" s="46"/>
      <c r="AC230" s="46"/>
      <c r="AD230" s="46"/>
      <c r="AE230" s="46"/>
      <c r="AF230" s="46"/>
      <c r="AG230" s="46"/>
      <c r="AH230" s="46"/>
      <c r="AI230" s="46"/>
      <c r="AJ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c r="AA231" s="46"/>
      <c r="AB231" s="46"/>
      <c r="AC231" s="46"/>
      <c r="AD231" s="46"/>
      <c r="AE231" s="46"/>
      <c r="AF231" s="46"/>
      <c r="AG231" s="46"/>
      <c r="AH231" s="46"/>
      <c r="AI231" s="46"/>
      <c r="AJ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c r="AA232" s="46"/>
      <c r="AB232" s="46"/>
      <c r="AC232" s="46"/>
      <c r="AD232" s="46"/>
      <c r="AE232" s="46"/>
      <c r="AF232" s="46"/>
      <c r="AG232" s="46"/>
      <c r="AH232" s="46"/>
      <c r="AI232" s="46"/>
      <c r="AJ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c r="AA233" s="46"/>
      <c r="AB233" s="46"/>
      <c r="AC233" s="46"/>
      <c r="AD233" s="46"/>
      <c r="AE233" s="46"/>
      <c r="AF233" s="46"/>
      <c r="AG233" s="46"/>
      <c r="AH233" s="46"/>
      <c r="AI233" s="46"/>
      <c r="AJ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c r="AA234" s="46"/>
      <c r="AB234" s="46"/>
      <c r="AC234" s="46"/>
      <c r="AD234" s="46"/>
      <c r="AE234" s="46"/>
      <c r="AF234" s="46"/>
      <c r="AG234" s="46"/>
      <c r="AH234" s="46"/>
      <c r="AI234" s="46"/>
      <c r="AJ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c r="AA235" s="46"/>
      <c r="AB235" s="46"/>
      <c r="AC235" s="46"/>
      <c r="AD235" s="46"/>
      <c r="AE235" s="46"/>
      <c r="AF235" s="46"/>
      <c r="AG235" s="46"/>
      <c r="AH235" s="46"/>
      <c r="AI235" s="46"/>
      <c r="AJ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c r="AA237" s="46"/>
      <c r="AB237" s="46"/>
      <c r="AC237" s="46"/>
      <c r="AD237" s="46"/>
      <c r="AE237" s="46"/>
      <c r="AF237" s="46"/>
      <c r="AG237" s="46"/>
      <c r="AH237" s="46"/>
      <c r="AI237" s="46"/>
      <c r="AJ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c r="AA238" s="46"/>
      <c r="AB238" s="46"/>
      <c r="AC238" s="46"/>
      <c r="AD238" s="46"/>
      <c r="AE238" s="46"/>
      <c r="AF238" s="46"/>
      <c r="AG238" s="46"/>
      <c r="AH238" s="46"/>
      <c r="AI238" s="46"/>
      <c r="AJ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c r="AA239" s="46"/>
      <c r="AB239" s="46"/>
      <c r="AC239" s="46"/>
      <c r="AD239" s="46"/>
      <c r="AE239" s="46"/>
      <c r="AF239" s="46"/>
      <c r="AG239" s="46"/>
      <c r="AH239" s="46"/>
      <c r="AI239" s="46"/>
      <c r="AJ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c r="AA240" s="46"/>
      <c r="AB240" s="46"/>
      <c r="AC240" s="46"/>
      <c r="AD240" s="46"/>
      <c r="AE240" s="46"/>
      <c r="AF240" s="46"/>
      <c r="AG240" s="46"/>
      <c r="AH240" s="46"/>
      <c r="AI240" s="46"/>
      <c r="AJ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c r="AA242" s="46"/>
      <c r="AB242" s="46"/>
      <c r="AC242" s="46"/>
      <c r="AD242" s="46"/>
      <c r="AE242" s="46"/>
      <c r="AF242" s="46"/>
      <c r="AG242" s="46"/>
      <c r="AH242" s="46"/>
      <c r="AI242" s="46"/>
      <c r="AJ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c r="AA243" s="46"/>
      <c r="AB243" s="46"/>
      <c r="AC243" s="46"/>
      <c r="AD243" s="46"/>
      <c r="AE243" s="46"/>
      <c r="AF243" s="46"/>
      <c r="AG243" s="46"/>
      <c r="AH243" s="46"/>
      <c r="AI243" s="46"/>
      <c r="AJ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c r="AA244" s="46"/>
      <c r="AB244" s="46"/>
      <c r="AC244" s="46"/>
      <c r="AD244" s="46"/>
      <c r="AE244" s="46"/>
      <c r="AF244" s="46"/>
      <c r="AG244" s="46"/>
      <c r="AH244" s="46"/>
      <c r="AI244" s="46"/>
      <c r="AJ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c r="AA247" s="46"/>
      <c r="AB247" s="46"/>
      <c r="AC247" s="46"/>
      <c r="AD247" s="46"/>
      <c r="AE247" s="46"/>
      <c r="AF247" s="46"/>
      <c r="AG247" s="46"/>
      <c r="AH247" s="46"/>
      <c r="AI247" s="46"/>
      <c r="AJ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c r="AA248" s="46"/>
      <c r="AB248" s="46"/>
      <c r="AC248" s="46"/>
      <c r="AD248" s="46"/>
      <c r="AE248" s="46"/>
      <c r="AF248" s="46"/>
      <c r="AG248" s="46"/>
      <c r="AH248" s="46"/>
      <c r="AI248" s="46"/>
      <c r="AJ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c r="AA249" s="46"/>
      <c r="AB249" s="46"/>
      <c r="AC249" s="46"/>
      <c r="AD249" s="46"/>
      <c r="AE249" s="46"/>
      <c r="AF249" s="46"/>
      <c r="AG249" s="46"/>
      <c r="AH249" s="46"/>
      <c r="AI249" s="46"/>
      <c r="AJ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c r="AA252" s="46"/>
      <c r="AB252" s="46"/>
      <c r="AC252" s="46"/>
      <c r="AD252" s="46"/>
      <c r="AE252" s="46"/>
      <c r="AF252" s="46"/>
      <c r="AG252" s="46"/>
      <c r="AH252" s="46"/>
      <c r="AI252" s="46"/>
      <c r="AJ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c r="AA253" s="46"/>
      <c r="AB253" s="46"/>
      <c r="AC253" s="46"/>
      <c r="AD253" s="46"/>
      <c r="AE253" s="46"/>
      <c r="AF253" s="46"/>
      <c r="AG253" s="46"/>
      <c r="AH253" s="46"/>
      <c r="AI253" s="46"/>
      <c r="AJ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c r="AA254" s="46"/>
      <c r="AB254" s="46"/>
      <c r="AC254" s="46"/>
      <c r="AD254" s="46"/>
      <c r="AE254" s="46"/>
      <c r="AF254" s="46"/>
      <c r="AG254" s="46"/>
      <c r="AH254" s="46"/>
      <c r="AI254" s="46"/>
      <c r="AJ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c r="AA255" s="46"/>
      <c r="AB255" s="46"/>
      <c r="AC255" s="46"/>
      <c r="AD255" s="46"/>
      <c r="AE255" s="46"/>
      <c r="AF255" s="46"/>
      <c r="AG255" s="46"/>
      <c r="AH255" s="46"/>
      <c r="AI255" s="46"/>
      <c r="AJ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c r="AA257" s="46"/>
      <c r="AB257" s="46"/>
      <c r="AC257" s="46"/>
      <c r="AD257" s="46"/>
      <c r="AE257" s="46"/>
      <c r="AF257" s="46"/>
      <c r="AG257" s="46"/>
      <c r="AH257" s="46"/>
      <c r="AI257" s="46"/>
      <c r="AJ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c r="AA260" s="46"/>
      <c r="AB260" s="46"/>
      <c r="AC260" s="46"/>
      <c r="AD260" s="46"/>
      <c r="AE260" s="46"/>
      <c r="AF260" s="46"/>
      <c r="AG260" s="46"/>
      <c r="AH260" s="46"/>
      <c r="AI260" s="46"/>
      <c r="AJ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c r="AA263" s="46"/>
      <c r="AB263" s="46"/>
      <c r="AC263" s="46"/>
      <c r="AD263" s="46"/>
      <c r="AE263" s="46"/>
      <c r="AF263" s="46"/>
      <c r="AG263" s="46"/>
      <c r="AH263" s="46"/>
      <c r="AI263" s="46"/>
      <c r="AJ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c r="AA264" s="46"/>
      <c r="AB264" s="46"/>
      <c r="AC264" s="46"/>
      <c r="AD264" s="46"/>
      <c r="AE264" s="46"/>
      <c r="AF264" s="46"/>
      <c r="AG264" s="46"/>
      <c r="AH264" s="46"/>
      <c r="AI264" s="46"/>
      <c r="AJ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c r="AA265" s="46"/>
      <c r="AB265" s="46"/>
      <c r="AC265" s="46"/>
      <c r="AD265" s="46"/>
      <c r="AE265" s="46"/>
      <c r="AF265" s="46"/>
      <c r="AG265" s="46"/>
      <c r="AH265" s="46"/>
      <c r="AI265" s="46"/>
      <c r="AJ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c r="AA267" s="46"/>
      <c r="AB267" s="46"/>
      <c r="AC267" s="46"/>
      <c r="AD267" s="46"/>
      <c r="AE267" s="46"/>
      <c r="AF267" s="46"/>
      <c r="AG267" s="46"/>
      <c r="AH267" s="46"/>
      <c r="AI267" s="46"/>
      <c r="AJ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c r="AA268" s="46"/>
      <c r="AB268" s="46"/>
      <c r="AC268" s="46"/>
      <c r="AD268" s="46"/>
      <c r="AE268" s="46"/>
      <c r="AF268" s="46"/>
      <c r="AG268" s="46"/>
      <c r="AH268" s="46"/>
      <c r="AI268" s="46"/>
      <c r="AJ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c r="AA269" s="46"/>
      <c r="AB269" s="46"/>
      <c r="AC269" s="46"/>
      <c r="AD269" s="46"/>
      <c r="AE269" s="46"/>
      <c r="AF269" s="46"/>
      <c r="AG269" s="46"/>
      <c r="AH269" s="46"/>
      <c r="AI269" s="46"/>
      <c r="AJ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c r="AA270" s="46"/>
      <c r="AB270" s="46"/>
      <c r="AC270" s="46"/>
      <c r="AD270" s="46"/>
      <c r="AE270" s="46"/>
      <c r="AF270" s="46"/>
      <c r="AG270" s="46"/>
      <c r="AH270" s="46"/>
      <c r="AI270" s="46"/>
      <c r="AJ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46"/>
      <c r="AH272" s="46"/>
      <c r="AI272" s="46"/>
      <c r="AJ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c r="AJ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c r="AA274" s="46"/>
      <c r="AB274" s="46"/>
      <c r="AC274" s="46"/>
      <c r="AD274" s="46"/>
      <c r="AE274" s="46"/>
      <c r="AF274" s="46"/>
      <c r="AG274" s="46"/>
      <c r="AH274" s="46"/>
      <c r="AI274" s="46"/>
      <c r="AJ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c r="AA275" s="46"/>
      <c r="AB275" s="46"/>
      <c r="AC275" s="46"/>
      <c r="AD275" s="46"/>
      <c r="AE275" s="46"/>
      <c r="AF275" s="46"/>
      <c r="AG275" s="46"/>
      <c r="AH275" s="46"/>
      <c r="AI275" s="46"/>
      <c r="AJ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46"/>
      <c r="AI277" s="46"/>
      <c r="AJ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46"/>
      <c r="AH279" s="46"/>
      <c r="AI279" s="46"/>
      <c r="AJ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c r="AA280" s="46"/>
      <c r="AB280" s="46"/>
      <c r="AC280" s="46"/>
      <c r="AD280" s="46"/>
      <c r="AE280" s="46"/>
      <c r="AF280" s="46"/>
      <c r="AG280" s="46"/>
      <c r="AH280" s="46"/>
      <c r="AI280" s="46"/>
      <c r="AJ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c r="AA281" s="46"/>
      <c r="AB281" s="46"/>
      <c r="AC281" s="46"/>
      <c r="AD281" s="46"/>
      <c r="AE281" s="46"/>
      <c r="AF281" s="46"/>
      <c r="AG281" s="46"/>
      <c r="AH281" s="46"/>
      <c r="AI281" s="46"/>
      <c r="AJ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c r="AA282" s="46"/>
      <c r="AB282" s="46"/>
      <c r="AC282" s="46"/>
      <c r="AD282" s="46"/>
      <c r="AE282" s="46"/>
      <c r="AF282" s="46"/>
      <c r="AG282" s="46"/>
      <c r="AH282" s="46"/>
      <c r="AI282" s="46"/>
      <c r="AJ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c r="AA283" s="46"/>
      <c r="AB283" s="46"/>
      <c r="AC283" s="46"/>
      <c r="AD283" s="46"/>
      <c r="AE283" s="46"/>
      <c r="AF283" s="46"/>
      <c r="AG283" s="46"/>
      <c r="AH283" s="46"/>
      <c r="AI283" s="46"/>
      <c r="AJ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46"/>
      <c r="AH284" s="46"/>
      <c r="AI284" s="46"/>
      <c r="AJ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46"/>
      <c r="AH285" s="46"/>
      <c r="AI285" s="46"/>
      <c r="AJ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46"/>
      <c r="AH286" s="46"/>
      <c r="AI286" s="46"/>
      <c r="AJ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c r="AA287" s="46"/>
      <c r="AB287" s="46"/>
      <c r="AC287" s="46"/>
      <c r="AD287" s="46"/>
      <c r="AE287" s="46"/>
      <c r="AF287" s="46"/>
      <c r="AG287" s="46"/>
      <c r="AH287" s="46"/>
      <c r="AI287" s="46"/>
      <c r="AJ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c r="AA288" s="46"/>
      <c r="AB288" s="46"/>
      <c r="AC288" s="46"/>
      <c r="AD288" s="46"/>
      <c r="AE288" s="46"/>
      <c r="AF288" s="46"/>
      <c r="AG288" s="46"/>
      <c r="AH288" s="46"/>
      <c r="AI288" s="46"/>
      <c r="AJ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c r="AA289" s="46"/>
      <c r="AB289" s="46"/>
      <c r="AC289" s="46"/>
      <c r="AD289" s="46"/>
      <c r="AE289" s="46"/>
      <c r="AF289" s="46"/>
      <c r="AG289" s="46"/>
      <c r="AH289" s="46"/>
      <c r="AI289" s="46"/>
      <c r="AJ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c r="AA290" s="46"/>
      <c r="AB290" s="46"/>
      <c r="AC290" s="46"/>
      <c r="AD290" s="46"/>
      <c r="AE290" s="46"/>
      <c r="AF290" s="46"/>
      <c r="AG290" s="46"/>
      <c r="AH290" s="46"/>
      <c r="AI290" s="46"/>
      <c r="AJ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c r="AA291" s="46"/>
      <c r="AB291" s="46"/>
      <c r="AC291" s="46"/>
      <c r="AD291" s="46"/>
      <c r="AE291" s="46"/>
      <c r="AF291" s="46"/>
      <c r="AG291" s="46"/>
      <c r="AH291" s="46"/>
      <c r="AI291" s="46"/>
      <c r="AJ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c r="AA292" s="46"/>
      <c r="AB292" s="46"/>
      <c r="AC292" s="46"/>
      <c r="AD292" s="46"/>
      <c r="AE292" s="46"/>
      <c r="AF292" s="46"/>
      <c r="AG292" s="46"/>
      <c r="AH292" s="46"/>
      <c r="AI292" s="46"/>
      <c r="AJ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c r="AA293" s="46"/>
      <c r="AB293" s="46"/>
      <c r="AC293" s="46"/>
      <c r="AD293" s="46"/>
      <c r="AE293" s="46"/>
      <c r="AF293" s="46"/>
      <c r="AG293" s="46"/>
      <c r="AH293" s="46"/>
      <c r="AI293" s="46"/>
      <c r="AJ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c r="AD294" s="46"/>
      <c r="AE294" s="46"/>
      <c r="AF294" s="46"/>
      <c r="AG294" s="46"/>
      <c r="AH294" s="46"/>
      <c r="AI294" s="46"/>
      <c r="AJ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c r="AA295" s="46"/>
      <c r="AB295" s="46"/>
      <c r="AC295" s="46"/>
      <c r="AD295" s="46"/>
      <c r="AE295" s="46"/>
      <c r="AF295" s="46"/>
      <c r="AG295" s="46"/>
      <c r="AH295" s="46"/>
      <c r="AI295" s="46"/>
      <c r="AJ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c r="AA296" s="46"/>
      <c r="AB296" s="46"/>
      <c r="AC296" s="46"/>
      <c r="AD296" s="46"/>
      <c r="AE296" s="46"/>
      <c r="AF296" s="46"/>
      <c r="AG296" s="46"/>
      <c r="AH296" s="46"/>
      <c r="AI296" s="46"/>
      <c r="AJ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46"/>
      <c r="AH297" s="46"/>
      <c r="AI297" s="46"/>
      <c r="AJ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c r="AA298" s="46"/>
      <c r="AB298" s="46"/>
      <c r="AC298" s="46"/>
      <c r="AD298" s="46"/>
      <c r="AE298" s="46"/>
      <c r="AF298" s="46"/>
      <c r="AG298" s="46"/>
      <c r="AH298" s="46"/>
      <c r="AI298" s="46"/>
      <c r="AJ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c r="AA299" s="46"/>
      <c r="AB299" s="46"/>
      <c r="AC299" s="46"/>
      <c r="AD299" s="46"/>
      <c r="AE299" s="46"/>
      <c r="AF299" s="46"/>
      <c r="AG299" s="46"/>
      <c r="AH299" s="46"/>
      <c r="AI299" s="46"/>
      <c r="AJ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46"/>
      <c r="AH300" s="46"/>
      <c r="AI300" s="46"/>
      <c r="AJ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c r="AA301" s="46"/>
      <c r="AB301" s="46"/>
      <c r="AC301" s="46"/>
      <c r="AD301" s="46"/>
      <c r="AE301" s="46"/>
      <c r="AF301" s="46"/>
      <c r="AG301" s="46"/>
      <c r="AH301" s="46"/>
      <c r="AI301" s="46"/>
      <c r="AJ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c r="AA302" s="46"/>
      <c r="AB302" s="46"/>
      <c r="AC302" s="46"/>
      <c r="AD302" s="46"/>
      <c r="AE302" s="46"/>
      <c r="AF302" s="46"/>
      <c r="AG302" s="46"/>
      <c r="AH302" s="46"/>
      <c r="AI302" s="46"/>
      <c r="AJ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c r="AA303" s="46"/>
      <c r="AB303" s="46"/>
      <c r="AC303" s="46"/>
      <c r="AD303" s="46"/>
      <c r="AE303" s="46"/>
      <c r="AF303" s="46"/>
      <c r="AG303" s="46"/>
      <c r="AH303" s="46"/>
      <c r="AI303" s="46"/>
      <c r="AJ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c r="AA304" s="46"/>
      <c r="AB304" s="46"/>
      <c r="AC304" s="46"/>
      <c r="AD304" s="46"/>
      <c r="AE304" s="46"/>
      <c r="AF304" s="46"/>
      <c r="AG304" s="46"/>
      <c r="AH304" s="46"/>
      <c r="AI304" s="46"/>
      <c r="AJ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c r="AA305" s="46"/>
      <c r="AB305" s="46"/>
      <c r="AC305" s="46"/>
      <c r="AD305" s="46"/>
      <c r="AE305" s="46"/>
      <c r="AF305" s="46"/>
      <c r="AG305" s="46"/>
      <c r="AH305" s="46"/>
      <c r="AI305" s="46"/>
      <c r="AJ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c r="AA306" s="46"/>
      <c r="AB306" s="46"/>
      <c r="AC306" s="46"/>
      <c r="AD306" s="46"/>
      <c r="AE306" s="46"/>
      <c r="AF306" s="46"/>
      <c r="AG306" s="46"/>
      <c r="AH306" s="46"/>
      <c r="AI306" s="46"/>
      <c r="AJ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c r="AA307" s="46"/>
      <c r="AB307" s="46"/>
      <c r="AC307" s="46"/>
      <c r="AD307" s="46"/>
      <c r="AE307" s="46"/>
      <c r="AF307" s="46"/>
      <c r="AG307" s="46"/>
      <c r="AH307" s="46"/>
      <c r="AI307" s="46"/>
      <c r="AJ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46"/>
      <c r="AH308" s="46"/>
      <c r="AI308" s="46"/>
      <c r="AJ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c r="AA309" s="46"/>
      <c r="AB309" s="46"/>
      <c r="AC309" s="46"/>
      <c r="AD309" s="46"/>
      <c r="AE309" s="46"/>
      <c r="AF309" s="46"/>
      <c r="AG309" s="46"/>
      <c r="AH309" s="46"/>
      <c r="AI309" s="46"/>
      <c r="AJ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c r="AA310" s="46"/>
      <c r="AB310" s="46"/>
      <c r="AC310" s="46"/>
      <c r="AD310" s="46"/>
      <c r="AE310" s="46"/>
      <c r="AF310" s="46"/>
      <c r="AG310" s="46"/>
      <c r="AH310" s="46"/>
      <c r="AI310" s="46"/>
      <c r="AJ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c r="AA311" s="46"/>
      <c r="AB311" s="46"/>
      <c r="AC311" s="46"/>
      <c r="AD311" s="46"/>
      <c r="AE311" s="46"/>
      <c r="AF311" s="46"/>
      <c r="AG311" s="46"/>
      <c r="AH311" s="46"/>
      <c r="AI311" s="46"/>
      <c r="AJ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c r="AA312" s="46"/>
      <c r="AB312" s="46"/>
      <c r="AC312" s="46"/>
      <c r="AD312" s="46"/>
      <c r="AE312" s="46"/>
      <c r="AF312" s="46"/>
      <c r="AG312" s="46"/>
      <c r="AH312" s="46"/>
      <c r="AI312" s="46"/>
      <c r="AJ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c r="AA313" s="46"/>
      <c r="AB313" s="46"/>
      <c r="AC313" s="46"/>
      <c r="AD313" s="46"/>
      <c r="AE313" s="46"/>
      <c r="AF313" s="46"/>
      <c r="AG313" s="46"/>
      <c r="AH313" s="46"/>
      <c r="AI313" s="46"/>
      <c r="AJ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c r="AA314" s="46"/>
      <c r="AB314" s="46"/>
      <c r="AC314" s="46"/>
      <c r="AD314" s="46"/>
      <c r="AE314" s="46"/>
      <c r="AF314" s="46"/>
      <c r="AG314" s="46"/>
      <c r="AH314" s="46"/>
      <c r="AI314" s="46"/>
      <c r="AJ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c r="AA315" s="46"/>
      <c r="AB315" s="46"/>
      <c r="AC315" s="46"/>
      <c r="AD315" s="46"/>
      <c r="AE315" s="46"/>
      <c r="AF315" s="46"/>
      <c r="AG315" s="46"/>
      <c r="AH315" s="46"/>
      <c r="AI315" s="46"/>
      <c r="AJ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c r="AA316" s="46"/>
      <c r="AB316" s="46"/>
      <c r="AC316" s="46"/>
      <c r="AD316" s="46"/>
      <c r="AE316" s="46"/>
      <c r="AF316" s="46"/>
      <c r="AG316" s="46"/>
      <c r="AH316" s="46"/>
      <c r="AI316" s="46"/>
      <c r="AJ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c r="AA317" s="46"/>
      <c r="AB317" s="46"/>
      <c r="AC317" s="46"/>
      <c r="AD317" s="46"/>
      <c r="AE317" s="46"/>
      <c r="AF317" s="46"/>
      <c r="AG317" s="46"/>
      <c r="AH317" s="46"/>
      <c r="AI317" s="46"/>
      <c r="AJ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c r="AA318" s="46"/>
      <c r="AB318" s="46"/>
      <c r="AC318" s="46"/>
      <c r="AD318" s="46"/>
      <c r="AE318" s="46"/>
      <c r="AF318" s="46"/>
      <c r="AG318" s="46"/>
      <c r="AH318" s="46"/>
      <c r="AI318" s="46"/>
      <c r="AJ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46"/>
      <c r="AH319" s="46"/>
      <c r="AI319" s="46"/>
      <c r="AJ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c r="AA320" s="46"/>
      <c r="AB320" s="46"/>
      <c r="AC320" s="46"/>
      <c r="AD320" s="46"/>
      <c r="AE320" s="46"/>
      <c r="AF320" s="46"/>
      <c r="AG320" s="46"/>
      <c r="AH320" s="46"/>
      <c r="AI320" s="46"/>
      <c r="AJ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c r="AA321" s="46"/>
      <c r="AB321" s="46"/>
      <c r="AC321" s="46"/>
      <c r="AD321" s="46"/>
      <c r="AE321" s="46"/>
      <c r="AF321" s="46"/>
      <c r="AG321" s="46"/>
      <c r="AH321" s="46"/>
      <c r="AI321" s="46"/>
      <c r="AJ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c r="AA322" s="46"/>
      <c r="AB322" s="46"/>
      <c r="AC322" s="46"/>
      <c r="AD322" s="46"/>
      <c r="AE322" s="46"/>
      <c r="AF322" s="46"/>
      <c r="AG322" s="46"/>
      <c r="AH322" s="46"/>
      <c r="AI322" s="46"/>
      <c r="AJ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c r="AA323" s="46"/>
      <c r="AB323" s="46"/>
      <c r="AC323" s="46"/>
      <c r="AD323" s="46"/>
      <c r="AE323" s="46"/>
      <c r="AF323" s="46"/>
      <c r="AG323" s="46"/>
      <c r="AH323" s="46"/>
      <c r="AI323" s="46"/>
      <c r="AJ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c r="AA324" s="46"/>
      <c r="AB324" s="46"/>
      <c r="AC324" s="46"/>
      <c r="AD324" s="46"/>
      <c r="AE324" s="46"/>
      <c r="AF324" s="46"/>
      <c r="AG324" s="46"/>
      <c r="AH324" s="46"/>
      <c r="AI324" s="46"/>
      <c r="AJ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c r="AA325" s="46"/>
      <c r="AB325" s="46"/>
      <c r="AC325" s="46"/>
      <c r="AD325" s="46"/>
      <c r="AE325" s="46"/>
      <c r="AF325" s="46"/>
      <c r="AG325" s="46"/>
      <c r="AH325" s="46"/>
      <c r="AI325" s="46"/>
      <c r="AJ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c r="AA326" s="46"/>
      <c r="AB326" s="46"/>
      <c r="AC326" s="46"/>
      <c r="AD326" s="46"/>
      <c r="AE326" s="46"/>
      <c r="AF326" s="46"/>
      <c r="AG326" s="46"/>
      <c r="AH326" s="46"/>
      <c r="AI326" s="46"/>
      <c r="AJ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c r="AA327" s="46"/>
      <c r="AB327" s="46"/>
      <c r="AC327" s="46"/>
      <c r="AD327" s="46"/>
      <c r="AE327" s="46"/>
      <c r="AF327" s="46"/>
      <c r="AG327" s="46"/>
      <c r="AH327" s="46"/>
      <c r="AI327" s="46"/>
      <c r="AJ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c r="AA328" s="46"/>
      <c r="AB328" s="46"/>
      <c r="AC328" s="46"/>
      <c r="AD328" s="46"/>
      <c r="AE328" s="46"/>
      <c r="AF328" s="46"/>
      <c r="AG328" s="46"/>
      <c r="AH328" s="46"/>
      <c r="AI328" s="46"/>
      <c r="AJ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c r="AA329" s="46"/>
      <c r="AB329" s="46"/>
      <c r="AC329" s="46"/>
      <c r="AD329" s="46"/>
      <c r="AE329" s="46"/>
      <c r="AF329" s="46"/>
      <c r="AG329" s="46"/>
      <c r="AH329" s="46"/>
      <c r="AI329" s="46"/>
      <c r="AJ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46"/>
      <c r="AH330" s="46"/>
      <c r="AI330" s="46"/>
      <c r="AJ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c r="AA331" s="46"/>
      <c r="AB331" s="46"/>
      <c r="AC331" s="46"/>
      <c r="AD331" s="46"/>
      <c r="AE331" s="46"/>
      <c r="AF331" s="46"/>
      <c r="AG331" s="46"/>
      <c r="AH331" s="46"/>
      <c r="AI331" s="46"/>
      <c r="AJ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c r="AA332" s="46"/>
      <c r="AB332" s="46"/>
      <c r="AC332" s="46"/>
      <c r="AD332" s="46"/>
      <c r="AE332" s="46"/>
      <c r="AF332" s="46"/>
      <c r="AG332" s="46"/>
      <c r="AH332" s="46"/>
      <c r="AI332" s="46"/>
      <c r="AJ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c r="AA333" s="46"/>
      <c r="AB333" s="46"/>
      <c r="AC333" s="46"/>
      <c r="AD333" s="46"/>
      <c r="AE333" s="46"/>
      <c r="AF333" s="46"/>
      <c r="AG333" s="46"/>
      <c r="AH333" s="46"/>
      <c r="AI333" s="46"/>
      <c r="AJ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c r="AA334" s="46"/>
      <c r="AB334" s="46"/>
      <c r="AC334" s="46"/>
      <c r="AD334" s="46"/>
      <c r="AE334" s="46"/>
      <c r="AF334" s="46"/>
      <c r="AG334" s="46"/>
      <c r="AH334" s="46"/>
      <c r="AI334" s="46"/>
      <c r="AJ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c r="AA335" s="46"/>
      <c r="AB335" s="46"/>
      <c r="AC335" s="46"/>
      <c r="AD335" s="46"/>
      <c r="AE335" s="46"/>
      <c r="AF335" s="46"/>
      <c r="AG335" s="46"/>
      <c r="AH335" s="46"/>
      <c r="AI335" s="46"/>
      <c r="AJ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c r="AA336" s="46"/>
      <c r="AB336" s="46"/>
      <c r="AC336" s="46"/>
      <c r="AD336" s="46"/>
      <c r="AE336" s="46"/>
      <c r="AF336" s="46"/>
      <c r="AG336" s="46"/>
      <c r="AH336" s="46"/>
      <c r="AI336" s="46"/>
      <c r="AJ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c r="AA337" s="46"/>
      <c r="AB337" s="46"/>
      <c r="AC337" s="46"/>
      <c r="AD337" s="46"/>
      <c r="AE337" s="46"/>
      <c r="AF337" s="46"/>
      <c r="AG337" s="46"/>
      <c r="AH337" s="46"/>
      <c r="AI337" s="46"/>
      <c r="AJ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c r="AA338" s="46"/>
      <c r="AB338" s="46"/>
      <c r="AC338" s="46"/>
      <c r="AD338" s="46"/>
      <c r="AE338" s="46"/>
      <c r="AF338" s="46"/>
      <c r="AG338" s="46"/>
      <c r="AH338" s="46"/>
      <c r="AI338" s="46"/>
      <c r="AJ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c r="AA339" s="46"/>
      <c r="AB339" s="46"/>
      <c r="AC339" s="46"/>
      <c r="AD339" s="46"/>
      <c r="AE339" s="46"/>
      <c r="AF339" s="46"/>
      <c r="AG339" s="46"/>
      <c r="AH339" s="46"/>
      <c r="AI339" s="46"/>
      <c r="AJ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c r="AA340" s="46"/>
      <c r="AB340" s="46"/>
      <c r="AC340" s="46"/>
      <c r="AD340" s="46"/>
      <c r="AE340" s="46"/>
      <c r="AF340" s="46"/>
      <c r="AG340" s="46"/>
      <c r="AH340" s="46"/>
      <c r="AI340" s="46"/>
      <c r="AJ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46"/>
      <c r="AH341" s="46"/>
      <c r="AI341" s="46"/>
      <c r="AJ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46"/>
      <c r="AH342" s="46"/>
      <c r="AI342" s="46"/>
      <c r="AJ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c r="AA343" s="46"/>
      <c r="AB343" s="46"/>
      <c r="AC343" s="46"/>
      <c r="AD343" s="46"/>
      <c r="AE343" s="46"/>
      <c r="AF343" s="46"/>
      <c r="AG343" s="46"/>
      <c r="AH343" s="46"/>
      <c r="AI343" s="46"/>
      <c r="AJ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c r="AA344" s="46"/>
      <c r="AB344" s="46"/>
      <c r="AC344" s="46"/>
      <c r="AD344" s="46"/>
      <c r="AE344" s="46"/>
      <c r="AF344" s="46"/>
      <c r="AG344" s="46"/>
      <c r="AH344" s="46"/>
      <c r="AI344" s="46"/>
      <c r="AJ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c r="AA345" s="46"/>
      <c r="AB345" s="46"/>
      <c r="AC345" s="46"/>
      <c r="AD345" s="46"/>
      <c r="AE345" s="46"/>
      <c r="AF345" s="46"/>
      <c r="AG345" s="46"/>
      <c r="AH345" s="46"/>
      <c r="AI345" s="46"/>
      <c r="AJ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c r="AA346" s="46"/>
      <c r="AB346" s="46"/>
      <c r="AC346" s="46"/>
      <c r="AD346" s="46"/>
      <c r="AE346" s="46"/>
      <c r="AF346" s="46"/>
      <c r="AG346" s="46"/>
      <c r="AH346" s="46"/>
      <c r="AI346" s="46"/>
      <c r="AJ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c r="AA347" s="46"/>
      <c r="AB347" s="46"/>
      <c r="AC347" s="46"/>
      <c r="AD347" s="46"/>
      <c r="AE347" s="46"/>
      <c r="AF347" s="46"/>
      <c r="AG347" s="46"/>
      <c r="AH347" s="46"/>
      <c r="AI347" s="46"/>
      <c r="AJ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c r="AA348" s="46"/>
      <c r="AB348" s="46"/>
      <c r="AC348" s="46"/>
      <c r="AD348" s="46"/>
      <c r="AE348" s="46"/>
      <c r="AF348" s="46"/>
      <c r="AG348" s="46"/>
      <c r="AH348" s="46"/>
      <c r="AI348" s="46"/>
      <c r="AJ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c r="AA349" s="46"/>
      <c r="AB349" s="46"/>
      <c r="AC349" s="46"/>
      <c r="AD349" s="46"/>
      <c r="AE349" s="46"/>
      <c r="AF349" s="46"/>
      <c r="AG349" s="46"/>
      <c r="AH349" s="46"/>
      <c r="AI349" s="46"/>
      <c r="AJ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46"/>
      <c r="AH350" s="46"/>
      <c r="AI350" s="46"/>
      <c r="AJ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c r="AA351" s="46"/>
      <c r="AB351" s="46"/>
      <c r="AC351" s="46"/>
      <c r="AD351" s="46"/>
      <c r="AE351" s="46"/>
      <c r="AF351" s="46"/>
      <c r="AG351" s="46"/>
      <c r="AH351" s="46"/>
      <c r="AI351" s="46"/>
      <c r="AJ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c r="AA352" s="46"/>
      <c r="AB352" s="46"/>
      <c r="AC352" s="46"/>
      <c r="AD352" s="46"/>
      <c r="AE352" s="46"/>
      <c r="AF352" s="46"/>
      <c r="AG352" s="46"/>
      <c r="AH352" s="46"/>
      <c r="AI352" s="46"/>
      <c r="AJ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c r="AA353" s="46"/>
      <c r="AB353" s="46"/>
      <c r="AC353" s="46"/>
      <c r="AD353" s="46"/>
      <c r="AE353" s="46"/>
      <c r="AF353" s="46"/>
      <c r="AG353" s="46"/>
      <c r="AH353" s="46"/>
      <c r="AI353" s="46"/>
      <c r="AJ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c r="AA354" s="46"/>
      <c r="AB354" s="46"/>
      <c r="AC354" s="46"/>
      <c r="AD354" s="46"/>
      <c r="AE354" s="46"/>
      <c r="AF354" s="46"/>
      <c r="AG354" s="46"/>
      <c r="AH354" s="46"/>
      <c r="AI354" s="46"/>
      <c r="AJ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c r="AA355" s="46"/>
      <c r="AB355" s="46"/>
      <c r="AC355" s="46"/>
      <c r="AD355" s="46"/>
      <c r="AE355" s="46"/>
      <c r="AF355" s="46"/>
      <c r="AG355" s="46"/>
      <c r="AH355" s="46"/>
      <c r="AI355" s="46"/>
      <c r="AJ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c r="AA356" s="46"/>
      <c r="AB356" s="46"/>
      <c r="AC356" s="46"/>
      <c r="AD356" s="46"/>
      <c r="AE356" s="46"/>
      <c r="AF356" s="46"/>
      <c r="AG356" s="46"/>
      <c r="AH356" s="46"/>
      <c r="AI356" s="46"/>
      <c r="AJ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c r="AA357" s="46"/>
      <c r="AB357" s="46"/>
      <c r="AC357" s="46"/>
      <c r="AD357" s="46"/>
      <c r="AE357" s="46"/>
      <c r="AF357" s="46"/>
      <c r="AG357" s="46"/>
      <c r="AH357" s="46"/>
      <c r="AI357" s="46"/>
      <c r="AJ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46"/>
      <c r="AH358" s="46"/>
      <c r="AI358" s="46"/>
      <c r="AJ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c r="AA359" s="46"/>
      <c r="AB359" s="46"/>
      <c r="AC359" s="46"/>
      <c r="AD359" s="46"/>
      <c r="AE359" s="46"/>
      <c r="AF359" s="46"/>
      <c r="AG359" s="46"/>
      <c r="AH359" s="46"/>
      <c r="AI359" s="46"/>
      <c r="AJ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c r="AG360" s="46"/>
      <c r="AH360" s="46"/>
      <c r="AI360" s="46"/>
      <c r="AJ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c r="AA361" s="46"/>
      <c r="AB361" s="46"/>
      <c r="AC361" s="46"/>
      <c r="AD361" s="46"/>
      <c r="AE361" s="46"/>
      <c r="AF361" s="46"/>
      <c r="AG361" s="46"/>
      <c r="AH361" s="46"/>
      <c r="AI361" s="46"/>
      <c r="AJ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c r="AA362" s="46"/>
      <c r="AB362" s="46"/>
      <c r="AC362" s="46"/>
      <c r="AD362" s="46"/>
      <c r="AE362" s="46"/>
      <c r="AF362" s="46"/>
      <c r="AG362" s="46"/>
      <c r="AH362" s="46"/>
      <c r="AI362" s="46"/>
      <c r="AJ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c r="AA363" s="46"/>
      <c r="AB363" s="46"/>
      <c r="AC363" s="46"/>
      <c r="AD363" s="46"/>
      <c r="AE363" s="46"/>
      <c r="AF363" s="46"/>
      <c r="AG363" s="46"/>
      <c r="AH363" s="46"/>
      <c r="AI363" s="46"/>
      <c r="AJ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c r="AA364" s="46"/>
      <c r="AB364" s="46"/>
      <c r="AC364" s="46"/>
      <c r="AD364" s="46"/>
      <c r="AE364" s="46"/>
      <c r="AF364" s="46"/>
      <c r="AG364" s="46"/>
      <c r="AH364" s="46"/>
      <c r="AI364" s="46"/>
      <c r="AJ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c r="AA365" s="46"/>
      <c r="AB365" s="46"/>
      <c r="AC365" s="46"/>
      <c r="AD365" s="46"/>
      <c r="AE365" s="46"/>
      <c r="AF365" s="46"/>
      <c r="AG365" s="46"/>
      <c r="AH365" s="46"/>
      <c r="AI365" s="46"/>
      <c r="AJ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c r="AA366" s="46"/>
      <c r="AB366" s="46"/>
      <c r="AC366" s="46"/>
      <c r="AD366" s="46"/>
      <c r="AE366" s="46"/>
      <c r="AF366" s="46"/>
      <c r="AG366" s="46"/>
      <c r="AH366" s="46"/>
      <c r="AI366" s="46"/>
      <c r="AJ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c r="AA367" s="46"/>
      <c r="AB367" s="46"/>
      <c r="AC367" s="46"/>
      <c r="AD367" s="46"/>
      <c r="AE367" s="46"/>
      <c r="AF367" s="46"/>
      <c r="AG367" s="46"/>
      <c r="AH367" s="46"/>
      <c r="AI367" s="46"/>
      <c r="AJ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c r="AA368" s="46"/>
      <c r="AB368" s="46"/>
      <c r="AC368" s="46"/>
      <c r="AD368" s="46"/>
      <c r="AE368" s="46"/>
      <c r="AF368" s="46"/>
      <c r="AG368" s="46"/>
      <c r="AH368" s="46"/>
      <c r="AI368" s="46"/>
      <c r="AJ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c r="AA369" s="46"/>
      <c r="AB369" s="46"/>
      <c r="AC369" s="46"/>
      <c r="AD369" s="46"/>
      <c r="AE369" s="46"/>
      <c r="AF369" s="46"/>
      <c r="AG369" s="46"/>
      <c r="AH369" s="46"/>
      <c r="AI369" s="46"/>
      <c r="AJ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c r="AA370" s="46"/>
      <c r="AB370" s="46"/>
      <c r="AC370" s="46"/>
      <c r="AD370" s="46"/>
      <c r="AE370" s="46"/>
      <c r="AF370" s="46"/>
      <c r="AG370" s="46"/>
      <c r="AH370" s="46"/>
      <c r="AI370" s="46"/>
      <c r="AJ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c r="AA371" s="46"/>
      <c r="AB371" s="46"/>
      <c r="AC371" s="46"/>
      <c r="AD371" s="46"/>
      <c r="AE371" s="46"/>
      <c r="AF371" s="46"/>
      <c r="AG371" s="46"/>
      <c r="AH371" s="46"/>
      <c r="AI371" s="46"/>
      <c r="AJ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c r="AA372" s="46"/>
      <c r="AB372" s="46"/>
      <c r="AC372" s="46"/>
      <c r="AD372" s="46"/>
      <c r="AE372" s="46"/>
      <c r="AF372" s="46"/>
      <c r="AG372" s="46"/>
      <c r="AH372" s="46"/>
      <c r="AI372" s="46"/>
      <c r="AJ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c r="AA373" s="46"/>
      <c r="AB373" s="46"/>
      <c r="AC373" s="46"/>
      <c r="AD373" s="46"/>
      <c r="AE373" s="46"/>
      <c r="AF373" s="46"/>
      <c r="AG373" s="46"/>
      <c r="AH373" s="46"/>
      <c r="AI373" s="46"/>
      <c r="AJ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c r="AA374" s="46"/>
      <c r="AB374" s="46"/>
      <c r="AC374" s="46"/>
      <c r="AD374" s="46"/>
      <c r="AE374" s="46"/>
      <c r="AF374" s="46"/>
      <c r="AG374" s="46"/>
      <c r="AH374" s="46"/>
      <c r="AI374" s="46"/>
      <c r="AJ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c r="AA375" s="46"/>
      <c r="AB375" s="46"/>
      <c r="AC375" s="46"/>
      <c r="AD375" s="46"/>
      <c r="AE375" s="46"/>
      <c r="AF375" s="46"/>
      <c r="AG375" s="46"/>
      <c r="AH375" s="46"/>
      <c r="AI375" s="46"/>
      <c r="AJ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c r="AA376" s="46"/>
      <c r="AB376" s="46"/>
      <c r="AC376" s="46"/>
      <c r="AD376" s="46"/>
      <c r="AE376" s="46"/>
      <c r="AF376" s="46"/>
      <c r="AG376" s="46"/>
      <c r="AH376" s="46"/>
      <c r="AI376" s="46"/>
      <c r="AJ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c r="AA377" s="46"/>
      <c r="AB377" s="46"/>
      <c r="AC377" s="46"/>
      <c r="AD377" s="46"/>
      <c r="AE377" s="46"/>
      <c r="AF377" s="46"/>
      <c r="AG377" s="46"/>
      <c r="AH377" s="46"/>
      <c r="AI377" s="46"/>
      <c r="AJ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46"/>
      <c r="AH379" s="46"/>
      <c r="AI379" s="46"/>
      <c r="AJ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c r="AA380" s="46"/>
      <c r="AB380" s="46"/>
      <c r="AC380" s="46"/>
      <c r="AD380" s="46"/>
      <c r="AE380" s="46"/>
      <c r="AF380" s="46"/>
      <c r="AG380" s="46"/>
      <c r="AH380" s="46"/>
      <c r="AI380" s="46"/>
      <c r="AJ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c r="AA381" s="46"/>
      <c r="AB381" s="46"/>
      <c r="AC381" s="46"/>
      <c r="AD381" s="46"/>
      <c r="AE381" s="46"/>
      <c r="AF381" s="46"/>
      <c r="AG381" s="46"/>
      <c r="AH381" s="46"/>
      <c r="AI381" s="46"/>
      <c r="AJ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c r="AA382" s="46"/>
      <c r="AB382" s="46"/>
      <c r="AC382" s="46"/>
      <c r="AD382" s="46"/>
      <c r="AE382" s="46"/>
      <c r="AF382" s="46"/>
      <c r="AG382" s="46"/>
      <c r="AH382" s="46"/>
      <c r="AI382" s="46"/>
      <c r="AJ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c r="AA383" s="46"/>
      <c r="AB383" s="46"/>
      <c r="AC383" s="46"/>
      <c r="AD383" s="46"/>
      <c r="AE383" s="46"/>
      <c r="AF383" s="46"/>
      <c r="AG383" s="46"/>
      <c r="AH383" s="46"/>
      <c r="AI383" s="46"/>
      <c r="AJ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c r="AA384" s="46"/>
      <c r="AB384" s="46"/>
      <c r="AC384" s="46"/>
      <c r="AD384" s="46"/>
      <c r="AE384" s="46"/>
      <c r="AF384" s="46"/>
      <c r="AG384" s="46"/>
      <c r="AH384" s="46"/>
      <c r="AI384" s="46"/>
      <c r="AJ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c r="AA385" s="46"/>
      <c r="AB385" s="46"/>
      <c r="AC385" s="46"/>
      <c r="AD385" s="46"/>
      <c r="AE385" s="46"/>
      <c r="AF385" s="46"/>
      <c r="AG385" s="46"/>
      <c r="AH385" s="46"/>
      <c r="AI385" s="46"/>
      <c r="AJ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c r="AA386" s="46"/>
      <c r="AB386" s="46"/>
      <c r="AC386" s="46"/>
      <c r="AD386" s="46"/>
      <c r="AE386" s="46"/>
      <c r="AF386" s="46"/>
      <c r="AG386" s="46"/>
      <c r="AH386" s="46"/>
      <c r="AI386" s="46"/>
      <c r="AJ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c r="AA387" s="46"/>
      <c r="AB387" s="46"/>
      <c r="AC387" s="46"/>
      <c r="AD387" s="46"/>
      <c r="AE387" s="46"/>
      <c r="AF387" s="46"/>
      <c r="AG387" s="46"/>
      <c r="AH387" s="46"/>
      <c r="AI387" s="46"/>
      <c r="AJ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c r="AA388" s="46"/>
      <c r="AB388" s="46"/>
      <c r="AC388" s="46"/>
      <c r="AD388" s="46"/>
      <c r="AE388" s="46"/>
      <c r="AF388" s="46"/>
      <c r="AG388" s="46"/>
      <c r="AH388" s="46"/>
      <c r="AI388" s="46"/>
      <c r="AJ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c r="AA389" s="46"/>
      <c r="AB389" s="46"/>
      <c r="AC389" s="46"/>
      <c r="AD389" s="46"/>
      <c r="AE389" s="46"/>
      <c r="AF389" s="46"/>
      <c r="AG389" s="46"/>
      <c r="AH389" s="46"/>
      <c r="AI389" s="46"/>
      <c r="AJ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c r="AA390" s="46"/>
      <c r="AB390" s="46"/>
      <c r="AC390" s="46"/>
      <c r="AD390" s="46"/>
      <c r="AE390" s="46"/>
      <c r="AF390" s="46"/>
      <c r="AG390" s="46"/>
      <c r="AH390" s="46"/>
      <c r="AI390" s="46"/>
      <c r="AJ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c r="AA391" s="46"/>
      <c r="AB391" s="46"/>
      <c r="AC391" s="46"/>
      <c r="AD391" s="46"/>
      <c r="AE391" s="46"/>
      <c r="AF391" s="46"/>
      <c r="AG391" s="46"/>
      <c r="AH391" s="46"/>
      <c r="AI391" s="46"/>
      <c r="AJ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c r="AA392" s="46"/>
      <c r="AB392" s="46"/>
      <c r="AC392" s="46"/>
      <c r="AD392" s="46"/>
      <c r="AE392" s="46"/>
      <c r="AF392" s="46"/>
      <c r="AG392" s="46"/>
      <c r="AH392" s="46"/>
      <c r="AI392" s="46"/>
      <c r="AJ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c r="AA393" s="46"/>
      <c r="AB393" s="46"/>
      <c r="AC393" s="46"/>
      <c r="AD393" s="46"/>
      <c r="AE393" s="46"/>
      <c r="AF393" s="46"/>
      <c r="AG393" s="46"/>
      <c r="AH393" s="46"/>
      <c r="AI393" s="46"/>
      <c r="AJ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c r="AA394" s="46"/>
      <c r="AB394" s="46"/>
      <c r="AC394" s="46"/>
      <c r="AD394" s="46"/>
      <c r="AE394" s="46"/>
      <c r="AF394" s="46"/>
      <c r="AG394" s="46"/>
      <c r="AH394" s="46"/>
      <c r="AI394" s="46"/>
      <c r="AJ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46"/>
      <c r="AH395" s="46"/>
      <c r="AI395" s="46"/>
      <c r="AJ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c r="AA396" s="46"/>
      <c r="AB396" s="46"/>
      <c r="AC396" s="46"/>
      <c r="AD396" s="46"/>
      <c r="AE396" s="46"/>
      <c r="AF396" s="46"/>
      <c r="AG396" s="46"/>
      <c r="AH396" s="46"/>
      <c r="AI396" s="46"/>
      <c r="AJ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c r="AA397" s="46"/>
      <c r="AB397" s="46"/>
      <c r="AC397" s="46"/>
      <c r="AD397" s="46"/>
      <c r="AE397" s="46"/>
      <c r="AF397" s="46"/>
      <c r="AG397" s="46"/>
      <c r="AH397" s="46"/>
      <c r="AI397" s="46"/>
      <c r="AJ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c r="AA398" s="46"/>
      <c r="AB398" s="46"/>
      <c r="AC398" s="46"/>
      <c r="AD398" s="46"/>
      <c r="AE398" s="46"/>
      <c r="AF398" s="46"/>
      <c r="AG398" s="46"/>
      <c r="AH398" s="46"/>
      <c r="AI398" s="46"/>
      <c r="AJ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c r="AA399" s="46"/>
      <c r="AB399" s="46"/>
      <c r="AC399" s="46"/>
      <c r="AD399" s="46"/>
      <c r="AE399" s="46"/>
      <c r="AF399" s="46"/>
      <c r="AG399" s="46"/>
      <c r="AH399" s="46"/>
      <c r="AI399" s="46"/>
      <c r="AJ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c r="AA400" s="46"/>
      <c r="AB400" s="46"/>
      <c r="AC400" s="46"/>
      <c r="AD400" s="46"/>
      <c r="AE400" s="46"/>
      <c r="AF400" s="46"/>
      <c r="AG400" s="46"/>
      <c r="AH400" s="46"/>
      <c r="AI400" s="46"/>
      <c r="AJ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c r="AA401" s="46"/>
      <c r="AB401" s="46"/>
      <c r="AC401" s="46"/>
      <c r="AD401" s="46"/>
      <c r="AE401" s="46"/>
      <c r="AF401" s="46"/>
      <c r="AG401" s="46"/>
      <c r="AH401" s="46"/>
      <c r="AI401" s="46"/>
      <c r="AJ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c r="AA402" s="46"/>
      <c r="AB402" s="46"/>
      <c r="AC402" s="46"/>
      <c r="AD402" s="46"/>
      <c r="AE402" s="46"/>
      <c r="AF402" s="46"/>
      <c r="AG402" s="46"/>
      <c r="AH402" s="46"/>
      <c r="AI402" s="46"/>
      <c r="AJ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c r="AA403" s="46"/>
      <c r="AB403" s="46"/>
      <c r="AC403" s="46"/>
      <c r="AD403" s="46"/>
      <c r="AE403" s="46"/>
      <c r="AF403" s="46"/>
      <c r="AG403" s="46"/>
      <c r="AH403" s="46"/>
      <c r="AI403" s="46"/>
      <c r="AJ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c r="AA404" s="46"/>
      <c r="AB404" s="46"/>
      <c r="AC404" s="46"/>
      <c r="AD404" s="46"/>
      <c r="AE404" s="46"/>
      <c r="AF404" s="46"/>
      <c r="AG404" s="46"/>
      <c r="AH404" s="46"/>
      <c r="AI404" s="46"/>
      <c r="AJ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c r="AA405" s="46"/>
      <c r="AB405" s="46"/>
      <c r="AC405" s="46"/>
      <c r="AD405" s="46"/>
      <c r="AE405" s="46"/>
      <c r="AF405" s="46"/>
      <c r="AG405" s="46"/>
      <c r="AH405" s="46"/>
      <c r="AI405" s="46"/>
      <c r="AJ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c r="AA406" s="46"/>
      <c r="AB406" s="46"/>
      <c r="AC406" s="46"/>
      <c r="AD406" s="46"/>
      <c r="AE406" s="46"/>
      <c r="AF406" s="46"/>
      <c r="AG406" s="46"/>
      <c r="AH406" s="46"/>
      <c r="AI406" s="46"/>
      <c r="AJ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46"/>
      <c r="AH407" s="46"/>
      <c r="AI407" s="46"/>
      <c r="AJ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c r="AA408" s="46"/>
      <c r="AB408" s="46"/>
      <c r="AC408" s="46"/>
      <c r="AD408" s="46"/>
      <c r="AE408" s="46"/>
      <c r="AF408" s="46"/>
      <c r="AG408" s="46"/>
      <c r="AH408" s="46"/>
      <c r="AI408" s="46"/>
      <c r="AJ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c r="AA409" s="46"/>
      <c r="AB409" s="46"/>
      <c r="AC409" s="46"/>
      <c r="AD409" s="46"/>
      <c r="AE409" s="46"/>
      <c r="AF409" s="46"/>
      <c r="AG409" s="46"/>
      <c r="AH409" s="46"/>
      <c r="AI409" s="46"/>
      <c r="AJ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c r="AA410" s="46"/>
      <c r="AB410" s="46"/>
      <c r="AC410" s="46"/>
      <c r="AD410" s="46"/>
      <c r="AE410" s="46"/>
      <c r="AF410" s="46"/>
      <c r="AG410" s="46"/>
      <c r="AH410" s="46"/>
      <c r="AI410" s="46"/>
      <c r="AJ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c r="AA411" s="46"/>
      <c r="AB411" s="46"/>
      <c r="AC411" s="46"/>
      <c r="AD411" s="46"/>
      <c r="AE411" s="46"/>
      <c r="AF411" s="46"/>
      <c r="AG411" s="46"/>
      <c r="AH411" s="46"/>
      <c r="AI411" s="46"/>
      <c r="AJ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c r="AA412" s="46"/>
      <c r="AB412" s="46"/>
      <c r="AC412" s="46"/>
      <c r="AD412" s="46"/>
      <c r="AE412" s="46"/>
      <c r="AF412" s="46"/>
      <c r="AG412" s="46"/>
      <c r="AH412" s="46"/>
      <c r="AI412" s="46"/>
      <c r="AJ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c r="AA413" s="46"/>
      <c r="AB413" s="46"/>
      <c r="AC413" s="46"/>
      <c r="AD413" s="46"/>
      <c r="AE413" s="46"/>
      <c r="AF413" s="46"/>
      <c r="AG413" s="46"/>
      <c r="AH413" s="46"/>
      <c r="AI413" s="46"/>
      <c r="AJ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c r="AA414" s="46"/>
      <c r="AB414" s="46"/>
      <c r="AC414" s="46"/>
      <c r="AD414" s="46"/>
      <c r="AE414" s="46"/>
      <c r="AF414" s="46"/>
      <c r="AG414" s="46"/>
      <c r="AH414" s="46"/>
      <c r="AI414" s="46"/>
      <c r="AJ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46"/>
      <c r="AH415" s="46"/>
      <c r="AI415" s="46"/>
      <c r="AJ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c r="AA416" s="46"/>
      <c r="AB416" s="46"/>
      <c r="AC416" s="46"/>
      <c r="AD416" s="46"/>
      <c r="AE416" s="46"/>
      <c r="AF416" s="46"/>
      <c r="AG416" s="46"/>
      <c r="AH416" s="46"/>
      <c r="AI416" s="46"/>
      <c r="AJ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c r="AA417" s="46"/>
      <c r="AB417" s="46"/>
      <c r="AC417" s="46"/>
      <c r="AD417" s="46"/>
      <c r="AE417" s="46"/>
      <c r="AF417" s="46"/>
      <c r="AG417" s="46"/>
      <c r="AH417" s="46"/>
      <c r="AI417" s="46"/>
      <c r="AJ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c r="AA418" s="46"/>
      <c r="AB418" s="46"/>
      <c r="AC418" s="46"/>
      <c r="AD418" s="46"/>
      <c r="AE418" s="46"/>
      <c r="AF418" s="46"/>
      <c r="AG418" s="46"/>
      <c r="AH418" s="46"/>
      <c r="AI418" s="46"/>
      <c r="AJ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c r="AA419" s="46"/>
      <c r="AB419" s="46"/>
      <c r="AC419" s="46"/>
      <c r="AD419" s="46"/>
      <c r="AE419" s="46"/>
      <c r="AF419" s="46"/>
      <c r="AG419" s="46"/>
      <c r="AH419" s="46"/>
      <c r="AI419" s="46"/>
      <c r="AJ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c r="AA420" s="46"/>
      <c r="AB420" s="46"/>
      <c r="AC420" s="46"/>
      <c r="AD420" s="46"/>
      <c r="AE420" s="46"/>
      <c r="AF420" s="46"/>
      <c r="AG420" s="46"/>
      <c r="AH420" s="46"/>
      <c r="AI420" s="46"/>
      <c r="AJ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c r="AA421" s="46"/>
      <c r="AB421" s="46"/>
      <c r="AC421" s="46"/>
      <c r="AD421" s="46"/>
      <c r="AE421" s="46"/>
      <c r="AF421" s="46"/>
      <c r="AG421" s="46"/>
      <c r="AH421" s="46"/>
      <c r="AI421" s="46"/>
      <c r="AJ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c r="AA422" s="46"/>
      <c r="AB422" s="46"/>
      <c r="AC422" s="46"/>
      <c r="AD422" s="46"/>
      <c r="AE422" s="46"/>
      <c r="AF422" s="46"/>
      <c r="AG422" s="46"/>
      <c r="AH422" s="46"/>
      <c r="AI422" s="46"/>
      <c r="AJ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46"/>
      <c r="AH423" s="46"/>
      <c r="AI423" s="46"/>
      <c r="AJ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c r="AA424" s="46"/>
      <c r="AB424" s="46"/>
      <c r="AC424" s="46"/>
      <c r="AD424" s="46"/>
      <c r="AE424" s="46"/>
      <c r="AF424" s="46"/>
      <c r="AG424" s="46"/>
      <c r="AH424" s="46"/>
      <c r="AI424" s="46"/>
      <c r="AJ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c r="AA425" s="46"/>
      <c r="AB425" s="46"/>
      <c r="AC425" s="46"/>
      <c r="AD425" s="46"/>
      <c r="AE425" s="46"/>
      <c r="AF425" s="46"/>
      <c r="AG425" s="46"/>
      <c r="AH425" s="46"/>
      <c r="AI425" s="46"/>
      <c r="AJ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c r="AA426" s="46"/>
      <c r="AB426" s="46"/>
      <c r="AC426" s="46"/>
      <c r="AD426" s="46"/>
      <c r="AE426" s="46"/>
      <c r="AF426" s="46"/>
      <c r="AG426" s="46"/>
      <c r="AH426" s="46"/>
      <c r="AI426" s="46"/>
      <c r="AJ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c r="AA427" s="46"/>
      <c r="AB427" s="46"/>
      <c r="AC427" s="46"/>
      <c r="AD427" s="46"/>
      <c r="AE427" s="46"/>
      <c r="AF427" s="46"/>
      <c r="AG427" s="46"/>
      <c r="AH427" s="46"/>
      <c r="AI427" s="46"/>
      <c r="AJ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c r="AA428" s="46"/>
      <c r="AB428" s="46"/>
      <c r="AC428" s="46"/>
      <c r="AD428" s="46"/>
      <c r="AE428" s="46"/>
      <c r="AF428" s="46"/>
      <c r="AG428" s="46"/>
      <c r="AH428" s="46"/>
      <c r="AI428" s="46"/>
      <c r="AJ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c r="AA429" s="46"/>
      <c r="AB429" s="46"/>
      <c r="AC429" s="46"/>
      <c r="AD429" s="46"/>
      <c r="AE429" s="46"/>
      <c r="AF429" s="46"/>
      <c r="AG429" s="46"/>
      <c r="AH429" s="46"/>
      <c r="AI429" s="46"/>
      <c r="AJ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c r="AA430" s="46"/>
      <c r="AB430" s="46"/>
      <c r="AC430" s="46"/>
      <c r="AD430" s="46"/>
      <c r="AE430" s="46"/>
      <c r="AF430" s="46"/>
      <c r="AG430" s="46"/>
      <c r="AH430" s="46"/>
      <c r="AI430" s="46"/>
      <c r="AJ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46"/>
      <c r="AH431" s="46"/>
      <c r="AI431" s="46"/>
      <c r="AJ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c r="AA432" s="46"/>
      <c r="AB432" s="46"/>
      <c r="AC432" s="46"/>
      <c r="AD432" s="46"/>
      <c r="AE432" s="46"/>
      <c r="AF432" s="46"/>
      <c r="AG432" s="46"/>
      <c r="AH432" s="46"/>
      <c r="AI432" s="46"/>
      <c r="AJ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c r="AA433" s="46"/>
      <c r="AB433" s="46"/>
      <c r="AC433" s="46"/>
      <c r="AD433" s="46"/>
      <c r="AE433" s="46"/>
      <c r="AF433" s="46"/>
      <c r="AG433" s="46"/>
      <c r="AH433" s="46"/>
      <c r="AI433" s="46"/>
      <c r="AJ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c r="AA434" s="46"/>
      <c r="AB434" s="46"/>
      <c r="AC434" s="46"/>
      <c r="AD434" s="46"/>
      <c r="AE434" s="46"/>
      <c r="AF434" s="46"/>
      <c r="AG434" s="46"/>
      <c r="AH434" s="46"/>
      <c r="AI434" s="46"/>
      <c r="AJ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c r="AA435" s="46"/>
      <c r="AB435" s="46"/>
      <c r="AC435" s="46"/>
      <c r="AD435" s="46"/>
      <c r="AE435" s="46"/>
      <c r="AF435" s="46"/>
      <c r="AG435" s="46"/>
      <c r="AH435" s="46"/>
      <c r="AI435" s="46"/>
      <c r="AJ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c r="AA436" s="46"/>
      <c r="AB436" s="46"/>
      <c r="AC436" s="46"/>
      <c r="AD436" s="46"/>
      <c r="AE436" s="46"/>
      <c r="AF436" s="46"/>
      <c r="AG436" s="46"/>
      <c r="AH436" s="46"/>
      <c r="AI436" s="46"/>
      <c r="AJ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c r="AA437" s="46"/>
      <c r="AB437" s="46"/>
      <c r="AC437" s="46"/>
      <c r="AD437" s="46"/>
      <c r="AE437" s="46"/>
      <c r="AF437" s="46"/>
      <c r="AG437" s="46"/>
      <c r="AH437" s="46"/>
      <c r="AI437" s="46"/>
      <c r="AJ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c r="AA438" s="46"/>
      <c r="AB438" s="46"/>
      <c r="AC438" s="46"/>
      <c r="AD438" s="46"/>
      <c r="AE438" s="46"/>
      <c r="AF438" s="46"/>
      <c r="AG438" s="46"/>
      <c r="AH438" s="46"/>
      <c r="AI438" s="46"/>
      <c r="AJ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c r="AA439" s="46"/>
      <c r="AB439" s="46"/>
      <c r="AC439" s="46"/>
      <c r="AD439" s="46"/>
      <c r="AE439" s="46"/>
      <c r="AF439" s="46"/>
      <c r="AG439" s="46"/>
      <c r="AH439" s="46"/>
      <c r="AI439" s="46"/>
      <c r="AJ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c r="AA440" s="46"/>
      <c r="AB440" s="46"/>
      <c r="AC440" s="46"/>
      <c r="AD440" s="46"/>
      <c r="AE440" s="46"/>
      <c r="AF440" s="46"/>
      <c r="AG440" s="46"/>
      <c r="AH440" s="46"/>
      <c r="AI440" s="46"/>
      <c r="AJ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c r="AA441" s="46"/>
      <c r="AB441" s="46"/>
      <c r="AC441" s="46"/>
      <c r="AD441" s="46"/>
      <c r="AE441" s="46"/>
      <c r="AF441" s="46"/>
      <c r="AG441" s="46"/>
      <c r="AH441" s="46"/>
      <c r="AI441" s="46"/>
      <c r="AJ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46"/>
      <c r="AH442" s="46"/>
      <c r="AI442" s="46"/>
      <c r="AJ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c r="AA443" s="46"/>
      <c r="AB443" s="46"/>
      <c r="AC443" s="46"/>
      <c r="AD443" s="46"/>
      <c r="AE443" s="46"/>
      <c r="AF443" s="46"/>
      <c r="AG443" s="46"/>
      <c r="AH443" s="46"/>
      <c r="AI443" s="46"/>
      <c r="AJ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c r="AA444" s="46"/>
      <c r="AB444" s="46"/>
      <c r="AC444" s="46"/>
      <c r="AD444" s="46"/>
      <c r="AE444" s="46"/>
      <c r="AF444" s="46"/>
      <c r="AG444" s="46"/>
      <c r="AH444" s="46"/>
      <c r="AI444" s="46"/>
      <c r="AJ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c r="AA445" s="46"/>
      <c r="AB445" s="46"/>
      <c r="AC445" s="46"/>
      <c r="AD445" s="46"/>
      <c r="AE445" s="46"/>
      <c r="AF445" s="46"/>
      <c r="AG445" s="46"/>
      <c r="AH445" s="46"/>
      <c r="AI445" s="46"/>
      <c r="AJ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c r="AA446" s="46"/>
      <c r="AB446" s="46"/>
      <c r="AC446" s="46"/>
      <c r="AD446" s="46"/>
      <c r="AE446" s="46"/>
      <c r="AF446" s="46"/>
      <c r="AG446" s="46"/>
      <c r="AH446" s="46"/>
      <c r="AI446" s="46"/>
      <c r="AJ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c r="AA447" s="46"/>
      <c r="AB447" s="46"/>
      <c r="AC447" s="46"/>
      <c r="AD447" s="46"/>
      <c r="AE447" s="46"/>
      <c r="AF447" s="46"/>
      <c r="AG447" s="46"/>
      <c r="AH447" s="46"/>
      <c r="AI447" s="46"/>
      <c r="AJ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c r="AA448" s="46"/>
      <c r="AB448" s="46"/>
      <c r="AC448" s="46"/>
      <c r="AD448" s="46"/>
      <c r="AE448" s="46"/>
      <c r="AF448" s="46"/>
      <c r="AG448" s="46"/>
      <c r="AH448" s="46"/>
      <c r="AI448" s="46"/>
      <c r="AJ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c r="AA449" s="46"/>
      <c r="AB449" s="46"/>
      <c r="AC449" s="46"/>
      <c r="AD449" s="46"/>
      <c r="AE449" s="46"/>
      <c r="AF449" s="46"/>
      <c r="AG449" s="46"/>
      <c r="AH449" s="46"/>
      <c r="AI449" s="46"/>
      <c r="AJ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46"/>
      <c r="AH450" s="46"/>
      <c r="AI450" s="46"/>
      <c r="AJ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c r="AA451" s="46"/>
      <c r="AB451" s="46"/>
      <c r="AC451" s="46"/>
      <c r="AD451" s="46"/>
      <c r="AE451" s="46"/>
      <c r="AF451" s="46"/>
      <c r="AG451" s="46"/>
      <c r="AH451" s="46"/>
      <c r="AI451" s="46"/>
      <c r="AJ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c r="AA452" s="46"/>
      <c r="AB452" s="46"/>
      <c r="AC452" s="46"/>
      <c r="AD452" s="46"/>
      <c r="AE452" s="46"/>
      <c r="AF452" s="46"/>
      <c r="AG452" s="46"/>
      <c r="AH452" s="46"/>
      <c r="AI452" s="46"/>
      <c r="AJ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c r="AA453" s="46"/>
      <c r="AB453" s="46"/>
      <c r="AC453" s="46"/>
      <c r="AD453" s="46"/>
      <c r="AE453" s="46"/>
      <c r="AF453" s="46"/>
      <c r="AG453" s="46"/>
      <c r="AH453" s="46"/>
      <c r="AI453" s="46"/>
      <c r="AJ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c r="AA454" s="46"/>
      <c r="AB454" s="46"/>
      <c r="AC454" s="46"/>
      <c r="AD454" s="46"/>
      <c r="AE454" s="46"/>
      <c r="AF454" s="46"/>
      <c r="AG454" s="46"/>
      <c r="AH454" s="46"/>
      <c r="AI454" s="46"/>
      <c r="AJ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c r="AA455" s="46"/>
      <c r="AB455" s="46"/>
      <c r="AC455" s="46"/>
      <c r="AD455" s="46"/>
      <c r="AE455" s="46"/>
      <c r="AF455" s="46"/>
      <c r="AG455" s="46"/>
      <c r="AH455" s="46"/>
      <c r="AI455" s="46"/>
      <c r="AJ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46"/>
      <c r="AH456" s="46"/>
      <c r="AI456" s="46"/>
      <c r="AJ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c r="AA457" s="46"/>
      <c r="AB457" s="46"/>
      <c r="AC457" s="46"/>
      <c r="AD457" s="46"/>
      <c r="AE457" s="46"/>
      <c r="AF457" s="46"/>
      <c r="AG457" s="46"/>
      <c r="AH457" s="46"/>
      <c r="AI457" s="46"/>
      <c r="AJ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c r="AA458" s="46"/>
      <c r="AB458" s="46"/>
      <c r="AC458" s="46"/>
      <c r="AD458" s="46"/>
      <c r="AE458" s="46"/>
      <c r="AF458" s="46"/>
      <c r="AG458" s="46"/>
      <c r="AH458" s="46"/>
      <c r="AI458" s="46"/>
      <c r="AJ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46"/>
      <c r="AH459" s="46"/>
      <c r="AI459" s="46"/>
      <c r="AJ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c r="AA460" s="46"/>
      <c r="AB460" s="46"/>
      <c r="AC460" s="46"/>
      <c r="AD460" s="46"/>
      <c r="AE460" s="46"/>
      <c r="AF460" s="46"/>
      <c r="AG460" s="46"/>
      <c r="AH460" s="46"/>
      <c r="AI460" s="46"/>
      <c r="AJ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c r="AA461" s="46"/>
      <c r="AB461" s="46"/>
      <c r="AC461" s="46"/>
      <c r="AD461" s="46"/>
      <c r="AE461" s="46"/>
      <c r="AF461" s="46"/>
      <c r="AG461" s="46"/>
      <c r="AH461" s="46"/>
      <c r="AI461" s="46"/>
      <c r="AJ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c r="AA462" s="46"/>
      <c r="AB462" s="46"/>
      <c r="AC462" s="46"/>
      <c r="AD462" s="46"/>
      <c r="AE462" s="46"/>
      <c r="AF462" s="46"/>
      <c r="AG462" s="46"/>
      <c r="AH462" s="46"/>
      <c r="AI462" s="46"/>
      <c r="AJ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c r="AA463" s="46"/>
      <c r="AB463" s="46"/>
      <c r="AC463" s="46"/>
      <c r="AD463" s="46"/>
      <c r="AE463" s="46"/>
      <c r="AF463" s="46"/>
      <c r="AG463" s="46"/>
      <c r="AH463" s="46"/>
      <c r="AI463" s="46"/>
      <c r="AJ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c r="AA464" s="46"/>
      <c r="AB464" s="46"/>
      <c r="AC464" s="46"/>
      <c r="AD464" s="46"/>
      <c r="AE464" s="46"/>
      <c r="AF464" s="46"/>
      <c r="AG464" s="46"/>
      <c r="AH464" s="46"/>
      <c r="AI464" s="46"/>
      <c r="AJ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c r="AA465" s="46"/>
      <c r="AB465" s="46"/>
      <c r="AC465" s="46"/>
      <c r="AD465" s="46"/>
      <c r="AE465" s="46"/>
      <c r="AF465" s="46"/>
      <c r="AG465" s="46"/>
      <c r="AH465" s="46"/>
      <c r="AI465" s="46"/>
      <c r="AJ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c r="AA466" s="46"/>
      <c r="AB466" s="46"/>
      <c r="AC466" s="46"/>
      <c r="AD466" s="46"/>
      <c r="AE466" s="46"/>
      <c r="AF466" s="46"/>
      <c r="AG466" s="46"/>
      <c r="AH466" s="46"/>
      <c r="AI466" s="46"/>
      <c r="AJ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46"/>
      <c r="AH467" s="46"/>
      <c r="AI467" s="46"/>
      <c r="AJ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c r="AA469" s="46"/>
      <c r="AB469" s="46"/>
      <c r="AC469" s="46"/>
      <c r="AD469" s="46"/>
      <c r="AE469" s="46"/>
      <c r="AF469" s="46"/>
      <c r="AG469" s="46"/>
      <c r="AH469" s="46"/>
      <c r="AI469" s="46"/>
      <c r="AJ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c r="AA470" s="46"/>
      <c r="AB470" s="46"/>
      <c r="AC470" s="46"/>
      <c r="AD470" s="46"/>
      <c r="AE470" s="46"/>
      <c r="AF470" s="46"/>
      <c r="AG470" s="46"/>
      <c r="AH470" s="46"/>
      <c r="AI470" s="46"/>
      <c r="AJ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c r="AA471" s="46"/>
      <c r="AB471" s="46"/>
      <c r="AC471" s="46"/>
      <c r="AD471" s="46"/>
      <c r="AE471" s="46"/>
      <c r="AF471" s="46"/>
      <c r="AG471" s="46"/>
      <c r="AH471" s="46"/>
      <c r="AI471" s="46"/>
      <c r="AJ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c r="AA472" s="46"/>
      <c r="AB472" s="46"/>
      <c r="AC472" s="46"/>
      <c r="AD472" s="46"/>
      <c r="AE472" s="46"/>
      <c r="AF472" s="46"/>
      <c r="AG472" s="46"/>
      <c r="AH472" s="46"/>
      <c r="AI472" s="46"/>
      <c r="AJ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c r="AA473" s="46"/>
      <c r="AB473" s="46"/>
      <c r="AC473" s="46"/>
      <c r="AD473" s="46"/>
      <c r="AE473" s="46"/>
      <c r="AF473" s="46"/>
      <c r="AG473" s="46"/>
      <c r="AH473" s="46"/>
      <c r="AI473" s="46"/>
      <c r="AJ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c r="AA474" s="46"/>
      <c r="AB474" s="46"/>
      <c r="AC474" s="46"/>
      <c r="AD474" s="46"/>
      <c r="AE474" s="46"/>
      <c r="AF474" s="46"/>
      <c r="AG474" s="46"/>
      <c r="AH474" s="46"/>
      <c r="AI474" s="46"/>
      <c r="AJ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46"/>
      <c r="AH475" s="46"/>
      <c r="AI475" s="46"/>
      <c r="AJ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c r="AA476" s="46"/>
      <c r="AB476" s="46"/>
      <c r="AC476" s="46"/>
      <c r="AD476" s="46"/>
      <c r="AE476" s="46"/>
      <c r="AF476" s="46"/>
      <c r="AG476" s="46"/>
      <c r="AH476" s="46"/>
      <c r="AI476" s="46"/>
      <c r="AJ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c r="AA477" s="46"/>
      <c r="AB477" s="46"/>
      <c r="AC477" s="46"/>
      <c r="AD477" s="46"/>
      <c r="AE477" s="46"/>
      <c r="AF477" s="46"/>
      <c r="AG477" s="46"/>
      <c r="AH477" s="46"/>
      <c r="AI477" s="46"/>
      <c r="AJ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c r="AA478" s="46"/>
      <c r="AB478" s="46"/>
      <c r="AC478" s="46"/>
      <c r="AD478" s="46"/>
      <c r="AE478" s="46"/>
      <c r="AF478" s="46"/>
      <c r="AG478" s="46"/>
      <c r="AH478" s="46"/>
      <c r="AI478" s="46"/>
      <c r="AJ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c r="AA479" s="46"/>
      <c r="AB479" s="46"/>
      <c r="AC479" s="46"/>
      <c r="AD479" s="46"/>
      <c r="AE479" s="46"/>
      <c r="AF479" s="46"/>
      <c r="AG479" s="46"/>
      <c r="AH479" s="46"/>
      <c r="AI479" s="46"/>
      <c r="AJ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46"/>
      <c r="AH480" s="46"/>
      <c r="AI480" s="46"/>
      <c r="AJ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c r="AA481" s="46"/>
      <c r="AB481" s="46"/>
      <c r="AC481" s="46"/>
      <c r="AD481" s="46"/>
      <c r="AE481" s="46"/>
      <c r="AF481" s="46"/>
      <c r="AG481" s="46"/>
      <c r="AH481" s="46"/>
      <c r="AI481" s="46"/>
      <c r="AJ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c r="AA482" s="46"/>
      <c r="AB482" s="46"/>
      <c r="AC482" s="46"/>
      <c r="AD482" s="46"/>
      <c r="AE482" s="46"/>
      <c r="AF482" s="46"/>
      <c r="AG482" s="46"/>
      <c r="AH482" s="46"/>
      <c r="AI482" s="46"/>
      <c r="AJ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46"/>
      <c r="AH483" s="46"/>
      <c r="AI483" s="46"/>
      <c r="AJ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c r="AA484" s="46"/>
      <c r="AB484" s="46"/>
      <c r="AC484" s="46"/>
      <c r="AD484" s="46"/>
      <c r="AE484" s="46"/>
      <c r="AF484" s="46"/>
      <c r="AG484" s="46"/>
      <c r="AH484" s="46"/>
      <c r="AI484" s="46"/>
      <c r="AJ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c r="AA485" s="46"/>
      <c r="AB485" s="46"/>
      <c r="AC485" s="46"/>
      <c r="AD485" s="46"/>
      <c r="AE485" s="46"/>
      <c r="AF485" s="46"/>
      <c r="AG485" s="46"/>
      <c r="AH485" s="46"/>
      <c r="AI485" s="46"/>
      <c r="AJ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c r="AA486" s="46"/>
      <c r="AB486" s="46"/>
      <c r="AC486" s="46"/>
      <c r="AD486" s="46"/>
      <c r="AE486" s="46"/>
      <c r="AF486" s="46"/>
      <c r="AG486" s="46"/>
      <c r="AH486" s="46"/>
      <c r="AI486" s="46"/>
      <c r="AJ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c r="AA487" s="46"/>
      <c r="AB487" s="46"/>
      <c r="AC487" s="46"/>
      <c r="AD487" s="46"/>
      <c r="AE487" s="46"/>
      <c r="AF487" s="46"/>
      <c r="AG487" s="46"/>
      <c r="AH487" s="46"/>
      <c r="AI487" s="46"/>
      <c r="AJ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c r="AA488" s="46"/>
      <c r="AB488" s="46"/>
      <c r="AC488" s="46"/>
      <c r="AD488" s="46"/>
      <c r="AE488" s="46"/>
      <c r="AF488" s="46"/>
      <c r="AG488" s="46"/>
      <c r="AH488" s="46"/>
      <c r="AI488" s="46"/>
      <c r="AJ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c r="AA489" s="46"/>
      <c r="AB489" s="46"/>
      <c r="AC489" s="46"/>
      <c r="AD489" s="46"/>
      <c r="AE489" s="46"/>
      <c r="AF489" s="46"/>
      <c r="AG489" s="46"/>
      <c r="AH489" s="46"/>
      <c r="AI489" s="46"/>
      <c r="AJ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c r="AA490" s="46"/>
      <c r="AB490" s="46"/>
      <c r="AC490" s="46"/>
      <c r="AD490" s="46"/>
      <c r="AE490" s="46"/>
      <c r="AF490" s="46"/>
      <c r="AG490" s="46"/>
      <c r="AH490" s="46"/>
      <c r="AI490" s="46"/>
      <c r="AJ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46"/>
      <c r="AH491" s="46"/>
      <c r="AI491" s="46"/>
      <c r="AJ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c r="AC492" s="46"/>
      <c r="AD492" s="46"/>
      <c r="AE492" s="46"/>
      <c r="AF492" s="46"/>
      <c r="AG492" s="46"/>
      <c r="AH492" s="46"/>
      <c r="AI492" s="46"/>
      <c r="AJ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c r="AA493" s="46"/>
      <c r="AB493" s="46"/>
      <c r="AC493" s="46"/>
      <c r="AD493" s="46"/>
      <c r="AE493" s="46"/>
      <c r="AF493" s="46"/>
      <c r="AG493" s="46"/>
      <c r="AH493" s="46"/>
      <c r="AI493" s="46"/>
      <c r="AJ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c r="AA494" s="46"/>
      <c r="AB494" s="46"/>
      <c r="AC494" s="46"/>
      <c r="AD494" s="46"/>
      <c r="AE494" s="46"/>
      <c r="AF494" s="46"/>
      <c r="AG494" s="46"/>
      <c r="AH494" s="46"/>
      <c r="AI494" s="46"/>
      <c r="AJ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c r="AA495" s="46"/>
      <c r="AB495" s="46"/>
      <c r="AC495" s="46"/>
      <c r="AD495" s="46"/>
      <c r="AE495" s="46"/>
      <c r="AF495" s="46"/>
      <c r="AG495" s="46"/>
      <c r="AH495" s="46"/>
      <c r="AI495" s="46"/>
      <c r="AJ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c r="AA496" s="46"/>
      <c r="AB496" s="46"/>
      <c r="AC496" s="46"/>
      <c r="AD496" s="46"/>
      <c r="AE496" s="46"/>
      <c r="AF496" s="46"/>
      <c r="AG496" s="46"/>
      <c r="AH496" s="46"/>
      <c r="AI496" s="46"/>
      <c r="AJ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c r="AA497" s="46"/>
      <c r="AB497" s="46"/>
      <c r="AC497" s="46"/>
      <c r="AD497" s="46"/>
      <c r="AE497" s="46"/>
      <c r="AF497" s="46"/>
      <c r="AG497" s="46"/>
      <c r="AH497" s="46"/>
      <c r="AI497" s="46"/>
      <c r="AJ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c r="AC498" s="46"/>
      <c r="AD498" s="46"/>
      <c r="AE498" s="46"/>
      <c r="AF498" s="46"/>
      <c r="AG498" s="46"/>
      <c r="AH498" s="46"/>
      <c r="AI498" s="46"/>
      <c r="AJ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46"/>
      <c r="AH499" s="46"/>
      <c r="AI499" s="46"/>
      <c r="AJ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c r="AA500" s="46"/>
      <c r="AB500" s="46"/>
      <c r="AC500" s="46"/>
      <c r="AD500" s="46"/>
      <c r="AE500" s="46"/>
      <c r="AF500" s="46"/>
      <c r="AG500" s="46"/>
      <c r="AH500" s="46"/>
      <c r="AI500" s="46"/>
      <c r="AJ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c r="AA501" s="46"/>
      <c r="AB501" s="46"/>
      <c r="AC501" s="46"/>
      <c r="AD501" s="46"/>
      <c r="AE501" s="46"/>
      <c r="AF501" s="46"/>
      <c r="AG501" s="46"/>
      <c r="AH501" s="46"/>
      <c r="AI501" s="46"/>
      <c r="AJ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c r="AA502" s="46"/>
      <c r="AB502" s="46"/>
      <c r="AC502" s="46"/>
      <c r="AD502" s="46"/>
      <c r="AE502" s="46"/>
      <c r="AF502" s="46"/>
      <c r="AG502" s="46"/>
      <c r="AH502" s="46"/>
      <c r="AI502" s="46"/>
      <c r="AJ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c r="AA503" s="46"/>
      <c r="AB503" s="46"/>
      <c r="AC503" s="46"/>
      <c r="AD503" s="46"/>
      <c r="AE503" s="46"/>
      <c r="AF503" s="46"/>
      <c r="AG503" s="46"/>
      <c r="AH503" s="46"/>
      <c r="AI503" s="46"/>
      <c r="AJ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c r="AA504" s="46"/>
      <c r="AB504" s="46"/>
      <c r="AC504" s="46"/>
      <c r="AD504" s="46"/>
      <c r="AE504" s="46"/>
      <c r="AF504" s="46"/>
      <c r="AG504" s="46"/>
      <c r="AH504" s="46"/>
      <c r="AI504" s="46"/>
      <c r="AJ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c r="AA505" s="46"/>
      <c r="AB505" s="46"/>
      <c r="AC505" s="46"/>
      <c r="AD505" s="46"/>
      <c r="AE505" s="46"/>
      <c r="AF505" s="46"/>
      <c r="AG505" s="46"/>
      <c r="AH505" s="46"/>
      <c r="AI505" s="46"/>
      <c r="AJ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c r="AA506" s="46"/>
      <c r="AB506" s="46"/>
      <c r="AC506" s="46"/>
      <c r="AD506" s="46"/>
      <c r="AE506" s="46"/>
      <c r="AF506" s="46"/>
      <c r="AG506" s="46"/>
      <c r="AH506" s="46"/>
      <c r="AI506" s="46"/>
      <c r="AJ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46"/>
      <c r="AH507" s="46"/>
      <c r="AI507" s="46"/>
      <c r="AJ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c r="AA508" s="46"/>
      <c r="AB508" s="46"/>
      <c r="AC508" s="46"/>
      <c r="AD508" s="46"/>
      <c r="AE508" s="46"/>
      <c r="AF508" s="46"/>
      <c r="AG508" s="46"/>
      <c r="AH508" s="46"/>
      <c r="AI508" s="46"/>
      <c r="AJ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c r="AA509" s="46"/>
      <c r="AB509" s="46"/>
      <c r="AC509" s="46"/>
      <c r="AD509" s="46"/>
      <c r="AE509" s="46"/>
      <c r="AF509" s="46"/>
      <c r="AG509" s="46"/>
      <c r="AH509" s="46"/>
      <c r="AI509" s="46"/>
      <c r="AJ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c r="AA510" s="46"/>
      <c r="AB510" s="46"/>
      <c r="AC510" s="46"/>
      <c r="AD510" s="46"/>
      <c r="AE510" s="46"/>
      <c r="AF510" s="46"/>
      <c r="AG510" s="46"/>
      <c r="AH510" s="46"/>
      <c r="AI510" s="46"/>
      <c r="AJ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c r="AA511" s="46"/>
      <c r="AB511" s="46"/>
      <c r="AC511" s="46"/>
      <c r="AD511" s="46"/>
      <c r="AE511" s="46"/>
      <c r="AF511" s="46"/>
      <c r="AG511" s="46"/>
      <c r="AH511" s="46"/>
      <c r="AI511" s="46"/>
      <c r="AJ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c r="AA512" s="46"/>
      <c r="AB512" s="46"/>
      <c r="AC512" s="46"/>
      <c r="AD512" s="46"/>
      <c r="AE512" s="46"/>
      <c r="AF512" s="46"/>
      <c r="AG512" s="46"/>
      <c r="AH512" s="46"/>
      <c r="AI512" s="46"/>
      <c r="AJ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c r="AA513" s="46"/>
      <c r="AB513" s="46"/>
      <c r="AC513" s="46"/>
      <c r="AD513" s="46"/>
      <c r="AE513" s="46"/>
      <c r="AF513" s="46"/>
      <c r="AG513" s="46"/>
      <c r="AH513" s="46"/>
      <c r="AI513" s="46"/>
      <c r="AJ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c r="AA514" s="46"/>
      <c r="AB514" s="46"/>
      <c r="AC514" s="46"/>
      <c r="AD514" s="46"/>
      <c r="AE514" s="46"/>
      <c r="AF514" s="46"/>
      <c r="AG514" s="46"/>
      <c r="AH514" s="46"/>
      <c r="AI514" s="46"/>
      <c r="AJ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46"/>
      <c r="AH515" s="46"/>
      <c r="AI515" s="46"/>
      <c r="AJ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c r="AA516" s="46"/>
      <c r="AB516" s="46"/>
      <c r="AC516" s="46"/>
      <c r="AD516" s="46"/>
      <c r="AE516" s="46"/>
      <c r="AF516" s="46"/>
      <c r="AG516" s="46"/>
      <c r="AH516" s="46"/>
      <c r="AI516" s="46"/>
      <c r="AJ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c r="AA517" s="46"/>
      <c r="AB517" s="46"/>
      <c r="AC517" s="46"/>
      <c r="AD517" s="46"/>
      <c r="AE517" s="46"/>
      <c r="AF517" s="46"/>
      <c r="AG517" s="46"/>
      <c r="AH517" s="46"/>
      <c r="AI517" s="46"/>
      <c r="AJ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c r="AA518" s="46"/>
      <c r="AB518" s="46"/>
      <c r="AC518" s="46"/>
      <c r="AD518" s="46"/>
      <c r="AE518" s="46"/>
      <c r="AF518" s="46"/>
      <c r="AG518" s="46"/>
      <c r="AH518" s="46"/>
      <c r="AI518" s="46"/>
      <c r="AJ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c r="AA519" s="46"/>
      <c r="AB519" s="46"/>
      <c r="AC519" s="46"/>
      <c r="AD519" s="46"/>
      <c r="AE519" s="46"/>
      <c r="AF519" s="46"/>
      <c r="AG519" s="46"/>
      <c r="AH519" s="46"/>
      <c r="AI519" s="46"/>
      <c r="AJ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c r="AA520" s="46"/>
      <c r="AB520" s="46"/>
      <c r="AC520" s="46"/>
      <c r="AD520" s="46"/>
      <c r="AE520" s="46"/>
      <c r="AF520" s="46"/>
      <c r="AG520" s="46"/>
      <c r="AH520" s="46"/>
      <c r="AI520" s="46"/>
      <c r="AJ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c r="AA521" s="46"/>
      <c r="AB521" s="46"/>
      <c r="AC521" s="46"/>
      <c r="AD521" s="46"/>
      <c r="AE521" s="46"/>
      <c r="AF521" s="46"/>
      <c r="AG521" s="46"/>
      <c r="AH521" s="46"/>
      <c r="AI521" s="46"/>
      <c r="AJ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c r="AA522" s="46"/>
      <c r="AB522" s="46"/>
      <c r="AC522" s="46"/>
      <c r="AD522" s="46"/>
      <c r="AE522" s="46"/>
      <c r="AF522" s="46"/>
      <c r="AG522" s="46"/>
      <c r="AH522" s="46"/>
      <c r="AI522" s="46"/>
      <c r="AJ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46"/>
      <c r="AH523" s="46"/>
      <c r="AI523" s="46"/>
      <c r="AJ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c r="AA524" s="46"/>
      <c r="AB524" s="46"/>
      <c r="AC524" s="46"/>
      <c r="AD524" s="46"/>
      <c r="AE524" s="46"/>
      <c r="AF524" s="46"/>
      <c r="AG524" s="46"/>
      <c r="AH524" s="46"/>
      <c r="AI524" s="46"/>
      <c r="AJ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c r="AA525" s="46"/>
      <c r="AB525" s="46"/>
      <c r="AC525" s="46"/>
      <c r="AD525" s="46"/>
      <c r="AE525" s="46"/>
      <c r="AF525" s="46"/>
      <c r="AG525" s="46"/>
      <c r="AH525" s="46"/>
      <c r="AI525" s="46"/>
      <c r="AJ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c r="AA526" s="46"/>
      <c r="AB526" s="46"/>
      <c r="AC526" s="46"/>
      <c r="AD526" s="46"/>
      <c r="AE526" s="46"/>
      <c r="AF526" s="46"/>
      <c r="AG526" s="46"/>
      <c r="AH526" s="46"/>
      <c r="AI526" s="46"/>
      <c r="AJ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c r="AA527" s="46"/>
      <c r="AB527" s="46"/>
      <c r="AC527" s="46"/>
      <c r="AD527" s="46"/>
      <c r="AE527" s="46"/>
      <c r="AF527" s="46"/>
      <c r="AG527" s="46"/>
      <c r="AH527" s="46"/>
      <c r="AI527" s="46"/>
      <c r="AJ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c r="AA528" s="46"/>
      <c r="AB528" s="46"/>
      <c r="AC528" s="46"/>
      <c r="AD528" s="46"/>
      <c r="AE528" s="46"/>
      <c r="AF528" s="46"/>
      <c r="AG528" s="46"/>
      <c r="AH528" s="46"/>
      <c r="AI528" s="46"/>
      <c r="AJ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c r="AA529" s="46"/>
      <c r="AB529" s="46"/>
      <c r="AC529" s="46"/>
      <c r="AD529" s="46"/>
      <c r="AE529" s="46"/>
      <c r="AF529" s="46"/>
      <c r="AG529" s="46"/>
      <c r="AH529" s="46"/>
      <c r="AI529" s="46"/>
      <c r="AJ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c r="AA530" s="46"/>
      <c r="AB530" s="46"/>
      <c r="AC530" s="46"/>
      <c r="AD530" s="46"/>
      <c r="AE530" s="46"/>
      <c r="AF530" s="46"/>
      <c r="AG530" s="46"/>
      <c r="AH530" s="46"/>
      <c r="AI530" s="46"/>
      <c r="AJ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46"/>
      <c r="AH531" s="46"/>
      <c r="AI531" s="46"/>
      <c r="AJ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c r="AA532" s="46"/>
      <c r="AB532" s="46"/>
      <c r="AC532" s="46"/>
      <c r="AD532" s="46"/>
      <c r="AE532" s="46"/>
      <c r="AF532" s="46"/>
      <c r="AG532" s="46"/>
      <c r="AH532" s="46"/>
      <c r="AI532" s="46"/>
      <c r="AJ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c r="AA533" s="46"/>
      <c r="AB533" s="46"/>
      <c r="AC533" s="46"/>
      <c r="AD533" s="46"/>
      <c r="AE533" s="46"/>
      <c r="AF533" s="46"/>
      <c r="AG533" s="46"/>
      <c r="AH533" s="46"/>
      <c r="AI533" s="46"/>
      <c r="AJ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c r="AA534" s="46"/>
      <c r="AB534" s="46"/>
      <c r="AC534" s="46"/>
      <c r="AD534" s="46"/>
      <c r="AE534" s="46"/>
      <c r="AF534" s="46"/>
      <c r="AG534" s="46"/>
      <c r="AH534" s="46"/>
      <c r="AI534" s="46"/>
      <c r="AJ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c r="AA535" s="46"/>
      <c r="AB535" s="46"/>
      <c r="AC535" s="46"/>
      <c r="AD535" s="46"/>
      <c r="AE535" s="46"/>
      <c r="AF535" s="46"/>
      <c r="AG535" s="46"/>
      <c r="AH535" s="46"/>
      <c r="AI535" s="46"/>
      <c r="AJ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c r="AA536" s="46"/>
      <c r="AB536" s="46"/>
      <c r="AC536" s="46"/>
      <c r="AD536" s="46"/>
      <c r="AE536" s="46"/>
      <c r="AF536" s="46"/>
      <c r="AG536" s="46"/>
      <c r="AH536" s="46"/>
      <c r="AI536" s="46"/>
      <c r="AJ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c r="AA537" s="46"/>
      <c r="AB537" s="46"/>
      <c r="AC537" s="46"/>
      <c r="AD537" s="46"/>
      <c r="AE537" s="46"/>
      <c r="AF537" s="46"/>
      <c r="AG537" s="46"/>
      <c r="AH537" s="46"/>
      <c r="AI537" s="46"/>
      <c r="AJ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c r="AA538" s="46"/>
      <c r="AB538" s="46"/>
      <c r="AC538" s="46"/>
      <c r="AD538" s="46"/>
      <c r="AE538" s="46"/>
      <c r="AF538" s="46"/>
      <c r="AG538" s="46"/>
      <c r="AH538" s="46"/>
      <c r="AI538" s="46"/>
      <c r="AJ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46"/>
      <c r="AH539" s="46"/>
      <c r="AI539" s="46"/>
      <c r="AJ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c r="AA540" s="46"/>
      <c r="AB540" s="46"/>
      <c r="AC540" s="46"/>
      <c r="AD540" s="46"/>
      <c r="AE540" s="46"/>
      <c r="AF540" s="46"/>
      <c r="AG540" s="46"/>
      <c r="AH540" s="46"/>
      <c r="AI540" s="46"/>
      <c r="AJ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c r="AA541" s="46"/>
      <c r="AB541" s="46"/>
      <c r="AC541" s="46"/>
      <c r="AD541" s="46"/>
      <c r="AE541" s="46"/>
      <c r="AF541" s="46"/>
      <c r="AG541" s="46"/>
      <c r="AH541" s="46"/>
      <c r="AI541" s="46"/>
      <c r="AJ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c r="AA542" s="46"/>
      <c r="AB542" s="46"/>
      <c r="AC542" s="46"/>
      <c r="AD542" s="46"/>
      <c r="AE542" s="46"/>
      <c r="AF542" s="46"/>
      <c r="AG542" s="46"/>
      <c r="AH542" s="46"/>
      <c r="AI542" s="46"/>
      <c r="AJ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c r="AA543" s="46"/>
      <c r="AB543" s="46"/>
      <c r="AC543" s="46"/>
      <c r="AD543" s="46"/>
      <c r="AE543" s="46"/>
      <c r="AF543" s="46"/>
      <c r="AG543" s="46"/>
      <c r="AH543" s="46"/>
      <c r="AI543" s="46"/>
      <c r="AJ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c r="AA544" s="46"/>
      <c r="AB544" s="46"/>
      <c r="AC544" s="46"/>
      <c r="AD544" s="46"/>
      <c r="AE544" s="46"/>
      <c r="AF544" s="46"/>
      <c r="AG544" s="46"/>
      <c r="AH544" s="46"/>
      <c r="AI544" s="46"/>
      <c r="AJ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c r="AA545" s="46"/>
      <c r="AB545" s="46"/>
      <c r="AC545" s="46"/>
      <c r="AD545" s="46"/>
      <c r="AE545" s="46"/>
      <c r="AF545" s="46"/>
      <c r="AG545" s="46"/>
      <c r="AH545" s="46"/>
      <c r="AI545" s="46"/>
      <c r="AJ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c r="AA546" s="46"/>
      <c r="AB546" s="46"/>
      <c r="AC546" s="46"/>
      <c r="AD546" s="46"/>
      <c r="AE546" s="46"/>
      <c r="AF546" s="46"/>
      <c r="AG546" s="46"/>
      <c r="AH546" s="46"/>
      <c r="AI546" s="46"/>
      <c r="AJ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46"/>
      <c r="AH547" s="46"/>
      <c r="AI547" s="46"/>
      <c r="AJ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c r="AA548" s="46"/>
      <c r="AB548" s="46"/>
      <c r="AC548" s="46"/>
      <c r="AD548" s="46"/>
      <c r="AE548" s="46"/>
      <c r="AF548" s="46"/>
      <c r="AG548" s="46"/>
      <c r="AH548" s="46"/>
      <c r="AI548" s="46"/>
      <c r="AJ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c r="AA549" s="46"/>
      <c r="AB549" s="46"/>
      <c r="AC549" s="46"/>
      <c r="AD549" s="46"/>
      <c r="AE549" s="46"/>
      <c r="AF549" s="46"/>
      <c r="AG549" s="46"/>
      <c r="AH549" s="46"/>
      <c r="AI549" s="46"/>
      <c r="AJ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c r="AA550" s="46"/>
      <c r="AB550" s="46"/>
      <c r="AC550" s="46"/>
      <c r="AD550" s="46"/>
      <c r="AE550" s="46"/>
      <c r="AF550" s="46"/>
      <c r="AG550" s="46"/>
      <c r="AH550" s="46"/>
      <c r="AI550" s="46"/>
      <c r="AJ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c r="AA551" s="46"/>
      <c r="AB551" s="46"/>
      <c r="AC551" s="46"/>
      <c r="AD551" s="46"/>
      <c r="AE551" s="46"/>
      <c r="AF551" s="46"/>
      <c r="AG551" s="46"/>
      <c r="AH551" s="46"/>
      <c r="AI551" s="46"/>
      <c r="AJ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c r="AA552" s="46"/>
      <c r="AB552" s="46"/>
      <c r="AC552" s="46"/>
      <c r="AD552" s="46"/>
      <c r="AE552" s="46"/>
      <c r="AF552" s="46"/>
      <c r="AG552" s="46"/>
      <c r="AH552" s="46"/>
      <c r="AI552" s="46"/>
      <c r="AJ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c r="AA553" s="46"/>
      <c r="AB553" s="46"/>
      <c r="AC553" s="46"/>
      <c r="AD553" s="46"/>
      <c r="AE553" s="46"/>
      <c r="AF553" s="46"/>
      <c r="AG553" s="46"/>
      <c r="AH553" s="46"/>
      <c r="AI553" s="46"/>
      <c r="AJ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c r="AA554" s="46"/>
      <c r="AB554" s="46"/>
      <c r="AC554" s="46"/>
      <c r="AD554" s="46"/>
      <c r="AE554" s="46"/>
      <c r="AF554" s="46"/>
      <c r="AG554" s="46"/>
      <c r="AH554" s="46"/>
      <c r="AI554" s="46"/>
      <c r="AJ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c r="AA555" s="46"/>
      <c r="AB555" s="46"/>
      <c r="AC555" s="46"/>
      <c r="AD555" s="46"/>
      <c r="AE555" s="46"/>
      <c r="AF555" s="46"/>
      <c r="AG555" s="46"/>
      <c r="AH555" s="46"/>
      <c r="AI555" s="46"/>
      <c r="AJ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46"/>
      <c r="AH556" s="46"/>
      <c r="AI556" s="46"/>
      <c r="AJ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c r="AA557" s="46"/>
      <c r="AB557" s="46"/>
      <c r="AC557" s="46"/>
      <c r="AD557" s="46"/>
      <c r="AE557" s="46"/>
      <c r="AF557" s="46"/>
      <c r="AG557" s="46"/>
      <c r="AH557" s="46"/>
      <c r="AI557" s="46"/>
      <c r="AJ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c r="AD558" s="46"/>
      <c r="AE558" s="46"/>
      <c r="AF558" s="46"/>
      <c r="AG558" s="46"/>
      <c r="AH558" s="46"/>
      <c r="AI558" s="46"/>
      <c r="AJ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c r="AA559" s="46"/>
      <c r="AB559" s="46"/>
      <c r="AC559" s="46"/>
      <c r="AD559" s="46"/>
      <c r="AE559" s="46"/>
      <c r="AF559" s="46"/>
      <c r="AG559" s="46"/>
      <c r="AH559" s="46"/>
      <c r="AI559" s="46"/>
      <c r="AJ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c r="AA560" s="46"/>
      <c r="AB560" s="46"/>
      <c r="AC560" s="46"/>
      <c r="AD560" s="46"/>
      <c r="AE560" s="46"/>
      <c r="AF560" s="46"/>
      <c r="AG560" s="46"/>
      <c r="AH560" s="46"/>
      <c r="AI560" s="46"/>
      <c r="AJ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c r="AA561" s="46"/>
      <c r="AB561" s="46"/>
      <c r="AC561" s="46"/>
      <c r="AD561" s="46"/>
      <c r="AE561" s="46"/>
      <c r="AF561" s="46"/>
      <c r="AG561" s="46"/>
      <c r="AH561" s="46"/>
      <c r="AI561" s="46"/>
      <c r="AJ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c r="AA562" s="46"/>
      <c r="AB562" s="46"/>
      <c r="AC562" s="46"/>
      <c r="AD562" s="46"/>
      <c r="AE562" s="46"/>
      <c r="AF562" s="46"/>
      <c r="AG562" s="46"/>
      <c r="AH562" s="46"/>
      <c r="AI562" s="46"/>
      <c r="AJ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c r="AA563" s="46"/>
      <c r="AB563" s="46"/>
      <c r="AC563" s="46"/>
      <c r="AD563" s="46"/>
      <c r="AE563" s="46"/>
      <c r="AF563" s="46"/>
      <c r="AG563" s="46"/>
      <c r="AH563" s="46"/>
      <c r="AI563" s="46"/>
      <c r="AJ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c r="AA564" s="46"/>
      <c r="AB564" s="46"/>
      <c r="AC564" s="46"/>
      <c r="AD564" s="46"/>
      <c r="AE564" s="46"/>
      <c r="AF564" s="46"/>
      <c r="AG564" s="46"/>
      <c r="AH564" s="46"/>
      <c r="AI564" s="46"/>
      <c r="AJ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c r="AA565" s="46"/>
      <c r="AB565" s="46"/>
      <c r="AC565" s="46"/>
      <c r="AD565" s="46"/>
      <c r="AE565" s="46"/>
      <c r="AF565" s="46"/>
      <c r="AG565" s="46"/>
      <c r="AH565" s="46"/>
      <c r="AI565" s="46"/>
      <c r="AJ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c r="AA566" s="46"/>
      <c r="AB566" s="46"/>
      <c r="AC566" s="46"/>
      <c r="AD566" s="46"/>
      <c r="AE566" s="46"/>
      <c r="AF566" s="46"/>
      <c r="AG566" s="46"/>
      <c r="AH566" s="46"/>
      <c r="AI566" s="46"/>
      <c r="AJ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46"/>
      <c r="AH567" s="46"/>
      <c r="AI567" s="46"/>
      <c r="AJ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c r="AA568" s="46"/>
      <c r="AB568" s="46"/>
      <c r="AC568" s="46"/>
      <c r="AD568" s="46"/>
      <c r="AE568" s="46"/>
      <c r="AF568" s="46"/>
      <c r="AG568" s="46"/>
      <c r="AH568" s="46"/>
      <c r="AI568" s="46"/>
      <c r="AJ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c r="AA569" s="46"/>
      <c r="AB569" s="46"/>
      <c r="AC569" s="46"/>
      <c r="AD569" s="46"/>
      <c r="AE569" s="46"/>
      <c r="AF569" s="46"/>
      <c r="AG569" s="46"/>
      <c r="AH569" s="46"/>
      <c r="AI569" s="46"/>
      <c r="AJ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c r="AA570" s="46"/>
      <c r="AB570" s="46"/>
      <c r="AC570" s="46"/>
      <c r="AD570" s="46"/>
      <c r="AE570" s="46"/>
      <c r="AF570" s="46"/>
      <c r="AG570" s="46"/>
      <c r="AH570" s="46"/>
      <c r="AI570" s="46"/>
      <c r="AJ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c r="AA571" s="46"/>
      <c r="AB571" s="46"/>
      <c r="AC571" s="46"/>
      <c r="AD571" s="46"/>
      <c r="AE571" s="46"/>
      <c r="AF571" s="46"/>
      <c r="AG571" s="46"/>
      <c r="AH571" s="46"/>
      <c r="AI571" s="46"/>
      <c r="AJ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c r="AA572" s="46"/>
      <c r="AB572" s="46"/>
      <c r="AC572" s="46"/>
      <c r="AD572" s="46"/>
      <c r="AE572" s="46"/>
      <c r="AF572" s="46"/>
      <c r="AG572" s="46"/>
      <c r="AH572" s="46"/>
      <c r="AI572" s="46"/>
      <c r="AJ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c r="AA573" s="46"/>
      <c r="AB573" s="46"/>
      <c r="AC573" s="46"/>
      <c r="AD573" s="46"/>
      <c r="AE573" s="46"/>
      <c r="AF573" s="46"/>
      <c r="AG573" s="46"/>
      <c r="AH573" s="46"/>
      <c r="AI573" s="46"/>
      <c r="AJ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c r="AA574" s="46"/>
      <c r="AB574" s="46"/>
      <c r="AC574" s="46"/>
      <c r="AD574" s="46"/>
      <c r="AE574" s="46"/>
      <c r="AF574" s="46"/>
      <c r="AG574" s="46"/>
      <c r="AH574" s="46"/>
      <c r="AI574" s="46"/>
      <c r="AJ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c r="AA575" s="46"/>
      <c r="AB575" s="46"/>
      <c r="AC575" s="46"/>
      <c r="AD575" s="46"/>
      <c r="AE575" s="46"/>
      <c r="AF575" s="46"/>
      <c r="AG575" s="46"/>
      <c r="AH575" s="46"/>
      <c r="AI575" s="46"/>
      <c r="AJ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c r="AA576" s="46"/>
      <c r="AB576" s="46"/>
      <c r="AC576" s="46"/>
      <c r="AD576" s="46"/>
      <c r="AE576" s="46"/>
      <c r="AF576" s="46"/>
      <c r="AG576" s="46"/>
      <c r="AH576" s="46"/>
      <c r="AI576" s="46"/>
      <c r="AJ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c r="AA577" s="46"/>
      <c r="AB577" s="46"/>
      <c r="AC577" s="46"/>
      <c r="AD577" s="46"/>
      <c r="AE577" s="46"/>
      <c r="AF577" s="46"/>
      <c r="AG577" s="46"/>
      <c r="AH577" s="46"/>
      <c r="AI577" s="46"/>
      <c r="AJ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46"/>
      <c r="AH578" s="46"/>
      <c r="AI578" s="46"/>
      <c r="AJ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c r="AA579" s="46"/>
      <c r="AB579" s="46"/>
      <c r="AC579" s="46"/>
      <c r="AD579" s="46"/>
      <c r="AE579" s="46"/>
      <c r="AF579" s="46"/>
      <c r="AG579" s="46"/>
      <c r="AH579" s="46"/>
      <c r="AI579" s="46"/>
      <c r="AJ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c r="AA580" s="46"/>
      <c r="AB580" s="46"/>
      <c r="AC580" s="46"/>
      <c r="AD580" s="46"/>
      <c r="AE580" s="46"/>
      <c r="AF580" s="46"/>
      <c r="AG580" s="46"/>
      <c r="AH580" s="46"/>
      <c r="AI580" s="46"/>
      <c r="AJ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c r="AA581" s="46"/>
      <c r="AB581" s="46"/>
      <c r="AC581" s="46"/>
      <c r="AD581" s="46"/>
      <c r="AE581" s="46"/>
      <c r="AF581" s="46"/>
      <c r="AG581" s="46"/>
      <c r="AH581" s="46"/>
      <c r="AI581" s="46"/>
      <c r="AJ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c r="AA582" s="46"/>
      <c r="AB582" s="46"/>
      <c r="AC582" s="46"/>
      <c r="AD582" s="46"/>
      <c r="AE582" s="46"/>
      <c r="AF582" s="46"/>
      <c r="AG582" s="46"/>
      <c r="AH582" s="46"/>
      <c r="AI582" s="46"/>
      <c r="AJ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c r="AA583" s="46"/>
      <c r="AB583" s="46"/>
      <c r="AC583" s="46"/>
      <c r="AD583" s="46"/>
      <c r="AE583" s="46"/>
      <c r="AF583" s="46"/>
      <c r="AG583" s="46"/>
      <c r="AH583" s="46"/>
      <c r="AI583" s="46"/>
      <c r="AJ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c r="AA584" s="46"/>
      <c r="AB584" s="46"/>
      <c r="AC584" s="46"/>
      <c r="AD584" s="46"/>
      <c r="AE584" s="46"/>
      <c r="AF584" s="46"/>
      <c r="AG584" s="46"/>
      <c r="AH584" s="46"/>
      <c r="AI584" s="46"/>
      <c r="AJ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c r="AA585" s="46"/>
      <c r="AB585" s="46"/>
      <c r="AC585" s="46"/>
      <c r="AD585" s="46"/>
      <c r="AE585" s="46"/>
      <c r="AF585" s="46"/>
      <c r="AG585" s="46"/>
      <c r="AH585" s="46"/>
      <c r="AI585" s="46"/>
      <c r="AJ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46"/>
      <c r="AH586" s="46"/>
      <c r="AI586" s="46"/>
      <c r="AJ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c r="AA587" s="46"/>
      <c r="AB587" s="46"/>
      <c r="AC587" s="46"/>
      <c r="AD587" s="46"/>
      <c r="AE587" s="46"/>
      <c r="AF587" s="46"/>
      <c r="AG587" s="46"/>
      <c r="AH587" s="46"/>
      <c r="AI587" s="46"/>
      <c r="AJ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c r="AA588" s="46"/>
      <c r="AB588" s="46"/>
      <c r="AC588" s="46"/>
      <c r="AD588" s="46"/>
      <c r="AE588" s="46"/>
      <c r="AF588" s="46"/>
      <c r="AG588" s="46"/>
      <c r="AH588" s="46"/>
      <c r="AI588" s="46"/>
      <c r="AJ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c r="AA589" s="46"/>
      <c r="AB589" s="46"/>
      <c r="AC589" s="46"/>
      <c r="AD589" s="46"/>
      <c r="AE589" s="46"/>
      <c r="AF589" s="46"/>
      <c r="AG589" s="46"/>
      <c r="AH589" s="46"/>
      <c r="AI589" s="46"/>
      <c r="AJ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c r="AA590" s="46"/>
      <c r="AB590" s="46"/>
      <c r="AC590" s="46"/>
      <c r="AD590" s="46"/>
      <c r="AE590" s="46"/>
      <c r="AF590" s="46"/>
      <c r="AG590" s="46"/>
      <c r="AH590" s="46"/>
      <c r="AI590" s="46"/>
      <c r="AJ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c r="AA591" s="46"/>
      <c r="AB591" s="46"/>
      <c r="AC591" s="46"/>
      <c r="AD591" s="46"/>
      <c r="AE591" s="46"/>
      <c r="AF591" s="46"/>
      <c r="AG591" s="46"/>
      <c r="AH591" s="46"/>
      <c r="AI591" s="46"/>
      <c r="AJ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c r="AA592" s="46"/>
      <c r="AB592" s="46"/>
      <c r="AC592" s="46"/>
      <c r="AD592" s="46"/>
      <c r="AE592" s="46"/>
      <c r="AF592" s="46"/>
      <c r="AG592" s="46"/>
      <c r="AH592" s="46"/>
      <c r="AI592" s="46"/>
      <c r="AJ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c r="AA593" s="46"/>
      <c r="AB593" s="46"/>
      <c r="AC593" s="46"/>
      <c r="AD593" s="46"/>
      <c r="AE593" s="46"/>
      <c r="AF593" s="46"/>
      <c r="AG593" s="46"/>
      <c r="AH593" s="46"/>
      <c r="AI593" s="46"/>
      <c r="AJ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c r="AA594" s="46"/>
      <c r="AB594" s="46"/>
      <c r="AC594" s="46"/>
      <c r="AD594" s="46"/>
      <c r="AE594" s="46"/>
      <c r="AF594" s="46"/>
      <c r="AG594" s="46"/>
      <c r="AH594" s="46"/>
      <c r="AI594" s="46"/>
      <c r="AJ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c r="AA595" s="46"/>
      <c r="AB595" s="46"/>
      <c r="AC595" s="46"/>
      <c r="AD595" s="46"/>
      <c r="AE595" s="46"/>
      <c r="AF595" s="46"/>
      <c r="AG595" s="46"/>
      <c r="AH595" s="46"/>
      <c r="AI595" s="46"/>
      <c r="AJ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c r="AA596" s="46"/>
      <c r="AB596" s="46"/>
      <c r="AC596" s="46"/>
      <c r="AD596" s="46"/>
      <c r="AE596" s="46"/>
      <c r="AF596" s="46"/>
      <c r="AG596" s="46"/>
      <c r="AH596" s="46"/>
      <c r="AI596" s="46"/>
      <c r="AJ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c r="AA597" s="46"/>
      <c r="AB597" s="46"/>
      <c r="AC597" s="46"/>
      <c r="AD597" s="46"/>
      <c r="AE597" s="46"/>
      <c r="AF597" s="46"/>
      <c r="AG597" s="46"/>
      <c r="AH597" s="46"/>
      <c r="AI597" s="46"/>
      <c r="AJ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c r="AA598" s="46"/>
      <c r="AB598" s="46"/>
      <c r="AC598" s="46"/>
      <c r="AD598" s="46"/>
      <c r="AE598" s="46"/>
      <c r="AF598" s="46"/>
      <c r="AG598" s="46"/>
      <c r="AH598" s="46"/>
      <c r="AI598" s="46"/>
      <c r="AJ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c r="AA599" s="46"/>
      <c r="AB599" s="46"/>
      <c r="AC599" s="46"/>
      <c r="AD599" s="46"/>
      <c r="AE599" s="46"/>
      <c r="AF599" s="46"/>
      <c r="AG599" s="46"/>
      <c r="AH599" s="46"/>
      <c r="AI599" s="46"/>
      <c r="AJ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46"/>
      <c r="AH600" s="46"/>
      <c r="AI600" s="46"/>
      <c r="AJ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c r="AA601" s="46"/>
      <c r="AB601" s="46"/>
      <c r="AC601" s="46"/>
      <c r="AD601" s="46"/>
      <c r="AE601" s="46"/>
      <c r="AF601" s="46"/>
      <c r="AG601" s="46"/>
      <c r="AH601" s="46"/>
      <c r="AI601" s="46"/>
      <c r="AJ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c r="AA602" s="46"/>
      <c r="AB602" s="46"/>
      <c r="AC602" s="46"/>
      <c r="AD602" s="46"/>
      <c r="AE602" s="46"/>
      <c r="AF602" s="46"/>
      <c r="AG602" s="46"/>
      <c r="AH602" s="46"/>
      <c r="AI602" s="46"/>
      <c r="AJ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c r="AA603" s="46"/>
      <c r="AB603" s="46"/>
      <c r="AC603" s="46"/>
      <c r="AD603" s="46"/>
      <c r="AE603" s="46"/>
      <c r="AF603" s="46"/>
      <c r="AG603" s="46"/>
      <c r="AH603" s="46"/>
      <c r="AI603" s="46"/>
      <c r="AJ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c r="AA604" s="46"/>
      <c r="AB604" s="46"/>
      <c r="AC604" s="46"/>
      <c r="AD604" s="46"/>
      <c r="AE604" s="46"/>
      <c r="AF604" s="46"/>
      <c r="AG604" s="46"/>
      <c r="AH604" s="46"/>
      <c r="AI604" s="46"/>
      <c r="AJ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c r="AA605" s="46"/>
      <c r="AB605" s="46"/>
      <c r="AC605" s="46"/>
      <c r="AD605" s="46"/>
      <c r="AE605" s="46"/>
      <c r="AF605" s="46"/>
      <c r="AG605" s="46"/>
      <c r="AH605" s="46"/>
      <c r="AI605" s="46"/>
      <c r="AJ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c r="AA606" s="46"/>
      <c r="AB606" s="46"/>
      <c r="AC606" s="46"/>
      <c r="AD606" s="46"/>
      <c r="AE606" s="46"/>
      <c r="AF606" s="46"/>
      <c r="AG606" s="46"/>
      <c r="AH606" s="46"/>
      <c r="AI606" s="46"/>
      <c r="AJ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c r="AA607" s="46"/>
      <c r="AB607" s="46"/>
      <c r="AC607" s="46"/>
      <c r="AD607" s="46"/>
      <c r="AE607" s="46"/>
      <c r="AF607" s="46"/>
      <c r="AG607" s="46"/>
      <c r="AH607" s="46"/>
      <c r="AI607" s="46"/>
      <c r="AJ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46"/>
      <c r="AH608" s="46"/>
      <c r="AI608" s="46"/>
      <c r="AJ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c r="AA609" s="46"/>
      <c r="AB609" s="46"/>
      <c r="AC609" s="46"/>
      <c r="AD609" s="46"/>
      <c r="AE609" s="46"/>
      <c r="AF609" s="46"/>
      <c r="AG609" s="46"/>
      <c r="AH609" s="46"/>
      <c r="AI609" s="46"/>
      <c r="AJ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c r="AA610" s="46"/>
      <c r="AB610" s="46"/>
      <c r="AC610" s="46"/>
      <c r="AD610" s="46"/>
      <c r="AE610" s="46"/>
      <c r="AF610" s="46"/>
      <c r="AG610" s="46"/>
      <c r="AH610" s="46"/>
      <c r="AI610" s="46"/>
      <c r="AJ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c r="AA611" s="46"/>
      <c r="AB611" s="46"/>
      <c r="AC611" s="46"/>
      <c r="AD611" s="46"/>
      <c r="AE611" s="46"/>
      <c r="AF611" s="46"/>
      <c r="AG611" s="46"/>
      <c r="AH611" s="46"/>
      <c r="AI611" s="46"/>
      <c r="AJ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c r="AA612" s="46"/>
      <c r="AB612" s="46"/>
      <c r="AC612" s="46"/>
      <c r="AD612" s="46"/>
      <c r="AE612" s="46"/>
      <c r="AF612" s="46"/>
      <c r="AG612" s="46"/>
      <c r="AH612" s="46"/>
      <c r="AI612" s="46"/>
      <c r="AJ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c r="AA613" s="46"/>
      <c r="AB613" s="46"/>
      <c r="AC613" s="46"/>
      <c r="AD613" s="46"/>
      <c r="AE613" s="46"/>
      <c r="AF613" s="46"/>
      <c r="AG613" s="46"/>
      <c r="AH613" s="46"/>
      <c r="AI613" s="46"/>
      <c r="AJ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c r="AA614" s="46"/>
      <c r="AB614" s="46"/>
      <c r="AC614" s="46"/>
      <c r="AD614" s="46"/>
      <c r="AE614" s="46"/>
      <c r="AF614" s="46"/>
      <c r="AG614" s="46"/>
      <c r="AH614" s="46"/>
      <c r="AI614" s="46"/>
      <c r="AJ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c r="AA615" s="46"/>
      <c r="AB615" s="46"/>
      <c r="AC615" s="46"/>
      <c r="AD615" s="46"/>
      <c r="AE615" s="46"/>
      <c r="AF615" s="46"/>
      <c r="AG615" s="46"/>
      <c r="AH615" s="46"/>
      <c r="AI615" s="46"/>
      <c r="AJ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46"/>
      <c r="AH616" s="46"/>
      <c r="AI616" s="46"/>
      <c r="AJ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c r="AA617" s="46"/>
      <c r="AB617" s="46"/>
      <c r="AC617" s="46"/>
      <c r="AD617" s="46"/>
      <c r="AE617" s="46"/>
      <c r="AF617" s="46"/>
      <c r="AG617" s="46"/>
      <c r="AH617" s="46"/>
      <c r="AI617" s="46"/>
      <c r="AJ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c r="AA618" s="46"/>
      <c r="AB618" s="46"/>
      <c r="AC618" s="46"/>
      <c r="AD618" s="46"/>
      <c r="AE618" s="46"/>
      <c r="AF618" s="46"/>
      <c r="AG618" s="46"/>
      <c r="AH618" s="46"/>
      <c r="AI618" s="46"/>
      <c r="AJ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c r="AA619" s="46"/>
      <c r="AB619" s="46"/>
      <c r="AC619" s="46"/>
      <c r="AD619" s="46"/>
      <c r="AE619" s="46"/>
      <c r="AF619" s="46"/>
      <c r="AG619" s="46"/>
      <c r="AH619" s="46"/>
      <c r="AI619" s="46"/>
      <c r="AJ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c r="AA620" s="46"/>
      <c r="AB620" s="46"/>
      <c r="AC620" s="46"/>
      <c r="AD620" s="46"/>
      <c r="AE620" s="46"/>
      <c r="AF620" s="46"/>
      <c r="AG620" s="46"/>
      <c r="AH620" s="46"/>
      <c r="AI620" s="46"/>
      <c r="AJ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c r="AA621" s="46"/>
      <c r="AB621" s="46"/>
      <c r="AC621" s="46"/>
      <c r="AD621" s="46"/>
      <c r="AE621" s="46"/>
      <c r="AF621" s="46"/>
      <c r="AG621" s="46"/>
      <c r="AH621" s="46"/>
      <c r="AI621" s="46"/>
      <c r="AJ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c r="AA622" s="46"/>
      <c r="AB622" s="46"/>
      <c r="AC622" s="46"/>
      <c r="AD622" s="46"/>
      <c r="AE622" s="46"/>
      <c r="AF622" s="46"/>
      <c r="AG622" s="46"/>
      <c r="AH622" s="46"/>
      <c r="AI622" s="46"/>
      <c r="AJ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c r="AA623" s="46"/>
      <c r="AB623" s="46"/>
      <c r="AC623" s="46"/>
      <c r="AD623" s="46"/>
      <c r="AE623" s="46"/>
      <c r="AF623" s="46"/>
      <c r="AG623" s="46"/>
      <c r="AH623" s="46"/>
      <c r="AI623" s="46"/>
      <c r="AJ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c r="AA624" s="46"/>
      <c r="AB624" s="46"/>
      <c r="AC624" s="46"/>
      <c r="AD624" s="46"/>
      <c r="AE624" s="46"/>
      <c r="AF624" s="46"/>
      <c r="AG624" s="46"/>
      <c r="AH624" s="46"/>
      <c r="AI624" s="46"/>
      <c r="AJ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c r="AA625" s="46"/>
      <c r="AB625" s="46"/>
      <c r="AC625" s="46"/>
      <c r="AD625" s="46"/>
      <c r="AE625" s="46"/>
      <c r="AF625" s="46"/>
      <c r="AG625" s="46"/>
      <c r="AH625" s="46"/>
      <c r="AI625" s="46"/>
      <c r="AJ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c r="AA626" s="46"/>
      <c r="AB626" s="46"/>
      <c r="AC626" s="46"/>
      <c r="AD626" s="46"/>
      <c r="AE626" s="46"/>
      <c r="AF626" s="46"/>
      <c r="AG626" s="46"/>
      <c r="AH626" s="46"/>
      <c r="AI626" s="46"/>
      <c r="AJ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c r="AA628" s="46"/>
      <c r="AB628" s="46"/>
      <c r="AC628" s="46"/>
      <c r="AD628" s="46"/>
      <c r="AE628" s="46"/>
      <c r="AF628" s="46"/>
      <c r="AG628" s="46"/>
      <c r="AH628" s="46"/>
      <c r="AI628" s="46"/>
      <c r="AJ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c r="AA629" s="46"/>
      <c r="AB629" s="46"/>
      <c r="AC629" s="46"/>
      <c r="AD629" s="46"/>
      <c r="AE629" s="46"/>
      <c r="AF629" s="46"/>
      <c r="AG629" s="46"/>
      <c r="AH629" s="46"/>
      <c r="AI629" s="46"/>
      <c r="AJ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c r="AA630" s="46"/>
      <c r="AB630" s="46"/>
      <c r="AC630" s="46"/>
      <c r="AD630" s="46"/>
      <c r="AE630" s="46"/>
      <c r="AF630" s="46"/>
      <c r="AG630" s="46"/>
      <c r="AH630" s="46"/>
      <c r="AI630" s="46"/>
      <c r="AJ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c r="AA631" s="46"/>
      <c r="AB631" s="46"/>
      <c r="AC631" s="46"/>
      <c r="AD631" s="46"/>
      <c r="AE631" s="46"/>
      <c r="AF631" s="46"/>
      <c r="AG631" s="46"/>
      <c r="AH631" s="46"/>
      <c r="AI631" s="46"/>
      <c r="AJ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c r="AA632" s="46"/>
      <c r="AB632" s="46"/>
      <c r="AC632" s="46"/>
      <c r="AD632" s="46"/>
      <c r="AE632" s="46"/>
      <c r="AF632" s="46"/>
      <c r="AG632" s="46"/>
      <c r="AH632" s="46"/>
      <c r="AI632" s="46"/>
      <c r="AJ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c r="AA633" s="46"/>
      <c r="AB633" s="46"/>
      <c r="AC633" s="46"/>
      <c r="AD633" s="46"/>
      <c r="AE633" s="46"/>
      <c r="AF633" s="46"/>
      <c r="AG633" s="46"/>
      <c r="AH633" s="46"/>
      <c r="AI633" s="46"/>
      <c r="AJ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c r="AA634" s="46"/>
      <c r="AB634" s="46"/>
      <c r="AC634" s="46"/>
      <c r="AD634" s="46"/>
      <c r="AE634" s="46"/>
      <c r="AF634" s="46"/>
      <c r="AG634" s="46"/>
      <c r="AH634" s="46"/>
      <c r="AI634" s="46"/>
      <c r="AJ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46"/>
      <c r="AH635" s="46"/>
      <c r="AI635" s="46"/>
      <c r="AJ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c r="AA636" s="46"/>
      <c r="AB636" s="46"/>
      <c r="AC636" s="46"/>
      <c r="AD636" s="46"/>
      <c r="AE636" s="46"/>
      <c r="AF636" s="46"/>
      <c r="AG636" s="46"/>
      <c r="AH636" s="46"/>
      <c r="AI636" s="46"/>
      <c r="AJ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c r="AA637" s="46"/>
      <c r="AB637" s="46"/>
      <c r="AC637" s="46"/>
      <c r="AD637" s="46"/>
      <c r="AE637" s="46"/>
      <c r="AF637" s="46"/>
      <c r="AG637" s="46"/>
      <c r="AH637" s="46"/>
      <c r="AI637" s="46"/>
      <c r="AJ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c r="AA638" s="46"/>
      <c r="AB638" s="46"/>
      <c r="AC638" s="46"/>
      <c r="AD638" s="46"/>
      <c r="AE638" s="46"/>
      <c r="AF638" s="46"/>
      <c r="AG638" s="46"/>
      <c r="AH638" s="46"/>
      <c r="AI638" s="46"/>
      <c r="AJ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c r="AA639" s="46"/>
      <c r="AB639" s="46"/>
      <c r="AC639" s="46"/>
      <c r="AD639" s="46"/>
      <c r="AE639" s="46"/>
      <c r="AF639" s="46"/>
      <c r="AG639" s="46"/>
      <c r="AH639" s="46"/>
      <c r="AI639" s="46"/>
      <c r="AJ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c r="AA640" s="46"/>
      <c r="AB640" s="46"/>
      <c r="AC640" s="46"/>
      <c r="AD640" s="46"/>
      <c r="AE640" s="46"/>
      <c r="AF640" s="46"/>
      <c r="AG640" s="46"/>
      <c r="AH640" s="46"/>
      <c r="AI640" s="46"/>
      <c r="AJ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c r="AA641" s="46"/>
      <c r="AB641" s="46"/>
      <c r="AC641" s="46"/>
      <c r="AD641" s="46"/>
      <c r="AE641" s="46"/>
      <c r="AF641" s="46"/>
      <c r="AG641" s="46"/>
      <c r="AH641" s="46"/>
      <c r="AI641" s="46"/>
      <c r="AJ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c r="AA642" s="46"/>
      <c r="AB642" s="46"/>
      <c r="AC642" s="46"/>
      <c r="AD642" s="46"/>
      <c r="AE642" s="46"/>
      <c r="AF642" s="46"/>
      <c r="AG642" s="46"/>
      <c r="AH642" s="46"/>
      <c r="AI642" s="46"/>
      <c r="AJ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46"/>
      <c r="AH643" s="46"/>
      <c r="AI643" s="46"/>
      <c r="AJ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c r="AA644" s="46"/>
      <c r="AB644" s="46"/>
      <c r="AC644" s="46"/>
      <c r="AD644" s="46"/>
      <c r="AE644" s="46"/>
      <c r="AF644" s="46"/>
      <c r="AG644" s="46"/>
      <c r="AH644" s="46"/>
      <c r="AI644" s="46"/>
      <c r="AJ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c r="AA645" s="46"/>
      <c r="AB645" s="46"/>
      <c r="AC645" s="46"/>
      <c r="AD645" s="46"/>
      <c r="AE645" s="46"/>
      <c r="AF645" s="46"/>
      <c r="AG645" s="46"/>
      <c r="AH645" s="46"/>
      <c r="AI645" s="46"/>
      <c r="AJ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c r="AA646" s="46"/>
      <c r="AB646" s="46"/>
      <c r="AC646" s="46"/>
      <c r="AD646" s="46"/>
      <c r="AE646" s="46"/>
      <c r="AF646" s="46"/>
      <c r="AG646" s="46"/>
      <c r="AH646" s="46"/>
      <c r="AI646" s="46"/>
      <c r="AJ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c r="AA647" s="46"/>
      <c r="AB647" s="46"/>
      <c r="AC647" s="46"/>
      <c r="AD647" s="46"/>
      <c r="AE647" s="46"/>
      <c r="AF647" s="46"/>
      <c r="AG647" s="46"/>
      <c r="AH647" s="46"/>
      <c r="AI647" s="46"/>
      <c r="AJ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c r="AA648" s="46"/>
      <c r="AB648" s="46"/>
      <c r="AC648" s="46"/>
      <c r="AD648" s="46"/>
      <c r="AE648" s="46"/>
      <c r="AF648" s="46"/>
      <c r="AG648" s="46"/>
      <c r="AH648" s="46"/>
      <c r="AI648" s="46"/>
      <c r="AJ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c r="AA649" s="46"/>
      <c r="AB649" s="46"/>
      <c r="AC649" s="46"/>
      <c r="AD649" s="46"/>
      <c r="AE649" s="46"/>
      <c r="AF649" s="46"/>
      <c r="AG649" s="46"/>
      <c r="AH649" s="46"/>
      <c r="AI649" s="46"/>
      <c r="AJ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c r="AA650" s="46"/>
      <c r="AB650" s="46"/>
      <c r="AC650" s="46"/>
      <c r="AD650" s="46"/>
      <c r="AE650" s="46"/>
      <c r="AF650" s="46"/>
      <c r="AG650" s="46"/>
      <c r="AH650" s="46"/>
      <c r="AI650" s="46"/>
      <c r="AJ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c r="AA651" s="46"/>
      <c r="AB651" s="46"/>
      <c r="AC651" s="46"/>
      <c r="AD651" s="46"/>
      <c r="AE651" s="46"/>
      <c r="AF651" s="46"/>
      <c r="AG651" s="46"/>
      <c r="AH651" s="46"/>
      <c r="AI651" s="46"/>
      <c r="AJ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c r="AA652" s="46"/>
      <c r="AB652" s="46"/>
      <c r="AC652" s="46"/>
      <c r="AD652" s="46"/>
      <c r="AE652" s="46"/>
      <c r="AF652" s="46"/>
      <c r="AG652" s="46"/>
      <c r="AH652" s="46"/>
      <c r="AI652" s="46"/>
      <c r="AJ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46"/>
      <c r="AH653" s="46"/>
      <c r="AI653" s="46"/>
      <c r="AJ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c r="AA654" s="46"/>
      <c r="AB654" s="46"/>
      <c r="AC654" s="46"/>
      <c r="AD654" s="46"/>
      <c r="AE654" s="46"/>
      <c r="AF654" s="46"/>
      <c r="AG654" s="46"/>
      <c r="AH654" s="46"/>
      <c r="AI654" s="46"/>
      <c r="AJ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c r="AA655" s="46"/>
      <c r="AB655" s="46"/>
      <c r="AC655" s="46"/>
      <c r="AD655" s="46"/>
      <c r="AE655" s="46"/>
      <c r="AF655" s="46"/>
      <c r="AG655" s="46"/>
      <c r="AH655" s="46"/>
      <c r="AI655" s="46"/>
      <c r="AJ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c r="AA656" s="46"/>
      <c r="AB656" s="46"/>
      <c r="AC656" s="46"/>
      <c r="AD656" s="46"/>
      <c r="AE656" s="46"/>
      <c r="AF656" s="46"/>
      <c r="AG656" s="46"/>
      <c r="AH656" s="46"/>
      <c r="AI656" s="46"/>
      <c r="AJ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c r="AA657" s="46"/>
      <c r="AB657" s="46"/>
      <c r="AC657" s="46"/>
      <c r="AD657" s="46"/>
      <c r="AE657" s="46"/>
      <c r="AF657" s="46"/>
      <c r="AG657" s="46"/>
      <c r="AH657" s="46"/>
      <c r="AI657" s="46"/>
      <c r="AJ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c r="AA658" s="46"/>
      <c r="AB658" s="46"/>
      <c r="AC658" s="46"/>
      <c r="AD658" s="46"/>
      <c r="AE658" s="46"/>
      <c r="AF658" s="46"/>
      <c r="AG658" s="46"/>
      <c r="AH658" s="46"/>
      <c r="AI658" s="46"/>
      <c r="AJ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c r="AA659" s="46"/>
      <c r="AB659" s="46"/>
      <c r="AC659" s="46"/>
      <c r="AD659" s="46"/>
      <c r="AE659" s="46"/>
      <c r="AF659" s="46"/>
      <c r="AG659" s="46"/>
      <c r="AH659" s="46"/>
      <c r="AI659" s="46"/>
      <c r="AJ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c r="AA660" s="46"/>
      <c r="AB660" s="46"/>
      <c r="AC660" s="46"/>
      <c r="AD660" s="46"/>
      <c r="AE660" s="46"/>
      <c r="AF660" s="46"/>
      <c r="AG660" s="46"/>
      <c r="AH660" s="46"/>
      <c r="AI660" s="46"/>
      <c r="AJ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c r="AA661" s="46"/>
      <c r="AB661" s="46"/>
      <c r="AC661" s="46"/>
      <c r="AD661" s="46"/>
      <c r="AE661" s="46"/>
      <c r="AF661" s="46"/>
      <c r="AG661" s="46"/>
      <c r="AH661" s="46"/>
      <c r="AI661" s="46"/>
      <c r="AJ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c r="AA662" s="46"/>
      <c r="AB662" s="46"/>
      <c r="AC662" s="46"/>
      <c r="AD662" s="46"/>
      <c r="AE662" s="46"/>
      <c r="AF662" s="46"/>
      <c r="AG662" s="46"/>
      <c r="AH662" s="46"/>
      <c r="AI662" s="46"/>
      <c r="AJ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c r="AA663" s="46"/>
      <c r="AB663" s="46"/>
      <c r="AC663" s="46"/>
      <c r="AD663" s="46"/>
      <c r="AE663" s="46"/>
      <c r="AF663" s="46"/>
      <c r="AG663" s="46"/>
      <c r="AH663" s="46"/>
      <c r="AI663" s="46"/>
      <c r="AJ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46"/>
      <c r="AH664" s="46"/>
      <c r="AI664" s="46"/>
      <c r="AJ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c r="AA665" s="46"/>
      <c r="AB665" s="46"/>
      <c r="AC665" s="46"/>
      <c r="AD665" s="46"/>
      <c r="AE665" s="46"/>
      <c r="AF665" s="46"/>
      <c r="AG665" s="46"/>
      <c r="AH665" s="46"/>
      <c r="AI665" s="46"/>
      <c r="AJ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c r="AA666" s="46"/>
      <c r="AB666" s="46"/>
      <c r="AC666" s="46"/>
      <c r="AD666" s="46"/>
      <c r="AE666" s="46"/>
      <c r="AF666" s="46"/>
      <c r="AG666" s="46"/>
      <c r="AH666" s="46"/>
      <c r="AI666" s="46"/>
      <c r="AJ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c r="AA667" s="46"/>
      <c r="AB667" s="46"/>
      <c r="AC667" s="46"/>
      <c r="AD667" s="46"/>
      <c r="AE667" s="46"/>
      <c r="AF667" s="46"/>
      <c r="AG667" s="46"/>
      <c r="AH667" s="46"/>
      <c r="AI667" s="46"/>
      <c r="AJ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c r="AA668" s="46"/>
      <c r="AB668" s="46"/>
      <c r="AC668" s="46"/>
      <c r="AD668" s="46"/>
      <c r="AE668" s="46"/>
      <c r="AF668" s="46"/>
      <c r="AG668" s="46"/>
      <c r="AH668" s="46"/>
      <c r="AI668" s="46"/>
      <c r="AJ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c r="AA669" s="46"/>
      <c r="AB669" s="46"/>
      <c r="AC669" s="46"/>
      <c r="AD669" s="46"/>
      <c r="AE669" s="46"/>
      <c r="AF669" s="46"/>
      <c r="AG669" s="46"/>
      <c r="AH669" s="46"/>
      <c r="AI669" s="46"/>
      <c r="AJ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c r="AA670" s="46"/>
      <c r="AB670" s="46"/>
      <c r="AC670" s="46"/>
      <c r="AD670" s="46"/>
      <c r="AE670" s="46"/>
      <c r="AF670" s="46"/>
      <c r="AG670" s="46"/>
      <c r="AH670" s="46"/>
      <c r="AI670" s="46"/>
      <c r="AJ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c r="AA671" s="46"/>
      <c r="AB671" s="46"/>
      <c r="AC671" s="46"/>
      <c r="AD671" s="46"/>
      <c r="AE671" s="46"/>
      <c r="AF671" s="46"/>
      <c r="AG671" s="46"/>
      <c r="AH671" s="46"/>
      <c r="AI671" s="46"/>
      <c r="AJ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c r="AA672" s="46"/>
      <c r="AB672" s="46"/>
      <c r="AC672" s="46"/>
      <c r="AD672" s="46"/>
      <c r="AE672" s="46"/>
      <c r="AF672" s="46"/>
      <c r="AG672" s="46"/>
      <c r="AH672" s="46"/>
      <c r="AI672" s="46"/>
      <c r="AJ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c r="AA673" s="46"/>
      <c r="AB673" s="46"/>
      <c r="AC673" s="46"/>
      <c r="AD673" s="46"/>
      <c r="AE673" s="46"/>
      <c r="AF673" s="46"/>
      <c r="AG673" s="46"/>
      <c r="AH673" s="46"/>
      <c r="AI673" s="46"/>
      <c r="AJ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c r="AA674" s="46"/>
      <c r="AB674" s="46"/>
      <c r="AC674" s="46"/>
      <c r="AD674" s="46"/>
      <c r="AE674" s="46"/>
      <c r="AF674" s="46"/>
      <c r="AG674" s="46"/>
      <c r="AH674" s="46"/>
      <c r="AI674" s="46"/>
      <c r="AJ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c r="AA675" s="46"/>
      <c r="AB675" s="46"/>
      <c r="AC675" s="46"/>
      <c r="AD675" s="46"/>
      <c r="AE675" s="46"/>
      <c r="AF675" s="46"/>
      <c r="AG675" s="46"/>
      <c r="AH675" s="46"/>
      <c r="AI675" s="46"/>
      <c r="AJ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c r="AA676" s="46"/>
      <c r="AB676" s="46"/>
      <c r="AC676" s="46"/>
      <c r="AD676" s="46"/>
      <c r="AE676" s="46"/>
      <c r="AF676" s="46"/>
      <c r="AG676" s="46"/>
      <c r="AH676" s="46"/>
      <c r="AI676" s="46"/>
      <c r="AJ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c r="AA677" s="46"/>
      <c r="AB677" s="46"/>
      <c r="AC677" s="46"/>
      <c r="AD677" s="46"/>
      <c r="AE677" s="46"/>
      <c r="AF677" s="46"/>
      <c r="AG677" s="46"/>
      <c r="AH677" s="46"/>
      <c r="AI677" s="46"/>
      <c r="AJ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c r="AA678" s="46"/>
      <c r="AB678" s="46"/>
      <c r="AC678" s="46"/>
      <c r="AD678" s="46"/>
      <c r="AE678" s="46"/>
      <c r="AF678" s="46"/>
      <c r="AG678" s="46"/>
      <c r="AH678" s="46"/>
      <c r="AI678" s="46"/>
      <c r="AJ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c r="AA679" s="46"/>
      <c r="AB679" s="46"/>
      <c r="AC679" s="46"/>
      <c r="AD679" s="46"/>
      <c r="AE679" s="46"/>
      <c r="AF679" s="46"/>
      <c r="AG679" s="46"/>
      <c r="AH679" s="46"/>
      <c r="AI679" s="46"/>
      <c r="AJ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c r="AA680" s="46"/>
      <c r="AB680" s="46"/>
      <c r="AC680" s="46"/>
      <c r="AD680" s="46"/>
      <c r="AE680" s="46"/>
      <c r="AF680" s="46"/>
      <c r="AG680" s="46"/>
      <c r="AH680" s="46"/>
      <c r="AI680" s="46"/>
      <c r="AJ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c r="AA681" s="46"/>
      <c r="AB681" s="46"/>
      <c r="AC681" s="46"/>
      <c r="AD681" s="46"/>
      <c r="AE681" s="46"/>
      <c r="AF681" s="46"/>
      <c r="AG681" s="46"/>
      <c r="AH681" s="46"/>
      <c r="AI681" s="46"/>
      <c r="AJ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c r="AA682" s="46"/>
      <c r="AB682" s="46"/>
      <c r="AC682" s="46"/>
      <c r="AD682" s="46"/>
      <c r="AE682" s="46"/>
      <c r="AF682" s="46"/>
      <c r="AG682" s="46"/>
      <c r="AH682" s="46"/>
      <c r="AI682" s="46"/>
      <c r="AJ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c r="AA683" s="46"/>
      <c r="AB683" s="46"/>
      <c r="AC683" s="46"/>
      <c r="AD683" s="46"/>
      <c r="AE683" s="46"/>
      <c r="AF683" s="46"/>
      <c r="AG683" s="46"/>
      <c r="AH683" s="46"/>
      <c r="AI683" s="46"/>
      <c r="AJ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c r="AA684" s="46"/>
      <c r="AB684" s="46"/>
      <c r="AC684" s="46"/>
      <c r="AD684" s="46"/>
      <c r="AE684" s="46"/>
      <c r="AF684" s="46"/>
      <c r="AG684" s="46"/>
      <c r="AH684" s="46"/>
      <c r="AI684" s="46"/>
      <c r="AJ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46"/>
      <c r="AH685" s="46"/>
      <c r="AI685" s="46"/>
      <c r="AJ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c r="AA686" s="46"/>
      <c r="AB686" s="46"/>
      <c r="AC686" s="46"/>
      <c r="AD686" s="46"/>
      <c r="AE686" s="46"/>
      <c r="AF686" s="46"/>
      <c r="AG686" s="46"/>
      <c r="AH686" s="46"/>
      <c r="AI686" s="46"/>
      <c r="AJ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c r="AA687" s="46"/>
      <c r="AB687" s="46"/>
      <c r="AC687" s="46"/>
      <c r="AD687" s="46"/>
      <c r="AE687" s="46"/>
      <c r="AF687" s="46"/>
      <c r="AG687" s="46"/>
      <c r="AH687" s="46"/>
      <c r="AI687" s="46"/>
      <c r="AJ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c r="AA688" s="46"/>
      <c r="AB688" s="46"/>
      <c r="AC688" s="46"/>
      <c r="AD688" s="46"/>
      <c r="AE688" s="46"/>
      <c r="AF688" s="46"/>
      <c r="AG688" s="46"/>
      <c r="AH688" s="46"/>
      <c r="AI688" s="46"/>
      <c r="AJ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c r="AA689" s="46"/>
      <c r="AB689" s="46"/>
      <c r="AC689" s="46"/>
      <c r="AD689" s="46"/>
      <c r="AE689" s="46"/>
      <c r="AF689" s="46"/>
      <c r="AG689" s="46"/>
      <c r="AH689" s="46"/>
      <c r="AI689" s="46"/>
      <c r="AJ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c r="AA690" s="46"/>
      <c r="AB690" s="46"/>
      <c r="AC690" s="46"/>
      <c r="AD690" s="46"/>
      <c r="AE690" s="46"/>
      <c r="AF690" s="46"/>
      <c r="AG690" s="46"/>
      <c r="AH690" s="46"/>
      <c r="AI690" s="46"/>
      <c r="AJ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c r="AA691" s="46"/>
      <c r="AB691" s="46"/>
      <c r="AC691" s="46"/>
      <c r="AD691" s="46"/>
      <c r="AE691" s="46"/>
      <c r="AF691" s="46"/>
      <c r="AG691" s="46"/>
      <c r="AH691" s="46"/>
      <c r="AI691" s="46"/>
      <c r="AJ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c r="AA692" s="46"/>
      <c r="AB692" s="46"/>
      <c r="AC692" s="46"/>
      <c r="AD692" s="46"/>
      <c r="AE692" s="46"/>
      <c r="AF692" s="46"/>
      <c r="AG692" s="46"/>
      <c r="AH692" s="46"/>
      <c r="AI692" s="46"/>
      <c r="AJ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c r="AA693" s="46"/>
      <c r="AB693" s="46"/>
      <c r="AC693" s="46"/>
      <c r="AD693" s="46"/>
      <c r="AE693" s="46"/>
      <c r="AF693" s="46"/>
      <c r="AG693" s="46"/>
      <c r="AH693" s="46"/>
      <c r="AI693" s="46"/>
      <c r="AJ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c r="AA694" s="46"/>
      <c r="AB694" s="46"/>
      <c r="AC694" s="46"/>
      <c r="AD694" s="46"/>
      <c r="AE694" s="46"/>
      <c r="AF694" s="46"/>
      <c r="AG694" s="46"/>
      <c r="AH694" s="46"/>
      <c r="AI694" s="46"/>
      <c r="AJ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c r="AA695" s="46"/>
      <c r="AB695" s="46"/>
      <c r="AC695" s="46"/>
      <c r="AD695" s="46"/>
      <c r="AE695" s="46"/>
      <c r="AF695" s="46"/>
      <c r="AG695" s="46"/>
      <c r="AH695" s="46"/>
      <c r="AI695" s="46"/>
      <c r="AJ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c r="AA696" s="46"/>
      <c r="AB696" s="46"/>
      <c r="AC696" s="46"/>
      <c r="AD696" s="46"/>
      <c r="AE696" s="46"/>
      <c r="AF696" s="46"/>
      <c r="AG696" s="46"/>
      <c r="AH696" s="46"/>
      <c r="AI696" s="46"/>
      <c r="AJ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c r="AA697" s="46"/>
      <c r="AB697" s="46"/>
      <c r="AC697" s="46"/>
      <c r="AD697" s="46"/>
      <c r="AE697" s="46"/>
      <c r="AF697" s="46"/>
      <c r="AG697" s="46"/>
      <c r="AH697" s="46"/>
      <c r="AI697" s="46"/>
      <c r="AJ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c r="AA698" s="46"/>
      <c r="AB698" s="46"/>
      <c r="AC698" s="46"/>
      <c r="AD698" s="46"/>
      <c r="AE698" s="46"/>
      <c r="AF698" s="46"/>
      <c r="AG698" s="46"/>
      <c r="AH698" s="46"/>
      <c r="AI698" s="46"/>
      <c r="AJ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46"/>
      <c r="AH699" s="46"/>
      <c r="AI699" s="46"/>
      <c r="AJ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c r="AA700" s="46"/>
      <c r="AB700" s="46"/>
      <c r="AC700" s="46"/>
      <c r="AD700" s="46"/>
      <c r="AE700" s="46"/>
      <c r="AF700" s="46"/>
      <c r="AG700" s="46"/>
      <c r="AH700" s="46"/>
      <c r="AI700" s="46"/>
      <c r="AJ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c r="AA701" s="46"/>
      <c r="AB701" s="46"/>
      <c r="AC701" s="46"/>
      <c r="AD701" s="46"/>
      <c r="AE701" s="46"/>
      <c r="AF701" s="46"/>
      <c r="AG701" s="46"/>
      <c r="AH701" s="46"/>
      <c r="AI701" s="46"/>
      <c r="AJ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c r="AA702" s="46"/>
      <c r="AB702" s="46"/>
      <c r="AC702" s="46"/>
      <c r="AD702" s="46"/>
      <c r="AE702" s="46"/>
      <c r="AF702" s="46"/>
      <c r="AG702" s="46"/>
      <c r="AH702" s="46"/>
      <c r="AI702" s="46"/>
      <c r="AJ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c r="AA703" s="46"/>
      <c r="AB703" s="46"/>
      <c r="AC703" s="46"/>
      <c r="AD703" s="46"/>
      <c r="AE703" s="46"/>
      <c r="AF703" s="46"/>
      <c r="AG703" s="46"/>
      <c r="AH703" s="46"/>
      <c r="AI703" s="46"/>
      <c r="AJ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c r="AA704" s="46"/>
      <c r="AB704" s="46"/>
      <c r="AC704" s="46"/>
      <c r="AD704" s="46"/>
      <c r="AE704" s="46"/>
      <c r="AF704" s="46"/>
      <c r="AG704" s="46"/>
      <c r="AH704" s="46"/>
      <c r="AI704" s="46"/>
      <c r="AJ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c r="AA705" s="46"/>
      <c r="AB705" s="46"/>
      <c r="AC705" s="46"/>
      <c r="AD705" s="46"/>
      <c r="AE705" s="46"/>
      <c r="AF705" s="46"/>
      <c r="AG705" s="46"/>
      <c r="AH705" s="46"/>
      <c r="AI705" s="46"/>
      <c r="AJ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c r="AA706" s="46"/>
      <c r="AB706" s="46"/>
      <c r="AC706" s="46"/>
      <c r="AD706" s="46"/>
      <c r="AE706" s="46"/>
      <c r="AF706" s="46"/>
      <c r="AG706" s="46"/>
      <c r="AH706" s="46"/>
      <c r="AI706" s="46"/>
      <c r="AJ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c r="AA707" s="46"/>
      <c r="AB707" s="46"/>
      <c r="AC707" s="46"/>
      <c r="AD707" s="46"/>
      <c r="AE707" s="46"/>
      <c r="AF707" s="46"/>
      <c r="AG707" s="46"/>
      <c r="AH707" s="46"/>
      <c r="AI707" s="46"/>
      <c r="AJ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c r="AA708" s="46"/>
      <c r="AB708" s="46"/>
      <c r="AC708" s="46"/>
      <c r="AD708" s="46"/>
      <c r="AE708" s="46"/>
      <c r="AF708" s="46"/>
      <c r="AG708" s="46"/>
      <c r="AH708" s="46"/>
      <c r="AI708" s="46"/>
      <c r="AJ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c r="AA709" s="46"/>
      <c r="AB709" s="46"/>
      <c r="AC709" s="46"/>
      <c r="AD709" s="46"/>
      <c r="AE709" s="46"/>
      <c r="AF709" s="46"/>
      <c r="AG709" s="46"/>
      <c r="AH709" s="46"/>
      <c r="AI709" s="46"/>
      <c r="AJ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46"/>
      <c r="AH710" s="46"/>
      <c r="AI710" s="46"/>
      <c r="AJ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c r="AA711" s="46"/>
      <c r="AB711" s="46"/>
      <c r="AC711" s="46"/>
      <c r="AD711" s="46"/>
      <c r="AE711" s="46"/>
      <c r="AF711" s="46"/>
      <c r="AG711" s="46"/>
      <c r="AH711" s="46"/>
      <c r="AI711" s="46"/>
      <c r="AJ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c r="AA712" s="46"/>
      <c r="AB712" s="46"/>
      <c r="AC712" s="46"/>
      <c r="AD712" s="46"/>
      <c r="AE712" s="46"/>
      <c r="AF712" s="46"/>
      <c r="AG712" s="46"/>
      <c r="AH712" s="46"/>
      <c r="AI712" s="46"/>
      <c r="AJ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c r="AA713" s="46"/>
      <c r="AB713" s="46"/>
      <c r="AC713" s="46"/>
      <c r="AD713" s="46"/>
      <c r="AE713" s="46"/>
      <c r="AF713" s="46"/>
      <c r="AG713" s="46"/>
      <c r="AH713" s="46"/>
      <c r="AI713" s="46"/>
      <c r="AJ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c r="AA714" s="46"/>
      <c r="AB714" s="46"/>
      <c r="AC714" s="46"/>
      <c r="AD714" s="46"/>
      <c r="AE714" s="46"/>
      <c r="AF714" s="46"/>
      <c r="AG714" s="46"/>
      <c r="AH714" s="46"/>
      <c r="AI714" s="46"/>
      <c r="AJ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c r="AA715" s="46"/>
      <c r="AB715" s="46"/>
      <c r="AC715" s="46"/>
      <c r="AD715" s="46"/>
      <c r="AE715" s="46"/>
      <c r="AF715" s="46"/>
      <c r="AG715" s="46"/>
      <c r="AH715" s="46"/>
      <c r="AI715" s="46"/>
      <c r="AJ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c r="AA716" s="46"/>
      <c r="AB716" s="46"/>
      <c r="AC716" s="46"/>
      <c r="AD716" s="46"/>
      <c r="AE716" s="46"/>
      <c r="AF716" s="46"/>
      <c r="AG716" s="46"/>
      <c r="AH716" s="46"/>
      <c r="AI716" s="46"/>
      <c r="AJ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c r="AA717" s="46"/>
      <c r="AB717" s="46"/>
      <c r="AC717" s="46"/>
      <c r="AD717" s="46"/>
      <c r="AE717" s="46"/>
      <c r="AF717" s="46"/>
      <c r="AG717" s="46"/>
      <c r="AH717" s="46"/>
      <c r="AI717" s="46"/>
      <c r="AJ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c r="AA719" s="46"/>
      <c r="AB719" s="46"/>
      <c r="AC719" s="46"/>
      <c r="AD719" s="46"/>
      <c r="AE719" s="46"/>
      <c r="AF719" s="46"/>
      <c r="AG719" s="46"/>
      <c r="AH719" s="46"/>
      <c r="AI719" s="46"/>
      <c r="AJ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c r="AA720" s="46"/>
      <c r="AB720" s="46"/>
      <c r="AC720" s="46"/>
      <c r="AD720" s="46"/>
      <c r="AE720" s="46"/>
      <c r="AF720" s="46"/>
      <c r="AG720" s="46"/>
      <c r="AH720" s="46"/>
      <c r="AI720" s="46"/>
      <c r="AJ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c r="AA721" s="46"/>
      <c r="AB721" s="46"/>
      <c r="AC721" s="46"/>
      <c r="AD721" s="46"/>
      <c r="AE721" s="46"/>
      <c r="AF721" s="46"/>
      <c r="AG721" s="46"/>
      <c r="AH721" s="46"/>
      <c r="AI721" s="46"/>
      <c r="AJ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c r="AA722" s="46"/>
      <c r="AB722" s="46"/>
      <c r="AC722" s="46"/>
      <c r="AD722" s="46"/>
      <c r="AE722" s="46"/>
      <c r="AF722" s="46"/>
      <c r="AG722" s="46"/>
      <c r="AH722" s="46"/>
      <c r="AI722" s="46"/>
      <c r="AJ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c r="AA723" s="46"/>
      <c r="AB723" s="46"/>
      <c r="AC723" s="46"/>
      <c r="AD723" s="46"/>
      <c r="AE723" s="46"/>
      <c r="AF723" s="46"/>
      <c r="AG723" s="46"/>
      <c r="AH723" s="46"/>
      <c r="AI723" s="46"/>
      <c r="AJ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c r="AA724" s="46"/>
      <c r="AB724" s="46"/>
      <c r="AC724" s="46"/>
      <c r="AD724" s="46"/>
      <c r="AE724" s="46"/>
      <c r="AF724" s="46"/>
      <c r="AG724" s="46"/>
      <c r="AH724" s="46"/>
      <c r="AI724" s="46"/>
      <c r="AJ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46"/>
      <c r="AH725" s="46"/>
      <c r="AI725" s="46"/>
      <c r="AJ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c r="AA726" s="46"/>
      <c r="AB726" s="46"/>
      <c r="AC726" s="46"/>
      <c r="AD726" s="46"/>
      <c r="AE726" s="46"/>
      <c r="AF726" s="46"/>
      <c r="AG726" s="46"/>
      <c r="AH726" s="46"/>
      <c r="AI726" s="46"/>
      <c r="AJ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c r="AA727" s="46"/>
      <c r="AB727" s="46"/>
      <c r="AC727" s="46"/>
      <c r="AD727" s="46"/>
      <c r="AE727" s="46"/>
      <c r="AF727" s="46"/>
      <c r="AG727" s="46"/>
      <c r="AH727" s="46"/>
      <c r="AI727" s="46"/>
      <c r="AJ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c r="AA728" s="46"/>
      <c r="AB728" s="46"/>
      <c r="AC728" s="46"/>
      <c r="AD728" s="46"/>
      <c r="AE728" s="46"/>
      <c r="AF728" s="46"/>
      <c r="AG728" s="46"/>
      <c r="AH728" s="46"/>
      <c r="AI728" s="46"/>
      <c r="AJ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c r="AA729" s="46"/>
      <c r="AB729" s="46"/>
      <c r="AC729" s="46"/>
      <c r="AD729" s="46"/>
      <c r="AE729" s="46"/>
      <c r="AF729" s="46"/>
      <c r="AG729" s="46"/>
      <c r="AH729" s="46"/>
      <c r="AI729" s="46"/>
      <c r="AJ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c r="AA730" s="46"/>
      <c r="AB730" s="46"/>
      <c r="AC730" s="46"/>
      <c r="AD730" s="46"/>
      <c r="AE730" s="46"/>
      <c r="AF730" s="46"/>
      <c r="AG730" s="46"/>
      <c r="AH730" s="46"/>
      <c r="AI730" s="46"/>
      <c r="AJ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c r="AA731" s="46"/>
      <c r="AB731" s="46"/>
      <c r="AC731" s="46"/>
      <c r="AD731" s="46"/>
      <c r="AE731" s="46"/>
      <c r="AF731" s="46"/>
      <c r="AG731" s="46"/>
      <c r="AH731" s="46"/>
      <c r="AI731" s="46"/>
      <c r="AJ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c r="AA732" s="46"/>
      <c r="AB732" s="46"/>
      <c r="AC732" s="46"/>
      <c r="AD732" s="46"/>
      <c r="AE732" s="46"/>
      <c r="AF732" s="46"/>
      <c r="AG732" s="46"/>
      <c r="AH732" s="46"/>
      <c r="AI732" s="46"/>
      <c r="AJ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c r="AA733" s="46"/>
      <c r="AB733" s="46"/>
      <c r="AC733" s="46"/>
      <c r="AD733" s="46"/>
      <c r="AE733" s="46"/>
      <c r="AF733" s="46"/>
      <c r="AG733" s="46"/>
      <c r="AH733" s="46"/>
      <c r="AI733" s="46"/>
      <c r="AJ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46"/>
      <c r="AH734" s="46"/>
      <c r="AI734" s="46"/>
      <c r="AJ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c r="AA735" s="46"/>
      <c r="AB735" s="46"/>
      <c r="AC735" s="46"/>
      <c r="AD735" s="46"/>
      <c r="AE735" s="46"/>
      <c r="AF735" s="46"/>
      <c r="AG735" s="46"/>
      <c r="AH735" s="46"/>
      <c r="AI735" s="46"/>
      <c r="AJ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c r="AA736" s="46"/>
      <c r="AB736" s="46"/>
      <c r="AC736" s="46"/>
      <c r="AD736" s="46"/>
      <c r="AE736" s="46"/>
      <c r="AF736" s="46"/>
      <c r="AG736" s="46"/>
      <c r="AH736" s="46"/>
      <c r="AI736" s="46"/>
      <c r="AJ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c r="AA737" s="46"/>
      <c r="AB737" s="46"/>
      <c r="AC737" s="46"/>
      <c r="AD737" s="46"/>
      <c r="AE737" s="46"/>
      <c r="AF737" s="46"/>
      <c r="AG737" s="46"/>
      <c r="AH737" s="46"/>
      <c r="AI737" s="46"/>
      <c r="AJ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c r="AA738" s="46"/>
      <c r="AB738" s="46"/>
      <c r="AC738" s="46"/>
      <c r="AD738" s="46"/>
      <c r="AE738" s="46"/>
      <c r="AF738" s="46"/>
      <c r="AG738" s="46"/>
      <c r="AH738" s="46"/>
      <c r="AI738" s="46"/>
      <c r="AJ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c r="AA739" s="46"/>
      <c r="AB739" s="46"/>
      <c r="AC739" s="46"/>
      <c r="AD739" s="46"/>
      <c r="AE739" s="46"/>
      <c r="AF739" s="46"/>
      <c r="AG739" s="46"/>
      <c r="AH739" s="46"/>
      <c r="AI739" s="46"/>
      <c r="AJ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c r="AA740" s="46"/>
      <c r="AB740" s="46"/>
      <c r="AC740" s="46"/>
      <c r="AD740" s="46"/>
      <c r="AE740" s="46"/>
      <c r="AF740" s="46"/>
      <c r="AG740" s="46"/>
      <c r="AH740" s="46"/>
      <c r="AI740" s="46"/>
      <c r="AJ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c r="AA741" s="46"/>
      <c r="AB741" s="46"/>
      <c r="AC741" s="46"/>
      <c r="AD741" s="46"/>
      <c r="AE741" s="46"/>
      <c r="AF741" s="46"/>
      <c r="AG741" s="46"/>
      <c r="AH741" s="46"/>
      <c r="AI741" s="46"/>
      <c r="AJ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46"/>
      <c r="AH742" s="46"/>
      <c r="AI742" s="46"/>
      <c r="AJ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c r="AA743" s="46"/>
      <c r="AB743" s="46"/>
      <c r="AC743" s="46"/>
      <c r="AD743" s="46"/>
      <c r="AE743" s="46"/>
      <c r="AF743" s="46"/>
      <c r="AG743" s="46"/>
      <c r="AH743" s="46"/>
      <c r="AI743" s="46"/>
      <c r="AJ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c r="AA744" s="46"/>
      <c r="AB744" s="46"/>
      <c r="AC744" s="46"/>
      <c r="AD744" s="46"/>
      <c r="AE744" s="46"/>
      <c r="AF744" s="46"/>
      <c r="AG744" s="46"/>
      <c r="AH744" s="46"/>
      <c r="AI744" s="46"/>
      <c r="AJ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c r="AA745" s="46"/>
      <c r="AB745" s="46"/>
      <c r="AC745" s="46"/>
      <c r="AD745" s="46"/>
      <c r="AE745" s="46"/>
      <c r="AF745" s="46"/>
      <c r="AG745" s="46"/>
      <c r="AH745" s="46"/>
      <c r="AI745" s="46"/>
      <c r="AJ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c r="AA746" s="46"/>
      <c r="AB746" s="46"/>
      <c r="AC746" s="46"/>
      <c r="AD746" s="46"/>
      <c r="AE746" s="46"/>
      <c r="AF746" s="46"/>
      <c r="AG746" s="46"/>
      <c r="AH746" s="46"/>
      <c r="AI746" s="46"/>
      <c r="AJ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c r="AA747" s="46"/>
      <c r="AB747" s="46"/>
      <c r="AC747" s="46"/>
      <c r="AD747" s="46"/>
      <c r="AE747" s="46"/>
      <c r="AF747" s="46"/>
      <c r="AG747" s="46"/>
      <c r="AH747" s="46"/>
      <c r="AI747" s="46"/>
      <c r="AJ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c r="AA748" s="46"/>
      <c r="AB748" s="46"/>
      <c r="AC748" s="46"/>
      <c r="AD748" s="46"/>
      <c r="AE748" s="46"/>
      <c r="AF748" s="46"/>
      <c r="AG748" s="46"/>
      <c r="AH748" s="46"/>
      <c r="AI748" s="46"/>
      <c r="AJ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c r="AA749" s="46"/>
      <c r="AB749" s="46"/>
      <c r="AC749" s="46"/>
      <c r="AD749" s="46"/>
      <c r="AE749" s="46"/>
      <c r="AF749" s="46"/>
      <c r="AG749" s="46"/>
      <c r="AH749" s="46"/>
      <c r="AI749" s="46"/>
      <c r="AJ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c r="AA750" s="46"/>
      <c r="AB750" s="46"/>
      <c r="AC750" s="46"/>
      <c r="AD750" s="46"/>
      <c r="AE750" s="46"/>
      <c r="AF750" s="46"/>
      <c r="AG750" s="46"/>
      <c r="AH750" s="46"/>
      <c r="AI750" s="46"/>
      <c r="AJ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c r="AA751" s="46"/>
      <c r="AB751" s="46"/>
      <c r="AC751" s="46"/>
      <c r="AD751" s="46"/>
      <c r="AE751" s="46"/>
      <c r="AF751" s="46"/>
      <c r="AG751" s="46"/>
      <c r="AH751" s="46"/>
      <c r="AI751" s="46"/>
      <c r="AJ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c r="AA752" s="46"/>
      <c r="AB752" s="46"/>
      <c r="AC752" s="46"/>
      <c r="AD752" s="46"/>
      <c r="AE752" s="46"/>
      <c r="AF752" s="46"/>
      <c r="AG752" s="46"/>
      <c r="AH752" s="46"/>
      <c r="AI752" s="46"/>
      <c r="AJ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c r="AA753" s="46"/>
      <c r="AB753" s="46"/>
      <c r="AC753" s="46"/>
      <c r="AD753" s="46"/>
      <c r="AE753" s="46"/>
      <c r="AF753" s="46"/>
      <c r="AG753" s="46"/>
      <c r="AH753" s="46"/>
      <c r="AI753" s="46"/>
      <c r="AJ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c r="AA754" s="46"/>
      <c r="AB754" s="46"/>
      <c r="AC754" s="46"/>
      <c r="AD754" s="46"/>
      <c r="AE754" s="46"/>
      <c r="AF754" s="46"/>
      <c r="AG754" s="46"/>
      <c r="AH754" s="46"/>
      <c r="AI754" s="46"/>
      <c r="AJ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c r="AA755" s="46"/>
      <c r="AB755" s="46"/>
      <c r="AC755" s="46"/>
      <c r="AD755" s="46"/>
      <c r="AE755" s="46"/>
      <c r="AF755" s="46"/>
      <c r="AG755" s="46"/>
      <c r="AH755" s="46"/>
      <c r="AI755" s="46"/>
      <c r="AJ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c r="AA756" s="46"/>
      <c r="AB756" s="46"/>
      <c r="AC756" s="46"/>
      <c r="AD756" s="46"/>
      <c r="AE756" s="46"/>
      <c r="AF756" s="46"/>
      <c r="AG756" s="46"/>
      <c r="AH756" s="46"/>
      <c r="AI756" s="46"/>
      <c r="AJ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c r="AA757" s="46"/>
      <c r="AB757" s="46"/>
      <c r="AC757" s="46"/>
      <c r="AD757" s="46"/>
      <c r="AE757" s="46"/>
      <c r="AF757" s="46"/>
      <c r="AG757" s="46"/>
      <c r="AH757" s="46"/>
      <c r="AI757" s="46"/>
      <c r="AJ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c r="AA758" s="46"/>
      <c r="AB758" s="46"/>
      <c r="AC758" s="46"/>
      <c r="AD758" s="46"/>
      <c r="AE758" s="46"/>
      <c r="AF758" s="46"/>
      <c r="AG758" s="46"/>
      <c r="AH758" s="46"/>
      <c r="AI758" s="46"/>
      <c r="AJ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c r="AA759" s="46"/>
      <c r="AB759" s="46"/>
      <c r="AC759" s="46"/>
      <c r="AD759" s="46"/>
      <c r="AE759" s="46"/>
      <c r="AF759" s="46"/>
      <c r="AG759" s="46"/>
      <c r="AH759" s="46"/>
      <c r="AI759" s="46"/>
      <c r="AJ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c r="AA760" s="46"/>
      <c r="AB760" s="46"/>
      <c r="AC760" s="46"/>
      <c r="AD760" s="46"/>
      <c r="AE760" s="46"/>
      <c r="AF760" s="46"/>
      <c r="AG760" s="46"/>
      <c r="AH760" s="46"/>
      <c r="AI760" s="46"/>
      <c r="AJ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c r="AA761" s="46"/>
      <c r="AB761" s="46"/>
      <c r="AC761" s="46"/>
      <c r="AD761" s="46"/>
      <c r="AE761" s="46"/>
      <c r="AF761" s="46"/>
      <c r="AG761" s="46"/>
      <c r="AH761" s="46"/>
      <c r="AI761" s="46"/>
      <c r="AJ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c r="AA762" s="46"/>
      <c r="AB762" s="46"/>
      <c r="AC762" s="46"/>
      <c r="AD762" s="46"/>
      <c r="AE762" s="46"/>
      <c r="AF762" s="46"/>
      <c r="AG762" s="46"/>
      <c r="AH762" s="46"/>
      <c r="AI762" s="46"/>
      <c r="AJ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c r="AA763" s="46"/>
      <c r="AB763" s="46"/>
      <c r="AC763" s="46"/>
      <c r="AD763" s="46"/>
      <c r="AE763" s="46"/>
      <c r="AF763" s="46"/>
      <c r="AG763" s="46"/>
      <c r="AH763" s="46"/>
      <c r="AI763" s="46"/>
      <c r="AJ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c r="AA764" s="46"/>
      <c r="AB764" s="46"/>
      <c r="AC764" s="46"/>
      <c r="AD764" s="46"/>
      <c r="AE764" s="46"/>
      <c r="AF764" s="46"/>
      <c r="AG764" s="46"/>
      <c r="AH764" s="46"/>
      <c r="AI764" s="46"/>
      <c r="AJ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c r="AA765" s="46"/>
      <c r="AB765" s="46"/>
      <c r="AC765" s="46"/>
      <c r="AD765" s="46"/>
      <c r="AE765" s="46"/>
      <c r="AF765" s="46"/>
      <c r="AG765" s="46"/>
      <c r="AH765" s="46"/>
      <c r="AI765" s="46"/>
      <c r="AJ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c r="AA766" s="46"/>
      <c r="AB766" s="46"/>
      <c r="AC766" s="46"/>
      <c r="AD766" s="46"/>
      <c r="AE766" s="46"/>
      <c r="AF766" s="46"/>
      <c r="AG766" s="46"/>
      <c r="AH766" s="46"/>
      <c r="AI766" s="46"/>
      <c r="AJ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46"/>
      <c r="AH767" s="46"/>
      <c r="AI767" s="46"/>
      <c r="AJ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c r="AA768" s="46"/>
      <c r="AB768" s="46"/>
      <c r="AC768" s="46"/>
      <c r="AD768" s="46"/>
      <c r="AE768" s="46"/>
      <c r="AF768" s="46"/>
      <c r="AG768" s="46"/>
      <c r="AH768" s="46"/>
      <c r="AI768" s="46"/>
      <c r="AJ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c r="AA769" s="46"/>
      <c r="AB769" s="46"/>
      <c r="AC769" s="46"/>
      <c r="AD769" s="46"/>
      <c r="AE769" s="46"/>
      <c r="AF769" s="46"/>
      <c r="AG769" s="46"/>
      <c r="AH769" s="46"/>
      <c r="AI769" s="46"/>
      <c r="AJ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c r="AA770" s="46"/>
      <c r="AB770" s="46"/>
      <c r="AC770" s="46"/>
      <c r="AD770" s="46"/>
      <c r="AE770" s="46"/>
      <c r="AF770" s="46"/>
      <c r="AG770" s="46"/>
      <c r="AH770" s="46"/>
      <c r="AI770" s="46"/>
      <c r="AJ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c r="AA771" s="46"/>
      <c r="AB771" s="46"/>
      <c r="AC771" s="46"/>
      <c r="AD771" s="46"/>
      <c r="AE771" s="46"/>
      <c r="AF771" s="46"/>
      <c r="AG771" s="46"/>
      <c r="AH771" s="46"/>
      <c r="AI771" s="46"/>
      <c r="AJ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c r="AA772" s="46"/>
      <c r="AB772" s="46"/>
      <c r="AC772" s="46"/>
      <c r="AD772" s="46"/>
      <c r="AE772" s="46"/>
      <c r="AF772" s="46"/>
      <c r="AG772" s="46"/>
      <c r="AH772" s="46"/>
      <c r="AI772" s="46"/>
      <c r="AJ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c r="AA773" s="46"/>
      <c r="AB773" s="46"/>
      <c r="AC773" s="46"/>
      <c r="AD773" s="46"/>
      <c r="AE773" s="46"/>
      <c r="AF773" s="46"/>
      <c r="AG773" s="46"/>
      <c r="AH773" s="46"/>
      <c r="AI773" s="46"/>
      <c r="AJ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c r="AA774" s="46"/>
      <c r="AB774" s="46"/>
      <c r="AC774" s="46"/>
      <c r="AD774" s="46"/>
      <c r="AE774" s="46"/>
      <c r="AF774" s="46"/>
      <c r="AG774" s="46"/>
      <c r="AH774" s="46"/>
      <c r="AI774" s="46"/>
      <c r="AJ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c r="AA775" s="46"/>
      <c r="AB775" s="46"/>
      <c r="AC775" s="46"/>
      <c r="AD775" s="46"/>
      <c r="AE775" s="46"/>
      <c r="AF775" s="46"/>
      <c r="AG775" s="46"/>
      <c r="AH775" s="46"/>
      <c r="AI775" s="46"/>
      <c r="AJ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c r="AA776" s="46"/>
      <c r="AB776" s="46"/>
      <c r="AC776" s="46"/>
      <c r="AD776" s="46"/>
      <c r="AE776" s="46"/>
      <c r="AF776" s="46"/>
      <c r="AG776" s="46"/>
      <c r="AH776" s="46"/>
      <c r="AI776" s="46"/>
      <c r="AJ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c r="AA777" s="46"/>
      <c r="AB777" s="46"/>
      <c r="AC777" s="46"/>
      <c r="AD777" s="46"/>
      <c r="AE777" s="46"/>
      <c r="AF777" s="46"/>
      <c r="AG777" s="46"/>
      <c r="AH777" s="46"/>
      <c r="AI777" s="46"/>
      <c r="AJ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c r="AA778" s="46"/>
      <c r="AB778" s="46"/>
      <c r="AC778" s="46"/>
      <c r="AD778" s="46"/>
      <c r="AE778" s="46"/>
      <c r="AF778" s="46"/>
      <c r="AG778" s="46"/>
      <c r="AH778" s="46"/>
      <c r="AI778" s="46"/>
      <c r="AJ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c r="AA779" s="46"/>
      <c r="AB779" s="46"/>
      <c r="AC779" s="46"/>
      <c r="AD779" s="46"/>
      <c r="AE779" s="46"/>
      <c r="AF779" s="46"/>
      <c r="AG779" s="46"/>
      <c r="AH779" s="46"/>
      <c r="AI779" s="46"/>
      <c r="AJ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c r="AA780" s="46"/>
      <c r="AB780" s="46"/>
      <c r="AC780" s="46"/>
      <c r="AD780" s="46"/>
      <c r="AE780" s="46"/>
      <c r="AF780" s="46"/>
      <c r="AG780" s="46"/>
      <c r="AH780" s="46"/>
      <c r="AI780" s="46"/>
      <c r="AJ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c r="AA781" s="46"/>
      <c r="AB781" s="46"/>
      <c r="AC781" s="46"/>
      <c r="AD781" s="46"/>
      <c r="AE781" s="46"/>
      <c r="AF781" s="46"/>
      <c r="AG781" s="46"/>
      <c r="AH781" s="46"/>
      <c r="AI781" s="46"/>
      <c r="AJ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c r="AA782" s="46"/>
      <c r="AB782" s="46"/>
      <c r="AC782" s="46"/>
      <c r="AD782" s="46"/>
      <c r="AE782" s="46"/>
      <c r="AF782" s="46"/>
      <c r="AG782" s="46"/>
      <c r="AH782" s="46"/>
      <c r="AI782" s="46"/>
      <c r="AJ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46"/>
      <c r="AH783" s="46"/>
      <c r="AI783" s="46"/>
      <c r="AJ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c r="AA784" s="46"/>
      <c r="AB784" s="46"/>
      <c r="AC784" s="46"/>
      <c r="AD784" s="46"/>
      <c r="AE784" s="46"/>
      <c r="AF784" s="46"/>
      <c r="AG784" s="46"/>
      <c r="AH784" s="46"/>
      <c r="AI784" s="46"/>
      <c r="AJ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c r="AA785" s="46"/>
      <c r="AB785" s="46"/>
      <c r="AC785" s="46"/>
      <c r="AD785" s="46"/>
      <c r="AE785" s="46"/>
      <c r="AF785" s="46"/>
      <c r="AG785" s="46"/>
      <c r="AH785" s="46"/>
      <c r="AI785" s="46"/>
      <c r="AJ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c r="AA786" s="46"/>
      <c r="AB786" s="46"/>
      <c r="AC786" s="46"/>
      <c r="AD786" s="46"/>
      <c r="AE786" s="46"/>
      <c r="AF786" s="46"/>
      <c r="AG786" s="46"/>
      <c r="AH786" s="46"/>
      <c r="AI786" s="46"/>
      <c r="AJ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c r="AA787" s="46"/>
      <c r="AB787" s="46"/>
      <c r="AC787" s="46"/>
      <c r="AD787" s="46"/>
      <c r="AE787" s="46"/>
      <c r="AF787" s="46"/>
      <c r="AG787" s="46"/>
      <c r="AH787" s="46"/>
      <c r="AI787" s="46"/>
      <c r="AJ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c r="AA788" s="46"/>
      <c r="AB788" s="46"/>
      <c r="AC788" s="46"/>
      <c r="AD788" s="46"/>
      <c r="AE788" s="46"/>
      <c r="AF788" s="46"/>
      <c r="AG788" s="46"/>
      <c r="AH788" s="46"/>
      <c r="AI788" s="46"/>
      <c r="AJ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c r="AA789" s="46"/>
      <c r="AB789" s="46"/>
      <c r="AC789" s="46"/>
      <c r="AD789" s="46"/>
      <c r="AE789" s="46"/>
      <c r="AF789" s="46"/>
      <c r="AG789" s="46"/>
      <c r="AH789" s="46"/>
      <c r="AI789" s="46"/>
      <c r="AJ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c r="AA790" s="46"/>
      <c r="AB790" s="46"/>
      <c r="AC790" s="46"/>
      <c r="AD790" s="46"/>
      <c r="AE790" s="46"/>
      <c r="AF790" s="46"/>
      <c r="AG790" s="46"/>
      <c r="AH790" s="46"/>
      <c r="AI790" s="46"/>
      <c r="AJ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c r="AA791" s="46"/>
      <c r="AB791" s="46"/>
      <c r="AC791" s="46"/>
      <c r="AD791" s="46"/>
      <c r="AE791" s="46"/>
      <c r="AF791" s="46"/>
      <c r="AG791" s="46"/>
      <c r="AH791" s="46"/>
      <c r="AI791" s="46"/>
      <c r="AJ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c r="AA792" s="46"/>
      <c r="AB792" s="46"/>
      <c r="AC792" s="46"/>
      <c r="AD792" s="46"/>
      <c r="AE792" s="46"/>
      <c r="AF792" s="46"/>
      <c r="AG792" s="46"/>
      <c r="AH792" s="46"/>
      <c r="AI792" s="46"/>
      <c r="AJ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46"/>
      <c r="AH793" s="46"/>
      <c r="AI793" s="46"/>
      <c r="AJ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c r="AA794" s="46"/>
      <c r="AB794" s="46"/>
      <c r="AC794" s="46"/>
      <c r="AD794" s="46"/>
      <c r="AE794" s="46"/>
      <c r="AF794" s="46"/>
      <c r="AG794" s="46"/>
      <c r="AH794" s="46"/>
      <c r="AI794" s="46"/>
      <c r="AJ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c r="AA795" s="46"/>
      <c r="AB795" s="46"/>
      <c r="AC795" s="46"/>
      <c r="AD795" s="46"/>
      <c r="AE795" s="46"/>
      <c r="AF795" s="46"/>
      <c r="AG795" s="46"/>
      <c r="AH795" s="46"/>
      <c r="AI795" s="46"/>
      <c r="AJ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c r="AA796" s="46"/>
      <c r="AB796" s="46"/>
      <c r="AC796" s="46"/>
      <c r="AD796" s="46"/>
      <c r="AE796" s="46"/>
      <c r="AF796" s="46"/>
      <c r="AG796" s="46"/>
      <c r="AH796" s="46"/>
      <c r="AI796" s="46"/>
      <c r="AJ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c r="AA797" s="46"/>
      <c r="AB797" s="46"/>
      <c r="AC797" s="46"/>
      <c r="AD797" s="46"/>
      <c r="AE797" s="46"/>
      <c r="AF797" s="46"/>
      <c r="AG797" s="46"/>
      <c r="AH797" s="46"/>
      <c r="AI797" s="46"/>
      <c r="AJ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c r="AA798" s="46"/>
      <c r="AB798" s="46"/>
      <c r="AC798" s="46"/>
      <c r="AD798" s="46"/>
      <c r="AE798" s="46"/>
      <c r="AF798" s="46"/>
      <c r="AG798" s="46"/>
      <c r="AH798" s="46"/>
      <c r="AI798" s="46"/>
      <c r="AJ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c r="AA799" s="46"/>
      <c r="AB799" s="46"/>
      <c r="AC799" s="46"/>
      <c r="AD799" s="46"/>
      <c r="AE799" s="46"/>
      <c r="AF799" s="46"/>
      <c r="AG799" s="46"/>
      <c r="AH799" s="46"/>
      <c r="AI799" s="46"/>
      <c r="AJ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c r="AA800" s="46"/>
      <c r="AB800" s="46"/>
      <c r="AC800" s="46"/>
      <c r="AD800" s="46"/>
      <c r="AE800" s="46"/>
      <c r="AF800" s="46"/>
      <c r="AG800" s="46"/>
      <c r="AH800" s="46"/>
      <c r="AI800" s="46"/>
      <c r="AJ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c r="AA801" s="46"/>
      <c r="AB801" s="46"/>
      <c r="AC801" s="46"/>
      <c r="AD801" s="46"/>
      <c r="AE801" s="46"/>
      <c r="AF801" s="46"/>
      <c r="AG801" s="46"/>
      <c r="AH801" s="46"/>
      <c r="AI801" s="46"/>
      <c r="AJ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c r="AA802" s="46"/>
      <c r="AB802" s="46"/>
      <c r="AC802" s="46"/>
      <c r="AD802" s="46"/>
      <c r="AE802" s="46"/>
      <c r="AF802" s="46"/>
      <c r="AG802" s="46"/>
      <c r="AH802" s="46"/>
      <c r="AI802" s="46"/>
      <c r="AJ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c r="AA803" s="46"/>
      <c r="AB803" s="46"/>
      <c r="AC803" s="46"/>
      <c r="AD803" s="46"/>
      <c r="AE803" s="46"/>
      <c r="AF803" s="46"/>
      <c r="AG803" s="46"/>
      <c r="AH803" s="46"/>
      <c r="AI803" s="46"/>
      <c r="AJ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46"/>
      <c r="AH804" s="46"/>
      <c r="AI804" s="46"/>
      <c r="AJ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c r="AA805" s="46"/>
      <c r="AB805" s="46"/>
      <c r="AC805" s="46"/>
      <c r="AD805" s="46"/>
      <c r="AE805" s="46"/>
      <c r="AF805" s="46"/>
      <c r="AG805" s="46"/>
      <c r="AH805" s="46"/>
      <c r="AI805" s="46"/>
      <c r="AJ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c r="AA806" s="46"/>
      <c r="AB806" s="46"/>
      <c r="AC806" s="46"/>
      <c r="AD806" s="46"/>
      <c r="AE806" s="46"/>
      <c r="AF806" s="46"/>
      <c r="AG806" s="46"/>
      <c r="AH806" s="46"/>
      <c r="AI806" s="46"/>
      <c r="AJ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c r="AA807" s="46"/>
      <c r="AB807" s="46"/>
      <c r="AC807" s="46"/>
      <c r="AD807" s="46"/>
      <c r="AE807" s="46"/>
      <c r="AF807" s="46"/>
      <c r="AG807" s="46"/>
      <c r="AH807" s="46"/>
      <c r="AI807" s="46"/>
      <c r="AJ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c r="AA808" s="46"/>
      <c r="AB808" s="46"/>
      <c r="AC808" s="46"/>
      <c r="AD808" s="46"/>
      <c r="AE808" s="46"/>
      <c r="AF808" s="46"/>
      <c r="AG808" s="46"/>
      <c r="AH808" s="46"/>
      <c r="AI808" s="46"/>
      <c r="AJ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c r="AA809" s="46"/>
      <c r="AB809" s="46"/>
      <c r="AC809" s="46"/>
      <c r="AD809" s="46"/>
      <c r="AE809" s="46"/>
      <c r="AF809" s="46"/>
      <c r="AG809" s="46"/>
      <c r="AH809" s="46"/>
      <c r="AI809" s="46"/>
      <c r="AJ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c r="AA810" s="46"/>
      <c r="AB810" s="46"/>
      <c r="AC810" s="46"/>
      <c r="AD810" s="46"/>
      <c r="AE810" s="46"/>
      <c r="AF810" s="46"/>
      <c r="AG810" s="46"/>
      <c r="AH810" s="46"/>
      <c r="AI810" s="46"/>
      <c r="AJ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c r="AA811" s="46"/>
      <c r="AB811" s="46"/>
      <c r="AC811" s="46"/>
      <c r="AD811" s="46"/>
      <c r="AE811" s="46"/>
      <c r="AF811" s="46"/>
      <c r="AG811" s="46"/>
      <c r="AH811" s="46"/>
      <c r="AI811" s="46"/>
      <c r="AJ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c r="AA813" s="46"/>
      <c r="AB813" s="46"/>
      <c r="AC813" s="46"/>
      <c r="AD813" s="46"/>
      <c r="AE813" s="46"/>
      <c r="AF813" s="46"/>
      <c r="AG813" s="46"/>
      <c r="AH813" s="46"/>
      <c r="AI813" s="46"/>
      <c r="AJ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c r="AA814" s="46"/>
      <c r="AB814" s="46"/>
      <c r="AC814" s="46"/>
      <c r="AD814" s="46"/>
      <c r="AE814" s="46"/>
      <c r="AF814" s="46"/>
      <c r="AG814" s="46"/>
      <c r="AH814" s="46"/>
      <c r="AI814" s="46"/>
      <c r="AJ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c r="AA815" s="46"/>
      <c r="AB815" s="46"/>
      <c r="AC815" s="46"/>
      <c r="AD815" s="46"/>
      <c r="AE815" s="46"/>
      <c r="AF815" s="46"/>
      <c r="AG815" s="46"/>
      <c r="AH815" s="46"/>
      <c r="AI815" s="46"/>
      <c r="AJ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c r="AA816" s="46"/>
      <c r="AB816" s="46"/>
      <c r="AC816" s="46"/>
      <c r="AD816" s="46"/>
      <c r="AE816" s="46"/>
      <c r="AF816" s="46"/>
      <c r="AG816" s="46"/>
      <c r="AH816" s="46"/>
      <c r="AI816" s="46"/>
      <c r="AJ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c r="AA817" s="46"/>
      <c r="AB817" s="46"/>
      <c r="AC817" s="46"/>
      <c r="AD817" s="46"/>
      <c r="AE817" s="46"/>
      <c r="AF817" s="46"/>
      <c r="AG817" s="46"/>
      <c r="AH817" s="46"/>
      <c r="AI817" s="46"/>
      <c r="AJ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c r="AA818" s="46"/>
      <c r="AB818" s="46"/>
      <c r="AC818" s="46"/>
      <c r="AD818" s="46"/>
      <c r="AE818" s="46"/>
      <c r="AF818" s="46"/>
      <c r="AG818" s="46"/>
      <c r="AH818" s="46"/>
      <c r="AI818" s="46"/>
      <c r="AJ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c r="AA819" s="46"/>
      <c r="AB819" s="46"/>
      <c r="AC819" s="46"/>
      <c r="AD819" s="46"/>
      <c r="AE819" s="46"/>
      <c r="AF819" s="46"/>
      <c r="AG819" s="46"/>
      <c r="AH819" s="46"/>
      <c r="AI819" s="46"/>
      <c r="AJ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c r="AE820" s="46"/>
      <c r="AF820" s="46"/>
      <c r="AG820" s="46"/>
      <c r="AH820" s="46"/>
      <c r="AI820" s="46"/>
      <c r="AJ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c r="AA821" s="46"/>
      <c r="AB821" s="46"/>
      <c r="AC821" s="46"/>
      <c r="AD821" s="46"/>
      <c r="AE821" s="46"/>
      <c r="AF821" s="46"/>
      <c r="AG821" s="46"/>
      <c r="AH821" s="46"/>
      <c r="AI821" s="46"/>
      <c r="AJ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c r="AA822" s="46"/>
      <c r="AB822" s="46"/>
      <c r="AC822" s="46"/>
      <c r="AD822" s="46"/>
      <c r="AE822" s="46"/>
      <c r="AF822" s="46"/>
      <c r="AG822" s="46"/>
      <c r="AH822" s="46"/>
      <c r="AI822" s="46"/>
      <c r="AJ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c r="AA823" s="46"/>
      <c r="AB823" s="46"/>
      <c r="AC823" s="46"/>
      <c r="AD823" s="46"/>
      <c r="AE823" s="46"/>
      <c r="AF823" s="46"/>
      <c r="AG823" s="46"/>
      <c r="AH823" s="46"/>
      <c r="AI823" s="46"/>
      <c r="AJ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c r="AA824" s="46"/>
      <c r="AB824" s="46"/>
      <c r="AC824" s="46"/>
      <c r="AD824" s="46"/>
      <c r="AE824" s="46"/>
      <c r="AF824" s="46"/>
      <c r="AG824" s="46"/>
      <c r="AH824" s="46"/>
      <c r="AI824" s="46"/>
      <c r="AJ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c r="AA825" s="46"/>
      <c r="AB825" s="46"/>
      <c r="AC825" s="46"/>
      <c r="AD825" s="46"/>
      <c r="AE825" s="46"/>
      <c r="AF825" s="46"/>
      <c r="AG825" s="46"/>
      <c r="AH825" s="46"/>
      <c r="AI825" s="46"/>
      <c r="AJ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c r="AA826" s="46"/>
      <c r="AB826" s="46"/>
      <c r="AC826" s="46"/>
      <c r="AD826" s="46"/>
      <c r="AE826" s="46"/>
      <c r="AF826" s="46"/>
      <c r="AG826" s="46"/>
      <c r="AH826" s="46"/>
      <c r="AI826" s="46"/>
      <c r="AJ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c r="AA827" s="46"/>
      <c r="AB827" s="46"/>
      <c r="AC827" s="46"/>
      <c r="AD827" s="46"/>
      <c r="AE827" s="46"/>
      <c r="AF827" s="46"/>
      <c r="AG827" s="46"/>
      <c r="AH827" s="46"/>
      <c r="AI827" s="46"/>
      <c r="AJ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c r="AA828" s="46"/>
      <c r="AB828" s="46"/>
      <c r="AC828" s="46"/>
      <c r="AD828" s="46"/>
      <c r="AE828" s="46"/>
      <c r="AF828" s="46"/>
      <c r="AG828" s="46"/>
      <c r="AH828" s="46"/>
      <c r="AI828" s="46"/>
      <c r="AJ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c r="AE829" s="46"/>
      <c r="AF829" s="46"/>
      <c r="AG829" s="46"/>
      <c r="AH829" s="46"/>
      <c r="AI829" s="46"/>
      <c r="AJ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c r="AA830" s="46"/>
      <c r="AB830" s="46"/>
      <c r="AC830" s="46"/>
      <c r="AD830" s="46"/>
      <c r="AE830" s="46"/>
      <c r="AF830" s="46"/>
      <c r="AG830" s="46"/>
      <c r="AH830" s="46"/>
      <c r="AI830" s="46"/>
      <c r="AJ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c r="AA831" s="46"/>
      <c r="AB831" s="46"/>
      <c r="AC831" s="46"/>
      <c r="AD831" s="46"/>
      <c r="AE831" s="46"/>
      <c r="AF831" s="46"/>
      <c r="AG831" s="46"/>
      <c r="AH831" s="46"/>
      <c r="AI831" s="46"/>
      <c r="AJ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c r="AA832" s="46"/>
      <c r="AB832" s="46"/>
      <c r="AC832" s="46"/>
      <c r="AD832" s="46"/>
      <c r="AE832" s="46"/>
      <c r="AF832" s="46"/>
      <c r="AG832" s="46"/>
      <c r="AH832" s="46"/>
      <c r="AI832" s="46"/>
      <c r="AJ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c r="AA833" s="46"/>
      <c r="AB833" s="46"/>
      <c r="AC833" s="46"/>
      <c r="AD833" s="46"/>
      <c r="AE833" s="46"/>
      <c r="AF833" s="46"/>
      <c r="AG833" s="46"/>
      <c r="AH833" s="46"/>
      <c r="AI833" s="46"/>
      <c r="AJ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c r="AA834" s="46"/>
      <c r="AB834" s="46"/>
      <c r="AC834" s="46"/>
      <c r="AD834" s="46"/>
      <c r="AE834" s="46"/>
      <c r="AF834" s="46"/>
      <c r="AG834" s="46"/>
      <c r="AH834" s="46"/>
      <c r="AI834" s="46"/>
      <c r="AJ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c r="AA835" s="46"/>
      <c r="AB835" s="46"/>
      <c r="AC835" s="46"/>
      <c r="AD835" s="46"/>
      <c r="AE835" s="46"/>
      <c r="AF835" s="46"/>
      <c r="AG835" s="46"/>
      <c r="AH835" s="46"/>
      <c r="AI835" s="46"/>
      <c r="AJ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c r="AA836" s="46"/>
      <c r="AB836" s="46"/>
      <c r="AC836" s="46"/>
      <c r="AD836" s="46"/>
      <c r="AE836" s="46"/>
      <c r="AF836" s="46"/>
      <c r="AG836" s="46"/>
      <c r="AH836" s="46"/>
      <c r="AI836" s="46"/>
      <c r="AJ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c r="AA837" s="46"/>
      <c r="AB837" s="46"/>
      <c r="AC837" s="46"/>
      <c r="AD837" s="46"/>
      <c r="AE837" s="46"/>
      <c r="AF837" s="46"/>
      <c r="AG837" s="46"/>
      <c r="AH837" s="46"/>
      <c r="AI837" s="46"/>
      <c r="AJ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c r="AA838" s="46"/>
      <c r="AB838" s="46"/>
      <c r="AC838" s="46"/>
      <c r="AD838" s="46"/>
      <c r="AE838" s="46"/>
      <c r="AF838" s="46"/>
      <c r="AG838" s="46"/>
      <c r="AH838" s="46"/>
      <c r="AI838" s="46"/>
      <c r="AJ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c r="AE839" s="46"/>
      <c r="AF839" s="46"/>
      <c r="AG839" s="46"/>
      <c r="AH839" s="46"/>
      <c r="AI839" s="46"/>
      <c r="AJ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c r="AA840" s="46"/>
      <c r="AB840" s="46"/>
      <c r="AC840" s="46"/>
      <c r="AD840" s="46"/>
      <c r="AE840" s="46"/>
      <c r="AF840" s="46"/>
      <c r="AG840" s="46"/>
      <c r="AH840" s="46"/>
      <c r="AI840" s="46"/>
      <c r="AJ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c r="AA841" s="46"/>
      <c r="AB841" s="46"/>
      <c r="AC841" s="46"/>
      <c r="AD841" s="46"/>
      <c r="AE841" s="46"/>
      <c r="AF841" s="46"/>
      <c r="AG841" s="46"/>
      <c r="AH841" s="46"/>
      <c r="AI841" s="46"/>
      <c r="AJ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c r="AA842" s="46"/>
      <c r="AB842" s="46"/>
      <c r="AC842" s="46"/>
      <c r="AD842" s="46"/>
      <c r="AE842" s="46"/>
      <c r="AF842" s="46"/>
      <c r="AG842" s="46"/>
      <c r="AH842" s="46"/>
      <c r="AI842" s="46"/>
      <c r="AJ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c r="AA843" s="46"/>
      <c r="AB843" s="46"/>
      <c r="AC843" s="46"/>
      <c r="AD843" s="46"/>
      <c r="AE843" s="46"/>
      <c r="AF843" s="46"/>
      <c r="AG843" s="46"/>
      <c r="AH843" s="46"/>
      <c r="AI843" s="46"/>
      <c r="AJ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c r="AA844" s="46"/>
      <c r="AB844" s="46"/>
      <c r="AC844" s="46"/>
      <c r="AD844" s="46"/>
      <c r="AE844" s="46"/>
      <c r="AF844" s="46"/>
      <c r="AG844" s="46"/>
      <c r="AH844" s="46"/>
      <c r="AI844" s="46"/>
      <c r="AJ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c r="AA845" s="46"/>
      <c r="AB845" s="46"/>
      <c r="AC845" s="46"/>
      <c r="AD845" s="46"/>
      <c r="AE845" s="46"/>
      <c r="AF845" s="46"/>
      <c r="AG845" s="46"/>
      <c r="AH845" s="46"/>
      <c r="AI845" s="46"/>
      <c r="AJ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c r="AA846" s="46"/>
      <c r="AB846" s="46"/>
      <c r="AC846" s="46"/>
      <c r="AD846" s="46"/>
      <c r="AE846" s="46"/>
      <c r="AF846" s="46"/>
      <c r="AG846" s="46"/>
      <c r="AH846" s="46"/>
      <c r="AI846" s="46"/>
      <c r="AJ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c r="AE847" s="46"/>
      <c r="AF847" s="46"/>
      <c r="AG847" s="46"/>
      <c r="AH847" s="46"/>
      <c r="AI847" s="46"/>
      <c r="AJ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c r="AA848" s="46"/>
      <c r="AB848" s="46"/>
      <c r="AC848" s="46"/>
      <c r="AD848" s="46"/>
      <c r="AE848" s="46"/>
      <c r="AF848" s="46"/>
      <c r="AG848" s="46"/>
      <c r="AH848" s="46"/>
      <c r="AI848" s="46"/>
      <c r="AJ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c r="AA849" s="46"/>
      <c r="AB849" s="46"/>
      <c r="AC849" s="46"/>
      <c r="AD849" s="46"/>
      <c r="AE849" s="46"/>
      <c r="AF849" s="46"/>
      <c r="AG849" s="46"/>
      <c r="AH849" s="46"/>
      <c r="AI849" s="46"/>
      <c r="AJ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c r="AA850" s="46"/>
      <c r="AB850" s="46"/>
      <c r="AC850" s="46"/>
      <c r="AD850" s="46"/>
      <c r="AE850" s="46"/>
      <c r="AF850" s="46"/>
      <c r="AG850" s="46"/>
      <c r="AH850" s="46"/>
      <c r="AI850" s="46"/>
      <c r="AJ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c r="AA851" s="46"/>
      <c r="AB851" s="46"/>
      <c r="AC851" s="46"/>
      <c r="AD851" s="46"/>
      <c r="AE851" s="46"/>
      <c r="AF851" s="46"/>
      <c r="AG851" s="46"/>
      <c r="AH851" s="46"/>
      <c r="AI851" s="46"/>
      <c r="AJ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c r="AA852" s="46"/>
      <c r="AB852" s="46"/>
      <c r="AC852" s="46"/>
      <c r="AD852" s="46"/>
      <c r="AE852" s="46"/>
      <c r="AF852" s="46"/>
      <c r="AG852" s="46"/>
      <c r="AH852" s="46"/>
      <c r="AI852" s="46"/>
      <c r="AJ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c r="AA853" s="46"/>
      <c r="AB853" s="46"/>
      <c r="AC853" s="46"/>
      <c r="AD853" s="46"/>
      <c r="AE853" s="46"/>
      <c r="AF853" s="46"/>
      <c r="AG853" s="46"/>
      <c r="AH853" s="46"/>
      <c r="AI853" s="46"/>
      <c r="AJ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c r="AA854" s="46"/>
      <c r="AB854" s="46"/>
      <c r="AC854" s="46"/>
      <c r="AD854" s="46"/>
      <c r="AE854" s="46"/>
      <c r="AF854" s="46"/>
      <c r="AG854" s="46"/>
      <c r="AH854" s="46"/>
      <c r="AI854" s="46"/>
      <c r="AJ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c r="AA855" s="46"/>
      <c r="AB855" s="46"/>
      <c r="AC855" s="46"/>
      <c r="AD855" s="46"/>
      <c r="AE855" s="46"/>
      <c r="AF855" s="46"/>
      <c r="AG855" s="46"/>
      <c r="AH855" s="46"/>
      <c r="AI855" s="46"/>
      <c r="AJ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c r="AE856" s="46"/>
      <c r="AF856" s="46"/>
      <c r="AG856" s="46"/>
      <c r="AH856" s="46"/>
      <c r="AI856" s="46"/>
      <c r="AJ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c r="AA857" s="46"/>
      <c r="AB857" s="46"/>
      <c r="AC857" s="46"/>
      <c r="AD857" s="46"/>
      <c r="AE857" s="46"/>
      <c r="AF857" s="46"/>
      <c r="AG857" s="46"/>
      <c r="AH857" s="46"/>
      <c r="AI857" s="46"/>
      <c r="AJ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c r="AA858" s="46"/>
      <c r="AB858" s="46"/>
      <c r="AC858" s="46"/>
      <c r="AD858" s="46"/>
      <c r="AE858" s="46"/>
      <c r="AF858" s="46"/>
      <c r="AG858" s="46"/>
      <c r="AH858" s="46"/>
      <c r="AI858" s="46"/>
      <c r="AJ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c r="AA859" s="46"/>
      <c r="AB859" s="46"/>
      <c r="AC859" s="46"/>
      <c r="AD859" s="46"/>
      <c r="AE859" s="46"/>
      <c r="AF859" s="46"/>
      <c r="AG859" s="46"/>
      <c r="AH859" s="46"/>
      <c r="AI859" s="46"/>
      <c r="AJ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c r="AA860" s="46"/>
      <c r="AB860" s="46"/>
      <c r="AC860" s="46"/>
      <c r="AD860" s="46"/>
      <c r="AE860" s="46"/>
      <c r="AF860" s="46"/>
      <c r="AG860" s="46"/>
      <c r="AH860" s="46"/>
      <c r="AI860" s="46"/>
      <c r="AJ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c r="AA861" s="46"/>
      <c r="AB861" s="46"/>
      <c r="AC861" s="46"/>
      <c r="AD861" s="46"/>
      <c r="AE861" s="46"/>
      <c r="AF861" s="46"/>
      <c r="AG861" s="46"/>
      <c r="AH861" s="46"/>
      <c r="AI861" s="46"/>
      <c r="AJ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c r="AA862" s="46"/>
      <c r="AB862" s="46"/>
      <c r="AC862" s="46"/>
      <c r="AD862" s="46"/>
      <c r="AE862" s="46"/>
      <c r="AF862" s="46"/>
      <c r="AG862" s="46"/>
      <c r="AH862" s="46"/>
      <c r="AI862" s="46"/>
      <c r="AJ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c r="AA863" s="46"/>
      <c r="AB863" s="46"/>
      <c r="AC863" s="46"/>
      <c r="AD863" s="46"/>
      <c r="AE863" s="46"/>
      <c r="AF863" s="46"/>
      <c r="AG863" s="46"/>
      <c r="AH863" s="46"/>
      <c r="AI863" s="46"/>
      <c r="AJ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c r="AE864" s="46"/>
      <c r="AF864" s="46"/>
      <c r="AG864" s="46"/>
      <c r="AH864" s="46"/>
      <c r="AI864" s="46"/>
      <c r="AJ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c r="AA865" s="46"/>
      <c r="AB865" s="46"/>
      <c r="AC865" s="46"/>
      <c r="AD865" s="46"/>
      <c r="AE865" s="46"/>
      <c r="AF865" s="46"/>
      <c r="AG865" s="46"/>
      <c r="AH865" s="46"/>
      <c r="AI865" s="46"/>
      <c r="AJ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c r="AA866" s="46"/>
      <c r="AB866" s="46"/>
      <c r="AC866" s="46"/>
      <c r="AD866" s="46"/>
      <c r="AE866" s="46"/>
      <c r="AF866" s="46"/>
      <c r="AG866" s="46"/>
      <c r="AH866" s="46"/>
      <c r="AI866" s="46"/>
      <c r="AJ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c r="AA867" s="46"/>
      <c r="AB867" s="46"/>
      <c r="AC867" s="46"/>
      <c r="AD867" s="46"/>
      <c r="AE867" s="46"/>
      <c r="AF867" s="46"/>
      <c r="AG867" s="46"/>
      <c r="AH867" s="46"/>
      <c r="AI867" s="46"/>
      <c r="AJ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c r="AA868" s="46"/>
      <c r="AB868" s="46"/>
      <c r="AC868" s="46"/>
      <c r="AD868" s="46"/>
      <c r="AE868" s="46"/>
      <c r="AF868" s="46"/>
      <c r="AG868" s="46"/>
      <c r="AH868" s="46"/>
      <c r="AI868" s="46"/>
      <c r="AJ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c r="AA869" s="46"/>
      <c r="AB869" s="46"/>
      <c r="AC869" s="46"/>
      <c r="AD869" s="46"/>
      <c r="AE869" s="46"/>
      <c r="AF869" s="46"/>
      <c r="AG869" s="46"/>
      <c r="AH869" s="46"/>
      <c r="AI869" s="46"/>
      <c r="AJ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c r="AA870" s="46"/>
      <c r="AB870" s="46"/>
      <c r="AC870" s="46"/>
      <c r="AD870" s="46"/>
      <c r="AE870" s="46"/>
      <c r="AF870" s="46"/>
      <c r="AG870" s="46"/>
      <c r="AH870" s="46"/>
      <c r="AI870" s="46"/>
      <c r="AJ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c r="AA871" s="46"/>
      <c r="AB871" s="46"/>
      <c r="AC871" s="46"/>
      <c r="AD871" s="46"/>
      <c r="AE871" s="46"/>
      <c r="AF871" s="46"/>
      <c r="AG871" s="46"/>
      <c r="AH871" s="46"/>
      <c r="AI871" s="46"/>
      <c r="AJ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c r="AE872" s="46"/>
      <c r="AF872" s="46"/>
      <c r="AG872" s="46"/>
      <c r="AH872" s="46"/>
      <c r="AI872" s="46"/>
      <c r="AJ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c r="AA873" s="46"/>
      <c r="AB873" s="46"/>
      <c r="AC873" s="46"/>
      <c r="AD873" s="46"/>
      <c r="AE873" s="46"/>
      <c r="AF873" s="46"/>
      <c r="AG873" s="46"/>
      <c r="AH873" s="46"/>
      <c r="AI873" s="46"/>
      <c r="AJ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c r="AA874" s="46"/>
      <c r="AB874" s="46"/>
      <c r="AC874" s="46"/>
      <c r="AD874" s="46"/>
      <c r="AE874" s="46"/>
      <c r="AF874" s="46"/>
      <c r="AG874" s="46"/>
      <c r="AH874" s="46"/>
      <c r="AI874" s="46"/>
      <c r="AJ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c r="AA875" s="46"/>
      <c r="AB875" s="46"/>
      <c r="AC875" s="46"/>
      <c r="AD875" s="46"/>
      <c r="AE875" s="46"/>
      <c r="AF875" s="46"/>
      <c r="AG875" s="46"/>
      <c r="AH875" s="46"/>
      <c r="AI875" s="46"/>
      <c r="AJ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c r="AA876" s="46"/>
      <c r="AB876" s="46"/>
      <c r="AC876" s="46"/>
      <c r="AD876" s="46"/>
      <c r="AE876" s="46"/>
      <c r="AF876" s="46"/>
      <c r="AG876" s="46"/>
      <c r="AH876" s="46"/>
      <c r="AI876" s="46"/>
      <c r="AJ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c r="AA877" s="46"/>
      <c r="AB877" s="46"/>
      <c r="AC877" s="46"/>
      <c r="AD877" s="46"/>
      <c r="AE877" s="46"/>
      <c r="AF877" s="46"/>
      <c r="AG877" s="46"/>
      <c r="AH877" s="46"/>
      <c r="AI877" s="46"/>
      <c r="AJ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c r="AA878" s="46"/>
      <c r="AB878" s="46"/>
      <c r="AC878" s="46"/>
      <c r="AD878" s="46"/>
      <c r="AE878" s="46"/>
      <c r="AF878" s="46"/>
      <c r="AG878" s="46"/>
      <c r="AH878" s="46"/>
      <c r="AI878" s="46"/>
      <c r="AJ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c r="AA879" s="46"/>
      <c r="AB879" s="46"/>
      <c r="AC879" s="46"/>
      <c r="AD879" s="46"/>
      <c r="AE879" s="46"/>
      <c r="AF879" s="46"/>
      <c r="AG879" s="46"/>
      <c r="AH879" s="46"/>
      <c r="AI879" s="46"/>
      <c r="AJ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c r="AA880" s="46"/>
      <c r="AB880" s="46"/>
      <c r="AC880" s="46"/>
      <c r="AD880" s="46"/>
      <c r="AE880" s="46"/>
      <c r="AF880" s="46"/>
      <c r="AG880" s="46"/>
      <c r="AH880" s="46"/>
      <c r="AI880" s="46"/>
      <c r="AJ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c r="AA881" s="46"/>
      <c r="AB881" s="46"/>
      <c r="AC881" s="46"/>
      <c r="AD881" s="46"/>
      <c r="AE881" s="46"/>
      <c r="AF881" s="46"/>
      <c r="AG881" s="46"/>
      <c r="AH881" s="46"/>
      <c r="AI881" s="46"/>
      <c r="AJ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c r="AA882" s="46"/>
      <c r="AB882" s="46"/>
      <c r="AC882" s="46"/>
      <c r="AD882" s="46"/>
      <c r="AE882" s="46"/>
      <c r="AF882" s="46"/>
      <c r="AG882" s="46"/>
      <c r="AH882" s="46"/>
      <c r="AI882" s="46"/>
      <c r="AJ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c r="AA883" s="46"/>
      <c r="AB883" s="46"/>
      <c r="AC883" s="46"/>
      <c r="AD883" s="46"/>
      <c r="AE883" s="46"/>
      <c r="AF883" s="46"/>
      <c r="AG883" s="46"/>
      <c r="AH883" s="46"/>
      <c r="AI883" s="46"/>
      <c r="AJ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c r="AA884" s="46"/>
      <c r="AB884" s="46"/>
      <c r="AC884" s="46"/>
      <c r="AD884" s="46"/>
      <c r="AE884" s="46"/>
      <c r="AF884" s="46"/>
      <c r="AG884" s="46"/>
      <c r="AH884" s="46"/>
      <c r="AI884" s="46"/>
      <c r="AJ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c r="AA885" s="46"/>
      <c r="AB885" s="46"/>
      <c r="AC885" s="46"/>
      <c r="AD885" s="46"/>
      <c r="AE885" s="46"/>
      <c r="AF885" s="46"/>
      <c r="AG885" s="46"/>
      <c r="AH885" s="46"/>
      <c r="AI885" s="46"/>
      <c r="AJ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c r="AA886" s="46"/>
      <c r="AB886" s="46"/>
      <c r="AC886" s="46"/>
      <c r="AD886" s="46"/>
      <c r="AE886" s="46"/>
      <c r="AF886" s="46"/>
      <c r="AG886" s="46"/>
      <c r="AH886" s="46"/>
      <c r="AI886" s="46"/>
      <c r="AJ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c r="AA887" s="46"/>
      <c r="AB887" s="46"/>
      <c r="AC887" s="46"/>
      <c r="AD887" s="46"/>
      <c r="AE887" s="46"/>
      <c r="AF887" s="46"/>
      <c r="AG887" s="46"/>
      <c r="AH887" s="46"/>
      <c r="AI887" s="46"/>
      <c r="AJ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c r="AE888" s="46"/>
      <c r="AF888" s="46"/>
      <c r="AG888" s="46"/>
      <c r="AH888" s="46"/>
      <c r="AI888" s="46"/>
      <c r="AJ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c r="AA889" s="46"/>
      <c r="AB889" s="46"/>
      <c r="AC889" s="46"/>
      <c r="AD889" s="46"/>
      <c r="AE889" s="46"/>
      <c r="AF889" s="46"/>
      <c r="AG889" s="46"/>
      <c r="AH889" s="46"/>
      <c r="AI889" s="46"/>
      <c r="AJ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c r="AA890" s="46"/>
      <c r="AB890" s="46"/>
      <c r="AC890" s="46"/>
      <c r="AD890" s="46"/>
      <c r="AE890" s="46"/>
      <c r="AF890" s="46"/>
      <c r="AG890" s="46"/>
      <c r="AH890" s="46"/>
      <c r="AI890" s="46"/>
      <c r="AJ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c r="AA891" s="46"/>
      <c r="AB891" s="46"/>
      <c r="AC891" s="46"/>
      <c r="AD891" s="46"/>
      <c r="AE891" s="46"/>
      <c r="AF891" s="46"/>
      <c r="AG891" s="46"/>
      <c r="AH891" s="46"/>
      <c r="AI891" s="46"/>
      <c r="AJ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c r="AA892" s="46"/>
      <c r="AB892" s="46"/>
      <c r="AC892" s="46"/>
      <c r="AD892" s="46"/>
      <c r="AE892" s="46"/>
      <c r="AF892" s="46"/>
      <c r="AG892" s="46"/>
      <c r="AH892" s="46"/>
      <c r="AI892" s="46"/>
      <c r="AJ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c r="AA893" s="46"/>
      <c r="AB893" s="46"/>
      <c r="AC893" s="46"/>
      <c r="AD893" s="46"/>
      <c r="AE893" s="46"/>
      <c r="AF893" s="46"/>
      <c r="AG893" s="46"/>
      <c r="AH893" s="46"/>
      <c r="AI893" s="46"/>
      <c r="AJ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c r="AA894" s="46"/>
      <c r="AB894" s="46"/>
      <c r="AC894" s="46"/>
      <c r="AD894" s="46"/>
      <c r="AE894" s="46"/>
      <c r="AF894" s="46"/>
      <c r="AG894" s="46"/>
      <c r="AH894" s="46"/>
      <c r="AI894" s="46"/>
      <c r="AJ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c r="AA895" s="46"/>
      <c r="AB895" s="46"/>
      <c r="AC895" s="46"/>
      <c r="AD895" s="46"/>
      <c r="AE895" s="46"/>
      <c r="AF895" s="46"/>
      <c r="AG895" s="46"/>
      <c r="AH895" s="46"/>
      <c r="AI895" s="46"/>
      <c r="AJ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c r="AA897" s="46"/>
      <c r="AB897" s="46"/>
      <c r="AC897" s="46"/>
      <c r="AD897" s="46"/>
      <c r="AE897" s="46"/>
      <c r="AF897" s="46"/>
      <c r="AG897" s="46"/>
      <c r="AH897" s="46"/>
      <c r="AI897" s="46"/>
      <c r="AJ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c r="AA898" s="46"/>
      <c r="AB898" s="46"/>
      <c r="AC898" s="46"/>
      <c r="AD898" s="46"/>
      <c r="AE898" s="46"/>
      <c r="AF898" s="46"/>
      <c r="AG898" s="46"/>
      <c r="AH898" s="46"/>
      <c r="AI898" s="46"/>
      <c r="AJ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c r="AA899" s="46"/>
      <c r="AB899" s="46"/>
      <c r="AC899" s="46"/>
      <c r="AD899" s="46"/>
      <c r="AE899" s="46"/>
      <c r="AF899" s="46"/>
      <c r="AG899" s="46"/>
      <c r="AH899" s="46"/>
      <c r="AI899" s="46"/>
      <c r="AJ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c r="AA900" s="46"/>
      <c r="AB900" s="46"/>
      <c r="AC900" s="46"/>
      <c r="AD900" s="46"/>
      <c r="AE900" s="46"/>
      <c r="AF900" s="46"/>
      <c r="AG900" s="46"/>
      <c r="AH900" s="46"/>
      <c r="AI900" s="46"/>
      <c r="AJ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c r="AA901" s="46"/>
      <c r="AB901" s="46"/>
      <c r="AC901" s="46"/>
      <c r="AD901" s="46"/>
      <c r="AE901" s="46"/>
      <c r="AF901" s="46"/>
      <c r="AG901" s="46"/>
      <c r="AH901" s="46"/>
      <c r="AI901" s="46"/>
      <c r="AJ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c r="AA902" s="46"/>
      <c r="AB902" s="46"/>
      <c r="AC902" s="46"/>
      <c r="AD902" s="46"/>
      <c r="AE902" s="46"/>
      <c r="AF902" s="46"/>
      <c r="AG902" s="46"/>
      <c r="AH902" s="46"/>
      <c r="AI902" s="46"/>
      <c r="AJ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c r="AA903" s="46"/>
      <c r="AB903" s="46"/>
      <c r="AC903" s="46"/>
      <c r="AD903" s="46"/>
      <c r="AE903" s="46"/>
      <c r="AF903" s="46"/>
      <c r="AG903" s="46"/>
      <c r="AH903" s="46"/>
      <c r="AI903" s="46"/>
      <c r="AJ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c r="AE904" s="46"/>
      <c r="AF904" s="46"/>
      <c r="AG904" s="46"/>
      <c r="AH904" s="46"/>
      <c r="AI904" s="46"/>
      <c r="AJ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c r="AA905" s="46"/>
      <c r="AB905" s="46"/>
      <c r="AC905" s="46"/>
      <c r="AD905" s="46"/>
      <c r="AE905" s="46"/>
      <c r="AF905" s="46"/>
      <c r="AG905" s="46"/>
      <c r="AH905" s="46"/>
      <c r="AI905" s="46"/>
      <c r="AJ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c r="AA906" s="46"/>
      <c r="AB906" s="46"/>
      <c r="AC906" s="46"/>
      <c r="AD906" s="46"/>
      <c r="AE906" s="46"/>
      <c r="AF906" s="46"/>
      <c r="AG906" s="46"/>
      <c r="AH906" s="46"/>
      <c r="AI906" s="46"/>
      <c r="AJ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c r="AA907" s="46"/>
      <c r="AB907" s="46"/>
      <c r="AC907" s="46"/>
      <c r="AD907" s="46"/>
      <c r="AE907" s="46"/>
      <c r="AF907" s="46"/>
      <c r="AG907" s="46"/>
      <c r="AH907" s="46"/>
      <c r="AI907" s="46"/>
      <c r="AJ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c r="AA908" s="46"/>
      <c r="AB908" s="46"/>
      <c r="AC908" s="46"/>
      <c r="AD908" s="46"/>
      <c r="AE908" s="46"/>
      <c r="AF908" s="46"/>
      <c r="AG908" s="46"/>
      <c r="AH908" s="46"/>
      <c r="AI908" s="46"/>
      <c r="AJ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c r="AA909" s="46"/>
      <c r="AB909" s="46"/>
      <c r="AC909" s="46"/>
      <c r="AD909" s="46"/>
      <c r="AE909" s="46"/>
      <c r="AF909" s="46"/>
      <c r="AG909" s="46"/>
      <c r="AH909" s="46"/>
      <c r="AI909" s="46"/>
      <c r="AJ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c r="AA910" s="46"/>
      <c r="AB910" s="46"/>
      <c r="AC910" s="46"/>
      <c r="AD910" s="46"/>
      <c r="AE910" s="46"/>
      <c r="AF910" s="46"/>
      <c r="AG910" s="46"/>
      <c r="AH910" s="46"/>
      <c r="AI910" s="46"/>
      <c r="AJ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c r="AA911" s="46"/>
      <c r="AB911" s="46"/>
      <c r="AC911" s="46"/>
      <c r="AD911" s="46"/>
      <c r="AE911" s="46"/>
      <c r="AF911" s="46"/>
      <c r="AG911" s="46"/>
      <c r="AH911" s="46"/>
      <c r="AI911" s="46"/>
      <c r="AJ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c r="AE912" s="46"/>
      <c r="AF912" s="46"/>
      <c r="AG912" s="46"/>
      <c r="AH912" s="46"/>
      <c r="AI912" s="46"/>
      <c r="AJ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c r="AA913" s="46"/>
      <c r="AB913" s="46"/>
      <c r="AC913" s="46"/>
      <c r="AD913" s="46"/>
      <c r="AE913" s="46"/>
      <c r="AF913" s="46"/>
      <c r="AG913" s="46"/>
      <c r="AH913" s="46"/>
      <c r="AI913" s="46"/>
      <c r="AJ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c r="AA914" s="46"/>
      <c r="AB914" s="46"/>
      <c r="AC914" s="46"/>
      <c r="AD914" s="46"/>
      <c r="AE914" s="46"/>
      <c r="AF914" s="46"/>
      <c r="AG914" s="46"/>
      <c r="AH914" s="46"/>
      <c r="AI914" s="46"/>
      <c r="AJ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c r="AA915" s="46"/>
      <c r="AB915" s="46"/>
      <c r="AC915" s="46"/>
      <c r="AD915" s="46"/>
      <c r="AE915" s="46"/>
      <c r="AF915" s="46"/>
      <c r="AG915" s="46"/>
      <c r="AH915" s="46"/>
      <c r="AI915" s="46"/>
      <c r="AJ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c r="AA916" s="46"/>
      <c r="AB916" s="46"/>
      <c r="AC916" s="46"/>
      <c r="AD916" s="46"/>
      <c r="AE916" s="46"/>
      <c r="AF916" s="46"/>
      <c r="AG916" s="46"/>
      <c r="AH916" s="46"/>
      <c r="AI916" s="46"/>
      <c r="AJ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c r="AA917" s="46"/>
      <c r="AB917" s="46"/>
      <c r="AC917" s="46"/>
      <c r="AD917" s="46"/>
      <c r="AE917" s="46"/>
      <c r="AF917" s="46"/>
      <c r="AG917" s="46"/>
      <c r="AH917" s="46"/>
      <c r="AI917" s="46"/>
      <c r="AJ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c r="AA918" s="46"/>
      <c r="AB918" s="46"/>
      <c r="AC918" s="46"/>
      <c r="AD918" s="46"/>
      <c r="AE918" s="46"/>
      <c r="AF918" s="46"/>
      <c r="AG918" s="46"/>
      <c r="AH918" s="46"/>
      <c r="AI918" s="46"/>
      <c r="AJ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c r="AA919" s="46"/>
      <c r="AB919" s="46"/>
      <c r="AC919" s="46"/>
      <c r="AD919" s="46"/>
      <c r="AE919" s="46"/>
      <c r="AF919" s="46"/>
      <c r="AG919" s="46"/>
      <c r="AH919" s="46"/>
      <c r="AI919" s="46"/>
      <c r="AJ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c r="AE920" s="46"/>
      <c r="AF920" s="46"/>
      <c r="AG920" s="46"/>
      <c r="AH920" s="46"/>
      <c r="AI920" s="46"/>
      <c r="AJ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c r="AA921" s="46"/>
      <c r="AB921" s="46"/>
      <c r="AC921" s="46"/>
      <c r="AD921" s="46"/>
      <c r="AE921" s="46"/>
      <c r="AF921" s="46"/>
      <c r="AG921" s="46"/>
      <c r="AH921" s="46"/>
      <c r="AI921" s="46"/>
      <c r="AJ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c r="AA922" s="46"/>
      <c r="AB922" s="46"/>
      <c r="AC922" s="46"/>
      <c r="AD922" s="46"/>
      <c r="AE922" s="46"/>
      <c r="AF922" s="46"/>
      <c r="AG922" s="46"/>
      <c r="AH922" s="46"/>
      <c r="AI922" s="46"/>
      <c r="AJ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c r="AA923" s="46"/>
      <c r="AB923" s="46"/>
      <c r="AC923" s="46"/>
      <c r="AD923" s="46"/>
      <c r="AE923" s="46"/>
      <c r="AF923" s="46"/>
      <c r="AG923" s="46"/>
      <c r="AH923" s="46"/>
      <c r="AI923" s="46"/>
      <c r="AJ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c r="AA924" s="46"/>
      <c r="AB924" s="46"/>
      <c r="AC924" s="46"/>
      <c r="AD924" s="46"/>
      <c r="AE924" s="46"/>
      <c r="AF924" s="46"/>
      <c r="AG924" s="46"/>
      <c r="AH924" s="46"/>
      <c r="AI924" s="46"/>
      <c r="AJ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c r="AA925" s="46"/>
      <c r="AB925" s="46"/>
      <c r="AC925" s="46"/>
      <c r="AD925" s="46"/>
      <c r="AE925" s="46"/>
      <c r="AF925" s="46"/>
      <c r="AG925" s="46"/>
      <c r="AH925" s="46"/>
      <c r="AI925" s="46"/>
      <c r="AJ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c r="AA926" s="46"/>
      <c r="AB926" s="46"/>
      <c r="AC926" s="46"/>
      <c r="AD926" s="46"/>
      <c r="AE926" s="46"/>
      <c r="AF926" s="46"/>
      <c r="AG926" s="46"/>
      <c r="AH926" s="46"/>
      <c r="AI926" s="46"/>
      <c r="AJ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c r="AA927" s="46"/>
      <c r="AB927" s="46"/>
      <c r="AC927" s="46"/>
      <c r="AD927" s="46"/>
      <c r="AE927" s="46"/>
      <c r="AF927" s="46"/>
      <c r="AG927" s="46"/>
      <c r="AH927" s="46"/>
      <c r="AI927" s="46"/>
      <c r="AJ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c r="AE928" s="46"/>
      <c r="AF928" s="46"/>
      <c r="AG928" s="46"/>
      <c r="AH928" s="46"/>
      <c r="AI928" s="46"/>
      <c r="AJ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c r="AA929" s="46"/>
      <c r="AB929" s="46"/>
      <c r="AC929" s="46"/>
      <c r="AD929" s="46"/>
      <c r="AE929" s="46"/>
      <c r="AF929" s="46"/>
      <c r="AG929" s="46"/>
      <c r="AH929" s="46"/>
      <c r="AI929" s="46"/>
      <c r="AJ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c r="AA930" s="46"/>
      <c r="AB930" s="46"/>
      <c r="AC930" s="46"/>
      <c r="AD930" s="46"/>
      <c r="AE930" s="46"/>
      <c r="AF930" s="46"/>
      <c r="AG930" s="46"/>
      <c r="AH930" s="46"/>
      <c r="AI930" s="46"/>
      <c r="AJ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c r="AA931" s="46"/>
      <c r="AB931" s="46"/>
      <c r="AC931" s="46"/>
      <c r="AD931" s="46"/>
      <c r="AE931" s="46"/>
      <c r="AF931" s="46"/>
      <c r="AG931" s="46"/>
      <c r="AH931" s="46"/>
      <c r="AI931" s="46"/>
      <c r="AJ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c r="AA932" s="46"/>
      <c r="AB932" s="46"/>
      <c r="AC932" s="46"/>
      <c r="AD932" s="46"/>
      <c r="AE932" s="46"/>
      <c r="AF932" s="46"/>
      <c r="AG932" s="46"/>
      <c r="AH932" s="46"/>
      <c r="AI932" s="46"/>
      <c r="AJ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c r="AA933" s="46"/>
      <c r="AB933" s="46"/>
      <c r="AC933" s="46"/>
      <c r="AD933" s="46"/>
      <c r="AE933" s="46"/>
      <c r="AF933" s="46"/>
      <c r="AG933" s="46"/>
      <c r="AH933" s="46"/>
      <c r="AI933" s="46"/>
      <c r="AJ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c r="AA934" s="46"/>
      <c r="AB934" s="46"/>
      <c r="AC934" s="46"/>
      <c r="AD934" s="46"/>
      <c r="AE934" s="46"/>
      <c r="AF934" s="46"/>
      <c r="AG934" s="46"/>
      <c r="AH934" s="46"/>
      <c r="AI934" s="46"/>
      <c r="AJ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c r="AA935" s="46"/>
      <c r="AB935" s="46"/>
      <c r="AC935" s="46"/>
      <c r="AD935" s="46"/>
      <c r="AE935" s="46"/>
      <c r="AF935" s="46"/>
      <c r="AG935" s="46"/>
      <c r="AH935" s="46"/>
      <c r="AI935" s="46"/>
      <c r="AJ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c r="AA936" s="46"/>
      <c r="AB936" s="46"/>
      <c r="AC936" s="46"/>
      <c r="AD936" s="46"/>
      <c r="AE936" s="46"/>
      <c r="AF936" s="46"/>
      <c r="AG936" s="46"/>
      <c r="AH936" s="46"/>
      <c r="AI936" s="46"/>
      <c r="AJ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c r="AA937" s="46"/>
      <c r="AB937" s="46"/>
      <c r="AC937" s="46"/>
      <c r="AD937" s="46"/>
      <c r="AE937" s="46"/>
      <c r="AF937" s="46"/>
      <c r="AG937" s="46"/>
      <c r="AH937" s="46"/>
      <c r="AI937" s="46"/>
      <c r="AJ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c r="AA938" s="46"/>
      <c r="AB938" s="46"/>
      <c r="AC938" s="46"/>
      <c r="AD938" s="46"/>
      <c r="AE938" s="46"/>
      <c r="AF938" s="46"/>
      <c r="AG938" s="46"/>
      <c r="AH938" s="46"/>
      <c r="AI938" s="46"/>
      <c r="AJ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c r="AA939" s="46"/>
      <c r="AB939" s="46"/>
      <c r="AC939" s="46"/>
      <c r="AD939" s="46"/>
      <c r="AE939" s="46"/>
      <c r="AF939" s="46"/>
      <c r="AG939" s="46"/>
      <c r="AH939" s="46"/>
      <c r="AI939" s="46"/>
      <c r="AJ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c r="AA940" s="46"/>
      <c r="AB940" s="46"/>
      <c r="AC940" s="46"/>
      <c r="AD940" s="46"/>
      <c r="AE940" s="46"/>
      <c r="AF940" s="46"/>
      <c r="AG940" s="46"/>
      <c r="AH940" s="46"/>
      <c r="AI940" s="46"/>
      <c r="AJ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c r="AA941" s="46"/>
      <c r="AB941" s="46"/>
      <c r="AC941" s="46"/>
      <c r="AD941" s="46"/>
      <c r="AE941" s="46"/>
      <c r="AF941" s="46"/>
      <c r="AG941" s="46"/>
      <c r="AH941" s="46"/>
      <c r="AI941" s="46"/>
      <c r="AJ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c r="AA942" s="46"/>
      <c r="AB942" s="46"/>
      <c r="AC942" s="46"/>
      <c r="AD942" s="46"/>
      <c r="AE942" s="46"/>
      <c r="AF942" s="46"/>
      <c r="AG942" s="46"/>
      <c r="AH942" s="46"/>
      <c r="AI942" s="46"/>
      <c r="AJ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c r="AA943" s="46"/>
      <c r="AB943" s="46"/>
      <c r="AC943" s="46"/>
      <c r="AD943" s="46"/>
      <c r="AE943" s="46"/>
      <c r="AF943" s="46"/>
      <c r="AG943" s="46"/>
      <c r="AH943" s="46"/>
      <c r="AI943" s="46"/>
      <c r="AJ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c r="AD944" s="46"/>
      <c r="AE944" s="46"/>
      <c r="AF944" s="46"/>
      <c r="AG944" s="46"/>
      <c r="AH944" s="46"/>
      <c r="AI944" s="46"/>
      <c r="AJ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c r="AA945" s="46"/>
      <c r="AB945" s="46"/>
      <c r="AC945" s="46"/>
      <c r="AD945" s="46"/>
      <c r="AE945" s="46"/>
      <c r="AF945" s="46"/>
      <c r="AG945" s="46"/>
      <c r="AH945" s="46"/>
      <c r="AI945" s="46"/>
      <c r="AJ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c r="AA946" s="46"/>
      <c r="AB946" s="46"/>
      <c r="AC946" s="46"/>
      <c r="AD946" s="46"/>
      <c r="AE946" s="46"/>
      <c r="AF946" s="46"/>
      <c r="AG946" s="46"/>
      <c r="AH946" s="46"/>
      <c r="AI946" s="46"/>
      <c r="AJ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c r="AA947" s="46"/>
      <c r="AB947" s="46"/>
      <c r="AC947" s="46"/>
      <c r="AD947" s="46"/>
      <c r="AE947" s="46"/>
      <c r="AF947" s="46"/>
      <c r="AG947" s="46"/>
      <c r="AH947" s="46"/>
      <c r="AI947" s="46"/>
      <c r="AJ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c r="AA948" s="46"/>
      <c r="AB948" s="46"/>
      <c r="AC948" s="46"/>
      <c r="AD948" s="46"/>
      <c r="AE948" s="46"/>
      <c r="AF948" s="46"/>
      <c r="AG948" s="46"/>
      <c r="AH948" s="46"/>
      <c r="AI948" s="46"/>
      <c r="AJ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c r="AA949" s="46"/>
      <c r="AB949" s="46"/>
      <c r="AC949" s="46"/>
      <c r="AD949" s="46"/>
      <c r="AE949" s="46"/>
      <c r="AF949" s="46"/>
      <c r="AG949" s="46"/>
      <c r="AH949" s="46"/>
      <c r="AI949" s="46"/>
      <c r="AJ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c r="AA950" s="46"/>
      <c r="AB950" s="46"/>
      <c r="AC950" s="46"/>
      <c r="AD950" s="46"/>
      <c r="AE950" s="46"/>
      <c r="AF950" s="46"/>
      <c r="AG950" s="46"/>
      <c r="AH950" s="46"/>
      <c r="AI950" s="46"/>
      <c r="AJ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c r="AA951" s="46"/>
      <c r="AB951" s="46"/>
      <c r="AC951" s="46"/>
      <c r="AD951" s="46"/>
      <c r="AE951" s="46"/>
      <c r="AF951" s="46"/>
      <c r="AG951" s="46"/>
      <c r="AH951" s="46"/>
      <c r="AI951" s="46"/>
      <c r="AJ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c r="AA952" s="46"/>
      <c r="AB952" s="46"/>
      <c r="AC952" s="46"/>
      <c r="AD952" s="46"/>
      <c r="AE952" s="46"/>
      <c r="AF952" s="46"/>
      <c r="AG952" s="46"/>
      <c r="AH952" s="46"/>
      <c r="AI952" s="46"/>
      <c r="AJ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c r="AA953" s="46"/>
      <c r="AB953" s="46"/>
      <c r="AC953" s="46"/>
      <c r="AD953" s="46"/>
      <c r="AE953" s="46"/>
      <c r="AF953" s="46"/>
      <c r="AG953" s="46"/>
      <c r="AH953" s="46"/>
      <c r="AI953" s="46"/>
      <c r="AJ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c r="AD954" s="46"/>
      <c r="AE954" s="46"/>
      <c r="AF954" s="46"/>
      <c r="AG954" s="46"/>
      <c r="AH954" s="46"/>
      <c r="AI954" s="46"/>
      <c r="AJ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c r="AA955" s="46"/>
      <c r="AB955" s="46"/>
      <c r="AC955" s="46"/>
      <c r="AD955" s="46"/>
      <c r="AE955" s="46"/>
      <c r="AF955" s="46"/>
      <c r="AG955" s="46"/>
      <c r="AH955" s="46"/>
      <c r="AI955" s="46"/>
      <c r="AJ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c r="AA956" s="46"/>
      <c r="AB956" s="46"/>
      <c r="AC956" s="46"/>
      <c r="AD956" s="46"/>
      <c r="AE956" s="46"/>
      <c r="AF956" s="46"/>
      <c r="AG956" s="46"/>
      <c r="AH956" s="46"/>
      <c r="AI956" s="46"/>
      <c r="AJ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c r="AA957" s="46"/>
      <c r="AB957" s="46"/>
      <c r="AC957" s="46"/>
      <c r="AD957" s="46"/>
      <c r="AE957" s="46"/>
      <c r="AF957" s="46"/>
      <c r="AG957" s="46"/>
      <c r="AH957" s="46"/>
      <c r="AI957" s="46"/>
      <c r="AJ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c r="AA958" s="46"/>
      <c r="AB958" s="46"/>
      <c r="AC958" s="46"/>
      <c r="AD958" s="46"/>
      <c r="AE958" s="46"/>
      <c r="AF958" s="46"/>
      <c r="AG958" s="46"/>
      <c r="AH958" s="46"/>
      <c r="AI958" s="46"/>
      <c r="AJ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c r="AA959" s="46"/>
      <c r="AB959" s="46"/>
      <c r="AC959" s="46"/>
      <c r="AD959" s="46"/>
      <c r="AE959" s="46"/>
      <c r="AF959" s="46"/>
      <c r="AG959" s="46"/>
      <c r="AH959" s="46"/>
      <c r="AI959" s="46"/>
      <c r="AJ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c r="AA960" s="46"/>
      <c r="AB960" s="46"/>
      <c r="AC960" s="46"/>
      <c r="AD960" s="46"/>
      <c r="AE960" s="46"/>
      <c r="AF960" s="46"/>
      <c r="AG960" s="46"/>
      <c r="AH960" s="46"/>
      <c r="AI960" s="46"/>
      <c r="AJ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c r="AA961" s="46"/>
      <c r="AB961" s="46"/>
      <c r="AC961" s="46"/>
      <c r="AD961" s="46"/>
      <c r="AE961" s="46"/>
      <c r="AF961" s="46"/>
      <c r="AG961" s="46"/>
      <c r="AH961" s="46"/>
      <c r="AI961" s="46"/>
      <c r="AJ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c r="AA962" s="46"/>
      <c r="AB962" s="46"/>
      <c r="AC962" s="46"/>
      <c r="AD962" s="46"/>
      <c r="AE962" s="46"/>
      <c r="AF962" s="46"/>
      <c r="AG962" s="46"/>
      <c r="AH962" s="46"/>
      <c r="AI962" s="46"/>
      <c r="AJ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c r="AA963" s="46"/>
      <c r="AB963" s="46"/>
      <c r="AC963" s="46"/>
      <c r="AD963" s="46"/>
      <c r="AE963" s="46"/>
      <c r="AF963" s="46"/>
      <c r="AG963" s="46"/>
      <c r="AH963" s="46"/>
      <c r="AI963" s="46"/>
      <c r="AJ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c r="AA964" s="46"/>
      <c r="AB964" s="46"/>
      <c r="AC964" s="46"/>
      <c r="AD964" s="46"/>
      <c r="AE964" s="46"/>
      <c r="AF964" s="46"/>
      <c r="AG964" s="46"/>
      <c r="AH964" s="46"/>
      <c r="AI964" s="46"/>
      <c r="AJ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c r="AA965" s="46"/>
      <c r="AB965" s="46"/>
      <c r="AC965" s="46"/>
      <c r="AD965" s="46"/>
      <c r="AE965" s="46"/>
      <c r="AF965" s="46"/>
      <c r="AG965" s="46"/>
      <c r="AH965" s="46"/>
      <c r="AI965" s="46"/>
      <c r="AJ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c r="AA966" s="46"/>
      <c r="AB966" s="46"/>
      <c r="AC966" s="46"/>
      <c r="AD966" s="46"/>
      <c r="AE966" s="46"/>
      <c r="AF966" s="46"/>
      <c r="AG966" s="46"/>
      <c r="AH966" s="46"/>
      <c r="AI966" s="46"/>
      <c r="AJ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c r="AA967" s="46"/>
      <c r="AB967" s="46"/>
      <c r="AC967" s="46"/>
      <c r="AD967" s="46"/>
      <c r="AE967" s="46"/>
      <c r="AF967" s="46"/>
      <c r="AG967" s="46"/>
      <c r="AH967" s="46"/>
      <c r="AI967" s="46"/>
      <c r="AJ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c r="AA968" s="46"/>
      <c r="AB968" s="46"/>
      <c r="AC968" s="46"/>
      <c r="AD968" s="46"/>
      <c r="AE968" s="46"/>
      <c r="AF968" s="46"/>
      <c r="AG968" s="46"/>
      <c r="AH968" s="46"/>
      <c r="AI968" s="46"/>
      <c r="AJ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c r="AA969" s="46"/>
      <c r="AB969" s="46"/>
      <c r="AC969" s="46"/>
      <c r="AD969" s="46"/>
      <c r="AE969" s="46"/>
      <c r="AF969" s="46"/>
      <c r="AG969" s="46"/>
      <c r="AH969" s="46"/>
      <c r="AI969" s="46"/>
      <c r="AJ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c r="AA970" s="46"/>
      <c r="AB970" s="46"/>
      <c r="AC970" s="46"/>
      <c r="AD970" s="46"/>
      <c r="AE970" s="46"/>
      <c r="AF970" s="46"/>
      <c r="AG970" s="46"/>
      <c r="AH970" s="46"/>
      <c r="AI970" s="46"/>
      <c r="AJ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c r="AA971" s="46"/>
      <c r="AB971" s="46"/>
      <c r="AC971" s="46"/>
      <c r="AD971" s="46"/>
      <c r="AE971" s="46"/>
      <c r="AF971" s="46"/>
      <c r="AG971" s="46"/>
      <c r="AH971" s="46"/>
      <c r="AI971" s="46"/>
      <c r="AJ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c r="AD972" s="46"/>
      <c r="AE972" s="46"/>
      <c r="AF972" s="46"/>
      <c r="AG972" s="46"/>
      <c r="AH972" s="46"/>
      <c r="AI972" s="46"/>
      <c r="AJ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c r="AA973" s="46"/>
      <c r="AB973" s="46"/>
      <c r="AC973" s="46"/>
      <c r="AD973" s="46"/>
      <c r="AE973" s="46"/>
      <c r="AF973" s="46"/>
      <c r="AG973" s="46"/>
      <c r="AH973" s="46"/>
      <c r="AI973" s="46"/>
      <c r="AJ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c r="AA974" s="46"/>
      <c r="AB974" s="46"/>
      <c r="AC974" s="46"/>
      <c r="AD974" s="46"/>
      <c r="AE974" s="46"/>
      <c r="AF974" s="46"/>
      <c r="AG974" s="46"/>
      <c r="AH974" s="46"/>
      <c r="AI974" s="46"/>
      <c r="AJ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c r="AA975" s="46"/>
      <c r="AB975" s="46"/>
      <c r="AC975" s="46"/>
      <c r="AD975" s="46"/>
      <c r="AE975" s="46"/>
      <c r="AF975" s="46"/>
      <c r="AG975" s="46"/>
      <c r="AH975" s="46"/>
      <c r="AI975" s="46"/>
      <c r="AJ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c r="AA976" s="46"/>
      <c r="AB976" s="46"/>
      <c r="AC976" s="46"/>
      <c r="AD976" s="46"/>
      <c r="AE976" s="46"/>
      <c r="AF976" s="46"/>
      <c r="AG976" s="46"/>
      <c r="AH976" s="46"/>
      <c r="AI976" s="46"/>
      <c r="AJ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c r="AA977" s="46"/>
      <c r="AB977" s="46"/>
      <c r="AC977" s="46"/>
      <c r="AD977" s="46"/>
      <c r="AE977" s="46"/>
      <c r="AF977" s="46"/>
      <c r="AG977" s="46"/>
      <c r="AH977" s="46"/>
      <c r="AI977" s="46"/>
      <c r="AJ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c r="AA978" s="46"/>
      <c r="AB978" s="46"/>
      <c r="AC978" s="46"/>
      <c r="AD978" s="46"/>
      <c r="AE978" s="46"/>
      <c r="AF978" s="46"/>
      <c r="AG978" s="46"/>
      <c r="AH978" s="46"/>
      <c r="AI978" s="46"/>
      <c r="AJ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c r="AD979" s="46"/>
      <c r="AE979" s="46"/>
      <c r="AF979" s="46"/>
      <c r="AG979" s="46"/>
      <c r="AH979" s="46"/>
      <c r="AI979" s="46"/>
      <c r="AJ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c r="AA980" s="46"/>
      <c r="AB980" s="46"/>
      <c r="AC980" s="46"/>
      <c r="AD980" s="46"/>
      <c r="AE980" s="46"/>
      <c r="AF980" s="46"/>
      <c r="AG980" s="46"/>
      <c r="AH980" s="46"/>
      <c r="AI980" s="46"/>
      <c r="AJ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c r="AA981" s="46"/>
      <c r="AB981" s="46"/>
      <c r="AC981" s="46"/>
      <c r="AD981" s="46"/>
      <c r="AE981" s="46"/>
      <c r="AF981" s="46"/>
      <c r="AG981" s="46"/>
      <c r="AH981" s="46"/>
      <c r="AI981" s="46"/>
      <c r="AJ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c r="AA982" s="46"/>
      <c r="AB982" s="46"/>
      <c r="AC982" s="46"/>
      <c r="AD982" s="46"/>
      <c r="AE982" s="46"/>
      <c r="AF982" s="46"/>
      <c r="AG982" s="46"/>
      <c r="AH982" s="46"/>
      <c r="AI982" s="46"/>
      <c r="AJ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c r="AA983" s="46"/>
      <c r="AB983" s="46"/>
      <c r="AC983" s="46"/>
      <c r="AD983" s="46"/>
      <c r="AE983" s="46"/>
      <c r="AF983" s="46"/>
      <c r="AG983" s="46"/>
      <c r="AH983" s="46"/>
      <c r="AI983" s="46"/>
      <c r="AJ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c r="AA984" s="46"/>
      <c r="AB984" s="46"/>
      <c r="AC984" s="46"/>
      <c r="AD984" s="46"/>
      <c r="AE984" s="46"/>
      <c r="AF984" s="46"/>
      <c r="AG984" s="46"/>
      <c r="AH984" s="46"/>
      <c r="AI984" s="46"/>
      <c r="AJ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c r="AA985" s="46"/>
      <c r="AB985" s="46"/>
      <c r="AC985" s="46"/>
      <c r="AD985" s="46"/>
      <c r="AE985" s="46"/>
      <c r="AF985" s="46"/>
      <c r="AG985" s="46"/>
      <c r="AH985" s="46"/>
      <c r="AI985" s="46"/>
      <c r="AJ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c r="AA986" s="46"/>
      <c r="AB986" s="46"/>
      <c r="AC986" s="46"/>
      <c r="AD986" s="46"/>
      <c r="AE986" s="46"/>
      <c r="AF986" s="46"/>
      <c r="AG986" s="46"/>
      <c r="AH986" s="46"/>
      <c r="AI986" s="46"/>
      <c r="AJ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c r="AA987" s="46"/>
      <c r="AB987" s="46"/>
      <c r="AC987" s="46"/>
      <c r="AD987" s="46"/>
      <c r="AE987" s="46"/>
      <c r="AF987" s="46"/>
      <c r="AG987" s="46"/>
      <c r="AH987" s="46"/>
      <c r="AI987" s="46"/>
      <c r="AJ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c r="AA988" s="46"/>
      <c r="AB988" s="46"/>
      <c r="AC988" s="46"/>
      <c r="AD988" s="46"/>
      <c r="AE988" s="46"/>
      <c r="AF988" s="46"/>
      <c r="AG988" s="46"/>
      <c r="AH988" s="46"/>
      <c r="AI988" s="46"/>
      <c r="AJ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c r="AA989" s="46"/>
      <c r="AB989" s="46"/>
      <c r="AC989" s="46"/>
      <c r="AD989" s="46"/>
      <c r="AE989" s="46"/>
      <c r="AF989" s="46"/>
      <c r="AG989" s="46"/>
      <c r="AH989" s="46"/>
      <c r="AI989" s="46"/>
      <c r="AJ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c r="AA990" s="46"/>
      <c r="AB990" s="46"/>
      <c r="AC990" s="46"/>
      <c r="AD990" s="46"/>
      <c r="AE990" s="46"/>
      <c r="AF990" s="46"/>
      <c r="AG990" s="46"/>
      <c r="AH990" s="46"/>
      <c r="AI990" s="46"/>
      <c r="AJ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c r="AA991" s="46"/>
      <c r="AB991" s="46"/>
      <c r="AC991" s="46"/>
      <c r="AD991" s="46"/>
      <c r="AE991" s="46"/>
      <c r="AF991" s="46"/>
      <c r="AG991" s="46"/>
      <c r="AH991" s="46"/>
      <c r="AI991" s="46"/>
      <c r="AJ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c r="AA992" s="46"/>
      <c r="AB992" s="46"/>
      <c r="AC992" s="46"/>
      <c r="AD992" s="46"/>
      <c r="AE992" s="46"/>
      <c r="AF992" s="46"/>
      <c r="AG992" s="46"/>
      <c r="AH992" s="46"/>
      <c r="AI992" s="46"/>
      <c r="AJ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c r="AA993" s="46"/>
      <c r="AB993" s="46"/>
      <c r="AC993" s="46"/>
      <c r="AD993" s="46"/>
      <c r="AE993" s="46"/>
      <c r="AF993" s="46"/>
      <c r="AG993" s="46"/>
      <c r="AH993" s="46"/>
      <c r="AI993" s="46"/>
      <c r="AJ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c r="AA994" s="46"/>
      <c r="AB994" s="46"/>
      <c r="AC994" s="46"/>
      <c r="AD994" s="46"/>
      <c r="AE994" s="46"/>
      <c r="AF994" s="46"/>
      <c r="AG994" s="46"/>
      <c r="AH994" s="46"/>
      <c r="AI994" s="46"/>
      <c r="AJ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c r="AA995" s="46"/>
      <c r="AB995" s="46"/>
      <c r="AC995" s="46"/>
      <c r="AD995" s="46"/>
      <c r="AE995" s="46"/>
      <c r="AF995" s="46"/>
      <c r="AG995" s="46"/>
      <c r="AH995" s="46"/>
      <c r="AI995" s="46"/>
      <c r="AJ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c r="AA996" s="46"/>
      <c r="AB996" s="46"/>
      <c r="AC996" s="46"/>
      <c r="AD996" s="46"/>
      <c r="AE996" s="46"/>
      <c r="AF996" s="46"/>
      <c r="AG996" s="46"/>
      <c r="AH996" s="46"/>
      <c r="AI996" s="46"/>
      <c r="AJ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c r="AA997" s="46"/>
      <c r="AB997" s="46"/>
      <c r="AC997" s="46"/>
      <c r="AD997" s="46"/>
      <c r="AE997" s="46"/>
      <c r="AF997" s="46"/>
      <c r="AG997" s="46"/>
      <c r="AH997" s="46"/>
      <c r="AI997" s="46"/>
      <c r="AJ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c r="AD998" s="46"/>
      <c r="AE998" s="46"/>
      <c r="AF998" s="46"/>
      <c r="AG998" s="46"/>
      <c r="AH998" s="46"/>
      <c r="AI998" s="46"/>
      <c r="AJ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c r="AA999" s="46"/>
      <c r="AB999" s="46"/>
      <c r="AC999" s="46"/>
      <c r="AD999" s="46"/>
      <c r="AE999" s="46"/>
      <c r="AF999" s="46"/>
      <c r="AG999" s="46"/>
      <c r="AH999" s="46"/>
      <c r="AI999" s="46"/>
      <c r="AJ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c r="AA1000" s="46"/>
      <c r="AB1000" s="46"/>
      <c r="AC1000" s="46"/>
      <c r="AD1000" s="46"/>
      <c r="AE1000" s="46"/>
      <c r="AF1000" s="46"/>
      <c r="AG1000" s="46"/>
      <c r="AH1000" s="46"/>
      <c r="AI1000" s="46"/>
      <c r="AJ1000" s="46"/>
    </row>
    <row r="1001">
      <c r="A1001" s="46"/>
      <c r="B1001" s="46"/>
      <c r="C1001" s="46"/>
      <c r="D1001" s="46"/>
      <c r="E1001" s="46"/>
      <c r="F1001" s="46"/>
      <c r="G1001" s="46"/>
      <c r="H1001" s="46"/>
      <c r="I1001" s="46"/>
      <c r="J1001" s="46"/>
      <c r="K1001" s="46"/>
      <c r="L1001" s="46"/>
      <c r="M1001" s="46"/>
      <c r="N1001" s="46"/>
      <c r="O1001" s="46"/>
      <c r="P1001" s="46"/>
      <c r="Q1001" s="46"/>
      <c r="R1001" s="46"/>
      <c r="S1001" s="46"/>
      <c r="T1001" s="46"/>
      <c r="U1001" s="46"/>
      <c r="V1001" s="46"/>
      <c r="W1001" s="46"/>
      <c r="X1001" s="46"/>
      <c r="Y1001" s="46"/>
      <c r="Z1001" s="46"/>
      <c r="AA1001" s="46"/>
      <c r="AB1001" s="46"/>
      <c r="AC1001" s="46"/>
      <c r="AD1001" s="46"/>
      <c r="AE1001" s="46"/>
      <c r="AF1001" s="46"/>
      <c r="AG1001" s="46"/>
      <c r="AH1001" s="46"/>
      <c r="AI1001" s="46"/>
      <c r="AJ1001" s="46"/>
    </row>
    <row r="1002">
      <c r="A1002" s="46"/>
      <c r="B1002" s="46"/>
      <c r="C1002" s="46"/>
      <c r="D1002" s="46"/>
      <c r="E1002" s="46"/>
      <c r="F1002" s="46"/>
      <c r="G1002" s="46"/>
      <c r="H1002" s="46"/>
      <c r="I1002" s="46"/>
      <c r="J1002" s="46"/>
      <c r="K1002" s="46"/>
      <c r="L1002" s="46"/>
      <c r="M1002" s="46"/>
      <c r="N1002" s="46"/>
      <c r="O1002" s="46"/>
      <c r="P1002" s="46"/>
      <c r="Q1002" s="46"/>
      <c r="R1002" s="46"/>
      <c r="S1002" s="46"/>
      <c r="T1002" s="46"/>
      <c r="U1002" s="46"/>
      <c r="V1002" s="46"/>
      <c r="W1002" s="46"/>
      <c r="X1002" s="46"/>
      <c r="Y1002" s="46"/>
      <c r="Z1002" s="46"/>
      <c r="AA1002" s="46"/>
      <c r="AB1002" s="46"/>
      <c r="AC1002" s="46"/>
      <c r="AD1002" s="46"/>
      <c r="AE1002" s="46"/>
      <c r="AF1002" s="46"/>
      <c r="AG1002" s="46"/>
      <c r="AH1002" s="46"/>
      <c r="AI1002" s="46"/>
      <c r="AJ1002" s="46"/>
    </row>
    <row r="1003">
      <c r="A1003" s="46"/>
      <c r="B1003" s="46"/>
      <c r="C1003" s="46"/>
      <c r="D1003" s="46"/>
      <c r="E1003" s="46"/>
      <c r="F1003" s="46"/>
      <c r="G1003" s="46"/>
      <c r="H1003" s="46"/>
      <c r="I1003" s="46"/>
      <c r="J1003" s="46"/>
      <c r="K1003" s="46"/>
      <c r="L1003" s="46"/>
      <c r="M1003" s="46"/>
      <c r="N1003" s="46"/>
      <c r="O1003" s="46"/>
      <c r="P1003" s="46"/>
      <c r="Q1003" s="46"/>
      <c r="R1003" s="46"/>
      <c r="S1003" s="46"/>
      <c r="T1003" s="46"/>
      <c r="U1003" s="46"/>
      <c r="V1003" s="46"/>
      <c r="W1003" s="46"/>
      <c r="X1003" s="46"/>
      <c r="Y1003" s="46"/>
      <c r="Z1003" s="46"/>
      <c r="AA1003" s="46"/>
      <c r="AB1003" s="46"/>
      <c r="AC1003" s="46"/>
      <c r="AD1003" s="46"/>
      <c r="AE1003" s="46"/>
      <c r="AF1003" s="46"/>
      <c r="AG1003" s="46"/>
      <c r="AH1003" s="46"/>
      <c r="AI1003" s="46"/>
      <c r="AJ1003" s="46"/>
    </row>
    <row r="1004">
      <c r="A1004" s="46"/>
      <c r="B1004" s="46"/>
      <c r="C1004" s="46"/>
      <c r="D1004" s="46"/>
      <c r="E1004" s="46"/>
      <c r="F1004" s="46"/>
      <c r="G1004" s="46"/>
      <c r="H1004" s="46"/>
      <c r="I1004" s="46"/>
      <c r="J1004" s="46"/>
      <c r="K1004" s="46"/>
      <c r="L1004" s="46"/>
      <c r="M1004" s="46"/>
      <c r="N1004" s="46"/>
      <c r="O1004" s="46"/>
      <c r="P1004" s="46"/>
      <c r="Q1004" s="46"/>
      <c r="R1004" s="46"/>
      <c r="S1004" s="46"/>
      <c r="T1004" s="46"/>
      <c r="U1004" s="46"/>
      <c r="V1004" s="46"/>
      <c r="W1004" s="46"/>
      <c r="X1004" s="46"/>
      <c r="Y1004" s="46"/>
      <c r="Z1004" s="46"/>
      <c r="AA1004" s="46"/>
      <c r="AB1004" s="46"/>
      <c r="AC1004" s="46"/>
      <c r="AD1004" s="46"/>
      <c r="AE1004" s="46"/>
      <c r="AF1004" s="46"/>
      <c r="AG1004" s="46"/>
      <c r="AH1004" s="46"/>
      <c r="AI1004" s="46"/>
      <c r="AJ1004" s="46"/>
    </row>
    <row r="1005">
      <c r="A1005" s="46"/>
      <c r="B1005" s="46"/>
      <c r="C1005" s="46"/>
      <c r="D1005" s="46"/>
      <c r="E1005" s="46"/>
      <c r="F1005" s="46"/>
      <c r="G1005" s="46"/>
      <c r="H1005" s="46"/>
      <c r="I1005" s="46"/>
      <c r="J1005" s="46"/>
      <c r="K1005" s="46"/>
      <c r="L1005" s="46"/>
      <c r="M1005" s="46"/>
      <c r="N1005" s="46"/>
      <c r="O1005" s="46"/>
      <c r="P1005" s="46"/>
      <c r="Q1005" s="46"/>
      <c r="R1005" s="46"/>
      <c r="S1005" s="46"/>
      <c r="T1005" s="46"/>
      <c r="U1005" s="46"/>
      <c r="V1005" s="46"/>
      <c r="W1005" s="46"/>
      <c r="X1005" s="46"/>
      <c r="Y1005" s="46"/>
      <c r="Z1005" s="46"/>
      <c r="AA1005" s="46"/>
      <c r="AB1005" s="46"/>
      <c r="AC1005" s="46"/>
      <c r="AD1005" s="46"/>
      <c r="AE1005" s="46"/>
      <c r="AF1005" s="46"/>
      <c r="AG1005" s="46"/>
      <c r="AH1005" s="46"/>
      <c r="AI1005" s="46"/>
      <c r="AJ1005" s="46"/>
    </row>
    <row r="1006">
      <c r="A1006" s="46"/>
      <c r="B1006" s="46"/>
      <c r="C1006" s="46"/>
      <c r="D1006" s="46"/>
      <c r="E1006" s="46"/>
      <c r="F1006" s="46"/>
      <c r="G1006" s="46"/>
      <c r="H1006" s="46"/>
      <c r="I1006" s="46"/>
      <c r="J1006" s="46"/>
      <c r="K1006" s="46"/>
      <c r="L1006" s="46"/>
      <c r="M1006" s="46"/>
      <c r="N1006" s="46"/>
      <c r="O1006" s="46"/>
      <c r="P1006" s="46"/>
      <c r="Q1006" s="46"/>
      <c r="R1006" s="46"/>
      <c r="S1006" s="46"/>
      <c r="T1006" s="46"/>
      <c r="U1006" s="46"/>
      <c r="V1006" s="46"/>
      <c r="W1006" s="46"/>
      <c r="X1006" s="46"/>
      <c r="Y1006" s="46"/>
      <c r="Z1006" s="46"/>
      <c r="AA1006" s="46"/>
      <c r="AB1006" s="46"/>
      <c r="AC1006" s="46"/>
      <c r="AD1006" s="46"/>
      <c r="AE1006" s="46"/>
      <c r="AF1006" s="46"/>
      <c r="AG1006" s="46"/>
      <c r="AH1006" s="46"/>
      <c r="AI1006" s="46"/>
      <c r="AJ1006" s="46"/>
    </row>
    <row r="1007">
      <c r="A1007" s="46"/>
      <c r="B1007" s="46"/>
      <c r="C1007" s="46"/>
      <c r="D1007" s="46"/>
      <c r="E1007" s="46"/>
      <c r="F1007" s="46"/>
      <c r="G1007" s="46"/>
      <c r="H1007" s="46"/>
      <c r="I1007" s="46"/>
      <c r="J1007" s="46"/>
      <c r="K1007" s="46"/>
      <c r="L1007" s="46"/>
      <c r="M1007" s="46"/>
      <c r="N1007" s="46"/>
      <c r="O1007" s="46"/>
      <c r="P1007" s="46"/>
      <c r="Q1007" s="46"/>
      <c r="R1007" s="46"/>
      <c r="S1007" s="46"/>
      <c r="T1007" s="46"/>
      <c r="U1007" s="46"/>
      <c r="V1007" s="46"/>
      <c r="W1007" s="46"/>
      <c r="X1007" s="46"/>
      <c r="Y1007" s="46"/>
      <c r="Z1007" s="46"/>
      <c r="AA1007" s="46"/>
      <c r="AB1007" s="46"/>
      <c r="AC1007" s="46"/>
      <c r="AD1007" s="46"/>
      <c r="AE1007" s="46"/>
      <c r="AF1007" s="46"/>
      <c r="AG1007" s="46"/>
      <c r="AH1007" s="46"/>
      <c r="AI1007" s="46"/>
      <c r="AJ1007" s="46"/>
    </row>
    <row r="1008">
      <c r="A1008" s="46"/>
      <c r="B1008" s="46"/>
      <c r="C1008" s="46"/>
      <c r="D1008" s="46"/>
      <c r="E1008" s="46"/>
      <c r="F1008" s="46"/>
      <c r="G1008" s="46"/>
      <c r="H1008" s="46"/>
      <c r="I1008" s="46"/>
      <c r="J1008" s="46"/>
      <c r="K1008" s="46"/>
      <c r="L1008" s="46"/>
      <c r="M1008" s="46"/>
      <c r="N1008" s="46"/>
      <c r="O1008" s="46"/>
      <c r="P1008" s="46"/>
      <c r="Q1008" s="46"/>
      <c r="R1008" s="46"/>
      <c r="S1008" s="46"/>
      <c r="T1008" s="46"/>
      <c r="U1008" s="46"/>
      <c r="V1008" s="46"/>
      <c r="W1008" s="46"/>
      <c r="X1008" s="46"/>
      <c r="Y1008" s="46"/>
      <c r="Z1008" s="46"/>
      <c r="AA1008" s="46"/>
      <c r="AB1008" s="46"/>
      <c r="AC1008" s="46"/>
      <c r="AD1008" s="46"/>
      <c r="AE1008" s="46"/>
      <c r="AF1008" s="46"/>
      <c r="AG1008" s="46"/>
      <c r="AH1008" s="46"/>
      <c r="AI1008" s="46"/>
      <c r="AJ1008" s="46"/>
    </row>
    <row r="1009">
      <c r="A1009" s="46"/>
      <c r="B1009" s="46"/>
      <c r="C1009" s="46"/>
      <c r="D1009" s="46"/>
      <c r="E1009" s="46"/>
      <c r="F1009" s="46"/>
      <c r="G1009" s="46"/>
      <c r="H1009" s="46"/>
      <c r="I1009" s="46"/>
      <c r="J1009" s="46"/>
      <c r="K1009" s="46"/>
      <c r="L1009" s="46"/>
      <c r="M1009" s="46"/>
      <c r="N1009" s="46"/>
      <c r="O1009" s="46"/>
      <c r="P1009" s="46"/>
      <c r="Q1009" s="46"/>
      <c r="R1009" s="46"/>
      <c r="S1009" s="46"/>
      <c r="T1009" s="46"/>
      <c r="U1009" s="46"/>
      <c r="V1009" s="46"/>
      <c r="W1009" s="46"/>
      <c r="X1009" s="46"/>
      <c r="Y1009" s="46"/>
      <c r="Z1009" s="46"/>
      <c r="AA1009" s="46"/>
      <c r="AB1009" s="46"/>
      <c r="AC1009" s="46"/>
      <c r="AD1009" s="46"/>
      <c r="AE1009" s="46"/>
      <c r="AF1009" s="46"/>
      <c r="AG1009" s="46"/>
      <c r="AH1009" s="46"/>
      <c r="AI1009" s="46"/>
      <c r="AJ1009" s="46"/>
    </row>
    <row r="1010">
      <c r="A1010" s="46"/>
      <c r="B1010" s="46"/>
      <c r="C1010" s="46"/>
      <c r="D1010" s="46"/>
      <c r="E1010" s="46"/>
      <c r="F1010" s="46"/>
      <c r="G1010" s="46"/>
      <c r="H1010" s="46"/>
      <c r="I1010" s="46"/>
      <c r="J1010" s="46"/>
      <c r="K1010" s="46"/>
      <c r="L1010" s="46"/>
      <c r="M1010" s="46"/>
      <c r="N1010" s="46"/>
      <c r="O1010" s="46"/>
      <c r="P1010" s="46"/>
      <c r="Q1010" s="46"/>
      <c r="R1010" s="46"/>
      <c r="S1010" s="46"/>
      <c r="T1010" s="46"/>
      <c r="U1010" s="46"/>
      <c r="V1010" s="46"/>
      <c r="W1010" s="46"/>
      <c r="X1010" s="46"/>
      <c r="Y1010" s="46"/>
      <c r="Z1010" s="46"/>
      <c r="AA1010" s="46"/>
      <c r="AB1010" s="46"/>
      <c r="AC1010" s="46"/>
      <c r="AD1010" s="46"/>
      <c r="AE1010" s="46"/>
      <c r="AF1010" s="46"/>
      <c r="AG1010" s="46"/>
      <c r="AH1010" s="46"/>
      <c r="AI1010" s="46"/>
      <c r="AJ1010" s="46"/>
    </row>
    <row r="1011">
      <c r="A1011" s="46"/>
      <c r="B1011" s="46"/>
      <c r="C1011" s="46"/>
      <c r="D1011" s="46"/>
      <c r="E1011" s="46"/>
      <c r="F1011" s="46"/>
      <c r="G1011" s="46"/>
      <c r="H1011" s="46"/>
      <c r="I1011" s="46"/>
      <c r="J1011" s="46"/>
      <c r="K1011" s="46"/>
      <c r="L1011" s="46"/>
      <c r="M1011" s="46"/>
      <c r="N1011" s="46"/>
      <c r="O1011" s="46"/>
      <c r="P1011" s="46"/>
      <c r="Q1011" s="46"/>
      <c r="R1011" s="46"/>
      <c r="S1011" s="46"/>
      <c r="T1011" s="46"/>
      <c r="U1011" s="46"/>
      <c r="V1011" s="46"/>
      <c r="W1011" s="46"/>
      <c r="X1011" s="46"/>
      <c r="Y1011" s="46"/>
      <c r="Z1011" s="46"/>
      <c r="AA1011" s="46"/>
      <c r="AB1011" s="46"/>
      <c r="AC1011" s="46"/>
      <c r="AD1011" s="46"/>
      <c r="AE1011" s="46"/>
      <c r="AF1011" s="46"/>
      <c r="AG1011" s="46"/>
      <c r="AH1011" s="46"/>
      <c r="AI1011" s="46"/>
      <c r="AJ1011" s="46"/>
    </row>
  </sheetData>
  <mergeCells count="9">
    <mergeCell ref="C28:E28"/>
    <mergeCell ref="J29:M30"/>
    <mergeCell ref="G5:M5"/>
    <mergeCell ref="O5:AA5"/>
    <mergeCell ref="C6:E6"/>
    <mergeCell ref="G6:M6"/>
    <mergeCell ref="Q6:T6"/>
    <mergeCell ref="V6:Y6"/>
    <mergeCell ref="AA6:AA7"/>
  </mergeCells>
  <conditionalFormatting sqref="J8:J28 L8:L28">
    <cfRule type="cellIs" dxfId="3" priority="1" operator="greaterThanOrEqual">
      <formula>"90%"</formula>
    </cfRule>
  </conditionalFormatting>
  <conditionalFormatting sqref="J8:J28 L8:L28">
    <cfRule type="cellIs" dxfId="4" priority="2" operator="between">
      <formula>"80%"</formula>
      <formula>"89.90%"</formula>
    </cfRule>
  </conditionalFormatting>
  <conditionalFormatting sqref="J8:J28 L8:L28">
    <cfRule type="cellIs" dxfId="5" priority="3" operator="between">
      <formula>"0.01%"</formula>
      <formula>"80%"</formula>
    </cfRule>
  </conditionalFormatting>
  <conditionalFormatting sqref="K8:K28 M8:M28">
    <cfRule type="cellIs" dxfId="3" priority="4" operator="between">
      <formula>"10%"</formula>
      <formula>"0.01%"</formula>
    </cfRule>
  </conditionalFormatting>
  <conditionalFormatting sqref="K8:K28 M8:M28">
    <cfRule type="cellIs" dxfId="5" priority="5" operator="greaterThanOrEqual">
      <formula>"10%"</formula>
    </cfRule>
  </conditionalFormatting>
  <conditionalFormatting sqref="K8:K28 M8:M28">
    <cfRule type="cellIs" dxfId="4" priority="6" operator="between">
      <formula>"10.10%"</formula>
      <formula>"20%"</formula>
    </cfRule>
  </conditionalFormatting>
  <conditionalFormatting sqref="O8:O27 AA8:AA27">
    <cfRule type="cellIs" dxfId="6" priority="7" operator="between">
      <formula>"0%"</formula>
      <formula>"33%"</formula>
    </cfRule>
  </conditionalFormatting>
  <conditionalFormatting sqref="O8:O27 AA8:AA27">
    <cfRule type="cellIs" dxfId="4" priority="8" operator="between">
      <formula>"33.01%"</formula>
      <formula>"66%"</formula>
    </cfRule>
  </conditionalFormatting>
  <conditionalFormatting sqref="O8:O27 AA8:AA27">
    <cfRule type="cellIs" dxfId="7" priority="9" operator="between">
      <formula>"66.01%"</formula>
      <formula>"100%"</formula>
    </cfRule>
  </conditionalFormatting>
  <conditionalFormatting sqref="K8:K28 M8:M28">
    <cfRule type="cellIs" dxfId="3" priority="10" operator="lessThanOrEqual">
      <formula>0</formula>
    </cfRule>
  </conditionalFormatting>
  <dataValidations>
    <dataValidation type="list" allowBlank="1" showErrorMessage="1" sqref="B18">
      <formula1>Dados!$A$1:$V$1</formula1>
    </dataValidation>
    <dataValidation type="list" allowBlank="1" showErrorMessage="1" sqref="B8:B17 B19:B27">
      <formula1>Dados!$A$1:$V$1</formula1>
    </dataValidation>
  </dataValidations>
  <printOptions gridLines="1"/>
  <pageMargins bottom="0.75" footer="0.0" header="0.0" left="0.7" right="0.7" top="0.75"/>
  <pageSetup paperSize="9" scale="75" cellComments="atEnd" orientation="portrait"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63"/>
    <col customWidth="1" min="2" max="2" width="24.75"/>
    <col customWidth="1" min="3" max="3" width="18.13"/>
    <col customWidth="1" min="4" max="4" width="11.25"/>
    <col customWidth="1" min="5" max="5" width="14.63"/>
    <col customWidth="1" min="6" max="6" width="17.25"/>
    <col customWidth="1" min="7" max="7" width="22.13"/>
    <col customWidth="1" min="8" max="8" width="18.88"/>
    <col customWidth="1" min="9" max="9" width="21.25"/>
    <col customWidth="1" min="10" max="10" width="12.75"/>
    <col customWidth="1" hidden="1" min="11" max="12" width="11.75"/>
    <col customWidth="1" min="13" max="13" width="42.0"/>
    <col customWidth="1" min="14" max="15" width="10.75"/>
    <col customWidth="1" min="16" max="16" width="13.38"/>
    <col customWidth="1" min="17" max="17" width="13.75"/>
    <col customWidth="1" min="18" max="19" width="18.13"/>
    <col customWidth="1" min="20" max="20" width="33.0"/>
    <col customWidth="1" min="21" max="22" width="17.13"/>
    <col customWidth="1" min="23" max="23" width="44.0"/>
    <col customWidth="1" min="24" max="25" width="48.63"/>
    <col customWidth="1" min="26" max="26" width="21.88"/>
    <col customWidth="1" min="27" max="27" width="79.38"/>
    <col customWidth="1" min="28" max="28" width="67.63"/>
    <col customWidth="1" min="29" max="29" width="86.25"/>
    <col customWidth="1" min="30" max="30" width="75.63"/>
    <col customWidth="1" min="31" max="31" width="38.63"/>
  </cols>
  <sheetData>
    <row r="1">
      <c r="A1" s="108"/>
      <c r="C1" s="109"/>
      <c r="D1" s="110"/>
      <c r="E1" s="110"/>
      <c r="F1" s="109"/>
      <c r="G1" s="109"/>
      <c r="H1" s="110"/>
      <c r="I1" s="109"/>
      <c r="J1" s="109"/>
      <c r="K1" s="110"/>
      <c r="L1" s="110"/>
      <c r="M1" s="109"/>
      <c r="N1" s="110"/>
      <c r="O1" s="109"/>
      <c r="P1" s="109"/>
      <c r="Q1" s="109"/>
      <c r="R1" s="111"/>
      <c r="S1" s="109"/>
      <c r="T1" s="109"/>
      <c r="U1" s="109"/>
      <c r="V1" s="109"/>
      <c r="W1" s="109"/>
      <c r="X1" s="109"/>
      <c r="Y1" s="109"/>
      <c r="Z1" s="109"/>
      <c r="AA1" s="109"/>
      <c r="AB1" s="109"/>
      <c r="AC1" s="109"/>
      <c r="AD1" s="110"/>
      <c r="AE1" s="110"/>
      <c r="AF1" s="112"/>
      <c r="AG1" s="112"/>
      <c r="AH1" s="112"/>
    </row>
    <row r="2">
      <c r="A2" s="110"/>
      <c r="B2" s="109"/>
      <c r="C2" s="109"/>
      <c r="D2" s="110"/>
      <c r="E2" s="113" t="s">
        <v>175</v>
      </c>
      <c r="F2" s="109"/>
      <c r="G2" s="109"/>
      <c r="H2" s="110"/>
      <c r="I2" s="109"/>
      <c r="J2" s="109"/>
      <c r="K2" s="110"/>
      <c r="L2" s="110"/>
      <c r="M2" s="109"/>
      <c r="O2" s="109"/>
      <c r="P2" s="109"/>
      <c r="Q2" s="109"/>
      <c r="R2" s="111"/>
      <c r="S2" s="109"/>
      <c r="T2" s="109"/>
      <c r="U2" s="109"/>
      <c r="V2" s="109"/>
      <c r="W2" s="109"/>
      <c r="X2" s="109"/>
      <c r="Y2" s="109"/>
      <c r="Z2" s="109"/>
      <c r="AA2" s="109"/>
      <c r="AB2" s="109"/>
      <c r="AC2" s="109"/>
      <c r="AD2" s="110"/>
      <c r="AE2" s="110"/>
      <c r="AF2" s="112"/>
      <c r="AG2" s="112"/>
      <c r="AH2" s="112"/>
    </row>
    <row r="3">
      <c r="A3" s="110"/>
      <c r="B3" s="109"/>
      <c r="C3" s="109"/>
      <c r="D3" s="110"/>
      <c r="E3" s="114" t="s">
        <v>176</v>
      </c>
      <c r="F3" s="115" t="s">
        <v>177</v>
      </c>
      <c r="G3" s="110"/>
      <c r="H3" s="110"/>
      <c r="I3" s="109"/>
      <c r="J3" s="109"/>
      <c r="K3" s="110"/>
      <c r="L3" s="110"/>
      <c r="M3" s="109"/>
      <c r="N3" s="110"/>
      <c r="O3" s="109"/>
      <c r="P3" s="109"/>
      <c r="Q3" s="109"/>
      <c r="R3" s="111"/>
      <c r="S3" s="109"/>
      <c r="T3" s="109"/>
      <c r="U3" s="109"/>
      <c r="V3" s="109"/>
      <c r="W3" s="109"/>
      <c r="X3" s="109"/>
      <c r="Y3" s="109"/>
      <c r="Z3" s="109"/>
      <c r="AA3" s="109"/>
      <c r="AB3" s="109"/>
      <c r="AC3" s="109"/>
      <c r="AD3" s="110"/>
      <c r="AE3" s="110"/>
      <c r="AF3" s="112"/>
      <c r="AG3" s="112"/>
      <c r="AH3" s="112"/>
    </row>
    <row r="4" ht="21.0" customHeight="1">
      <c r="A4" s="110"/>
      <c r="B4" s="109"/>
      <c r="C4" s="109"/>
      <c r="D4" s="110"/>
      <c r="E4" s="110"/>
      <c r="F4" s="110"/>
      <c r="G4" s="110"/>
      <c r="H4" s="110"/>
      <c r="I4" s="109"/>
      <c r="J4" s="109"/>
      <c r="K4" s="110"/>
      <c r="L4" s="110"/>
      <c r="M4" s="109"/>
      <c r="N4" s="110"/>
      <c r="O4" s="110"/>
      <c r="P4" s="110"/>
      <c r="Q4" s="110"/>
      <c r="R4" s="110"/>
      <c r="S4" s="110"/>
      <c r="T4" s="110"/>
      <c r="U4" s="110"/>
      <c r="V4" s="110"/>
      <c r="W4" s="110"/>
      <c r="X4" s="110"/>
      <c r="Y4" s="110"/>
      <c r="Z4" s="110"/>
      <c r="AA4" s="110"/>
      <c r="AB4" s="109"/>
      <c r="AC4" s="110"/>
      <c r="AD4" s="110"/>
      <c r="AE4" s="110"/>
      <c r="AF4" s="112"/>
      <c r="AG4" s="112"/>
      <c r="AH4" s="112"/>
    </row>
    <row r="5" ht="48.75" customHeight="1">
      <c r="A5" s="116" t="s">
        <v>151</v>
      </c>
      <c r="B5" s="117" t="s">
        <v>178</v>
      </c>
      <c r="C5" s="117" t="s">
        <v>179</v>
      </c>
      <c r="D5" s="117" t="s">
        <v>180</v>
      </c>
      <c r="E5" s="116" t="s">
        <v>181</v>
      </c>
      <c r="F5" s="117" t="s">
        <v>182</v>
      </c>
      <c r="G5" s="117" t="s">
        <v>183</v>
      </c>
      <c r="H5" s="117" t="s">
        <v>184</v>
      </c>
      <c r="I5" s="118" t="s">
        <v>185</v>
      </c>
      <c r="J5" s="117" t="s">
        <v>186</v>
      </c>
      <c r="K5" s="119" t="s">
        <v>187</v>
      </c>
      <c r="L5" s="119" t="s">
        <v>188</v>
      </c>
      <c r="M5" s="119" t="s">
        <v>189</v>
      </c>
      <c r="N5" s="117" t="s">
        <v>190</v>
      </c>
      <c r="O5" s="120" t="s">
        <v>191</v>
      </c>
      <c r="P5" s="120" t="s">
        <v>192</v>
      </c>
      <c r="Q5" s="117" t="s">
        <v>193</v>
      </c>
      <c r="R5" s="121" t="s">
        <v>194</v>
      </c>
      <c r="S5" s="122" t="s">
        <v>195</v>
      </c>
      <c r="T5" s="117" t="s">
        <v>196</v>
      </c>
      <c r="U5" s="117" t="s">
        <v>197</v>
      </c>
      <c r="V5" s="117" t="s">
        <v>198</v>
      </c>
      <c r="W5" s="117" t="s">
        <v>199</v>
      </c>
      <c r="X5" s="117" t="s">
        <v>200</v>
      </c>
      <c r="Y5" s="117" t="s">
        <v>201</v>
      </c>
      <c r="Z5" s="117" t="s">
        <v>202</v>
      </c>
      <c r="AA5" s="117" t="s">
        <v>203</v>
      </c>
      <c r="AB5" s="117" t="s">
        <v>204</v>
      </c>
      <c r="AC5" s="117" t="s">
        <v>205</v>
      </c>
      <c r="AD5" s="116" t="s">
        <v>206</v>
      </c>
      <c r="AE5" s="116" t="s">
        <v>207</v>
      </c>
      <c r="AF5" s="112"/>
      <c r="AG5" s="112"/>
      <c r="AH5" s="112"/>
    </row>
    <row r="6">
      <c r="A6" s="123" t="s">
        <v>4</v>
      </c>
      <c r="B6" s="124" t="s">
        <v>27</v>
      </c>
      <c r="C6" s="125" t="str">
        <f>IF(D6="","Digite a CH", IF(D6&lt;80,Dados!$AC$2,IF(D6=80,Dados!$AC$3,IF(D6&lt;179,Dados!$AC$3,IF(D6&gt;179,Dados!$AC$4)))))</f>
        <v>Básico (Até 79h)</v>
      </c>
      <c r="D6" s="126">
        <v>40.0</v>
      </c>
      <c r="E6" s="126" t="s">
        <v>208</v>
      </c>
      <c r="F6" s="125" t="s">
        <v>209</v>
      </c>
      <c r="G6" s="127" t="s">
        <v>210</v>
      </c>
      <c r="H6" s="128" t="s">
        <v>211</v>
      </c>
      <c r="I6" s="125" t="s">
        <v>105</v>
      </c>
      <c r="J6" s="125" t="s">
        <v>212</v>
      </c>
      <c r="K6" s="129">
        <v>45474.0</v>
      </c>
      <c r="L6" s="129">
        <v>45478.0</v>
      </c>
      <c r="M6" s="130" t="s">
        <v>27</v>
      </c>
      <c r="N6" s="126">
        <v>35.0</v>
      </c>
      <c r="O6" s="125">
        <v>38.0</v>
      </c>
      <c r="P6" s="125">
        <v>33.0</v>
      </c>
      <c r="Q6" s="126" t="s">
        <v>73</v>
      </c>
      <c r="R6" s="131">
        <f t="shared" ref="R6:R75" si="1">IF(((N6-P6)/N6)=100%,0, (N6-P6)/N6)</f>
        <v>0.05714285714</v>
      </c>
      <c r="S6" s="131">
        <f t="shared" ref="S6:S100" si="2">IF(((O6-P6)/O6)=100%,0, (O6-P6)/O6)</f>
        <v>0.1315789474</v>
      </c>
      <c r="T6" s="126" t="s">
        <v>213</v>
      </c>
      <c r="U6" s="126"/>
      <c r="V6" s="126" t="s">
        <v>214</v>
      </c>
      <c r="W6" s="132" t="s">
        <v>215</v>
      </c>
      <c r="X6" s="125" t="s">
        <v>216</v>
      </c>
      <c r="Y6" s="125" t="s">
        <v>217</v>
      </c>
      <c r="Z6" s="125" t="s">
        <v>218</v>
      </c>
      <c r="AA6" s="125" t="s">
        <v>219</v>
      </c>
      <c r="AB6" s="125" t="s">
        <v>220</v>
      </c>
      <c r="AC6" s="125" t="s">
        <v>221</v>
      </c>
      <c r="AD6" s="125"/>
      <c r="AE6" s="133" t="s">
        <v>222</v>
      </c>
      <c r="AF6" s="112"/>
      <c r="AG6" s="112"/>
      <c r="AH6" s="112"/>
    </row>
    <row r="7">
      <c r="A7" s="123" t="s">
        <v>4</v>
      </c>
      <c r="B7" s="124" t="s">
        <v>66</v>
      </c>
      <c r="C7" s="125" t="str">
        <f>IF(D7="","Digite a CH", IF(D7&lt;80,Dados!$AC$2,IF(D7=80,Dados!$AC$3,IF(D7&lt;179,Dados!$AC$3,IF(D7&gt;179,Dados!$AC$4)))))</f>
        <v>Básico (Até 79h)</v>
      </c>
      <c r="D7" s="126">
        <v>16.0</v>
      </c>
      <c r="E7" s="126" t="s">
        <v>208</v>
      </c>
      <c r="F7" s="125" t="s">
        <v>209</v>
      </c>
      <c r="G7" s="125" t="s">
        <v>223</v>
      </c>
      <c r="H7" s="128" t="s">
        <v>211</v>
      </c>
      <c r="I7" s="125" t="s">
        <v>117</v>
      </c>
      <c r="J7" s="125" t="s">
        <v>224</v>
      </c>
      <c r="K7" s="129">
        <v>45475.0</v>
      </c>
      <c r="L7" s="129">
        <v>45479.0</v>
      </c>
      <c r="M7" s="125"/>
      <c r="N7" s="126">
        <v>150.0</v>
      </c>
      <c r="O7" s="125">
        <v>139.0</v>
      </c>
      <c r="P7" s="125">
        <v>73.0</v>
      </c>
      <c r="Q7" s="126" t="s">
        <v>73</v>
      </c>
      <c r="R7" s="131">
        <f t="shared" si="1"/>
        <v>0.5133333333</v>
      </c>
      <c r="S7" s="131">
        <f t="shared" si="2"/>
        <v>0.4748201439</v>
      </c>
      <c r="T7" s="126" t="s">
        <v>225</v>
      </c>
      <c r="U7" s="126" t="s">
        <v>213</v>
      </c>
      <c r="V7" s="126" t="s">
        <v>226</v>
      </c>
      <c r="W7" s="132"/>
      <c r="X7" s="125" t="s">
        <v>227</v>
      </c>
      <c r="Y7" s="125" t="s">
        <v>228</v>
      </c>
      <c r="Z7" s="125" t="s">
        <v>218</v>
      </c>
      <c r="AA7" s="125" t="s">
        <v>219</v>
      </c>
      <c r="AB7" s="125" t="s">
        <v>229</v>
      </c>
      <c r="AC7" s="125" t="s">
        <v>230</v>
      </c>
      <c r="AD7" s="125"/>
      <c r="AE7" s="134"/>
      <c r="AF7" s="112"/>
      <c r="AG7" s="112"/>
      <c r="AH7" s="112"/>
    </row>
    <row r="8">
      <c r="A8" s="135" t="s">
        <v>4</v>
      </c>
      <c r="B8" s="124" t="s">
        <v>48</v>
      </c>
      <c r="C8" s="125" t="str">
        <f>IF(D8=0,"Digite a CH", IF(D8&lt;80,Dados!$AC$2,IF(D8=80,Dados!$AC$3,IF(D8&lt;179,Dados!$AC$3,IF(D8&gt;179,Dados!$AC$4)))))</f>
        <v>Básico (Até 79h)</v>
      </c>
      <c r="D8" s="126">
        <v>40.0</v>
      </c>
      <c r="E8" s="126" t="s">
        <v>208</v>
      </c>
      <c r="F8" s="125" t="s">
        <v>209</v>
      </c>
      <c r="G8" s="136" t="s">
        <v>231</v>
      </c>
      <c r="H8" s="128" t="s">
        <v>232</v>
      </c>
      <c r="I8" s="125" t="s">
        <v>113</v>
      </c>
      <c r="J8" s="125" t="s">
        <v>233</v>
      </c>
      <c r="K8" s="126"/>
      <c r="L8" s="126"/>
      <c r="M8" s="125"/>
      <c r="N8" s="126">
        <v>35.0</v>
      </c>
      <c r="O8" s="125">
        <v>64.0</v>
      </c>
      <c r="P8" s="125">
        <v>40.0</v>
      </c>
      <c r="Q8" s="126" t="s">
        <v>73</v>
      </c>
      <c r="R8" s="131">
        <f t="shared" si="1"/>
        <v>-0.1428571429</v>
      </c>
      <c r="S8" s="131">
        <f t="shared" si="2"/>
        <v>0.375</v>
      </c>
      <c r="T8" s="126" t="s">
        <v>213</v>
      </c>
      <c r="U8" s="126"/>
      <c r="V8" s="126" t="s">
        <v>214</v>
      </c>
      <c r="W8" s="132" t="s">
        <v>234</v>
      </c>
      <c r="X8" s="125" t="s">
        <v>227</v>
      </c>
      <c r="Y8" s="125" t="s">
        <v>235</v>
      </c>
      <c r="Z8" s="125" t="s">
        <v>218</v>
      </c>
      <c r="AA8" s="125" t="s">
        <v>219</v>
      </c>
      <c r="AB8" s="125" t="s">
        <v>220</v>
      </c>
      <c r="AC8" s="125" t="s">
        <v>236</v>
      </c>
      <c r="AD8" s="125" t="s">
        <v>237</v>
      </c>
      <c r="AE8" s="137" t="s">
        <v>222</v>
      </c>
      <c r="AF8" s="112"/>
      <c r="AG8" s="112"/>
      <c r="AH8" s="112"/>
    </row>
    <row r="9">
      <c r="A9" s="135" t="s">
        <v>5</v>
      </c>
      <c r="B9" s="125" t="s">
        <v>28</v>
      </c>
      <c r="C9" s="125" t="str">
        <f>IF(D9=0,"Digite a CH", IF(D9&lt;80,Dados!$AC$2,IF(D9=80,Dados!$AC$3,IF(D9&lt;179,Dados!$AC$3,IF(D9&gt;179,Dados!$AC$4)))))</f>
        <v>Básico (Até 79h)</v>
      </c>
      <c r="D9" s="126">
        <v>45.0</v>
      </c>
      <c r="E9" s="126" t="s">
        <v>208</v>
      </c>
      <c r="F9" s="125" t="s">
        <v>209</v>
      </c>
      <c r="G9" s="125" t="s">
        <v>223</v>
      </c>
      <c r="H9" s="128" t="s">
        <v>211</v>
      </c>
      <c r="I9" s="138" t="s">
        <v>238</v>
      </c>
      <c r="J9" s="125" t="s">
        <v>239</v>
      </c>
      <c r="K9" s="129">
        <v>45502.0</v>
      </c>
      <c r="L9" s="129">
        <v>45506.0</v>
      </c>
      <c r="M9" s="130" t="s">
        <v>28</v>
      </c>
      <c r="N9" s="126">
        <v>30.0</v>
      </c>
      <c r="O9" s="126">
        <v>30.0</v>
      </c>
      <c r="P9" s="126">
        <v>28.0</v>
      </c>
      <c r="Q9" s="126" t="s">
        <v>73</v>
      </c>
      <c r="R9" s="131">
        <f t="shared" si="1"/>
        <v>0.06666666667</v>
      </c>
      <c r="S9" s="131">
        <f t="shared" si="2"/>
        <v>0.06666666667</v>
      </c>
      <c r="T9" s="125" t="s">
        <v>240</v>
      </c>
      <c r="U9" s="125"/>
      <c r="V9" s="125" t="s">
        <v>226</v>
      </c>
      <c r="W9" s="139" t="s">
        <v>241</v>
      </c>
      <c r="X9" s="140" t="s">
        <v>227</v>
      </c>
      <c r="Y9" s="140" t="s">
        <v>242</v>
      </c>
      <c r="Z9" s="125" t="s">
        <v>218</v>
      </c>
      <c r="AA9" s="125" t="s">
        <v>219</v>
      </c>
      <c r="AB9" s="125" t="s">
        <v>243</v>
      </c>
      <c r="AC9" s="125" t="s">
        <v>244</v>
      </c>
      <c r="AD9" s="125" t="s">
        <v>245</v>
      </c>
      <c r="AE9" s="141" t="s">
        <v>246</v>
      </c>
      <c r="AF9" s="112"/>
      <c r="AG9" s="112"/>
      <c r="AH9" s="112"/>
    </row>
    <row r="10">
      <c r="A10" s="135" t="s">
        <v>5</v>
      </c>
      <c r="B10" s="124" t="s">
        <v>49</v>
      </c>
      <c r="C10" s="125" t="str">
        <f>IF(D10=0,"Digite a CH", IF(D10&lt;80,Dados!$AC$2,IF(D10=80,Dados!$AC$3,IF(D10&lt;179,Dados!$AC$3,IF(D10&gt;179,Dados!$AC$4)))))</f>
        <v>Básico (Até 79h)</v>
      </c>
      <c r="D10" s="126">
        <v>40.0</v>
      </c>
      <c r="E10" s="126" t="s">
        <v>208</v>
      </c>
      <c r="F10" s="125" t="s">
        <v>209</v>
      </c>
      <c r="G10" s="125" t="s">
        <v>210</v>
      </c>
      <c r="H10" s="128" t="s">
        <v>232</v>
      </c>
      <c r="I10" s="125" t="s">
        <v>105</v>
      </c>
      <c r="J10" s="125" t="s">
        <v>247</v>
      </c>
      <c r="K10" s="129">
        <v>45474.0</v>
      </c>
      <c r="L10" s="129">
        <v>45476.0</v>
      </c>
      <c r="M10" s="130" t="s">
        <v>49</v>
      </c>
      <c r="N10" s="126">
        <v>35.0</v>
      </c>
      <c r="O10" s="125">
        <v>36.0</v>
      </c>
      <c r="P10" s="142">
        <v>26.0</v>
      </c>
      <c r="Q10" s="126" t="s">
        <v>73</v>
      </c>
      <c r="R10" s="131">
        <f t="shared" si="1"/>
        <v>0.2571428571</v>
      </c>
      <c r="S10" s="131">
        <f t="shared" si="2"/>
        <v>0.2777777778</v>
      </c>
      <c r="T10" s="126" t="s">
        <v>240</v>
      </c>
      <c r="U10" s="126"/>
      <c r="V10" s="143" t="s">
        <v>226</v>
      </c>
      <c r="W10" s="144" t="s">
        <v>248</v>
      </c>
      <c r="X10" s="143" t="s">
        <v>249</v>
      </c>
      <c r="Y10" s="140" t="s">
        <v>250</v>
      </c>
      <c r="Z10" s="126" t="s">
        <v>218</v>
      </c>
      <c r="AA10" s="125" t="s">
        <v>219</v>
      </c>
      <c r="AB10" s="125" t="s">
        <v>251</v>
      </c>
      <c r="AC10" s="125" t="s">
        <v>252</v>
      </c>
      <c r="AD10" s="125" t="s">
        <v>253</v>
      </c>
      <c r="AE10" s="130" t="s">
        <v>254</v>
      </c>
      <c r="AF10" s="112"/>
      <c r="AG10" s="112"/>
      <c r="AH10" s="112"/>
    </row>
    <row r="11">
      <c r="A11" s="145" t="s">
        <v>1</v>
      </c>
      <c r="B11" s="124" t="s">
        <v>24</v>
      </c>
      <c r="C11" s="125" t="str">
        <f>IF(D11=0,"Digite a CH", IF(D11&lt;80,Dados!$AC$2,IF(D11=80,Dados!$AC$3,IF(D11&lt;179,Dados!$AC$3,IF(D11&gt;179,Dados!$AC$4)))))</f>
        <v>Básico (Até 79h)</v>
      </c>
      <c r="D11" s="126">
        <v>40.0</v>
      </c>
      <c r="E11" s="126" t="s">
        <v>208</v>
      </c>
      <c r="F11" s="125" t="s">
        <v>255</v>
      </c>
      <c r="G11" s="125" t="s">
        <v>256</v>
      </c>
      <c r="H11" s="146" t="s">
        <v>232</v>
      </c>
      <c r="I11" s="125" t="s">
        <v>109</v>
      </c>
      <c r="J11" s="125" t="s">
        <v>257</v>
      </c>
      <c r="K11" s="126"/>
      <c r="L11" s="126"/>
      <c r="M11" s="125"/>
      <c r="N11" s="126">
        <v>15.0</v>
      </c>
      <c r="O11" s="126">
        <v>29.0</v>
      </c>
      <c r="P11" s="126">
        <v>14.0</v>
      </c>
      <c r="Q11" s="126" t="s">
        <v>73</v>
      </c>
      <c r="R11" s="131">
        <f t="shared" si="1"/>
        <v>0.06666666667</v>
      </c>
      <c r="S11" s="131">
        <f t="shared" si="2"/>
        <v>0.5172413793</v>
      </c>
      <c r="T11" s="126" t="s">
        <v>258</v>
      </c>
      <c r="U11" s="126"/>
      <c r="V11" s="143" t="s">
        <v>226</v>
      </c>
      <c r="W11" s="147" t="s">
        <v>259</v>
      </c>
      <c r="X11" s="143" t="s">
        <v>260</v>
      </c>
      <c r="Y11" s="125" t="s">
        <v>261</v>
      </c>
      <c r="Z11" s="126" t="s">
        <v>218</v>
      </c>
      <c r="AA11" s="125" t="s">
        <v>219</v>
      </c>
      <c r="AB11" s="125" t="s">
        <v>262</v>
      </c>
      <c r="AC11" s="125" t="s">
        <v>263</v>
      </c>
      <c r="AD11" s="125" t="s">
        <v>264</v>
      </c>
      <c r="AE11" s="148" t="s">
        <v>265</v>
      </c>
      <c r="AF11" s="149"/>
      <c r="AG11" s="149"/>
      <c r="AH11" s="149"/>
    </row>
    <row r="12">
      <c r="A12" s="150" t="s">
        <v>1</v>
      </c>
      <c r="B12" s="124" t="s">
        <v>24</v>
      </c>
      <c r="C12" s="125" t="str">
        <f>IF(D12=0,"Digite a CH", IF(D12&lt;80,Dados!$AC$2,IF(D12=80,Dados!$AC$3,IF(D12&lt;179,Dados!$AC$3,IF(D12&gt;179,Dados!$AC$4)))))</f>
        <v>Básico (Até 79h)</v>
      </c>
      <c r="D12" s="126">
        <v>40.0</v>
      </c>
      <c r="E12" s="126" t="s">
        <v>266</v>
      </c>
      <c r="F12" s="125" t="s">
        <v>267</v>
      </c>
      <c r="G12" s="125" t="s">
        <v>268</v>
      </c>
      <c r="H12" s="128" t="s">
        <v>232</v>
      </c>
      <c r="I12" s="125" t="s">
        <v>113</v>
      </c>
      <c r="J12" s="125" t="s">
        <v>269</v>
      </c>
      <c r="K12" s="129">
        <v>45509.0</v>
      </c>
      <c r="L12" s="129">
        <v>45513.0</v>
      </c>
      <c r="M12" s="125"/>
      <c r="N12" s="126">
        <v>15.0</v>
      </c>
      <c r="O12" s="125">
        <v>28.0</v>
      </c>
      <c r="P12" s="125">
        <v>16.0</v>
      </c>
      <c r="Q12" s="126" t="s">
        <v>73</v>
      </c>
      <c r="R12" s="131">
        <f t="shared" si="1"/>
        <v>-0.06666666667</v>
      </c>
      <c r="S12" s="131">
        <f t="shared" si="2"/>
        <v>0.4285714286</v>
      </c>
      <c r="T12" s="126" t="s">
        <v>258</v>
      </c>
      <c r="U12" s="126"/>
      <c r="V12" s="143" t="s">
        <v>226</v>
      </c>
      <c r="W12" s="147" t="s">
        <v>259</v>
      </c>
      <c r="X12" s="143" t="s">
        <v>260</v>
      </c>
      <c r="Y12" s="125" t="s">
        <v>261</v>
      </c>
      <c r="Z12" s="125" t="s">
        <v>218</v>
      </c>
      <c r="AA12" s="125" t="s">
        <v>219</v>
      </c>
      <c r="AB12" s="125" t="s">
        <v>270</v>
      </c>
      <c r="AC12" s="125" t="s">
        <v>271</v>
      </c>
      <c r="AD12" s="125" t="s">
        <v>272</v>
      </c>
      <c r="AE12" s="151" t="s">
        <v>273</v>
      </c>
      <c r="AF12" s="112"/>
      <c r="AG12" s="112"/>
      <c r="AH12" s="112"/>
    </row>
    <row r="13">
      <c r="A13" s="135" t="s">
        <v>1</v>
      </c>
      <c r="B13" s="124" t="s">
        <v>46</v>
      </c>
      <c r="C13" s="125" t="str">
        <f>IF(D13=0,"Digite a CH", IF(D13&lt;80,Dados!$AC$2,IF(D13=80,Dados!$AC$3,IF(D13&lt;179,Dados!$AC$3,IF(D13&gt;179,Dados!$AC$4)))))</f>
        <v>Básico (Até 79h)</v>
      </c>
      <c r="D13" s="126">
        <v>40.0</v>
      </c>
      <c r="E13" s="126" t="s">
        <v>208</v>
      </c>
      <c r="F13" s="125" t="s">
        <v>209</v>
      </c>
      <c r="G13" s="125" t="s">
        <v>268</v>
      </c>
      <c r="H13" s="128" t="s">
        <v>211</v>
      </c>
      <c r="I13" s="125" t="s">
        <v>105</v>
      </c>
      <c r="J13" s="125" t="s">
        <v>274</v>
      </c>
      <c r="K13" s="129">
        <v>45488.0</v>
      </c>
      <c r="L13" s="129">
        <v>45492.0</v>
      </c>
      <c r="M13" s="130" t="s">
        <v>46</v>
      </c>
      <c r="N13" s="126">
        <v>15.0</v>
      </c>
      <c r="O13" s="125">
        <v>16.0</v>
      </c>
      <c r="P13" s="125">
        <v>14.0</v>
      </c>
      <c r="Q13" s="126" t="s">
        <v>73</v>
      </c>
      <c r="R13" s="131">
        <f t="shared" si="1"/>
        <v>0.06666666667</v>
      </c>
      <c r="S13" s="131">
        <f t="shared" si="2"/>
        <v>0.125</v>
      </c>
      <c r="T13" s="125" t="s">
        <v>225</v>
      </c>
      <c r="U13" s="125"/>
      <c r="V13" s="143" t="s">
        <v>226</v>
      </c>
      <c r="W13" s="139" t="s">
        <v>275</v>
      </c>
      <c r="X13" s="143" t="s">
        <v>227</v>
      </c>
      <c r="Y13" s="125" t="s">
        <v>276</v>
      </c>
      <c r="Z13" s="125" t="s">
        <v>218</v>
      </c>
      <c r="AA13" s="125" t="s">
        <v>219</v>
      </c>
      <c r="AB13" s="125" t="s">
        <v>277</v>
      </c>
      <c r="AC13" s="140" t="s">
        <v>278</v>
      </c>
      <c r="AD13" s="125" t="s">
        <v>279</v>
      </c>
      <c r="AE13" s="152" t="s">
        <v>280</v>
      </c>
      <c r="AF13" s="112"/>
      <c r="AG13" s="112"/>
      <c r="AH13" s="112"/>
    </row>
    <row r="14">
      <c r="A14" s="135" t="s">
        <v>1</v>
      </c>
      <c r="B14" s="124" t="s">
        <v>46</v>
      </c>
      <c r="C14" s="125" t="str">
        <f>IF(D14=0,"Digite a CH", IF(D14&lt;80,Dados!$AC$2,IF(D14=80,Dados!$AC$3,IF(D14&lt;179,Dados!$AC$3,IF(D14&gt;179,Dados!$AC$4)))))</f>
        <v>Básico (Até 79h)</v>
      </c>
      <c r="D14" s="126">
        <v>40.0</v>
      </c>
      <c r="E14" s="126" t="s">
        <v>266</v>
      </c>
      <c r="F14" s="125" t="s">
        <v>209</v>
      </c>
      <c r="G14" s="125" t="s">
        <v>256</v>
      </c>
      <c r="H14" s="128" t="s">
        <v>211</v>
      </c>
      <c r="I14" s="125" t="s">
        <v>105</v>
      </c>
      <c r="J14" s="125" t="s">
        <v>281</v>
      </c>
      <c r="K14" s="129">
        <v>45495.0</v>
      </c>
      <c r="L14" s="129">
        <v>45499.0</v>
      </c>
      <c r="M14" s="130" t="s">
        <v>46</v>
      </c>
      <c r="N14" s="126">
        <v>15.0</v>
      </c>
      <c r="O14" s="126">
        <v>17.0</v>
      </c>
      <c r="P14" s="125">
        <v>12.0</v>
      </c>
      <c r="Q14" s="126" t="s">
        <v>73</v>
      </c>
      <c r="R14" s="131">
        <f t="shared" si="1"/>
        <v>0.2</v>
      </c>
      <c r="S14" s="131">
        <f t="shared" si="2"/>
        <v>0.2941176471</v>
      </c>
      <c r="T14" s="125" t="s">
        <v>225</v>
      </c>
      <c r="U14" s="153"/>
      <c r="V14" s="143" t="s">
        <v>226</v>
      </c>
      <c r="W14" s="139" t="s">
        <v>275</v>
      </c>
      <c r="X14" s="126" t="s">
        <v>282</v>
      </c>
      <c r="Y14" s="125" t="s">
        <v>276</v>
      </c>
      <c r="Z14" s="126" t="s">
        <v>283</v>
      </c>
      <c r="AA14" s="153"/>
      <c r="AB14" s="125" t="s">
        <v>277</v>
      </c>
      <c r="AC14" s="125" t="s">
        <v>284</v>
      </c>
      <c r="AD14" s="125" t="s">
        <v>279</v>
      </c>
      <c r="AE14" s="152" t="s">
        <v>285</v>
      </c>
      <c r="AF14" s="112"/>
      <c r="AG14" s="112"/>
      <c r="AH14" s="112"/>
    </row>
    <row r="15">
      <c r="A15" s="135" t="s">
        <v>1</v>
      </c>
      <c r="B15" s="124" t="s">
        <v>64</v>
      </c>
      <c r="C15" s="125" t="str">
        <f>IF(D15=0,"Digite a CH", IF(D15&lt;80,Dados!$AC$2,IF(D15=80,Dados!$AC$3,IF(D15&lt;179,Dados!$AC$3,IF(D15&gt;179,Dados!$AC$4)))))</f>
        <v>Básico (Até 79h)</v>
      </c>
      <c r="D15" s="126">
        <v>40.0</v>
      </c>
      <c r="E15" s="126" t="s">
        <v>208</v>
      </c>
      <c r="F15" s="125" t="s">
        <v>209</v>
      </c>
      <c r="G15" s="125" t="s">
        <v>286</v>
      </c>
      <c r="H15" s="128" t="s">
        <v>232</v>
      </c>
      <c r="I15" s="138" t="s">
        <v>84</v>
      </c>
      <c r="J15" s="125" t="s">
        <v>281</v>
      </c>
      <c r="K15" s="129">
        <v>45404.0</v>
      </c>
      <c r="L15" s="129">
        <v>45408.0</v>
      </c>
      <c r="M15" s="130" t="s">
        <v>287</v>
      </c>
      <c r="N15" s="126">
        <v>30.0</v>
      </c>
      <c r="O15" s="126">
        <v>23.0</v>
      </c>
      <c r="P15" s="126">
        <v>17.0</v>
      </c>
      <c r="Q15" s="126" t="s">
        <v>73</v>
      </c>
      <c r="R15" s="131">
        <f t="shared" si="1"/>
        <v>0.4333333333</v>
      </c>
      <c r="S15" s="131">
        <f t="shared" si="2"/>
        <v>0.2608695652</v>
      </c>
      <c r="T15" s="125" t="s">
        <v>225</v>
      </c>
      <c r="U15" s="125"/>
      <c r="V15" s="143" t="s">
        <v>226</v>
      </c>
      <c r="W15" s="147" t="s">
        <v>288</v>
      </c>
      <c r="X15" s="143" t="s">
        <v>260</v>
      </c>
      <c r="Y15" s="125" t="s">
        <v>289</v>
      </c>
      <c r="Z15" s="125" t="s">
        <v>218</v>
      </c>
      <c r="AA15" s="125" t="s">
        <v>290</v>
      </c>
      <c r="AB15" s="125" t="s">
        <v>291</v>
      </c>
      <c r="AC15" s="125" t="s">
        <v>292</v>
      </c>
      <c r="AD15" s="125" t="s">
        <v>293</v>
      </c>
      <c r="AE15" s="152" t="s">
        <v>294</v>
      </c>
      <c r="AF15" s="112"/>
      <c r="AG15" s="112"/>
      <c r="AH15" s="112"/>
    </row>
    <row r="16">
      <c r="A16" s="135" t="s">
        <v>1</v>
      </c>
      <c r="B16" s="124" t="s">
        <v>64</v>
      </c>
      <c r="C16" s="125" t="str">
        <f>IF(D16=0,"Digite a CH", IF(D16&lt;80,Dados!$AC$2,IF(D16=80,Dados!$AC$3,IF(D16&lt;179,Dados!$AC$3,IF(D16&gt;179,Dados!$AC$4)))))</f>
        <v>Básico (Até 79h)</v>
      </c>
      <c r="D16" s="126">
        <v>40.0</v>
      </c>
      <c r="E16" s="126" t="s">
        <v>266</v>
      </c>
      <c r="F16" s="125" t="s">
        <v>295</v>
      </c>
      <c r="G16" s="126" t="s">
        <v>296</v>
      </c>
      <c r="H16" s="128" t="s">
        <v>232</v>
      </c>
      <c r="I16" s="138" t="s">
        <v>91</v>
      </c>
      <c r="J16" s="125" t="s">
        <v>297</v>
      </c>
      <c r="K16" s="129">
        <v>45418.0</v>
      </c>
      <c r="L16" s="129">
        <v>45422.0</v>
      </c>
      <c r="M16" s="130" t="s">
        <v>64</v>
      </c>
      <c r="N16" s="126">
        <v>30.0</v>
      </c>
      <c r="O16" s="125">
        <v>32.0</v>
      </c>
      <c r="P16" s="125">
        <v>24.0</v>
      </c>
      <c r="Q16" s="126" t="s">
        <v>73</v>
      </c>
      <c r="R16" s="131">
        <f t="shared" si="1"/>
        <v>0.2</v>
      </c>
      <c r="S16" s="131">
        <f t="shared" si="2"/>
        <v>0.25</v>
      </c>
      <c r="T16" s="125" t="s">
        <v>225</v>
      </c>
      <c r="U16" s="125"/>
      <c r="V16" s="143" t="s">
        <v>226</v>
      </c>
      <c r="W16" s="147" t="s">
        <v>288</v>
      </c>
      <c r="X16" s="125" t="s">
        <v>282</v>
      </c>
      <c r="Y16" s="125" t="s">
        <v>289</v>
      </c>
      <c r="Z16" s="125" t="s">
        <v>283</v>
      </c>
      <c r="AA16" s="125"/>
      <c r="AB16" s="125" t="s">
        <v>298</v>
      </c>
      <c r="AC16" s="125" t="s">
        <v>299</v>
      </c>
      <c r="AD16" s="125" t="s">
        <v>300</v>
      </c>
      <c r="AE16" s="152" t="s">
        <v>301</v>
      </c>
      <c r="AF16" s="112"/>
      <c r="AG16" s="112"/>
      <c r="AH16" s="112"/>
    </row>
    <row r="17">
      <c r="A17" s="135" t="s">
        <v>1</v>
      </c>
      <c r="B17" s="124" t="s">
        <v>77</v>
      </c>
      <c r="C17" s="125" t="str">
        <f>IF(D17=0,"Digite a CH", IF(D17&lt;80,Dados!$AC$2,IF(D17=80,Dados!$AC$3,IF(D17&lt;179,Dados!$AC$3,IF(D17&gt;179,Dados!$AC$4)))))</f>
        <v>Básico (Até 79h)</v>
      </c>
      <c r="D17" s="126">
        <v>40.0</v>
      </c>
      <c r="E17" s="126" t="s">
        <v>208</v>
      </c>
      <c r="F17" s="125" t="s">
        <v>209</v>
      </c>
      <c r="G17" s="135" t="s">
        <v>302</v>
      </c>
      <c r="H17" s="128" t="s">
        <v>211</v>
      </c>
      <c r="I17" s="138" t="s">
        <v>100</v>
      </c>
      <c r="J17" s="125" t="s">
        <v>303</v>
      </c>
      <c r="K17" s="129">
        <v>45467.0</v>
      </c>
      <c r="L17" s="129">
        <v>45471.0</v>
      </c>
      <c r="M17" s="130" t="s">
        <v>77</v>
      </c>
      <c r="N17" s="126">
        <v>30.0</v>
      </c>
      <c r="O17" s="125">
        <v>24.0</v>
      </c>
      <c r="P17" s="125">
        <v>17.0</v>
      </c>
      <c r="Q17" s="126" t="s">
        <v>73</v>
      </c>
      <c r="R17" s="131">
        <f t="shared" si="1"/>
        <v>0.4333333333</v>
      </c>
      <c r="S17" s="131">
        <f t="shared" si="2"/>
        <v>0.2916666667</v>
      </c>
      <c r="T17" s="126" t="s">
        <v>240</v>
      </c>
      <c r="U17" s="125"/>
      <c r="V17" s="143" t="s">
        <v>226</v>
      </c>
      <c r="W17" s="147" t="s">
        <v>288</v>
      </c>
      <c r="X17" s="125" t="s">
        <v>227</v>
      </c>
      <c r="Y17" s="125" t="s">
        <v>304</v>
      </c>
      <c r="Z17" s="125" t="s">
        <v>218</v>
      </c>
      <c r="AA17" s="125" t="s">
        <v>290</v>
      </c>
      <c r="AB17" s="125" t="s">
        <v>305</v>
      </c>
      <c r="AC17" s="125" t="s">
        <v>306</v>
      </c>
      <c r="AD17" s="125" t="s">
        <v>307</v>
      </c>
      <c r="AE17" s="152" t="s">
        <v>308</v>
      </c>
      <c r="AF17" s="112"/>
      <c r="AG17" s="112"/>
      <c r="AH17" s="112"/>
    </row>
    <row r="18">
      <c r="A18" s="135" t="s">
        <v>1</v>
      </c>
      <c r="B18" s="124" t="s">
        <v>86</v>
      </c>
      <c r="C18" s="125" t="str">
        <f>IF(D18=0,"Digite a CH", IF(D18&lt;80,Dados!$AC$2,IF(D18=80,Dados!$AC$3,IF(D18&lt;179,Dados!$AC$3,IF(D18&gt;179,Dados!$AC$4)))))</f>
        <v>Básico (Até 79h)</v>
      </c>
      <c r="D18" s="126">
        <v>40.0</v>
      </c>
      <c r="E18" s="126" t="s">
        <v>208</v>
      </c>
      <c r="F18" s="125" t="s">
        <v>209</v>
      </c>
      <c r="G18" s="126" t="s">
        <v>309</v>
      </c>
      <c r="H18" s="128" t="s">
        <v>211</v>
      </c>
      <c r="I18" s="138" t="s">
        <v>100</v>
      </c>
      <c r="J18" s="125" t="s">
        <v>310</v>
      </c>
      <c r="K18" s="129">
        <v>45446.0</v>
      </c>
      <c r="L18" s="129">
        <v>45450.0</v>
      </c>
      <c r="M18" s="130" t="s">
        <v>86</v>
      </c>
      <c r="N18" s="126">
        <v>30.0</v>
      </c>
      <c r="O18" s="126">
        <v>56.0</v>
      </c>
      <c r="P18" s="126">
        <v>41.0</v>
      </c>
      <c r="Q18" s="126" t="s">
        <v>73</v>
      </c>
      <c r="R18" s="131">
        <f t="shared" si="1"/>
        <v>-0.3666666667</v>
      </c>
      <c r="S18" s="131">
        <f t="shared" si="2"/>
        <v>0.2678571429</v>
      </c>
      <c r="T18" s="125" t="s">
        <v>225</v>
      </c>
      <c r="U18" s="125"/>
      <c r="V18" s="143" t="s">
        <v>226</v>
      </c>
      <c r="W18" s="147" t="s">
        <v>288</v>
      </c>
      <c r="X18" s="125" t="s">
        <v>227</v>
      </c>
      <c r="Y18" s="125" t="s">
        <v>311</v>
      </c>
      <c r="Z18" s="125" t="s">
        <v>218</v>
      </c>
      <c r="AA18" s="125" t="s">
        <v>290</v>
      </c>
      <c r="AB18" s="125" t="s">
        <v>312</v>
      </c>
      <c r="AC18" s="125" t="s">
        <v>313</v>
      </c>
      <c r="AD18" s="125" t="s">
        <v>314</v>
      </c>
      <c r="AE18" s="130" t="s">
        <v>315</v>
      </c>
      <c r="AF18" s="112"/>
      <c r="AG18" s="112"/>
      <c r="AH18" s="112"/>
    </row>
    <row r="19">
      <c r="A19" s="135" t="s">
        <v>1</v>
      </c>
      <c r="B19" s="125" t="s">
        <v>96</v>
      </c>
      <c r="C19" s="125" t="str">
        <f>IF(D19=0,"Digite a CH", IF(D19&lt;80,Dados!$AC$2,IF(D19=80,Dados!$AC$3,IF(D19&lt;179,Dados!$AC$3,IF(D19&gt;179,Dados!$AC$4)))))</f>
        <v>Básico (Até 79h)</v>
      </c>
      <c r="D19" s="126">
        <v>40.0</v>
      </c>
      <c r="E19" s="126" t="s">
        <v>208</v>
      </c>
      <c r="F19" s="125" t="s">
        <v>316</v>
      </c>
      <c r="G19" s="126" t="s">
        <v>317</v>
      </c>
      <c r="H19" s="128" t="s">
        <v>232</v>
      </c>
      <c r="I19" s="138" t="s">
        <v>84</v>
      </c>
      <c r="J19" s="154" t="s">
        <v>318</v>
      </c>
      <c r="K19" s="129">
        <v>45390.0</v>
      </c>
      <c r="L19" s="129">
        <v>45394.0</v>
      </c>
      <c r="M19" s="130" t="s">
        <v>96</v>
      </c>
      <c r="N19" s="126">
        <v>30.0</v>
      </c>
      <c r="O19" s="126">
        <v>30.0</v>
      </c>
      <c r="P19" s="126">
        <v>20.0</v>
      </c>
      <c r="Q19" s="126" t="s">
        <v>73</v>
      </c>
      <c r="R19" s="131">
        <f t="shared" si="1"/>
        <v>0.3333333333</v>
      </c>
      <c r="S19" s="131">
        <f t="shared" si="2"/>
        <v>0.3333333333</v>
      </c>
      <c r="T19" s="126" t="s">
        <v>258</v>
      </c>
      <c r="U19" s="125"/>
      <c r="V19" s="143" t="s">
        <v>226</v>
      </c>
      <c r="W19" s="155" t="s">
        <v>319</v>
      </c>
      <c r="X19" s="143" t="s">
        <v>260</v>
      </c>
      <c r="Y19" s="156" t="s">
        <v>320</v>
      </c>
      <c r="Z19" s="125" t="s">
        <v>218</v>
      </c>
      <c r="AA19" s="157" t="s">
        <v>290</v>
      </c>
      <c r="AB19" s="125" t="s">
        <v>291</v>
      </c>
      <c r="AC19" s="125" t="s">
        <v>321</v>
      </c>
      <c r="AD19" s="125" t="s">
        <v>322</v>
      </c>
      <c r="AE19" s="151" t="s">
        <v>323</v>
      </c>
      <c r="AF19" s="112"/>
      <c r="AG19" s="112"/>
      <c r="AH19" s="112"/>
    </row>
    <row r="20">
      <c r="A20" s="135" t="s">
        <v>1</v>
      </c>
      <c r="B20" s="125" t="s">
        <v>324</v>
      </c>
      <c r="C20" s="125" t="str">
        <f>IF(D20=0,"Digite a CH", IF(D20&lt;80,Dados!$AC$2,IF(D20=80,Dados!$AC$3,IF(D20&lt;179,Dados!$AC$3,IF(D20&gt;179,Dados!$AC$4)))))</f>
        <v>Básico (Até 79h)</v>
      </c>
      <c r="D20" s="126">
        <v>40.0</v>
      </c>
      <c r="E20" s="126" t="s">
        <v>208</v>
      </c>
      <c r="F20" s="125" t="s">
        <v>209</v>
      </c>
      <c r="G20" s="158" t="s">
        <v>325</v>
      </c>
      <c r="H20" s="128" t="s">
        <v>211</v>
      </c>
      <c r="I20" s="138" t="s">
        <v>115</v>
      </c>
      <c r="J20" s="138" t="s">
        <v>326</v>
      </c>
      <c r="K20" s="129">
        <v>45523.0</v>
      </c>
      <c r="L20" s="129">
        <v>45527.0</v>
      </c>
      <c r="M20" s="130" t="s">
        <v>324</v>
      </c>
      <c r="N20" s="126">
        <v>30.0</v>
      </c>
      <c r="O20" s="126">
        <v>31.0</v>
      </c>
      <c r="P20" s="126">
        <v>24.0</v>
      </c>
      <c r="Q20" s="126" t="s">
        <v>73</v>
      </c>
      <c r="R20" s="131">
        <f t="shared" si="1"/>
        <v>0.2</v>
      </c>
      <c r="S20" s="131">
        <f t="shared" si="2"/>
        <v>0.2258064516</v>
      </c>
      <c r="T20" s="126" t="s">
        <v>258</v>
      </c>
      <c r="U20" s="125"/>
      <c r="V20" s="143" t="s">
        <v>226</v>
      </c>
      <c r="W20" s="155" t="s">
        <v>327</v>
      </c>
      <c r="X20" s="143" t="s">
        <v>328</v>
      </c>
      <c r="Y20" s="159" t="s">
        <v>329</v>
      </c>
      <c r="Z20" s="125" t="s">
        <v>218</v>
      </c>
      <c r="AA20" s="157" t="s">
        <v>290</v>
      </c>
      <c r="AB20" s="125" t="s">
        <v>330</v>
      </c>
      <c r="AC20" s="125" t="s">
        <v>252</v>
      </c>
      <c r="AD20" s="125" t="s">
        <v>331</v>
      </c>
      <c r="AE20" s="152" t="s">
        <v>332</v>
      </c>
      <c r="AF20" s="112"/>
      <c r="AG20" s="112"/>
      <c r="AH20" s="112"/>
    </row>
    <row r="21">
      <c r="A21" s="135" t="s">
        <v>2</v>
      </c>
      <c r="B21" s="125" t="s">
        <v>25</v>
      </c>
      <c r="C21" s="125" t="str">
        <f>IF(D21=0,"Digite a CH", IF(D21&lt;80,Dados!$AC$2,IF(D21=80,Dados!$AC$3,IF(D21&lt;179,Dados!$AC$3,IF(D21&gt;179,Dados!$AC$4)))))</f>
        <v>Básico (Até 79h)</v>
      </c>
      <c r="D21" s="126">
        <v>40.0</v>
      </c>
      <c r="E21" s="126" t="s">
        <v>208</v>
      </c>
      <c r="F21" s="125" t="s">
        <v>316</v>
      </c>
      <c r="G21" s="125" t="s">
        <v>333</v>
      </c>
      <c r="H21" s="128" t="s">
        <v>211</v>
      </c>
      <c r="I21" s="138" t="s">
        <v>91</v>
      </c>
      <c r="J21" s="125" t="s">
        <v>334</v>
      </c>
      <c r="K21" s="129">
        <v>45432.0</v>
      </c>
      <c r="L21" s="129">
        <v>45436.0</v>
      </c>
      <c r="M21" s="130" t="s">
        <v>25</v>
      </c>
      <c r="N21" s="126">
        <v>30.0</v>
      </c>
      <c r="O21" s="126">
        <v>41.0</v>
      </c>
      <c r="P21" s="126">
        <v>26.0</v>
      </c>
      <c r="Q21" s="126" t="s">
        <v>73</v>
      </c>
      <c r="R21" s="131">
        <f t="shared" si="1"/>
        <v>0.1333333333</v>
      </c>
      <c r="S21" s="131">
        <f t="shared" si="2"/>
        <v>0.3658536585</v>
      </c>
      <c r="T21" s="126" t="s">
        <v>240</v>
      </c>
      <c r="U21" s="125" t="s">
        <v>335</v>
      </c>
      <c r="V21" s="143" t="s">
        <v>226</v>
      </c>
      <c r="W21" s="147" t="s">
        <v>336</v>
      </c>
      <c r="X21" s="125" t="s">
        <v>260</v>
      </c>
      <c r="Y21" s="124" t="s">
        <v>337</v>
      </c>
      <c r="Z21" s="125" t="s">
        <v>218</v>
      </c>
      <c r="AA21" s="125" t="s">
        <v>290</v>
      </c>
      <c r="AB21" s="125" t="s">
        <v>338</v>
      </c>
      <c r="AC21" s="125" t="s">
        <v>339</v>
      </c>
      <c r="AD21" s="125" t="s">
        <v>340</v>
      </c>
      <c r="AE21" s="130" t="s">
        <v>341</v>
      </c>
      <c r="AF21" s="112"/>
      <c r="AG21" s="112"/>
      <c r="AH21" s="112"/>
    </row>
    <row r="22">
      <c r="A22" s="135" t="s">
        <v>2</v>
      </c>
      <c r="B22" s="125" t="s">
        <v>25</v>
      </c>
      <c r="C22" s="125" t="str">
        <f>IF(D22=0,"Digite a CH", IF(D22&lt;80,Dados!$AC$2,IF(D22=80,Dados!$AC$3,IF(D22&lt;179,Dados!$AC$3,IF(D22&gt;179,Dados!$AC$4)))))</f>
        <v>Básico (Até 79h)</v>
      </c>
      <c r="D22" s="126">
        <v>40.0</v>
      </c>
      <c r="E22" s="126" t="s">
        <v>266</v>
      </c>
      <c r="F22" s="125" t="s">
        <v>342</v>
      </c>
      <c r="G22" s="125" t="s">
        <v>268</v>
      </c>
      <c r="H22" s="128" t="s">
        <v>211</v>
      </c>
      <c r="I22" s="125" t="s">
        <v>238</v>
      </c>
      <c r="J22" s="125" t="s">
        <v>343</v>
      </c>
      <c r="K22" s="129">
        <v>45502.0</v>
      </c>
      <c r="L22" s="129">
        <v>45506.0</v>
      </c>
      <c r="M22" s="130" t="s">
        <v>25</v>
      </c>
      <c r="N22" s="126">
        <v>30.0</v>
      </c>
      <c r="O22" s="125">
        <v>30.0</v>
      </c>
      <c r="P22" s="125">
        <v>20.0</v>
      </c>
      <c r="Q22" s="126" t="s">
        <v>73</v>
      </c>
      <c r="R22" s="131">
        <f t="shared" si="1"/>
        <v>0.3333333333</v>
      </c>
      <c r="S22" s="131">
        <f t="shared" si="2"/>
        <v>0.3333333333</v>
      </c>
      <c r="T22" s="126" t="s">
        <v>240</v>
      </c>
      <c r="U22" s="126"/>
      <c r="V22" s="143" t="s">
        <v>226</v>
      </c>
      <c r="W22" s="147" t="s">
        <v>336</v>
      </c>
      <c r="X22" s="125" t="s">
        <v>227</v>
      </c>
      <c r="Y22" s="125" t="s">
        <v>344</v>
      </c>
      <c r="Z22" s="125" t="s">
        <v>218</v>
      </c>
      <c r="AA22" s="125" t="s">
        <v>290</v>
      </c>
      <c r="AB22" s="125" t="s">
        <v>345</v>
      </c>
      <c r="AC22" s="125" t="s">
        <v>346</v>
      </c>
      <c r="AD22" s="160" t="s">
        <v>347</v>
      </c>
      <c r="AE22" s="137" t="s">
        <v>348</v>
      </c>
      <c r="AF22" s="112"/>
      <c r="AG22" s="112"/>
      <c r="AH22" s="112"/>
    </row>
    <row r="23">
      <c r="A23" s="135" t="s">
        <v>0</v>
      </c>
      <c r="B23" s="124" t="s">
        <v>23</v>
      </c>
      <c r="C23" s="125" t="str">
        <f>IF(D23=0,"Digite a CH", IF(D23&lt;80,Dados!$AC$2,IF(D23=80,Dados!$AC$3,IF(D23&lt;179,Dados!$AC$3,IF(D23&gt;179,Dados!$AC$4)))))</f>
        <v>Básico (Até 79h)</v>
      </c>
      <c r="D23" s="126">
        <v>40.0</v>
      </c>
      <c r="E23" s="126" t="s">
        <v>208</v>
      </c>
      <c r="F23" s="125" t="s">
        <v>209</v>
      </c>
      <c r="G23" s="124" t="s">
        <v>349</v>
      </c>
      <c r="H23" s="128" t="s">
        <v>211</v>
      </c>
      <c r="I23" s="125" t="s">
        <v>91</v>
      </c>
      <c r="J23" s="125" t="s">
        <v>334</v>
      </c>
      <c r="K23" s="129">
        <v>45432.0</v>
      </c>
      <c r="L23" s="129">
        <v>45436.0</v>
      </c>
      <c r="M23" s="130" t="s">
        <v>23</v>
      </c>
      <c r="N23" s="126">
        <v>15.0</v>
      </c>
      <c r="O23" s="125">
        <v>17.0</v>
      </c>
      <c r="P23" s="125">
        <v>12.0</v>
      </c>
      <c r="Q23" s="126" t="s">
        <v>73</v>
      </c>
      <c r="R23" s="131">
        <f t="shared" si="1"/>
        <v>0.2</v>
      </c>
      <c r="S23" s="131">
        <f t="shared" si="2"/>
        <v>0.2941176471</v>
      </c>
      <c r="T23" s="126" t="s">
        <v>350</v>
      </c>
      <c r="U23" s="126" t="s">
        <v>351</v>
      </c>
      <c r="V23" s="143" t="s">
        <v>226</v>
      </c>
      <c r="W23" s="125" t="s">
        <v>352</v>
      </c>
      <c r="X23" s="125" t="s">
        <v>260</v>
      </c>
      <c r="Y23" s="140" t="s">
        <v>353</v>
      </c>
      <c r="Z23" s="126" t="s">
        <v>283</v>
      </c>
      <c r="AA23" s="126"/>
      <c r="AB23" s="125" t="s">
        <v>354</v>
      </c>
      <c r="AC23" s="125" t="s">
        <v>355</v>
      </c>
      <c r="AD23" s="160" t="s">
        <v>347</v>
      </c>
      <c r="AE23" s="152" t="s">
        <v>356</v>
      </c>
      <c r="AF23" s="112"/>
      <c r="AG23" s="112"/>
      <c r="AH23" s="112"/>
    </row>
    <row r="24">
      <c r="A24" s="135" t="s">
        <v>0</v>
      </c>
      <c r="B24" s="125" t="s">
        <v>45</v>
      </c>
      <c r="C24" s="125" t="str">
        <f>IF(D24=0,"Digite a CH", IF(D24&lt;80,Dados!$AC$2,IF(D24=80,Dados!$AC$3,IF(D24&lt;179,Dados!$AC$3,IF(D24&gt;179,Dados!$AC$4)))))</f>
        <v>Básico (Até 79h)</v>
      </c>
      <c r="D24" s="126">
        <v>40.0</v>
      </c>
      <c r="E24" s="126" t="s">
        <v>208</v>
      </c>
      <c r="F24" s="125" t="s">
        <v>357</v>
      </c>
      <c r="G24" s="124" t="s">
        <v>358</v>
      </c>
      <c r="H24" s="128" t="s">
        <v>211</v>
      </c>
      <c r="I24" s="138" t="s">
        <v>115</v>
      </c>
      <c r="J24" s="125" t="s">
        <v>359</v>
      </c>
      <c r="K24" s="161"/>
      <c r="L24" s="161"/>
      <c r="M24" s="125"/>
      <c r="N24" s="126">
        <v>20.0</v>
      </c>
      <c r="O24" s="125">
        <v>30.0</v>
      </c>
      <c r="P24" s="125">
        <v>22.0</v>
      </c>
      <c r="Q24" s="126" t="s">
        <v>73</v>
      </c>
      <c r="R24" s="131">
        <f t="shared" si="1"/>
        <v>-0.1</v>
      </c>
      <c r="S24" s="131">
        <f t="shared" si="2"/>
        <v>0.2666666667</v>
      </c>
      <c r="T24" s="125" t="s">
        <v>240</v>
      </c>
      <c r="U24" s="125"/>
      <c r="V24" s="143" t="s">
        <v>226</v>
      </c>
      <c r="W24" s="124" t="s">
        <v>360</v>
      </c>
      <c r="X24" s="143" t="s">
        <v>361</v>
      </c>
      <c r="Y24" s="140" t="s">
        <v>362</v>
      </c>
      <c r="Z24" s="126" t="s">
        <v>218</v>
      </c>
      <c r="AA24" s="125" t="s">
        <v>290</v>
      </c>
      <c r="AB24" s="125" t="s">
        <v>363</v>
      </c>
      <c r="AC24" s="125" t="s">
        <v>364</v>
      </c>
      <c r="AD24" s="125" t="s">
        <v>365</v>
      </c>
      <c r="AE24" s="152" t="s">
        <v>366</v>
      </c>
      <c r="AF24" s="112"/>
      <c r="AG24" s="112"/>
      <c r="AH24" s="112"/>
    </row>
    <row r="25">
      <c r="A25" s="135" t="s">
        <v>0</v>
      </c>
      <c r="B25" s="125" t="s">
        <v>45</v>
      </c>
      <c r="C25" s="125" t="str">
        <f>IF(D25=0,"Digite a CH", IF(D25&lt;80,Dados!$AC$2,IF(D25=80,Dados!$AC$3,IF(D25&lt;179,Dados!$AC$3,IF(D25&gt;179,Dados!$AC$4)))))</f>
        <v>Básico (Até 79h)</v>
      </c>
      <c r="D25" s="126">
        <v>40.0</v>
      </c>
      <c r="E25" s="126" t="s">
        <v>266</v>
      </c>
      <c r="F25" s="125" t="s">
        <v>295</v>
      </c>
      <c r="G25" s="124" t="s">
        <v>367</v>
      </c>
      <c r="H25" s="128" t="s">
        <v>211</v>
      </c>
      <c r="I25" s="138" t="s">
        <v>117</v>
      </c>
      <c r="J25" s="125" t="s">
        <v>368</v>
      </c>
      <c r="K25" s="161">
        <v>45579.0</v>
      </c>
      <c r="L25" s="161">
        <v>45604.0</v>
      </c>
      <c r="M25" s="130" t="s">
        <v>369</v>
      </c>
      <c r="N25" s="126">
        <v>25.0</v>
      </c>
      <c r="O25" s="125">
        <v>26.0</v>
      </c>
      <c r="P25" s="125">
        <v>25.0</v>
      </c>
      <c r="Q25" s="126" t="s">
        <v>73</v>
      </c>
      <c r="R25" s="131">
        <f t="shared" si="1"/>
        <v>0</v>
      </c>
      <c r="S25" s="131">
        <f t="shared" si="2"/>
        <v>0.03846153846</v>
      </c>
      <c r="T25" s="125" t="s">
        <v>240</v>
      </c>
      <c r="U25" s="125" t="s">
        <v>351</v>
      </c>
      <c r="V25" s="143" t="s">
        <v>226</v>
      </c>
      <c r="W25" s="124" t="s">
        <v>360</v>
      </c>
      <c r="X25" s="143" t="s">
        <v>361</v>
      </c>
      <c r="Y25" s="140" t="s">
        <v>362</v>
      </c>
      <c r="Z25" s="126" t="s">
        <v>218</v>
      </c>
      <c r="AA25" s="125" t="s">
        <v>290</v>
      </c>
      <c r="AB25" s="125" t="s">
        <v>370</v>
      </c>
      <c r="AC25" s="125" t="s">
        <v>371</v>
      </c>
      <c r="AD25" s="160" t="s">
        <v>347</v>
      </c>
      <c r="AE25" s="152" t="s">
        <v>372</v>
      </c>
      <c r="AF25" s="112"/>
      <c r="AG25" s="112"/>
      <c r="AH25" s="112"/>
    </row>
    <row r="26">
      <c r="A26" s="135" t="s">
        <v>0</v>
      </c>
      <c r="B26" s="124" t="s">
        <v>63</v>
      </c>
      <c r="C26" s="125" t="str">
        <f>IF(D26=0,"Digite a CH", IF(D26&lt;80,Dados!$AC$2,IF(D26=80,Dados!$AC$3,IF(D26&lt;179,Dados!$AC$3,IF(D26&gt;179,Dados!$AC$4)))))</f>
        <v>Básico (Até 79h)</v>
      </c>
      <c r="D26" s="126">
        <v>40.0</v>
      </c>
      <c r="E26" s="126" t="s">
        <v>208</v>
      </c>
      <c r="F26" s="125" t="s">
        <v>209</v>
      </c>
      <c r="G26" s="125" t="s">
        <v>373</v>
      </c>
      <c r="H26" s="128" t="s">
        <v>374</v>
      </c>
      <c r="I26" s="138" t="s">
        <v>100</v>
      </c>
      <c r="J26" s="125" t="s">
        <v>375</v>
      </c>
      <c r="K26" s="129">
        <v>45448.0</v>
      </c>
      <c r="L26" s="129">
        <v>45463.0</v>
      </c>
      <c r="M26" s="130" t="s">
        <v>63</v>
      </c>
      <c r="N26" s="126">
        <v>20.0</v>
      </c>
      <c r="O26" s="125">
        <v>261.0</v>
      </c>
      <c r="P26" s="125">
        <v>204.0</v>
      </c>
      <c r="Q26" s="126" t="s">
        <v>73</v>
      </c>
      <c r="R26" s="131">
        <f t="shared" si="1"/>
        <v>-9.2</v>
      </c>
      <c r="S26" s="131">
        <f t="shared" si="2"/>
        <v>0.2183908046</v>
      </c>
      <c r="T26" s="125" t="s">
        <v>350</v>
      </c>
      <c r="U26" s="125" t="s">
        <v>351</v>
      </c>
      <c r="V26" s="143" t="s">
        <v>226</v>
      </c>
      <c r="W26" s="156" t="s">
        <v>376</v>
      </c>
      <c r="X26" s="125" t="s">
        <v>227</v>
      </c>
      <c r="Y26" s="125" t="s">
        <v>377</v>
      </c>
      <c r="Z26" s="125" t="s">
        <v>283</v>
      </c>
      <c r="AA26" s="125"/>
      <c r="AB26" s="125" t="s">
        <v>378</v>
      </c>
      <c r="AC26" s="125" t="s">
        <v>379</v>
      </c>
      <c r="AD26" s="160" t="s">
        <v>347</v>
      </c>
      <c r="AE26" s="152" t="s">
        <v>380</v>
      </c>
      <c r="AF26" s="112"/>
      <c r="AG26" s="112"/>
      <c r="AH26" s="112"/>
    </row>
    <row r="27">
      <c r="A27" s="135" t="s">
        <v>0</v>
      </c>
      <c r="B27" s="124" t="s">
        <v>76</v>
      </c>
      <c r="C27" s="125" t="str">
        <f>IF(D27=0,"Digite a CH", IF(D27&lt;80,Dados!$AC$2,IF(D27=80,Dados!$AC$3,IF(D27&lt;179,Dados!$AC$3,IF(D27&gt;179,Dados!$AC$4)))))</f>
        <v>Básico (Até 79h)</v>
      </c>
      <c r="D27" s="126">
        <v>40.0</v>
      </c>
      <c r="E27" s="126" t="s">
        <v>208</v>
      </c>
      <c r="F27" s="125" t="s">
        <v>209</v>
      </c>
      <c r="G27" s="125" t="s">
        <v>381</v>
      </c>
      <c r="H27" s="128" t="s">
        <v>211</v>
      </c>
      <c r="I27" s="138" t="s">
        <v>91</v>
      </c>
      <c r="J27" s="125" t="s">
        <v>382</v>
      </c>
      <c r="K27" s="129">
        <v>45425.0</v>
      </c>
      <c r="L27" s="129">
        <v>45429.0</v>
      </c>
      <c r="M27" s="130" t="s">
        <v>76</v>
      </c>
      <c r="N27" s="126">
        <v>15.0</v>
      </c>
      <c r="O27" s="125">
        <v>29.0</v>
      </c>
      <c r="P27" s="138">
        <v>23.0</v>
      </c>
      <c r="Q27" s="126" t="s">
        <v>73</v>
      </c>
      <c r="R27" s="131">
        <f t="shared" si="1"/>
        <v>-0.5333333333</v>
      </c>
      <c r="S27" s="131">
        <f t="shared" si="2"/>
        <v>0.2068965517</v>
      </c>
      <c r="T27" s="125" t="s">
        <v>350</v>
      </c>
      <c r="U27" s="125" t="s">
        <v>383</v>
      </c>
      <c r="V27" s="143" t="s">
        <v>226</v>
      </c>
      <c r="W27" s="156" t="s">
        <v>384</v>
      </c>
      <c r="X27" s="140" t="s">
        <v>227</v>
      </c>
      <c r="Y27" s="162" t="s">
        <v>385</v>
      </c>
      <c r="Z27" s="125" t="s">
        <v>218</v>
      </c>
      <c r="AA27" s="125" t="s">
        <v>290</v>
      </c>
      <c r="AB27" s="125" t="s">
        <v>386</v>
      </c>
      <c r="AC27" s="125"/>
      <c r="AD27" s="160" t="s">
        <v>347</v>
      </c>
      <c r="AE27" s="152" t="s">
        <v>387</v>
      </c>
      <c r="AF27" s="112"/>
      <c r="AG27" s="112"/>
      <c r="AH27" s="112"/>
    </row>
    <row r="28">
      <c r="A28" s="135" t="s">
        <v>0</v>
      </c>
      <c r="B28" s="124" t="s">
        <v>85</v>
      </c>
      <c r="C28" s="125" t="str">
        <f>IF(D28=0,"Digite a CH", IF(D28&lt;80,Dados!$AC$2,IF(D28=80,Dados!$AC$3,IF(D28&lt;179,Dados!$AC$3,IF(D28&gt;179,Dados!$AC$4)))))</f>
        <v>Básico (Até 79h)</v>
      </c>
      <c r="D28" s="126">
        <v>16.0</v>
      </c>
      <c r="E28" s="126" t="s">
        <v>208</v>
      </c>
      <c r="F28" s="125" t="s">
        <v>255</v>
      </c>
      <c r="G28" s="124" t="s">
        <v>388</v>
      </c>
      <c r="H28" s="128" t="s">
        <v>211</v>
      </c>
      <c r="I28" s="138" t="s">
        <v>109</v>
      </c>
      <c r="J28" s="125" t="s">
        <v>389</v>
      </c>
      <c r="K28" s="129">
        <v>45497.0</v>
      </c>
      <c r="L28" s="129">
        <v>45498.0</v>
      </c>
      <c r="M28" s="130" t="s">
        <v>85</v>
      </c>
      <c r="N28" s="126">
        <v>100.0</v>
      </c>
      <c r="O28" s="125">
        <v>125.0</v>
      </c>
      <c r="P28" s="125">
        <v>95.0</v>
      </c>
      <c r="Q28" s="126" t="s">
        <v>73</v>
      </c>
      <c r="R28" s="131">
        <f t="shared" si="1"/>
        <v>0.05</v>
      </c>
      <c r="S28" s="131">
        <f t="shared" si="2"/>
        <v>0.24</v>
      </c>
      <c r="T28" s="125" t="s">
        <v>350</v>
      </c>
      <c r="U28" s="125" t="s">
        <v>383</v>
      </c>
      <c r="V28" s="143" t="s">
        <v>226</v>
      </c>
      <c r="W28" s="10" t="s">
        <v>390</v>
      </c>
      <c r="X28" s="125" t="s">
        <v>391</v>
      </c>
      <c r="Y28" s="162" t="s">
        <v>385</v>
      </c>
      <c r="Z28" s="125" t="s">
        <v>283</v>
      </c>
      <c r="AA28" s="125"/>
      <c r="AB28" s="125" t="s">
        <v>386</v>
      </c>
      <c r="AC28" s="125" t="s">
        <v>392</v>
      </c>
      <c r="AD28" s="160" t="s">
        <v>347</v>
      </c>
      <c r="AE28" s="163" t="s">
        <v>393</v>
      </c>
      <c r="AF28" s="112"/>
      <c r="AG28" s="112"/>
      <c r="AH28" s="112"/>
    </row>
    <row r="29">
      <c r="A29" s="135" t="s">
        <v>0</v>
      </c>
      <c r="B29" s="125" t="s">
        <v>95</v>
      </c>
      <c r="C29" s="125" t="str">
        <f>IF(D29=0,"Digite a CH", IF(D29&lt;80,Dados!$AC$2,IF(D29=80,Dados!$AC$3,IF(D29&lt;179,Dados!$AC$3,IF(D29&gt;179,Dados!$AC$4)))))</f>
        <v>Básico (Até 79h)</v>
      </c>
      <c r="D29" s="126">
        <v>40.0</v>
      </c>
      <c r="E29" s="126" t="s">
        <v>208</v>
      </c>
      <c r="F29" s="125" t="s">
        <v>316</v>
      </c>
      <c r="G29" s="125" t="s">
        <v>333</v>
      </c>
      <c r="H29" s="128" t="s">
        <v>211</v>
      </c>
      <c r="I29" s="138" t="s">
        <v>105</v>
      </c>
      <c r="J29" s="125" t="s">
        <v>274</v>
      </c>
      <c r="K29" s="129">
        <v>45488.0</v>
      </c>
      <c r="L29" s="129">
        <v>45492.0</v>
      </c>
      <c r="M29" s="130" t="s">
        <v>95</v>
      </c>
      <c r="N29" s="126">
        <v>30.0</v>
      </c>
      <c r="O29" s="125">
        <v>61.0</v>
      </c>
      <c r="P29" s="125">
        <v>47.0</v>
      </c>
      <c r="Q29" s="126" t="s">
        <v>73</v>
      </c>
      <c r="R29" s="131">
        <f t="shared" si="1"/>
        <v>-0.5666666667</v>
      </c>
      <c r="S29" s="131">
        <f t="shared" si="2"/>
        <v>0.2295081967</v>
      </c>
      <c r="T29" s="125" t="s">
        <v>350</v>
      </c>
      <c r="U29" s="125" t="s">
        <v>383</v>
      </c>
      <c r="V29" s="143" t="s">
        <v>226</v>
      </c>
      <c r="W29" s="164" t="s">
        <v>394</v>
      </c>
      <c r="X29" s="143" t="s">
        <v>395</v>
      </c>
      <c r="Y29" s="162" t="s">
        <v>385</v>
      </c>
      <c r="Z29" s="125" t="s">
        <v>283</v>
      </c>
      <c r="AA29" s="125"/>
      <c r="AB29" s="125" t="s">
        <v>396</v>
      </c>
      <c r="AC29" s="125" t="s">
        <v>397</v>
      </c>
      <c r="AD29" s="160" t="s">
        <v>347</v>
      </c>
      <c r="AE29" s="152" t="s">
        <v>398</v>
      </c>
      <c r="AF29" s="112"/>
      <c r="AG29" s="112"/>
      <c r="AH29" s="112"/>
    </row>
    <row r="30">
      <c r="A30" s="135" t="s">
        <v>3</v>
      </c>
      <c r="B30" s="124" t="s">
        <v>26</v>
      </c>
      <c r="C30" s="125" t="str">
        <f>IF(D30=0,"Digite a CH", IF(D30&lt;80,Dados!$AC$2,IF(D30=80,Dados!$AC$3,IF(D30&lt;179,Dados!$AC$3,IF(D30&gt;179,Dados!$AC$4)))))</f>
        <v>Básico (Até 79h)</v>
      </c>
      <c r="D30" s="126">
        <v>60.0</v>
      </c>
      <c r="E30" s="126" t="s">
        <v>208</v>
      </c>
      <c r="F30" s="125" t="s">
        <v>209</v>
      </c>
      <c r="G30" s="125" t="s">
        <v>210</v>
      </c>
      <c r="H30" s="128" t="s">
        <v>211</v>
      </c>
      <c r="I30" s="125" t="s">
        <v>109</v>
      </c>
      <c r="J30" s="125" t="s">
        <v>399</v>
      </c>
      <c r="K30" s="129">
        <v>45512.0</v>
      </c>
      <c r="L30" s="129">
        <v>45527.0</v>
      </c>
      <c r="M30" s="130" t="s">
        <v>26</v>
      </c>
      <c r="N30" s="126">
        <v>30.0</v>
      </c>
      <c r="O30" s="125">
        <v>76.0</v>
      </c>
      <c r="P30" s="125">
        <v>52.0</v>
      </c>
      <c r="Q30" s="126" t="s">
        <v>73</v>
      </c>
      <c r="R30" s="131">
        <f t="shared" si="1"/>
        <v>-0.7333333333</v>
      </c>
      <c r="S30" s="131">
        <f t="shared" si="2"/>
        <v>0.3157894737</v>
      </c>
      <c r="T30" s="125" t="s">
        <v>400</v>
      </c>
      <c r="U30" s="126" t="s">
        <v>383</v>
      </c>
      <c r="V30" s="126" t="s">
        <v>401</v>
      </c>
      <c r="W30" s="165" t="s">
        <v>402</v>
      </c>
      <c r="X30" s="143" t="s">
        <v>395</v>
      </c>
      <c r="Y30" s="125" t="s">
        <v>403</v>
      </c>
      <c r="Z30" s="125"/>
      <c r="AA30" s="125"/>
      <c r="AB30" s="125" t="s">
        <v>404</v>
      </c>
      <c r="AC30" s="125" t="s">
        <v>405</v>
      </c>
      <c r="AD30" s="166" t="s">
        <v>406</v>
      </c>
      <c r="AE30" s="167" t="s">
        <v>407</v>
      </c>
      <c r="AF30" s="112"/>
      <c r="AG30" s="112"/>
      <c r="AH30" s="112"/>
    </row>
    <row r="31">
      <c r="A31" s="135" t="s">
        <v>3</v>
      </c>
      <c r="B31" s="125" t="s">
        <v>26</v>
      </c>
      <c r="C31" s="125" t="str">
        <f>IF(D31=0,"Digite a CH", IF(D31&lt;80,Dados!$AC$2,IF(D31=80,Dados!$AC$3,IF(D31&lt;179,Dados!$AC$3,IF(D31&gt;179,Dados!$AC$4)))))</f>
        <v>Básico (Até 79h)</v>
      </c>
      <c r="D31" s="126">
        <v>60.0</v>
      </c>
      <c r="E31" s="126" t="s">
        <v>208</v>
      </c>
      <c r="F31" s="125" t="s">
        <v>209</v>
      </c>
      <c r="G31" s="125" t="s">
        <v>210</v>
      </c>
      <c r="H31" s="128" t="s">
        <v>211</v>
      </c>
      <c r="I31" s="125" t="s">
        <v>105</v>
      </c>
      <c r="J31" s="125" t="s">
        <v>408</v>
      </c>
      <c r="K31" s="129">
        <v>45483.0</v>
      </c>
      <c r="L31" s="129">
        <v>45492.0</v>
      </c>
      <c r="M31" s="130" t="s">
        <v>26</v>
      </c>
      <c r="N31" s="126">
        <v>30.0</v>
      </c>
      <c r="O31" s="126">
        <v>70.0</v>
      </c>
      <c r="P31" s="126">
        <v>34.0</v>
      </c>
      <c r="Q31" s="126" t="s">
        <v>73</v>
      </c>
      <c r="R31" s="131">
        <f t="shared" si="1"/>
        <v>-0.1333333333</v>
      </c>
      <c r="S31" s="131">
        <f t="shared" si="2"/>
        <v>0.5142857143</v>
      </c>
      <c r="T31" s="125" t="s">
        <v>400</v>
      </c>
      <c r="U31" s="126" t="s">
        <v>383</v>
      </c>
      <c r="V31" s="143" t="s">
        <v>401</v>
      </c>
      <c r="W31" s="165" t="s">
        <v>402</v>
      </c>
      <c r="X31" s="143" t="s">
        <v>395</v>
      </c>
      <c r="Y31" s="125" t="s">
        <v>403</v>
      </c>
      <c r="Z31" s="125" t="s">
        <v>218</v>
      </c>
      <c r="AA31" s="125"/>
      <c r="AB31" s="168" t="s">
        <v>404</v>
      </c>
      <c r="AC31" s="125" t="s">
        <v>409</v>
      </c>
      <c r="AD31" s="166" t="s">
        <v>410</v>
      </c>
      <c r="AE31" s="151" t="s">
        <v>411</v>
      </c>
      <c r="AF31" s="112"/>
      <c r="AG31" s="112"/>
      <c r="AH31" s="112"/>
    </row>
    <row r="32">
      <c r="A32" s="135" t="s">
        <v>3</v>
      </c>
      <c r="B32" s="169" t="s">
        <v>47</v>
      </c>
      <c r="C32" s="125" t="str">
        <f>IF(D32=0,"Digite a CH", IF(D32&lt;80,Dados!$AC$2,IF(D32=80,Dados!$AC$3,IF(D32&lt;179,Dados!$AC$3,IF(D32&gt;179,Dados!$AC$4)))))</f>
        <v>Básico (Até 79h)</v>
      </c>
      <c r="D32" s="126">
        <v>40.0</v>
      </c>
      <c r="E32" s="126" t="s">
        <v>208</v>
      </c>
      <c r="F32" s="125" t="s">
        <v>209</v>
      </c>
      <c r="G32" s="125" t="s">
        <v>223</v>
      </c>
      <c r="H32" s="128" t="s">
        <v>211</v>
      </c>
      <c r="I32" s="125" t="s">
        <v>238</v>
      </c>
      <c r="J32" s="125" t="s">
        <v>239</v>
      </c>
      <c r="K32" s="129">
        <v>45502.0</v>
      </c>
      <c r="L32" s="129">
        <v>45506.0</v>
      </c>
      <c r="M32" s="130" t="s">
        <v>412</v>
      </c>
      <c r="N32" s="170">
        <v>40.0</v>
      </c>
      <c r="O32" s="126">
        <v>40.0</v>
      </c>
      <c r="P32" s="126">
        <v>27.0</v>
      </c>
      <c r="Q32" s="126" t="s">
        <v>73</v>
      </c>
      <c r="R32" s="131">
        <f t="shared" si="1"/>
        <v>0.325</v>
      </c>
      <c r="S32" s="131">
        <f t="shared" si="2"/>
        <v>0.325</v>
      </c>
      <c r="T32" s="125" t="s">
        <v>400</v>
      </c>
      <c r="U32" s="126" t="s">
        <v>383</v>
      </c>
      <c r="V32" s="143" t="s">
        <v>401</v>
      </c>
      <c r="W32" s="171" t="s">
        <v>413</v>
      </c>
      <c r="X32" s="143" t="s">
        <v>395</v>
      </c>
      <c r="Y32" s="125" t="s">
        <v>414</v>
      </c>
      <c r="Z32" s="125" t="s">
        <v>218</v>
      </c>
      <c r="AA32" s="125"/>
      <c r="AB32" s="172" t="s">
        <v>415</v>
      </c>
      <c r="AC32" s="173" t="s">
        <v>416</v>
      </c>
      <c r="AD32" s="146" t="s">
        <v>417</v>
      </c>
      <c r="AE32" s="151" t="s">
        <v>418</v>
      </c>
      <c r="AF32" s="112"/>
      <c r="AG32" s="112"/>
      <c r="AH32" s="112"/>
    </row>
    <row r="33">
      <c r="A33" s="135" t="s">
        <v>3</v>
      </c>
      <c r="B33" s="169" t="s">
        <v>65</v>
      </c>
      <c r="C33" s="125" t="str">
        <f>IF(D33=0,"Digite a CH", IF(D33&lt;80,Dados!$AC$2,IF(D33=80,Dados!$AC$3,IF(D33&lt;179,Dados!$AC$3,IF(D33&gt;179,Dados!$AC$4)))))</f>
        <v>Básico (Até 79h)</v>
      </c>
      <c r="D33" s="126">
        <v>40.0</v>
      </c>
      <c r="E33" s="126" t="s">
        <v>208</v>
      </c>
      <c r="F33" s="125" t="s">
        <v>295</v>
      </c>
      <c r="G33" s="125" t="s">
        <v>296</v>
      </c>
      <c r="H33" s="128" t="s">
        <v>211</v>
      </c>
      <c r="I33" s="125" t="s">
        <v>105</v>
      </c>
      <c r="J33" s="125" t="s">
        <v>419</v>
      </c>
      <c r="K33" s="129">
        <v>45474.0</v>
      </c>
      <c r="L33" s="129">
        <v>45478.0</v>
      </c>
      <c r="M33" s="130" t="s">
        <v>420</v>
      </c>
      <c r="N33" s="170">
        <v>40.0</v>
      </c>
      <c r="O33" s="126">
        <v>89.0</v>
      </c>
      <c r="P33" s="126">
        <v>66.0</v>
      </c>
      <c r="Q33" s="126" t="s">
        <v>73</v>
      </c>
      <c r="R33" s="131">
        <f t="shared" si="1"/>
        <v>-0.65</v>
      </c>
      <c r="S33" s="131">
        <f t="shared" si="2"/>
        <v>0.2584269663</v>
      </c>
      <c r="T33" s="125" t="s">
        <v>400</v>
      </c>
      <c r="U33" s="126" t="s">
        <v>383</v>
      </c>
      <c r="V33" s="143" t="s">
        <v>401</v>
      </c>
      <c r="W33" s="174" t="s">
        <v>421</v>
      </c>
      <c r="X33" s="143" t="s">
        <v>395</v>
      </c>
      <c r="Y33" s="125" t="s">
        <v>422</v>
      </c>
      <c r="Z33" s="125" t="s">
        <v>283</v>
      </c>
      <c r="AA33" s="125"/>
      <c r="AB33" s="172" t="s">
        <v>415</v>
      </c>
      <c r="AC33" s="173" t="s">
        <v>423</v>
      </c>
      <c r="AD33" s="125" t="s">
        <v>424</v>
      </c>
      <c r="AE33" s="148" t="s">
        <v>425</v>
      </c>
      <c r="AF33" s="112"/>
      <c r="AG33" s="112"/>
      <c r="AH33" s="112"/>
    </row>
    <row r="34">
      <c r="A34" s="135" t="s">
        <v>3</v>
      </c>
      <c r="B34" s="125" t="s">
        <v>78</v>
      </c>
      <c r="C34" s="125" t="str">
        <f>IF(D34=0,"Digite a CH", IF(D34&lt;80,Dados!$AC$2,IF(D34=80,Dados!$AC$3,IF(D34&lt;179,Dados!$AC$3,IF(D34&gt;179,Dados!$AC$4)))))</f>
        <v>Básico (Até 79h)</v>
      </c>
      <c r="D34" s="170">
        <v>60.0</v>
      </c>
      <c r="E34" s="126" t="s">
        <v>208</v>
      </c>
      <c r="F34" s="125" t="s">
        <v>342</v>
      </c>
      <c r="G34" s="125" t="s">
        <v>426</v>
      </c>
      <c r="H34" s="128" t="s">
        <v>211</v>
      </c>
      <c r="I34" s="125" t="s">
        <v>109</v>
      </c>
      <c r="J34" s="125" t="s">
        <v>427</v>
      </c>
      <c r="K34" s="129">
        <v>45516.0</v>
      </c>
      <c r="L34" s="129">
        <v>45520.0</v>
      </c>
      <c r="M34" s="130" t="s">
        <v>78</v>
      </c>
      <c r="N34" s="126">
        <v>40.0</v>
      </c>
      <c r="O34" s="126">
        <v>38.0</v>
      </c>
      <c r="P34" s="126">
        <v>24.0</v>
      </c>
      <c r="Q34" s="126" t="s">
        <v>73</v>
      </c>
      <c r="R34" s="131">
        <f t="shared" si="1"/>
        <v>0.4</v>
      </c>
      <c r="S34" s="131">
        <f t="shared" si="2"/>
        <v>0.3684210526</v>
      </c>
      <c r="T34" s="125" t="s">
        <v>400</v>
      </c>
      <c r="U34" s="126" t="s">
        <v>383</v>
      </c>
      <c r="V34" s="143" t="s">
        <v>401</v>
      </c>
      <c r="W34" s="165" t="s">
        <v>428</v>
      </c>
      <c r="X34" s="143" t="s">
        <v>395</v>
      </c>
      <c r="Y34" s="125" t="s">
        <v>429</v>
      </c>
      <c r="Z34" s="125"/>
      <c r="AA34" s="125"/>
      <c r="AB34" s="175" t="s">
        <v>430</v>
      </c>
      <c r="AC34" s="173" t="s">
        <v>431</v>
      </c>
      <c r="AD34" s="166" t="s">
        <v>432</v>
      </c>
      <c r="AE34" s="176" t="s">
        <v>433</v>
      </c>
      <c r="AF34" s="112"/>
      <c r="AG34" s="112"/>
      <c r="AH34" s="112"/>
    </row>
    <row r="35">
      <c r="A35" s="135" t="s">
        <v>3</v>
      </c>
      <c r="B35" s="125" t="s">
        <v>78</v>
      </c>
      <c r="C35" s="125" t="str">
        <f>IF(D35=0,"Digite a CH", IF(D35&lt;80,Dados!$AC$2,IF(D35=80,Dados!$AC$3,IF(D35&lt;179,Dados!$AC$3,IF(D35&gt;179,Dados!$AC$4)))))</f>
        <v>Básico (Até 79h)</v>
      </c>
      <c r="D35" s="170">
        <v>60.0</v>
      </c>
      <c r="E35" s="126" t="s">
        <v>266</v>
      </c>
      <c r="F35" s="125" t="s">
        <v>316</v>
      </c>
      <c r="G35" s="125" t="s">
        <v>333</v>
      </c>
      <c r="H35" s="128" t="s">
        <v>211</v>
      </c>
      <c r="I35" s="125" t="s">
        <v>100</v>
      </c>
      <c r="J35" s="125" t="s">
        <v>434</v>
      </c>
      <c r="K35" s="129">
        <v>45453.0</v>
      </c>
      <c r="L35" s="129">
        <v>45457.0</v>
      </c>
      <c r="M35" s="130" t="s">
        <v>78</v>
      </c>
      <c r="N35" s="126">
        <v>40.0</v>
      </c>
      <c r="O35" s="126">
        <v>32.0</v>
      </c>
      <c r="P35" s="177">
        <v>15.0</v>
      </c>
      <c r="Q35" s="126" t="s">
        <v>73</v>
      </c>
      <c r="R35" s="131">
        <f t="shared" si="1"/>
        <v>0.625</v>
      </c>
      <c r="S35" s="131">
        <f t="shared" si="2"/>
        <v>0.53125</v>
      </c>
      <c r="T35" s="125" t="s">
        <v>400</v>
      </c>
      <c r="U35" s="126" t="s">
        <v>383</v>
      </c>
      <c r="V35" s="143" t="s">
        <v>401</v>
      </c>
      <c r="W35" s="165" t="s">
        <v>428</v>
      </c>
      <c r="X35" s="143" t="s">
        <v>395</v>
      </c>
      <c r="Y35" s="125" t="s">
        <v>435</v>
      </c>
      <c r="Z35" s="125" t="s">
        <v>218</v>
      </c>
      <c r="AA35" s="125"/>
      <c r="AB35" s="172" t="s">
        <v>436</v>
      </c>
      <c r="AC35" s="173" t="s">
        <v>437</v>
      </c>
      <c r="AD35" s="166" t="s">
        <v>438</v>
      </c>
      <c r="AE35" s="151" t="s">
        <v>439</v>
      </c>
      <c r="AF35" s="112"/>
      <c r="AG35" s="112"/>
      <c r="AH35" s="178"/>
    </row>
    <row r="36" ht="38.25" customHeight="1">
      <c r="A36" s="135" t="s">
        <v>6</v>
      </c>
      <c r="B36" s="124" t="s">
        <v>29</v>
      </c>
      <c r="C36" s="125" t="str">
        <f>IF(D36=0,"Digite a CH", IF(D36&lt;80,Dados!$AC$2,IF(D36=80,Dados!$AC$3,IF(D36&lt;179,Dados!$AC$3,IF(D36&gt;179,Dados!$AC$4)))))</f>
        <v>Atualização (80h-179h)</v>
      </c>
      <c r="D36" s="126">
        <v>80.0</v>
      </c>
      <c r="E36" s="126" t="s">
        <v>208</v>
      </c>
      <c r="F36" s="125" t="s">
        <v>209</v>
      </c>
      <c r="G36" s="125" t="s">
        <v>440</v>
      </c>
      <c r="H36" s="128" t="s">
        <v>211</v>
      </c>
      <c r="I36" s="125" t="s">
        <v>441</v>
      </c>
      <c r="J36" s="125" t="s">
        <v>442</v>
      </c>
      <c r="K36" s="129">
        <v>45460.0</v>
      </c>
      <c r="L36" s="129">
        <v>45464.0</v>
      </c>
      <c r="M36" s="130" t="s">
        <v>136</v>
      </c>
      <c r="N36" s="126">
        <v>40.0</v>
      </c>
      <c r="O36" s="125">
        <v>35.0</v>
      </c>
      <c r="P36" s="125">
        <v>25.0</v>
      </c>
      <c r="Q36" s="126" t="s">
        <v>73</v>
      </c>
      <c r="R36" s="131">
        <f t="shared" si="1"/>
        <v>0.375</v>
      </c>
      <c r="S36" s="131">
        <f t="shared" si="2"/>
        <v>0.2857142857</v>
      </c>
      <c r="T36" s="126" t="s">
        <v>213</v>
      </c>
      <c r="U36" s="126"/>
      <c r="V36" s="126" t="s">
        <v>226</v>
      </c>
      <c r="W36" s="179" t="s">
        <v>443</v>
      </c>
      <c r="X36" s="126" t="s">
        <v>260</v>
      </c>
      <c r="Y36" s="125" t="s">
        <v>444</v>
      </c>
      <c r="Z36" s="126" t="s">
        <v>218</v>
      </c>
      <c r="AA36" s="126"/>
      <c r="AB36" s="180" t="s">
        <v>445</v>
      </c>
      <c r="AC36" s="125" t="s">
        <v>446</v>
      </c>
      <c r="AD36" s="181"/>
      <c r="AE36" s="130" t="s">
        <v>447</v>
      </c>
      <c r="AF36" s="112"/>
      <c r="AG36" s="112"/>
      <c r="AH36" s="112"/>
    </row>
    <row r="37" ht="38.25" customHeight="1">
      <c r="A37" s="182" t="s">
        <v>6</v>
      </c>
      <c r="B37" s="124" t="s">
        <v>29</v>
      </c>
      <c r="C37" s="125" t="str">
        <f>IF(D37=0,"Digite a CH", IF(D37&lt;80,Dados!$AC$2,IF(D37=80,Dados!$AC$3,IF(D37&lt;179,Dados!$AC$3,IF(D37&gt;179,Dados!$AC$4)))))</f>
        <v>Atualização (80h-179h)</v>
      </c>
      <c r="D37" s="126">
        <v>80.0</v>
      </c>
      <c r="E37" s="126" t="s">
        <v>266</v>
      </c>
      <c r="F37" s="125" t="s">
        <v>209</v>
      </c>
      <c r="G37" s="125" t="s">
        <v>448</v>
      </c>
      <c r="H37" s="128" t="s">
        <v>211</v>
      </c>
      <c r="I37" s="125" t="s">
        <v>449</v>
      </c>
      <c r="J37" s="125" t="s">
        <v>450</v>
      </c>
      <c r="K37" s="129">
        <v>45523.0</v>
      </c>
      <c r="L37" s="129">
        <v>45527.0</v>
      </c>
      <c r="M37" s="130" t="s">
        <v>136</v>
      </c>
      <c r="N37" s="126">
        <v>40.0</v>
      </c>
      <c r="O37" s="125">
        <v>51.0</v>
      </c>
      <c r="P37" s="125">
        <v>40.0</v>
      </c>
      <c r="Q37" s="126" t="s">
        <v>73</v>
      </c>
      <c r="R37" s="131">
        <f t="shared" si="1"/>
        <v>0</v>
      </c>
      <c r="S37" s="131">
        <f t="shared" si="2"/>
        <v>0.2156862745</v>
      </c>
      <c r="T37" s="126" t="s">
        <v>213</v>
      </c>
      <c r="U37" s="126" t="s">
        <v>225</v>
      </c>
      <c r="V37" s="126" t="s">
        <v>226</v>
      </c>
      <c r="W37" s="144" t="s">
        <v>443</v>
      </c>
      <c r="X37" s="126" t="s">
        <v>282</v>
      </c>
      <c r="Y37" s="125" t="s">
        <v>444</v>
      </c>
      <c r="Z37" s="126" t="s">
        <v>218</v>
      </c>
      <c r="AA37" s="126"/>
      <c r="AB37" s="125" t="s">
        <v>451</v>
      </c>
      <c r="AC37" s="125" t="s">
        <v>452</v>
      </c>
      <c r="AD37" s="181"/>
      <c r="AE37" s="130" t="s">
        <v>453</v>
      </c>
      <c r="AF37" s="112"/>
      <c r="AG37" s="112"/>
      <c r="AH37" s="112"/>
    </row>
    <row r="38">
      <c r="A38" s="135" t="s">
        <v>14</v>
      </c>
      <c r="B38" s="124" t="s">
        <v>37</v>
      </c>
      <c r="C38" s="125" t="str">
        <f>IF(D38=0,"Digite a CH", IF(D38&lt;80,Dados!$AC$2,IF(D38=80,Dados!$AC$3,IF(D38&lt;179,Dados!$AC$3,IF(D38&gt;179,Dados!$AC$4)))))</f>
        <v>Básico (Até 79h)</v>
      </c>
      <c r="D38" s="126">
        <v>40.0</v>
      </c>
      <c r="E38" s="126" t="s">
        <v>454</v>
      </c>
      <c r="F38" s="125" t="s">
        <v>209</v>
      </c>
      <c r="G38" s="125" t="s">
        <v>455</v>
      </c>
      <c r="H38" s="125" t="s">
        <v>211</v>
      </c>
      <c r="I38" s="125" t="s">
        <v>456</v>
      </c>
      <c r="J38" s="125" t="s">
        <v>457</v>
      </c>
      <c r="K38" s="126"/>
      <c r="L38" s="126"/>
      <c r="M38" s="183" t="s">
        <v>458</v>
      </c>
      <c r="N38" s="126">
        <v>20.0</v>
      </c>
      <c r="O38" s="126">
        <v>26.0</v>
      </c>
      <c r="P38" s="177">
        <v>17.0</v>
      </c>
      <c r="Q38" s="126" t="s">
        <v>73</v>
      </c>
      <c r="R38" s="131">
        <f t="shared" si="1"/>
        <v>0.15</v>
      </c>
      <c r="S38" s="131">
        <f t="shared" si="2"/>
        <v>0.3461538462</v>
      </c>
      <c r="T38" s="126" t="s">
        <v>459</v>
      </c>
      <c r="U38" s="126" t="s">
        <v>335</v>
      </c>
      <c r="V38" s="126" t="s">
        <v>401</v>
      </c>
      <c r="W38" s="144" t="s">
        <v>460</v>
      </c>
      <c r="X38" s="160" t="s">
        <v>260</v>
      </c>
      <c r="Y38" s="125" t="s">
        <v>461</v>
      </c>
      <c r="Z38" s="184" t="s">
        <v>218</v>
      </c>
      <c r="AA38" s="184" t="s">
        <v>462</v>
      </c>
      <c r="AB38" s="180" t="s">
        <v>463</v>
      </c>
      <c r="AC38" s="173" t="s">
        <v>464</v>
      </c>
      <c r="AD38" s="185" t="s">
        <v>465</v>
      </c>
      <c r="AE38" s="186" t="s">
        <v>466</v>
      </c>
      <c r="AF38" s="112"/>
      <c r="AG38" s="112"/>
      <c r="AH38" s="112"/>
    </row>
    <row r="39">
      <c r="A39" s="135" t="s">
        <v>14</v>
      </c>
      <c r="B39" s="124" t="s">
        <v>37</v>
      </c>
      <c r="C39" s="125" t="str">
        <f>IF(D39=0,"Digite a CH", IF(D39&lt;80,Dados!$AC$2,IF(D39=80,Dados!$AC$3,IF(D39&lt;179,Dados!$AC$3,IF(D39&gt;179,Dados!$AC$4)))))</f>
        <v>Básico (Até 79h)</v>
      </c>
      <c r="D39" s="126">
        <v>40.0</v>
      </c>
      <c r="E39" s="126" t="s">
        <v>467</v>
      </c>
      <c r="F39" s="125" t="s">
        <v>209</v>
      </c>
      <c r="G39" s="125" t="s">
        <v>455</v>
      </c>
      <c r="H39" s="125" t="s">
        <v>211</v>
      </c>
      <c r="I39" s="125" t="s">
        <v>115</v>
      </c>
      <c r="J39" s="187" t="s">
        <v>468</v>
      </c>
      <c r="K39" s="126"/>
      <c r="L39" s="126"/>
      <c r="M39" s="125"/>
      <c r="N39" s="126">
        <v>20.0</v>
      </c>
      <c r="O39" s="126">
        <v>29.0</v>
      </c>
      <c r="P39" s="177">
        <v>19.0</v>
      </c>
      <c r="Q39" s="126" t="s">
        <v>73</v>
      </c>
      <c r="R39" s="131">
        <f t="shared" si="1"/>
        <v>0.05</v>
      </c>
      <c r="S39" s="131">
        <f t="shared" si="2"/>
        <v>0.3448275862</v>
      </c>
      <c r="T39" s="126" t="s">
        <v>459</v>
      </c>
      <c r="U39" s="126" t="s">
        <v>335</v>
      </c>
      <c r="V39" s="126" t="s">
        <v>401</v>
      </c>
      <c r="W39" s="144" t="s">
        <v>460</v>
      </c>
      <c r="X39" s="160" t="s">
        <v>260</v>
      </c>
      <c r="Y39" s="188" t="s">
        <v>469</v>
      </c>
      <c r="Z39" s="184" t="s">
        <v>218</v>
      </c>
      <c r="AA39" s="184" t="s">
        <v>462</v>
      </c>
      <c r="AB39" s="175" t="s">
        <v>463</v>
      </c>
      <c r="AC39" s="173" t="s">
        <v>464</v>
      </c>
      <c r="AD39" s="185" t="s">
        <v>470</v>
      </c>
      <c r="AE39" s="152" t="s">
        <v>471</v>
      </c>
      <c r="AF39" s="112"/>
      <c r="AG39" s="112"/>
      <c r="AH39" s="112"/>
    </row>
    <row r="40">
      <c r="A40" s="135" t="s">
        <v>14</v>
      </c>
      <c r="B40" s="124" t="s">
        <v>54</v>
      </c>
      <c r="C40" s="125" t="str">
        <f>IF(D40=0,"Digite a CH", IF(D40&lt;80,Dados!$AC$2,IF(D40=80,Dados!$AC$3,IF(D40&lt;179,Dados!$AC$3,IF(D40&gt;179,Dados!$AC$4)))))</f>
        <v>Básico (Até 79h)</v>
      </c>
      <c r="D40" s="126">
        <v>8.0</v>
      </c>
      <c r="E40" s="126" t="s">
        <v>472</v>
      </c>
      <c r="F40" s="125" t="s">
        <v>209</v>
      </c>
      <c r="G40" s="125" t="s">
        <v>455</v>
      </c>
      <c r="H40" s="125" t="s">
        <v>211</v>
      </c>
      <c r="I40" s="125" t="s">
        <v>91</v>
      </c>
      <c r="J40" s="189">
        <v>45429.0</v>
      </c>
      <c r="K40" s="129">
        <v>45429.0</v>
      </c>
      <c r="L40" s="129">
        <v>45429.0</v>
      </c>
      <c r="M40" s="130" t="s">
        <v>54</v>
      </c>
      <c r="N40" s="126">
        <v>32.0</v>
      </c>
      <c r="O40" s="126">
        <v>48.0</v>
      </c>
      <c r="P40" s="177">
        <v>41.0</v>
      </c>
      <c r="Q40" s="126" t="s">
        <v>73</v>
      </c>
      <c r="R40" s="131">
        <f t="shared" si="1"/>
        <v>-0.28125</v>
      </c>
      <c r="S40" s="131">
        <f t="shared" si="2"/>
        <v>0.1458333333</v>
      </c>
      <c r="T40" s="126" t="s">
        <v>459</v>
      </c>
      <c r="U40" s="126" t="s">
        <v>335</v>
      </c>
      <c r="V40" s="126" t="s">
        <v>401</v>
      </c>
      <c r="W40" s="144" t="s">
        <v>473</v>
      </c>
      <c r="X40" s="160" t="s">
        <v>260</v>
      </c>
      <c r="Y40" s="125" t="s">
        <v>474</v>
      </c>
      <c r="Z40" s="184" t="s">
        <v>218</v>
      </c>
      <c r="AA40" s="190" t="s">
        <v>462</v>
      </c>
      <c r="AB40" s="190" t="s">
        <v>475</v>
      </c>
      <c r="AC40" s="125" t="s">
        <v>476</v>
      </c>
      <c r="AD40" s="191" t="s">
        <v>477</v>
      </c>
      <c r="AE40" s="152" t="s">
        <v>478</v>
      </c>
      <c r="AF40" s="112"/>
      <c r="AG40" s="112"/>
      <c r="AH40" s="112"/>
    </row>
    <row r="41">
      <c r="A41" s="135" t="s">
        <v>14</v>
      </c>
      <c r="B41" s="124" t="s">
        <v>54</v>
      </c>
      <c r="C41" s="125" t="str">
        <f>IF(D41=0,"Digite a CH", IF(D41&lt;80,Dados!$AC$2,IF(D41=80,Dados!$AC$3,IF(D41&lt;179,Dados!$AC$3,IF(D41&gt;179,Dados!$AC$4)))))</f>
        <v>Básico (Até 79h)</v>
      </c>
      <c r="D41" s="126">
        <v>8.0</v>
      </c>
      <c r="E41" s="126" t="s">
        <v>208</v>
      </c>
      <c r="F41" s="125" t="s">
        <v>209</v>
      </c>
      <c r="G41" s="125" t="s">
        <v>455</v>
      </c>
      <c r="H41" s="125" t="s">
        <v>211</v>
      </c>
      <c r="I41" s="125" t="s">
        <v>100</v>
      </c>
      <c r="J41" s="189">
        <v>45471.0</v>
      </c>
      <c r="K41" s="129">
        <v>45471.0</v>
      </c>
      <c r="L41" s="129">
        <v>45471.0</v>
      </c>
      <c r="M41" s="130" t="s">
        <v>54</v>
      </c>
      <c r="N41" s="126">
        <v>32.0</v>
      </c>
      <c r="O41" s="126">
        <v>37.0</v>
      </c>
      <c r="P41" s="177">
        <v>29.0</v>
      </c>
      <c r="Q41" s="126" t="s">
        <v>73</v>
      </c>
      <c r="R41" s="131">
        <f t="shared" si="1"/>
        <v>0.09375</v>
      </c>
      <c r="S41" s="131">
        <f t="shared" si="2"/>
        <v>0.2162162162</v>
      </c>
      <c r="T41" s="126" t="s">
        <v>459</v>
      </c>
      <c r="U41" s="126" t="s">
        <v>335</v>
      </c>
      <c r="V41" s="126" t="s">
        <v>401</v>
      </c>
      <c r="W41" s="144" t="s">
        <v>473</v>
      </c>
      <c r="X41" s="192" t="s">
        <v>479</v>
      </c>
      <c r="Y41" s="187" t="s">
        <v>480</v>
      </c>
      <c r="Z41" s="184" t="s">
        <v>218</v>
      </c>
      <c r="AA41" s="184" t="s">
        <v>462</v>
      </c>
      <c r="AB41" s="193" t="s">
        <v>481</v>
      </c>
      <c r="AC41" s="191" t="s">
        <v>482</v>
      </c>
      <c r="AD41" s="191" t="s">
        <v>477</v>
      </c>
      <c r="AE41" s="194" t="s">
        <v>483</v>
      </c>
      <c r="AF41" s="112"/>
      <c r="AG41" s="112"/>
      <c r="AH41" s="112"/>
    </row>
    <row r="42">
      <c r="A42" s="135" t="s">
        <v>14</v>
      </c>
      <c r="B42" s="124" t="s">
        <v>54</v>
      </c>
      <c r="C42" s="125" t="str">
        <f>IF(D42=0,"Digite a CH", IF(D42&lt;80,Dados!$AC$2,IF(D42=80,Dados!$AC$3,IF(D42&lt;179,Dados!$AC$3,IF(D42&gt;179,Dados!$AC$4)))))</f>
        <v>Básico (Até 79h)</v>
      </c>
      <c r="D42" s="126">
        <v>8.0</v>
      </c>
      <c r="E42" s="126" t="s">
        <v>266</v>
      </c>
      <c r="F42" s="125" t="s">
        <v>209</v>
      </c>
      <c r="G42" s="125" t="s">
        <v>455</v>
      </c>
      <c r="H42" s="125" t="s">
        <v>211</v>
      </c>
      <c r="I42" s="125" t="s">
        <v>113</v>
      </c>
      <c r="J42" s="195">
        <v>45548.0</v>
      </c>
      <c r="K42" s="126"/>
      <c r="L42" s="126"/>
      <c r="M42" s="125"/>
      <c r="N42" s="126">
        <v>32.0</v>
      </c>
      <c r="O42" s="126">
        <v>38.0</v>
      </c>
      <c r="P42" s="126">
        <v>31.0</v>
      </c>
      <c r="Q42" s="126" t="s">
        <v>73</v>
      </c>
      <c r="R42" s="131">
        <f t="shared" si="1"/>
        <v>0.03125</v>
      </c>
      <c r="S42" s="131">
        <f t="shared" si="2"/>
        <v>0.1842105263</v>
      </c>
      <c r="T42" s="126" t="s">
        <v>459</v>
      </c>
      <c r="U42" s="126" t="s">
        <v>335</v>
      </c>
      <c r="V42" s="126" t="s">
        <v>401</v>
      </c>
      <c r="W42" s="144" t="s">
        <v>473</v>
      </c>
      <c r="X42" s="192" t="s">
        <v>484</v>
      </c>
      <c r="Y42" s="160" t="s">
        <v>480</v>
      </c>
      <c r="Z42" s="184" t="s">
        <v>218</v>
      </c>
      <c r="AA42" s="184" t="s">
        <v>462</v>
      </c>
      <c r="AB42" s="193" t="s">
        <v>485</v>
      </c>
      <c r="AC42" s="125" t="s">
        <v>482</v>
      </c>
      <c r="AD42" s="191" t="s">
        <v>477</v>
      </c>
      <c r="AE42" s="194" t="s">
        <v>486</v>
      </c>
      <c r="AF42" s="112"/>
      <c r="AG42" s="112"/>
      <c r="AH42" s="112"/>
    </row>
    <row r="43">
      <c r="A43" s="135" t="s">
        <v>14</v>
      </c>
      <c r="B43" s="124" t="s">
        <v>103</v>
      </c>
      <c r="C43" s="125" t="str">
        <f>IF(D43=0,"Digite a CH", IF(D43&lt;80,Dados!$AC$2,IF(D43=80,Dados!$AC$3,IF(D43&lt;179,Dados!$AC$3,IF(D43&gt;179,Dados!$AC$4)))))</f>
        <v>Básico (Até 79h)</v>
      </c>
      <c r="D43" s="126">
        <v>40.0</v>
      </c>
      <c r="E43" s="126" t="s">
        <v>208</v>
      </c>
      <c r="F43" s="125" t="s">
        <v>209</v>
      </c>
      <c r="G43" s="125" t="s">
        <v>455</v>
      </c>
      <c r="H43" s="125" t="s">
        <v>211</v>
      </c>
      <c r="I43" s="125" t="s">
        <v>113</v>
      </c>
      <c r="J43" s="125" t="s">
        <v>487</v>
      </c>
      <c r="K43" s="126"/>
      <c r="L43" s="126"/>
      <c r="M43" s="125"/>
      <c r="N43" s="126">
        <v>10.0</v>
      </c>
      <c r="O43" s="126">
        <v>16.0</v>
      </c>
      <c r="P43" s="177">
        <v>16.0</v>
      </c>
      <c r="Q43" s="126" t="s">
        <v>73</v>
      </c>
      <c r="R43" s="131">
        <f t="shared" si="1"/>
        <v>-0.6</v>
      </c>
      <c r="S43" s="131">
        <f t="shared" si="2"/>
        <v>0</v>
      </c>
      <c r="T43" s="126" t="s">
        <v>459</v>
      </c>
      <c r="U43" s="126" t="s">
        <v>335</v>
      </c>
      <c r="V43" s="126" t="s">
        <v>401</v>
      </c>
      <c r="W43" s="144" t="s">
        <v>488</v>
      </c>
      <c r="X43" s="192" t="s">
        <v>489</v>
      </c>
      <c r="Y43" s="196" t="s">
        <v>490</v>
      </c>
      <c r="Z43" s="184" t="s">
        <v>283</v>
      </c>
      <c r="AA43" s="184"/>
      <c r="AB43" s="190" t="s">
        <v>491</v>
      </c>
      <c r="AC43" s="173" t="s">
        <v>492</v>
      </c>
      <c r="AD43" s="197" t="s">
        <v>493</v>
      </c>
      <c r="AE43" s="152" t="s">
        <v>494</v>
      </c>
      <c r="AF43" s="112"/>
      <c r="AG43" s="112"/>
      <c r="AH43" s="112"/>
    </row>
    <row r="44" hidden="1">
      <c r="A44" s="135" t="s">
        <v>14</v>
      </c>
      <c r="B44" s="124" t="s">
        <v>103</v>
      </c>
      <c r="C44" s="125" t="str">
        <f>IF(D44=0,"Digite a CH", IF(D44&lt;80,Dados!$AC$2,IF(D44=80,Dados!$AC$3,IF(D44&lt;179,Dados!$AC$3,IF(D44&gt;179,Dados!$AC$4)))))</f>
        <v>Básico (Até 79h)</v>
      </c>
      <c r="D44" s="126">
        <v>40.0</v>
      </c>
      <c r="E44" s="126" t="s">
        <v>266</v>
      </c>
      <c r="F44" s="125" t="s">
        <v>209</v>
      </c>
      <c r="G44" s="140" t="s">
        <v>455</v>
      </c>
      <c r="H44" s="125" t="s">
        <v>211</v>
      </c>
      <c r="I44" s="125"/>
      <c r="J44" s="160"/>
      <c r="K44" s="126"/>
      <c r="L44" s="126"/>
      <c r="M44" s="125"/>
      <c r="N44" s="126">
        <v>0.0</v>
      </c>
      <c r="O44" s="126"/>
      <c r="P44" s="126"/>
      <c r="Q44" s="126" t="s">
        <v>83</v>
      </c>
      <c r="R44" s="131" t="str">
        <f t="shared" si="1"/>
        <v>#DIV/0!</v>
      </c>
      <c r="S44" s="131" t="str">
        <f t="shared" si="2"/>
        <v>#DIV/0!</v>
      </c>
      <c r="T44" s="126" t="s">
        <v>459</v>
      </c>
      <c r="U44" s="126" t="s">
        <v>335</v>
      </c>
      <c r="V44" s="126" t="s">
        <v>401</v>
      </c>
      <c r="W44" s="144" t="s">
        <v>488</v>
      </c>
      <c r="X44" s="192" t="s">
        <v>495</v>
      </c>
      <c r="Y44" s="125"/>
      <c r="Z44" s="184"/>
      <c r="AA44" s="184"/>
      <c r="AB44" s="190"/>
      <c r="AC44" s="125"/>
      <c r="AD44" s="198"/>
      <c r="AE44" s="153"/>
      <c r="AF44" s="112"/>
      <c r="AG44" s="112"/>
      <c r="AH44" s="112"/>
    </row>
    <row r="45">
      <c r="A45" s="135" t="s">
        <v>14</v>
      </c>
      <c r="B45" s="124" t="s">
        <v>107</v>
      </c>
      <c r="C45" s="125" t="str">
        <f>IF(D45=0,"Digite a CH", IF(D45&lt;80,Dados!$AC$2,IF(D45=80,Dados!$AC$3,IF(D45&lt;179,Dados!$AC$3,IF(D45&gt;179,Dados!$AC$4)))))</f>
        <v>Básico (Até 79h)</v>
      </c>
      <c r="D45" s="126">
        <v>8.0</v>
      </c>
      <c r="E45" s="126" t="s">
        <v>208</v>
      </c>
      <c r="F45" s="125" t="s">
        <v>209</v>
      </c>
      <c r="G45" s="125" t="s">
        <v>496</v>
      </c>
      <c r="H45" s="125" t="s">
        <v>211</v>
      </c>
      <c r="I45" s="125" t="s">
        <v>91</v>
      </c>
      <c r="J45" s="189">
        <v>45441.0</v>
      </c>
      <c r="K45" s="126"/>
      <c r="L45" s="126"/>
      <c r="M45" s="125"/>
      <c r="N45" s="126">
        <v>10.0</v>
      </c>
      <c r="O45" s="126">
        <v>10.0</v>
      </c>
      <c r="P45" s="177">
        <v>10.0</v>
      </c>
      <c r="Q45" s="126" t="s">
        <v>73</v>
      </c>
      <c r="R45" s="131">
        <f t="shared" si="1"/>
        <v>0</v>
      </c>
      <c r="S45" s="131">
        <f t="shared" si="2"/>
        <v>0</v>
      </c>
      <c r="T45" s="126" t="s">
        <v>459</v>
      </c>
      <c r="U45" s="126" t="s">
        <v>335</v>
      </c>
      <c r="V45" s="126" t="s">
        <v>401</v>
      </c>
      <c r="W45" s="144" t="s">
        <v>497</v>
      </c>
      <c r="X45" s="192" t="s">
        <v>498</v>
      </c>
      <c r="Y45" s="125" t="s">
        <v>499</v>
      </c>
      <c r="Z45" s="184"/>
      <c r="AA45" s="184"/>
      <c r="AB45" s="190" t="s">
        <v>491</v>
      </c>
      <c r="AC45" s="173" t="s">
        <v>500</v>
      </c>
      <c r="AD45" s="166" t="s">
        <v>501</v>
      </c>
      <c r="AE45" s="152" t="s">
        <v>502</v>
      </c>
      <c r="AF45" s="112"/>
      <c r="AG45" s="112"/>
      <c r="AH45" s="112"/>
    </row>
    <row r="46">
      <c r="A46" s="135" t="s">
        <v>14</v>
      </c>
      <c r="B46" s="124" t="s">
        <v>107</v>
      </c>
      <c r="C46" s="125" t="str">
        <f>IF(D46=0,"Digite a CH", IF(D46&lt;80,Dados!$AC$2,IF(D46=80,Dados!$AC$3,IF(D46&lt;179,Dados!$AC$3,IF(D46&gt;179,Dados!$AC$4)))))</f>
        <v>Básico (Até 79h)</v>
      </c>
      <c r="D46" s="143">
        <v>8.0</v>
      </c>
      <c r="E46" s="126" t="s">
        <v>266</v>
      </c>
      <c r="F46" s="125" t="s">
        <v>209</v>
      </c>
      <c r="G46" s="125" t="s">
        <v>503</v>
      </c>
      <c r="H46" s="125" t="s">
        <v>211</v>
      </c>
      <c r="I46" s="125" t="s">
        <v>100</v>
      </c>
      <c r="J46" s="189">
        <v>45461.0</v>
      </c>
      <c r="K46" s="126"/>
      <c r="L46" s="126"/>
      <c r="M46" s="199" t="s">
        <v>504</v>
      </c>
      <c r="N46" s="126">
        <v>10.0</v>
      </c>
      <c r="O46" s="126">
        <v>16.0</v>
      </c>
      <c r="P46" s="177">
        <v>11.0</v>
      </c>
      <c r="Q46" s="126" t="s">
        <v>73</v>
      </c>
      <c r="R46" s="131">
        <f t="shared" si="1"/>
        <v>-0.1</v>
      </c>
      <c r="S46" s="131">
        <f t="shared" si="2"/>
        <v>0.3125</v>
      </c>
      <c r="T46" s="126" t="s">
        <v>459</v>
      </c>
      <c r="U46" s="126" t="s">
        <v>335</v>
      </c>
      <c r="V46" s="126" t="s">
        <v>401</v>
      </c>
      <c r="W46" s="144" t="s">
        <v>497</v>
      </c>
      <c r="X46" s="160" t="s">
        <v>260</v>
      </c>
      <c r="Y46" s="200" t="s">
        <v>499</v>
      </c>
      <c r="Z46" s="184" t="s">
        <v>218</v>
      </c>
      <c r="AA46" s="184" t="s">
        <v>462</v>
      </c>
      <c r="AB46" s="190" t="s">
        <v>491</v>
      </c>
      <c r="AC46" s="200" t="s">
        <v>500</v>
      </c>
      <c r="AD46" s="166" t="s">
        <v>505</v>
      </c>
      <c r="AE46" s="186" t="s">
        <v>506</v>
      </c>
      <c r="AF46" s="112"/>
      <c r="AG46" s="112"/>
      <c r="AH46" s="112"/>
    </row>
    <row r="47">
      <c r="A47" s="135" t="s">
        <v>14</v>
      </c>
      <c r="B47" s="124" t="s">
        <v>107</v>
      </c>
      <c r="C47" s="125" t="str">
        <f>IF(D47=0,"Digite a CH", IF(D47&lt;80,Dados!$AC$2,IF(D47=80,Dados!$AC$3,IF(D47&lt;179,Dados!$AC$3,IF(D47&gt;179,Dados!$AC$4)))))</f>
        <v>Básico (Até 79h)</v>
      </c>
      <c r="D47" s="143">
        <v>8.0</v>
      </c>
      <c r="E47" s="126" t="s">
        <v>507</v>
      </c>
      <c r="F47" s="125" t="s">
        <v>209</v>
      </c>
      <c r="G47" s="125" t="s">
        <v>508</v>
      </c>
      <c r="H47" s="125" t="s">
        <v>211</v>
      </c>
      <c r="I47" s="125" t="s">
        <v>100</v>
      </c>
      <c r="J47" s="189">
        <v>45468.0</v>
      </c>
      <c r="K47" s="126"/>
      <c r="L47" s="126"/>
      <c r="M47" s="125"/>
      <c r="N47" s="126">
        <v>10.0</v>
      </c>
      <c r="O47" s="126">
        <v>19.0</v>
      </c>
      <c r="P47" s="177">
        <v>12.0</v>
      </c>
      <c r="Q47" s="126" t="s">
        <v>73</v>
      </c>
      <c r="R47" s="131">
        <f t="shared" si="1"/>
        <v>-0.2</v>
      </c>
      <c r="S47" s="131">
        <f t="shared" si="2"/>
        <v>0.3684210526</v>
      </c>
      <c r="T47" s="126" t="s">
        <v>459</v>
      </c>
      <c r="U47" s="126" t="s">
        <v>335</v>
      </c>
      <c r="V47" s="126" t="s">
        <v>401</v>
      </c>
      <c r="W47" s="144" t="s">
        <v>497</v>
      </c>
      <c r="X47" s="160" t="s">
        <v>260</v>
      </c>
      <c r="Y47" s="125" t="s">
        <v>499</v>
      </c>
      <c r="Z47" s="184" t="s">
        <v>218</v>
      </c>
      <c r="AA47" s="184" t="s">
        <v>462</v>
      </c>
      <c r="AB47" s="190" t="s">
        <v>491</v>
      </c>
      <c r="AC47" s="200" t="s">
        <v>509</v>
      </c>
      <c r="AD47" s="173" t="s">
        <v>501</v>
      </c>
      <c r="AE47" s="186" t="s">
        <v>510</v>
      </c>
      <c r="AF47" s="112"/>
      <c r="AG47" s="112"/>
      <c r="AH47" s="112"/>
    </row>
    <row r="48">
      <c r="A48" s="135" t="s">
        <v>14</v>
      </c>
      <c r="B48" s="124" t="s">
        <v>107</v>
      </c>
      <c r="C48" s="125" t="str">
        <f>IF(D48=0,"Digite a CH", IF(D48&lt;80,Dados!$AC$2,IF(D48=80,Dados!$AC$3,IF(D48&lt;179,Dados!$AC$3,IF(D48&gt;179,Dados!$AC$4)))))</f>
        <v>Básico (Até 79h)</v>
      </c>
      <c r="D48" s="126">
        <v>8.0</v>
      </c>
      <c r="E48" s="126" t="s">
        <v>511</v>
      </c>
      <c r="F48" s="125" t="s">
        <v>209</v>
      </c>
      <c r="G48" s="125" t="s">
        <v>512</v>
      </c>
      <c r="H48" s="125" t="s">
        <v>211</v>
      </c>
      <c r="I48" s="125" t="s">
        <v>100</v>
      </c>
      <c r="J48" s="189">
        <v>45469.0</v>
      </c>
      <c r="K48" s="126"/>
      <c r="L48" s="126"/>
      <c r="M48" s="125"/>
      <c r="N48" s="126">
        <v>10.0</v>
      </c>
      <c r="O48" s="126">
        <v>12.0</v>
      </c>
      <c r="P48" s="177">
        <v>9.0</v>
      </c>
      <c r="Q48" s="126" t="s">
        <v>73</v>
      </c>
      <c r="R48" s="131">
        <f t="shared" si="1"/>
        <v>0.1</v>
      </c>
      <c r="S48" s="131">
        <f t="shared" si="2"/>
        <v>0.25</v>
      </c>
      <c r="T48" s="126" t="s">
        <v>459</v>
      </c>
      <c r="U48" s="126" t="s">
        <v>335</v>
      </c>
      <c r="V48" s="126" t="s">
        <v>401</v>
      </c>
      <c r="W48" s="144" t="s">
        <v>497</v>
      </c>
      <c r="X48" s="160" t="s">
        <v>260</v>
      </c>
      <c r="Y48" s="200" t="s">
        <v>499</v>
      </c>
      <c r="Z48" s="184" t="s">
        <v>283</v>
      </c>
      <c r="AA48" s="184"/>
      <c r="AB48" s="190" t="s">
        <v>491</v>
      </c>
      <c r="AC48" s="193" t="s">
        <v>500</v>
      </c>
      <c r="AD48" s="125" t="s">
        <v>505</v>
      </c>
      <c r="AE48" s="186" t="s">
        <v>513</v>
      </c>
      <c r="AF48" s="112"/>
      <c r="AG48" s="112"/>
      <c r="AH48" s="112"/>
    </row>
    <row r="49">
      <c r="A49" s="135" t="s">
        <v>14</v>
      </c>
      <c r="B49" s="124" t="s">
        <v>107</v>
      </c>
      <c r="C49" s="125" t="str">
        <f>IF(D49=0,"Digite a CH", IF(D49&lt;80,Dados!$AC$2,IF(D49=80,Dados!$AC$3,IF(D49&lt;179,Dados!$AC$3,IF(D49&gt;179,Dados!$AC$4)))))</f>
        <v>Básico (Até 79h)</v>
      </c>
      <c r="D49" s="143">
        <v>8.0</v>
      </c>
      <c r="E49" s="126" t="s">
        <v>514</v>
      </c>
      <c r="F49" s="125" t="s">
        <v>295</v>
      </c>
      <c r="G49" s="125" t="s">
        <v>515</v>
      </c>
      <c r="H49" s="125" t="s">
        <v>211</v>
      </c>
      <c r="I49" s="125" t="s">
        <v>516</v>
      </c>
      <c r="J49" s="195">
        <v>45568.0</v>
      </c>
      <c r="K49" s="126"/>
      <c r="L49" s="126"/>
      <c r="M49" s="125"/>
      <c r="N49" s="126">
        <v>10.0</v>
      </c>
      <c r="O49" s="126">
        <v>14.0</v>
      </c>
      <c r="P49" s="177">
        <v>10.0</v>
      </c>
      <c r="Q49" s="126" t="s">
        <v>73</v>
      </c>
      <c r="R49" s="131">
        <f t="shared" si="1"/>
        <v>0</v>
      </c>
      <c r="S49" s="131">
        <f t="shared" si="2"/>
        <v>0.2857142857</v>
      </c>
      <c r="T49" s="126" t="s">
        <v>459</v>
      </c>
      <c r="U49" s="126" t="s">
        <v>335</v>
      </c>
      <c r="V49" s="126" t="s">
        <v>401</v>
      </c>
      <c r="W49" s="144" t="s">
        <v>497</v>
      </c>
      <c r="X49" s="160" t="s">
        <v>260</v>
      </c>
      <c r="Y49" s="125" t="s">
        <v>490</v>
      </c>
      <c r="Z49" s="184" t="s">
        <v>283</v>
      </c>
      <c r="AA49" s="184"/>
      <c r="AB49" s="201" t="s">
        <v>491</v>
      </c>
      <c r="AC49" s="173" t="s">
        <v>517</v>
      </c>
      <c r="AD49" s="125" t="s">
        <v>505</v>
      </c>
      <c r="AE49" s="152" t="s">
        <v>518</v>
      </c>
      <c r="AF49" s="112"/>
      <c r="AG49" s="112"/>
      <c r="AH49" s="112"/>
    </row>
    <row r="50">
      <c r="A50" s="135" t="s">
        <v>14</v>
      </c>
      <c r="B50" s="124" t="s">
        <v>107</v>
      </c>
      <c r="C50" s="125" t="str">
        <f>IF(D50=0,"Digite a CH", IF(D50&lt;80,Dados!$AC$2,IF(D50=80,Dados!$AC$3,IF(D50&lt;179,Dados!$AC$3,IF(D50&gt;179,Dados!$AC$4)))))</f>
        <v>Básico (Até 79h)</v>
      </c>
      <c r="D50" s="143">
        <v>8.0</v>
      </c>
      <c r="E50" s="126" t="s">
        <v>519</v>
      </c>
      <c r="F50" s="125" t="s">
        <v>209</v>
      </c>
      <c r="G50" s="125" t="s">
        <v>520</v>
      </c>
      <c r="H50" s="125" t="s">
        <v>211</v>
      </c>
      <c r="I50" s="125" t="s">
        <v>516</v>
      </c>
      <c r="J50" s="195">
        <v>45574.0</v>
      </c>
      <c r="K50" s="126"/>
      <c r="L50" s="126"/>
      <c r="M50" s="125"/>
      <c r="N50" s="126">
        <v>10.0</v>
      </c>
      <c r="O50" s="126">
        <v>10.0</v>
      </c>
      <c r="P50" s="177">
        <v>5.0</v>
      </c>
      <c r="Q50" s="126" t="s">
        <v>73</v>
      </c>
      <c r="R50" s="131">
        <f t="shared" si="1"/>
        <v>0.5</v>
      </c>
      <c r="S50" s="131">
        <f t="shared" si="2"/>
        <v>0.5</v>
      </c>
      <c r="T50" s="126" t="s">
        <v>459</v>
      </c>
      <c r="U50" s="126" t="s">
        <v>335</v>
      </c>
      <c r="V50" s="126" t="s">
        <v>401</v>
      </c>
      <c r="W50" s="144" t="s">
        <v>497</v>
      </c>
      <c r="X50" s="160" t="s">
        <v>260</v>
      </c>
      <c r="Y50" s="125" t="s">
        <v>490</v>
      </c>
      <c r="Z50" s="184" t="s">
        <v>283</v>
      </c>
      <c r="AA50" s="184"/>
      <c r="AB50" s="201" t="s">
        <v>491</v>
      </c>
      <c r="AC50" s="173" t="s">
        <v>517</v>
      </c>
      <c r="AD50" s="173" t="s">
        <v>505</v>
      </c>
      <c r="AE50" s="153"/>
      <c r="AF50" s="112"/>
      <c r="AG50" s="112"/>
      <c r="AH50" s="112"/>
    </row>
    <row r="51">
      <c r="A51" s="135" t="s">
        <v>14</v>
      </c>
      <c r="B51" s="124" t="s">
        <v>107</v>
      </c>
      <c r="C51" s="125" t="str">
        <f>IF(D51=0,"Digite a CH", IF(D51&lt;80,Dados!$AC$2,IF(D51=80,Dados!$AC$3,IF(D51&lt;179,Dados!$AC$3,IF(D51&gt;179,Dados!$AC$4)))))</f>
        <v>Básico (Até 79h)</v>
      </c>
      <c r="D51" s="143">
        <v>8.0</v>
      </c>
      <c r="E51" s="126" t="s">
        <v>454</v>
      </c>
      <c r="F51" s="125" t="s">
        <v>316</v>
      </c>
      <c r="G51" s="125" t="s">
        <v>521</v>
      </c>
      <c r="H51" s="125" t="s">
        <v>211</v>
      </c>
      <c r="I51" s="125" t="s">
        <v>516</v>
      </c>
      <c r="J51" s="189">
        <v>45582.0</v>
      </c>
      <c r="K51" s="126"/>
      <c r="L51" s="126"/>
      <c r="M51" s="125"/>
      <c r="N51" s="126">
        <v>10.0</v>
      </c>
      <c r="O51" s="126">
        <v>18.0</v>
      </c>
      <c r="P51" s="177">
        <v>16.0</v>
      </c>
      <c r="Q51" s="126" t="s">
        <v>73</v>
      </c>
      <c r="R51" s="131">
        <f t="shared" si="1"/>
        <v>-0.6</v>
      </c>
      <c r="S51" s="131">
        <f t="shared" si="2"/>
        <v>0.1111111111</v>
      </c>
      <c r="T51" s="126" t="s">
        <v>459</v>
      </c>
      <c r="U51" s="126" t="s">
        <v>335</v>
      </c>
      <c r="V51" s="126" t="s">
        <v>401</v>
      </c>
      <c r="W51" s="144" t="s">
        <v>497</v>
      </c>
      <c r="X51" s="160" t="s">
        <v>260</v>
      </c>
      <c r="Y51" s="125" t="s">
        <v>490</v>
      </c>
      <c r="Z51" s="184" t="s">
        <v>283</v>
      </c>
      <c r="AA51" s="184"/>
      <c r="AB51" s="190" t="s">
        <v>491</v>
      </c>
      <c r="AC51" s="173" t="s">
        <v>517</v>
      </c>
      <c r="AD51" s="173" t="s">
        <v>505</v>
      </c>
      <c r="AE51" s="153"/>
      <c r="AF51" s="112"/>
      <c r="AG51" s="112"/>
      <c r="AH51" s="112"/>
    </row>
    <row r="52">
      <c r="A52" s="135" t="s">
        <v>14</v>
      </c>
      <c r="B52" s="124" t="s">
        <v>107</v>
      </c>
      <c r="C52" s="125" t="str">
        <f>IF(D52=0,"Digite a CH", IF(D52&lt;80,Dados!$AC$2,IF(D52=80,Dados!$AC$3,IF(D52&lt;179,Dados!$AC$3,IF(D52&gt;179,Dados!$AC$4)))))</f>
        <v>Básico (Até 79h)</v>
      </c>
      <c r="D52" s="143">
        <v>8.0</v>
      </c>
      <c r="E52" s="126" t="s">
        <v>467</v>
      </c>
      <c r="F52" s="125" t="s">
        <v>522</v>
      </c>
      <c r="G52" s="125" t="s">
        <v>426</v>
      </c>
      <c r="H52" s="125" t="s">
        <v>211</v>
      </c>
      <c r="I52" s="125" t="s">
        <v>117</v>
      </c>
      <c r="J52" s="189">
        <v>45622.0</v>
      </c>
      <c r="K52" s="126"/>
      <c r="L52" s="126"/>
      <c r="M52" s="125"/>
      <c r="N52" s="126">
        <v>10.0</v>
      </c>
      <c r="O52" s="126">
        <v>25.0</v>
      </c>
      <c r="P52" s="177">
        <v>22.0</v>
      </c>
      <c r="Q52" s="126" t="s">
        <v>73</v>
      </c>
      <c r="R52" s="131">
        <f t="shared" si="1"/>
        <v>-1.2</v>
      </c>
      <c r="S52" s="131">
        <f t="shared" si="2"/>
        <v>0.12</v>
      </c>
      <c r="T52" s="126" t="s">
        <v>459</v>
      </c>
      <c r="U52" s="126" t="s">
        <v>335</v>
      </c>
      <c r="V52" s="126" t="s">
        <v>401</v>
      </c>
      <c r="W52" s="144" t="s">
        <v>497</v>
      </c>
      <c r="X52" s="160" t="s">
        <v>260</v>
      </c>
      <c r="Y52" s="125" t="s">
        <v>490</v>
      </c>
      <c r="Z52" s="184" t="s">
        <v>283</v>
      </c>
      <c r="AA52" s="184"/>
      <c r="AB52" s="190" t="s">
        <v>491</v>
      </c>
      <c r="AC52" s="173" t="s">
        <v>517</v>
      </c>
      <c r="AD52" s="173" t="s">
        <v>505</v>
      </c>
      <c r="AE52" s="153"/>
      <c r="AF52" s="112"/>
      <c r="AG52" s="112"/>
      <c r="AH52" s="112"/>
    </row>
    <row r="53" hidden="1">
      <c r="A53" s="135" t="s">
        <v>14</v>
      </c>
      <c r="B53" s="124" t="s">
        <v>107</v>
      </c>
      <c r="C53" s="125" t="str">
        <f>IF(D53=0,"Digite a CH", IF(D53&lt;80,Dados!$AC$2,IF(D53=80,Dados!$AC$3,IF(D53&lt;179,Dados!$AC$3,IF(D53&gt;179,Dados!$AC$4)))))</f>
        <v>Básico (Até 79h)</v>
      </c>
      <c r="D53" s="143">
        <v>8.0</v>
      </c>
      <c r="E53" s="126" t="s">
        <v>523</v>
      </c>
      <c r="F53" s="125" t="s">
        <v>522</v>
      </c>
      <c r="G53" s="125" t="s">
        <v>524</v>
      </c>
      <c r="H53" s="125" t="s">
        <v>211</v>
      </c>
      <c r="I53" s="125" t="s">
        <v>115</v>
      </c>
      <c r="J53" s="125" t="s">
        <v>525</v>
      </c>
      <c r="K53" s="126"/>
      <c r="L53" s="126"/>
      <c r="M53" s="125"/>
      <c r="N53" s="126">
        <v>0.0</v>
      </c>
      <c r="O53" s="126"/>
      <c r="P53" s="177"/>
      <c r="Q53" s="126" t="s">
        <v>83</v>
      </c>
      <c r="R53" s="131" t="str">
        <f t="shared" si="1"/>
        <v>#DIV/0!</v>
      </c>
      <c r="S53" s="131" t="str">
        <f t="shared" si="2"/>
        <v>#DIV/0!</v>
      </c>
      <c r="T53" s="126" t="s">
        <v>459</v>
      </c>
      <c r="U53" s="126" t="s">
        <v>335</v>
      </c>
      <c r="V53" s="126" t="s">
        <v>401</v>
      </c>
      <c r="W53" s="144" t="s">
        <v>497</v>
      </c>
      <c r="X53" s="160" t="s">
        <v>260</v>
      </c>
      <c r="Y53" s="125"/>
      <c r="Z53" s="184"/>
      <c r="AA53" s="184"/>
      <c r="AB53" s="190"/>
      <c r="AC53" s="125"/>
      <c r="AD53" s="126"/>
      <c r="AE53" s="153"/>
      <c r="AF53" s="112"/>
      <c r="AG53" s="112"/>
      <c r="AH53" s="112"/>
    </row>
    <row r="54" hidden="1">
      <c r="A54" s="135" t="s">
        <v>14</v>
      </c>
      <c r="B54" s="124" t="s">
        <v>107</v>
      </c>
      <c r="C54" s="125" t="str">
        <f>IF(D54=0,"Digite a CH", IF(D54&lt;80,Dados!$AC$2,IF(D54=80,Dados!$AC$3,IF(D54&lt;179,Dados!$AC$3,IF(D54&gt;179,Dados!$AC$4)))))</f>
        <v>Básico (Até 79h)</v>
      </c>
      <c r="D54" s="143">
        <v>8.0</v>
      </c>
      <c r="E54" s="126" t="s">
        <v>526</v>
      </c>
      <c r="F54" s="125" t="s">
        <v>522</v>
      </c>
      <c r="G54" s="125" t="s">
        <v>296</v>
      </c>
      <c r="H54" s="125" t="s">
        <v>211</v>
      </c>
      <c r="I54" s="125" t="s">
        <v>115</v>
      </c>
      <c r="J54" s="125" t="s">
        <v>525</v>
      </c>
      <c r="K54" s="126"/>
      <c r="L54" s="126"/>
      <c r="M54" s="125"/>
      <c r="N54" s="126">
        <v>0.0</v>
      </c>
      <c r="O54" s="126"/>
      <c r="P54" s="126"/>
      <c r="Q54" s="126" t="s">
        <v>83</v>
      </c>
      <c r="R54" s="131" t="str">
        <f t="shared" si="1"/>
        <v>#DIV/0!</v>
      </c>
      <c r="S54" s="131" t="str">
        <f t="shared" si="2"/>
        <v>#DIV/0!</v>
      </c>
      <c r="T54" s="126" t="s">
        <v>459</v>
      </c>
      <c r="U54" s="126" t="s">
        <v>335</v>
      </c>
      <c r="V54" s="126" t="s">
        <v>401</v>
      </c>
      <c r="W54" s="144" t="s">
        <v>497</v>
      </c>
      <c r="X54" s="160" t="s">
        <v>260</v>
      </c>
      <c r="Y54" s="125"/>
      <c r="Z54" s="184"/>
      <c r="AA54" s="184"/>
      <c r="AB54" s="190"/>
      <c r="AC54" s="125"/>
      <c r="AD54" s="126"/>
      <c r="AE54" s="153"/>
      <c r="AF54" s="112"/>
      <c r="AG54" s="112"/>
      <c r="AH54" s="112"/>
    </row>
    <row r="55" hidden="1">
      <c r="A55" s="135" t="s">
        <v>14</v>
      </c>
      <c r="B55" s="124" t="s">
        <v>107</v>
      </c>
      <c r="C55" s="125" t="str">
        <f>IF(D55=0,"Digite a CH", IF(D55&lt;80,Dados!$AC$2,IF(D55=80,Dados!$AC$3,IF(D55&lt;179,Dados!$AC$3,IF(D55&gt;179,Dados!$AC$4)))))</f>
        <v>Básico (Até 79h)</v>
      </c>
      <c r="D55" s="143">
        <v>8.0</v>
      </c>
      <c r="E55" s="126" t="s">
        <v>527</v>
      </c>
      <c r="F55" s="125" t="s">
        <v>522</v>
      </c>
      <c r="G55" s="125" t="s">
        <v>522</v>
      </c>
      <c r="H55" s="125" t="s">
        <v>211</v>
      </c>
      <c r="I55" s="125" t="s">
        <v>117</v>
      </c>
      <c r="J55" s="125" t="s">
        <v>525</v>
      </c>
      <c r="K55" s="126"/>
      <c r="L55" s="126"/>
      <c r="M55" s="125"/>
      <c r="N55" s="126">
        <v>0.0</v>
      </c>
      <c r="O55" s="126"/>
      <c r="P55" s="126"/>
      <c r="Q55" s="126" t="s">
        <v>83</v>
      </c>
      <c r="R55" s="131" t="str">
        <f t="shared" si="1"/>
        <v>#DIV/0!</v>
      </c>
      <c r="S55" s="131" t="str">
        <f t="shared" si="2"/>
        <v>#DIV/0!</v>
      </c>
      <c r="T55" s="126" t="s">
        <v>459</v>
      </c>
      <c r="U55" s="126" t="s">
        <v>335</v>
      </c>
      <c r="V55" s="126" t="s">
        <v>401</v>
      </c>
      <c r="W55" s="144" t="s">
        <v>497</v>
      </c>
      <c r="X55" s="160" t="s">
        <v>260</v>
      </c>
      <c r="Y55" s="125"/>
      <c r="Z55" s="184"/>
      <c r="AA55" s="184"/>
      <c r="AB55" s="190"/>
      <c r="AC55" s="125"/>
      <c r="AD55" s="126"/>
      <c r="AE55" s="153"/>
      <c r="AF55" s="112"/>
      <c r="AG55" s="112"/>
      <c r="AH55" s="112"/>
    </row>
    <row r="56" hidden="1">
      <c r="A56" s="135" t="s">
        <v>14</v>
      </c>
      <c r="B56" s="124" t="s">
        <v>107</v>
      </c>
      <c r="C56" s="125" t="str">
        <f>IF(D56=0,"Digite a CH", IF(D56&lt;80,Dados!$AC$2,IF(D56=80,Dados!$AC$3,IF(D56&lt;179,Dados!$AC$3,IF(D56&gt;179,Dados!$AC$4)))))</f>
        <v>Básico (Até 79h)</v>
      </c>
      <c r="D56" s="143">
        <v>8.0</v>
      </c>
      <c r="E56" s="126" t="s">
        <v>528</v>
      </c>
      <c r="F56" s="125" t="s">
        <v>522</v>
      </c>
      <c r="G56" s="143" t="s">
        <v>522</v>
      </c>
      <c r="H56" s="125" t="s">
        <v>211</v>
      </c>
      <c r="I56" s="125" t="s">
        <v>117</v>
      </c>
      <c r="J56" s="125" t="s">
        <v>525</v>
      </c>
      <c r="K56" s="126"/>
      <c r="L56" s="126"/>
      <c r="M56" s="125"/>
      <c r="N56" s="126">
        <v>0.0</v>
      </c>
      <c r="O56" s="126"/>
      <c r="P56" s="126"/>
      <c r="Q56" s="126" t="s">
        <v>83</v>
      </c>
      <c r="R56" s="131" t="str">
        <f t="shared" si="1"/>
        <v>#DIV/0!</v>
      </c>
      <c r="S56" s="131" t="str">
        <f t="shared" si="2"/>
        <v>#DIV/0!</v>
      </c>
      <c r="T56" s="126" t="s">
        <v>459</v>
      </c>
      <c r="U56" s="126" t="s">
        <v>335</v>
      </c>
      <c r="V56" s="126" t="s">
        <v>401</v>
      </c>
      <c r="W56" s="144" t="s">
        <v>497</v>
      </c>
      <c r="X56" s="160" t="s">
        <v>260</v>
      </c>
      <c r="Y56" s="125"/>
      <c r="Z56" s="184"/>
      <c r="AA56" s="184"/>
      <c r="AB56" s="190"/>
      <c r="AC56" s="125"/>
      <c r="AD56" s="126"/>
      <c r="AE56" s="153"/>
      <c r="AF56" s="112"/>
      <c r="AG56" s="112"/>
      <c r="AH56" s="112"/>
    </row>
    <row r="57" hidden="1">
      <c r="A57" s="135" t="s">
        <v>14</v>
      </c>
      <c r="B57" s="124" t="s">
        <v>107</v>
      </c>
      <c r="C57" s="125" t="str">
        <f>IF(D57=0,"Digite a CH", IF(D57&lt;80,Dados!$AC$2,IF(D57=80,Dados!$AC$3,IF(D57&lt;179,Dados!$AC$3,IF(D57&gt;179,Dados!$AC$4)))))</f>
        <v>Básico (Até 79h)</v>
      </c>
      <c r="D57" s="143">
        <v>8.0</v>
      </c>
      <c r="E57" s="126" t="s">
        <v>529</v>
      </c>
      <c r="F57" s="125" t="s">
        <v>522</v>
      </c>
      <c r="G57" s="143" t="s">
        <v>522</v>
      </c>
      <c r="H57" s="125" t="s">
        <v>211</v>
      </c>
      <c r="I57" s="125" t="s">
        <v>522</v>
      </c>
      <c r="J57" s="125" t="s">
        <v>525</v>
      </c>
      <c r="K57" s="126"/>
      <c r="L57" s="126"/>
      <c r="M57" s="125"/>
      <c r="N57" s="126">
        <v>0.0</v>
      </c>
      <c r="O57" s="126"/>
      <c r="P57" s="126"/>
      <c r="Q57" s="126" t="s">
        <v>83</v>
      </c>
      <c r="R57" s="131" t="str">
        <f t="shared" si="1"/>
        <v>#DIV/0!</v>
      </c>
      <c r="S57" s="131" t="str">
        <f t="shared" si="2"/>
        <v>#DIV/0!</v>
      </c>
      <c r="T57" s="126" t="s">
        <v>459</v>
      </c>
      <c r="U57" s="126" t="s">
        <v>335</v>
      </c>
      <c r="V57" s="126" t="s">
        <v>401</v>
      </c>
      <c r="W57" s="144" t="s">
        <v>497</v>
      </c>
      <c r="X57" s="160" t="s">
        <v>260</v>
      </c>
      <c r="Y57" s="125"/>
      <c r="Z57" s="184"/>
      <c r="AA57" s="184"/>
      <c r="AB57" s="190"/>
      <c r="AC57" s="125"/>
      <c r="AD57" s="126"/>
      <c r="AE57" s="153"/>
      <c r="AF57" s="112"/>
      <c r="AG57" s="112"/>
      <c r="AH57" s="112"/>
    </row>
    <row r="58" hidden="1">
      <c r="A58" s="135" t="s">
        <v>14</v>
      </c>
      <c r="B58" s="124" t="s">
        <v>107</v>
      </c>
      <c r="C58" s="125" t="str">
        <f>IF(D58=0,"Digite a CH", IF(D58&lt;80,Dados!$AC$2,IF(D58=80,Dados!$AC$3,IF(D58&lt;179,Dados!$AC$3,IF(D58&gt;179,Dados!$AC$4)))))</f>
        <v>Básico (Até 79h)</v>
      </c>
      <c r="D58" s="143">
        <v>8.0</v>
      </c>
      <c r="E58" s="126" t="s">
        <v>530</v>
      </c>
      <c r="F58" s="125" t="s">
        <v>522</v>
      </c>
      <c r="G58" s="143" t="s">
        <v>522</v>
      </c>
      <c r="H58" s="125" t="s">
        <v>211</v>
      </c>
      <c r="I58" s="125" t="s">
        <v>522</v>
      </c>
      <c r="J58" s="125" t="s">
        <v>525</v>
      </c>
      <c r="K58" s="126"/>
      <c r="L58" s="126"/>
      <c r="M58" s="125"/>
      <c r="N58" s="126">
        <v>0.0</v>
      </c>
      <c r="O58" s="126"/>
      <c r="P58" s="126"/>
      <c r="Q58" s="126" t="s">
        <v>83</v>
      </c>
      <c r="R58" s="131" t="str">
        <f t="shared" si="1"/>
        <v>#DIV/0!</v>
      </c>
      <c r="S58" s="131" t="str">
        <f t="shared" si="2"/>
        <v>#DIV/0!</v>
      </c>
      <c r="T58" s="126" t="s">
        <v>459</v>
      </c>
      <c r="U58" s="126" t="s">
        <v>335</v>
      </c>
      <c r="V58" s="126" t="s">
        <v>401</v>
      </c>
      <c r="W58" s="144" t="s">
        <v>497</v>
      </c>
      <c r="X58" s="160" t="s">
        <v>260</v>
      </c>
      <c r="Y58" s="125"/>
      <c r="Z58" s="184"/>
      <c r="AA58" s="184"/>
      <c r="AB58" s="190"/>
      <c r="AC58" s="125"/>
      <c r="AD58" s="126"/>
      <c r="AE58" s="153"/>
      <c r="AF58" s="112"/>
      <c r="AG58" s="112"/>
      <c r="AH58" s="112"/>
    </row>
    <row r="59">
      <c r="A59" s="135" t="s">
        <v>14</v>
      </c>
      <c r="B59" s="124" t="s">
        <v>98</v>
      </c>
      <c r="C59" s="125" t="str">
        <f>IF(D59=0,"Digite a CH", IF(D59&lt;80,Dados!$AC$2,IF(D59=80,Dados!$AC$3,IF(D59&lt;179,Dados!$AC$3,IF(D59&gt;179,Dados!$AC$4)))))</f>
        <v>Básico (Até 79h)</v>
      </c>
      <c r="D59" s="143">
        <v>8.0</v>
      </c>
      <c r="E59" s="126" t="s">
        <v>208</v>
      </c>
      <c r="F59" s="125" t="s">
        <v>209</v>
      </c>
      <c r="G59" s="140" t="s">
        <v>455</v>
      </c>
      <c r="H59" s="125" t="s">
        <v>211</v>
      </c>
      <c r="I59" s="125" t="s">
        <v>117</v>
      </c>
      <c r="J59" s="189">
        <v>45608.0</v>
      </c>
      <c r="K59" s="126"/>
      <c r="L59" s="126"/>
      <c r="M59" s="125"/>
      <c r="N59" s="126">
        <v>60.0</v>
      </c>
      <c r="O59" s="126">
        <v>62.0</v>
      </c>
      <c r="P59" s="177">
        <v>35.0</v>
      </c>
      <c r="Q59" s="126" t="s">
        <v>73</v>
      </c>
      <c r="R59" s="131">
        <f t="shared" si="1"/>
        <v>0.4166666667</v>
      </c>
      <c r="S59" s="131">
        <f t="shared" si="2"/>
        <v>0.435483871</v>
      </c>
      <c r="T59" s="126" t="s">
        <v>459</v>
      </c>
      <c r="U59" s="126" t="s">
        <v>335</v>
      </c>
      <c r="V59" s="126" t="s">
        <v>401</v>
      </c>
      <c r="W59" s="144" t="s">
        <v>531</v>
      </c>
      <c r="X59" s="192" t="s">
        <v>532</v>
      </c>
      <c r="Y59" s="196" t="s">
        <v>533</v>
      </c>
      <c r="Z59" s="184" t="s">
        <v>218</v>
      </c>
      <c r="AA59" s="184" t="s">
        <v>462</v>
      </c>
      <c r="AB59" s="202" t="s">
        <v>534</v>
      </c>
      <c r="AC59" s="125" t="s">
        <v>535</v>
      </c>
      <c r="AD59" s="173" t="s">
        <v>536</v>
      </c>
      <c r="AE59" s="152" t="s">
        <v>537</v>
      </c>
      <c r="AF59" s="112"/>
      <c r="AG59" s="112"/>
      <c r="AH59" s="112"/>
    </row>
    <row r="60">
      <c r="A60" s="135" t="s">
        <v>14</v>
      </c>
      <c r="B60" s="124" t="s">
        <v>69</v>
      </c>
      <c r="C60" s="125" t="str">
        <f>IF(D60=0,"Digite a CH", IF(D60&lt;80,Dados!$AC$2,IF(D60=80,Dados!$AC$3,IF(D60&lt;179,Dados!$AC$3,IF(D60&gt;179,Dados!$AC$4)))))</f>
        <v>Básico (Até 79h)</v>
      </c>
      <c r="D60" s="126">
        <v>8.0</v>
      </c>
      <c r="E60" s="126" t="s">
        <v>519</v>
      </c>
      <c r="F60" s="125" t="s">
        <v>209</v>
      </c>
      <c r="G60" s="125" t="s">
        <v>538</v>
      </c>
      <c r="H60" s="125" t="s">
        <v>211</v>
      </c>
      <c r="I60" s="125" t="s">
        <v>539</v>
      </c>
      <c r="J60" s="189" t="s">
        <v>540</v>
      </c>
      <c r="K60" s="126"/>
      <c r="L60" s="126"/>
      <c r="M60" s="125"/>
      <c r="N60" s="126">
        <v>20.0</v>
      </c>
      <c r="O60" s="126">
        <v>43.0</v>
      </c>
      <c r="P60" s="177">
        <v>26.0</v>
      </c>
      <c r="Q60" s="126" t="s">
        <v>73</v>
      </c>
      <c r="R60" s="131">
        <f t="shared" si="1"/>
        <v>-0.3</v>
      </c>
      <c r="S60" s="131">
        <f t="shared" si="2"/>
        <v>0.3953488372</v>
      </c>
      <c r="T60" s="126" t="s">
        <v>459</v>
      </c>
      <c r="U60" s="126" t="s">
        <v>335</v>
      </c>
      <c r="V60" s="126" t="s">
        <v>401</v>
      </c>
      <c r="W60" s="144" t="s">
        <v>541</v>
      </c>
      <c r="X60" s="160" t="s">
        <v>260</v>
      </c>
      <c r="Y60" s="125" t="s">
        <v>542</v>
      </c>
      <c r="Z60" s="184" t="s">
        <v>218</v>
      </c>
      <c r="AA60" s="184" t="s">
        <v>462</v>
      </c>
      <c r="AB60" s="190" t="s">
        <v>543</v>
      </c>
      <c r="AC60" s="125" t="s">
        <v>544</v>
      </c>
      <c r="AD60" s="173" t="s">
        <v>545</v>
      </c>
      <c r="AE60" s="152" t="s">
        <v>546</v>
      </c>
      <c r="AF60" s="112"/>
      <c r="AG60" s="112"/>
      <c r="AH60" s="112"/>
    </row>
    <row r="61">
      <c r="A61" s="135" t="s">
        <v>14</v>
      </c>
      <c r="B61" s="124" t="s">
        <v>69</v>
      </c>
      <c r="C61" s="125" t="str">
        <f>IF(D61=0,"Digite a CH", IF(D61&lt;80,Dados!$AC$2,IF(D61=80,Dados!$AC$3,IF(D61&lt;179,Dados!$AC$3,IF(D61&gt;179,Dados!$AC$4)))))</f>
        <v>Básico (Até 79h)</v>
      </c>
      <c r="D61" s="126">
        <v>8.0</v>
      </c>
      <c r="E61" s="126" t="s">
        <v>454</v>
      </c>
      <c r="F61" s="125" t="s">
        <v>547</v>
      </c>
      <c r="G61" s="125" t="s">
        <v>333</v>
      </c>
      <c r="H61" s="125" t="s">
        <v>211</v>
      </c>
      <c r="I61" s="125" t="s">
        <v>548</v>
      </c>
      <c r="J61" s="189">
        <v>45583.0</v>
      </c>
      <c r="K61" s="126"/>
      <c r="L61" s="126"/>
      <c r="M61" s="125"/>
      <c r="N61" s="126">
        <v>20.0</v>
      </c>
      <c r="O61" s="126">
        <v>22.0</v>
      </c>
      <c r="P61" s="177">
        <v>21.0</v>
      </c>
      <c r="Q61" s="126" t="s">
        <v>73</v>
      </c>
      <c r="R61" s="131">
        <f t="shared" si="1"/>
        <v>-0.05</v>
      </c>
      <c r="S61" s="131">
        <f t="shared" si="2"/>
        <v>0.04545454545</v>
      </c>
      <c r="T61" s="126" t="s">
        <v>459</v>
      </c>
      <c r="U61" s="126" t="s">
        <v>335</v>
      </c>
      <c r="V61" s="126" t="s">
        <v>401</v>
      </c>
      <c r="W61" s="144" t="s">
        <v>541</v>
      </c>
      <c r="X61" s="192" t="s">
        <v>549</v>
      </c>
      <c r="Y61" s="197" t="s">
        <v>542</v>
      </c>
      <c r="Z61" s="184" t="s">
        <v>283</v>
      </c>
      <c r="AA61" s="184"/>
      <c r="AB61" s="190" t="s">
        <v>550</v>
      </c>
      <c r="AC61" s="173" t="s">
        <v>544</v>
      </c>
      <c r="AD61" s="125" t="s">
        <v>551</v>
      </c>
      <c r="AE61" s="153"/>
      <c r="AF61" s="112"/>
      <c r="AG61" s="112"/>
      <c r="AH61" s="112"/>
    </row>
    <row r="62">
      <c r="A62" s="135" t="s">
        <v>14</v>
      </c>
      <c r="B62" s="124" t="s">
        <v>89</v>
      </c>
      <c r="C62" s="125" t="str">
        <f>IF(D62=0,"Digite a CH", IF(D62&lt;80,Dados!$AC$2,IF(D62=80,Dados!$AC$3,IF(D62&lt;179,Dados!$AC$3,IF(D62&gt;179,Dados!$AC$4)))))</f>
        <v>Básico (Até 79h)</v>
      </c>
      <c r="D62" s="126">
        <v>8.0</v>
      </c>
      <c r="E62" s="126" t="s">
        <v>507</v>
      </c>
      <c r="F62" s="125" t="s">
        <v>209</v>
      </c>
      <c r="G62" s="125" t="s">
        <v>455</v>
      </c>
      <c r="H62" s="125" t="s">
        <v>211</v>
      </c>
      <c r="I62" s="125" t="s">
        <v>117</v>
      </c>
      <c r="J62" s="189">
        <v>45609.0</v>
      </c>
      <c r="K62" s="161">
        <v>45618.0</v>
      </c>
      <c r="L62" s="161">
        <v>45618.0</v>
      </c>
      <c r="M62" s="125"/>
      <c r="N62" s="126">
        <v>40.0</v>
      </c>
      <c r="O62" s="126">
        <v>55.0</v>
      </c>
      <c r="P62" s="177">
        <v>50.0</v>
      </c>
      <c r="Q62" s="126" t="s">
        <v>73</v>
      </c>
      <c r="R62" s="131">
        <f t="shared" si="1"/>
        <v>-0.25</v>
      </c>
      <c r="S62" s="131">
        <f t="shared" si="2"/>
        <v>0.09090909091</v>
      </c>
      <c r="T62" s="126" t="s">
        <v>459</v>
      </c>
      <c r="U62" s="126" t="s">
        <v>335</v>
      </c>
      <c r="V62" s="126" t="s">
        <v>401</v>
      </c>
      <c r="W62" s="144" t="s">
        <v>552</v>
      </c>
      <c r="X62" s="192" t="s">
        <v>553</v>
      </c>
      <c r="Y62" s="125" t="s">
        <v>554</v>
      </c>
      <c r="Z62" s="184" t="s">
        <v>218</v>
      </c>
      <c r="AA62" s="184" t="s">
        <v>462</v>
      </c>
      <c r="AB62" s="190" t="s">
        <v>555</v>
      </c>
      <c r="AC62" s="125" t="s">
        <v>556</v>
      </c>
      <c r="AD62" s="125" t="s">
        <v>557</v>
      </c>
      <c r="AE62" s="152" t="s">
        <v>558</v>
      </c>
      <c r="AF62" s="112"/>
      <c r="AG62" s="112"/>
      <c r="AH62" s="112"/>
    </row>
    <row r="63" hidden="1">
      <c r="A63" s="135" t="s">
        <v>14</v>
      </c>
      <c r="B63" s="124" t="s">
        <v>111</v>
      </c>
      <c r="C63" s="125" t="str">
        <f>IF(D63=0,"Digite a CH", IF(D63&lt;80,Dados!$AC$2,IF(D63=80,Dados!$AC$3,IF(D63&lt;179,Dados!$AC$3,IF(D63&gt;179,Dados!$AC$4)))))</f>
        <v>Básico (Até 79h)</v>
      </c>
      <c r="D63" s="126">
        <v>8.0</v>
      </c>
      <c r="E63" s="126" t="s">
        <v>208</v>
      </c>
      <c r="F63" s="125" t="s">
        <v>209</v>
      </c>
      <c r="G63" s="125" t="s">
        <v>455</v>
      </c>
      <c r="H63" s="125" t="s">
        <v>211</v>
      </c>
      <c r="I63" s="125" t="s">
        <v>559</v>
      </c>
      <c r="J63" s="189">
        <v>45520.0</v>
      </c>
      <c r="K63" s="126"/>
      <c r="L63" s="126"/>
      <c r="M63" s="125" t="s">
        <v>335</v>
      </c>
      <c r="N63" s="126">
        <v>0.0</v>
      </c>
      <c r="O63" s="126"/>
      <c r="P63" s="126"/>
      <c r="Q63" s="126" t="s">
        <v>83</v>
      </c>
      <c r="R63" s="131" t="str">
        <f t="shared" si="1"/>
        <v>#DIV/0!</v>
      </c>
      <c r="S63" s="131" t="str">
        <f t="shared" si="2"/>
        <v>#DIV/0!</v>
      </c>
      <c r="T63" s="126" t="s">
        <v>459</v>
      </c>
      <c r="U63" s="126" t="s">
        <v>335</v>
      </c>
      <c r="V63" s="126" t="s">
        <v>401</v>
      </c>
      <c r="W63" s="144" t="s">
        <v>552</v>
      </c>
      <c r="X63" s="160" t="s">
        <v>560</v>
      </c>
      <c r="Y63" s="125"/>
      <c r="Z63" s="184"/>
      <c r="AA63" s="184"/>
      <c r="AB63" s="190"/>
      <c r="AC63" s="125"/>
      <c r="AD63" s="126"/>
      <c r="AE63" s="153"/>
      <c r="AF63" s="112"/>
      <c r="AG63" s="112"/>
      <c r="AH63" s="112"/>
    </row>
    <row r="64" hidden="1">
      <c r="A64" s="135" t="s">
        <v>14</v>
      </c>
      <c r="B64" s="124" t="s">
        <v>111</v>
      </c>
      <c r="C64" s="125" t="str">
        <f>IF(D64=0,"Digite a CH", IF(D64&lt;80,Dados!$AC$2,IF(D64=80,Dados!$AC$3,IF(D64&lt;179,Dados!$AC$3,IF(D64&gt;179,Dados!$AC$4)))))</f>
        <v>Básico (Até 79h)</v>
      </c>
      <c r="D64" s="126">
        <v>8.0</v>
      </c>
      <c r="E64" s="126" t="s">
        <v>266</v>
      </c>
      <c r="F64" s="125" t="s">
        <v>209</v>
      </c>
      <c r="G64" s="125" t="s">
        <v>455</v>
      </c>
      <c r="H64" s="125" t="s">
        <v>211</v>
      </c>
      <c r="I64" s="125" t="s">
        <v>561</v>
      </c>
      <c r="J64" s="189">
        <v>45520.0</v>
      </c>
      <c r="K64" s="126"/>
      <c r="L64" s="126"/>
      <c r="M64" s="125" t="s">
        <v>335</v>
      </c>
      <c r="N64" s="126">
        <v>0.0</v>
      </c>
      <c r="O64" s="126"/>
      <c r="P64" s="126"/>
      <c r="Q64" s="126" t="s">
        <v>83</v>
      </c>
      <c r="R64" s="131" t="str">
        <f t="shared" si="1"/>
        <v>#DIV/0!</v>
      </c>
      <c r="S64" s="131" t="str">
        <f t="shared" si="2"/>
        <v>#DIV/0!</v>
      </c>
      <c r="T64" s="126" t="s">
        <v>459</v>
      </c>
      <c r="U64" s="126" t="s">
        <v>335</v>
      </c>
      <c r="V64" s="126" t="s">
        <v>401</v>
      </c>
      <c r="W64" s="144" t="s">
        <v>562</v>
      </c>
      <c r="X64" s="160" t="s">
        <v>560</v>
      </c>
      <c r="Y64" s="125"/>
      <c r="Z64" s="184"/>
      <c r="AA64" s="184"/>
      <c r="AB64" s="190"/>
      <c r="AC64" s="125"/>
      <c r="AD64" s="126"/>
      <c r="AE64" s="153"/>
      <c r="AF64" s="112"/>
      <c r="AG64" s="112"/>
      <c r="AH64" s="112"/>
    </row>
    <row r="65" hidden="1">
      <c r="A65" s="135" t="s">
        <v>14</v>
      </c>
      <c r="B65" s="124" t="s">
        <v>111</v>
      </c>
      <c r="C65" s="125" t="str">
        <f>IF(D65=0,"Digite a CH", IF(D65&lt;80,Dados!$AC$2,IF(D65=80,Dados!$AC$3,IF(D65&lt;179,Dados!$AC$3,IF(D65&gt;179,Dados!$AC$4)))))</f>
        <v>Básico (Até 79h)</v>
      </c>
      <c r="D65" s="126">
        <v>8.0</v>
      </c>
      <c r="E65" s="126" t="s">
        <v>529</v>
      </c>
      <c r="F65" s="125" t="s">
        <v>209</v>
      </c>
      <c r="G65" s="125" t="s">
        <v>455</v>
      </c>
      <c r="H65" s="125" t="s">
        <v>211</v>
      </c>
      <c r="I65" s="125" t="s">
        <v>563</v>
      </c>
      <c r="J65" s="189">
        <v>45521.0</v>
      </c>
      <c r="K65" s="126"/>
      <c r="L65" s="126"/>
      <c r="M65" s="125" t="s">
        <v>335</v>
      </c>
      <c r="N65" s="126">
        <v>0.0</v>
      </c>
      <c r="O65" s="126"/>
      <c r="P65" s="126"/>
      <c r="Q65" s="126" t="s">
        <v>83</v>
      </c>
      <c r="R65" s="131" t="str">
        <f t="shared" si="1"/>
        <v>#DIV/0!</v>
      </c>
      <c r="S65" s="131" t="str">
        <f t="shared" si="2"/>
        <v>#DIV/0!</v>
      </c>
      <c r="T65" s="126" t="s">
        <v>459</v>
      </c>
      <c r="U65" s="126" t="s">
        <v>335</v>
      </c>
      <c r="V65" s="126" t="s">
        <v>401</v>
      </c>
      <c r="W65" s="144" t="s">
        <v>562</v>
      </c>
      <c r="X65" s="160" t="s">
        <v>560</v>
      </c>
      <c r="Y65" s="125"/>
      <c r="Z65" s="184"/>
      <c r="AA65" s="184"/>
      <c r="AB65" s="190"/>
      <c r="AC65" s="125"/>
      <c r="AD65" s="126"/>
      <c r="AE65" s="153"/>
      <c r="AF65" s="112"/>
      <c r="AG65" s="112"/>
      <c r="AH65" s="112"/>
    </row>
    <row r="66" hidden="1">
      <c r="A66" s="135" t="s">
        <v>14</v>
      </c>
      <c r="B66" s="124" t="s">
        <v>111</v>
      </c>
      <c r="C66" s="125" t="str">
        <f>IF(D66=0,"Digite a CH", IF(D66&lt;80,Dados!$AC$2,IF(D66=80,Dados!$AC$3,IF(D66&lt;179,Dados!$AC$3,IF(D66&gt;179,Dados!$AC$4)))))</f>
        <v>Básico (Até 79h)</v>
      </c>
      <c r="D66" s="126">
        <v>8.0</v>
      </c>
      <c r="E66" s="126" t="s">
        <v>511</v>
      </c>
      <c r="F66" s="125" t="s">
        <v>209</v>
      </c>
      <c r="G66" s="125" t="s">
        <v>455</v>
      </c>
      <c r="H66" s="125" t="s">
        <v>211</v>
      </c>
      <c r="I66" s="125" t="s">
        <v>564</v>
      </c>
      <c r="J66" s="203">
        <v>45521.0</v>
      </c>
      <c r="K66" s="126"/>
      <c r="L66" s="126"/>
      <c r="M66" s="125" t="s">
        <v>335</v>
      </c>
      <c r="N66" s="126">
        <v>0.0</v>
      </c>
      <c r="O66" s="126"/>
      <c r="P66" s="126"/>
      <c r="Q66" s="126" t="s">
        <v>83</v>
      </c>
      <c r="R66" s="131" t="str">
        <f t="shared" si="1"/>
        <v>#DIV/0!</v>
      </c>
      <c r="S66" s="131" t="str">
        <f t="shared" si="2"/>
        <v>#DIV/0!</v>
      </c>
      <c r="T66" s="126" t="s">
        <v>459</v>
      </c>
      <c r="U66" s="126" t="s">
        <v>335</v>
      </c>
      <c r="V66" s="126" t="s">
        <v>401</v>
      </c>
      <c r="W66" s="144" t="s">
        <v>562</v>
      </c>
      <c r="X66" s="160" t="s">
        <v>560</v>
      </c>
      <c r="Y66" s="125"/>
      <c r="Z66" s="184"/>
      <c r="AA66" s="184"/>
      <c r="AB66" s="190"/>
      <c r="AC66" s="125"/>
      <c r="AD66" s="126"/>
      <c r="AE66" s="153"/>
      <c r="AF66" s="112"/>
      <c r="AG66" s="112"/>
      <c r="AH66" s="112"/>
    </row>
    <row r="67">
      <c r="A67" s="135" t="s">
        <v>14</v>
      </c>
      <c r="B67" s="124" t="s">
        <v>81</v>
      </c>
      <c r="C67" s="125" t="str">
        <f>IF(D67=0,"Digite a CH", IF(D67&lt;80,Dados!$AC$2,IF(D67=80,Dados!$AC$3,IF(D67&lt;179,Dados!$AC$3,IF(D67&gt;179,Dados!$AC$4)))))</f>
        <v>Básico (Até 79h)</v>
      </c>
      <c r="D67" s="126">
        <v>8.0</v>
      </c>
      <c r="E67" s="126" t="s">
        <v>208</v>
      </c>
      <c r="F67" s="125" t="s">
        <v>209</v>
      </c>
      <c r="G67" s="125" t="s">
        <v>455</v>
      </c>
      <c r="H67" s="125" t="s">
        <v>211</v>
      </c>
      <c r="I67" s="125" t="s">
        <v>117</v>
      </c>
      <c r="J67" s="189">
        <v>45625.0</v>
      </c>
      <c r="K67" s="129">
        <v>45632.0</v>
      </c>
      <c r="L67" s="129">
        <v>45632.0</v>
      </c>
      <c r="M67" s="125"/>
      <c r="N67" s="126">
        <v>20.0</v>
      </c>
      <c r="O67" s="126">
        <v>25.0</v>
      </c>
      <c r="P67" s="177">
        <v>18.0</v>
      </c>
      <c r="Q67" s="126" t="s">
        <v>73</v>
      </c>
      <c r="R67" s="131">
        <f t="shared" si="1"/>
        <v>0.1</v>
      </c>
      <c r="S67" s="131">
        <f t="shared" si="2"/>
        <v>0.28</v>
      </c>
      <c r="T67" s="126" t="s">
        <v>459</v>
      </c>
      <c r="U67" s="126" t="s">
        <v>335</v>
      </c>
      <c r="V67" s="126" t="s">
        <v>401</v>
      </c>
      <c r="W67" s="144" t="s">
        <v>565</v>
      </c>
      <c r="X67" s="160" t="s">
        <v>560</v>
      </c>
      <c r="Y67" s="125" t="s">
        <v>566</v>
      </c>
      <c r="Z67" s="184" t="s">
        <v>283</v>
      </c>
      <c r="AA67" s="184"/>
      <c r="AB67" s="196" t="s">
        <v>567</v>
      </c>
      <c r="AC67" s="125" t="s">
        <v>568</v>
      </c>
      <c r="AD67" s="125" t="s">
        <v>569</v>
      </c>
      <c r="AE67" s="152" t="s">
        <v>570</v>
      </c>
      <c r="AF67" s="112"/>
      <c r="AG67" s="112"/>
      <c r="AH67" s="112"/>
    </row>
    <row r="68">
      <c r="A68" s="135" t="s">
        <v>14</v>
      </c>
      <c r="B68" s="124" t="s">
        <v>571</v>
      </c>
      <c r="C68" s="125" t="str">
        <f>IF(D68=0,"Digite a CH", IF(D68&lt;80,Dados!$AC$2,IF(D68=80,Dados!$AC$3,IF(D68&lt;179,Dados!$AC$3,IF(D68&gt;179,Dados!$AC$4)))))</f>
        <v>Básico (Até 79h)</v>
      </c>
      <c r="D68" s="126">
        <v>40.0</v>
      </c>
      <c r="E68" s="126" t="s">
        <v>208</v>
      </c>
      <c r="F68" s="125" t="s">
        <v>209</v>
      </c>
      <c r="G68" s="125" t="s">
        <v>455</v>
      </c>
      <c r="H68" s="125" t="s">
        <v>211</v>
      </c>
      <c r="I68" s="125" t="s">
        <v>449</v>
      </c>
      <c r="J68" s="125" t="s">
        <v>572</v>
      </c>
      <c r="K68" s="126"/>
      <c r="L68" s="126"/>
      <c r="M68" s="125"/>
      <c r="N68" s="126">
        <v>50.0</v>
      </c>
      <c r="O68" s="126">
        <v>68.0</v>
      </c>
      <c r="P68" s="177">
        <v>45.0</v>
      </c>
      <c r="Q68" s="126" t="s">
        <v>73</v>
      </c>
      <c r="R68" s="131">
        <f t="shared" si="1"/>
        <v>0.1</v>
      </c>
      <c r="S68" s="131">
        <f t="shared" si="2"/>
        <v>0.3382352941</v>
      </c>
      <c r="T68" s="126" t="s">
        <v>459</v>
      </c>
      <c r="U68" s="126" t="s">
        <v>335</v>
      </c>
      <c r="V68" s="126" t="s">
        <v>401</v>
      </c>
      <c r="W68" s="144" t="s">
        <v>573</v>
      </c>
      <c r="X68" s="192" t="s">
        <v>574</v>
      </c>
      <c r="Y68" s="125" t="s">
        <v>575</v>
      </c>
      <c r="Z68" s="184" t="s">
        <v>218</v>
      </c>
      <c r="AA68" s="184" t="s">
        <v>462</v>
      </c>
      <c r="AB68" s="190" t="s">
        <v>567</v>
      </c>
      <c r="AC68" s="125" t="s">
        <v>576</v>
      </c>
      <c r="AD68" s="125" t="s">
        <v>577</v>
      </c>
      <c r="AE68" s="152" t="s">
        <v>578</v>
      </c>
      <c r="AF68" s="112"/>
      <c r="AG68" s="112"/>
      <c r="AH68" s="112"/>
    </row>
    <row r="69">
      <c r="A69" s="204" t="s">
        <v>7</v>
      </c>
      <c r="B69" s="124" t="s">
        <v>30</v>
      </c>
      <c r="C69" s="125" t="str">
        <f>IF(D69=0,"Digite a CH", IF(D69&lt;80,Dados!$AC$2,IF(D69=80,Dados!$AC$3,IF(D69&lt;179,Dados!$AC$3,IF(D69&gt;179,Dados!$AC$4)))))</f>
        <v>Básico (Até 79h)</v>
      </c>
      <c r="D69" s="126">
        <v>40.0</v>
      </c>
      <c r="E69" s="126" t="s">
        <v>208</v>
      </c>
      <c r="F69" s="125" t="s">
        <v>209</v>
      </c>
      <c r="G69" s="125" t="s">
        <v>210</v>
      </c>
      <c r="H69" s="128" t="s">
        <v>211</v>
      </c>
      <c r="I69" s="125" t="s">
        <v>91</v>
      </c>
      <c r="J69" s="125" t="s">
        <v>382</v>
      </c>
      <c r="K69" s="129">
        <v>45425.0</v>
      </c>
      <c r="L69" s="129">
        <v>45429.0</v>
      </c>
      <c r="M69" s="130" t="s">
        <v>30</v>
      </c>
      <c r="N69" s="126">
        <v>15.0</v>
      </c>
      <c r="O69" s="126">
        <v>7.0</v>
      </c>
      <c r="P69" s="126">
        <v>5.0</v>
      </c>
      <c r="Q69" s="126" t="s">
        <v>73</v>
      </c>
      <c r="R69" s="131">
        <f t="shared" si="1"/>
        <v>0.6666666667</v>
      </c>
      <c r="S69" s="131">
        <f t="shared" si="2"/>
        <v>0.2857142857</v>
      </c>
      <c r="T69" s="126" t="s">
        <v>579</v>
      </c>
      <c r="U69" s="126" t="s">
        <v>580</v>
      </c>
      <c r="V69" s="143" t="s">
        <v>401</v>
      </c>
      <c r="W69" s="144" t="s">
        <v>581</v>
      </c>
      <c r="X69" s="125"/>
      <c r="Y69" s="125"/>
      <c r="Z69" s="125"/>
      <c r="AA69" s="125"/>
      <c r="AB69" s="125"/>
      <c r="AC69" s="125"/>
      <c r="AD69" s="125"/>
      <c r="AE69" s="126"/>
      <c r="AF69" s="112"/>
      <c r="AG69" s="112"/>
      <c r="AH69" s="112"/>
    </row>
    <row r="70">
      <c r="A70" s="204" t="s">
        <v>7</v>
      </c>
      <c r="B70" s="124" t="s">
        <v>30</v>
      </c>
      <c r="C70" s="125" t="str">
        <f>IF(D70=0,"Digite a CH", IF(D70&lt;80,Dados!$AC$2,IF(D70=80,Dados!$AC$3,IF(D70&lt;179,Dados!$AC$3,IF(D70&gt;179,Dados!$AC$4)))))</f>
        <v>Básico (Até 79h)</v>
      </c>
      <c r="D70" s="126">
        <v>40.0</v>
      </c>
      <c r="E70" s="126" t="s">
        <v>266</v>
      </c>
      <c r="F70" s="125" t="s">
        <v>209</v>
      </c>
      <c r="G70" s="125" t="s">
        <v>210</v>
      </c>
      <c r="H70" s="128" t="s">
        <v>211</v>
      </c>
      <c r="I70" s="143" t="s">
        <v>582</v>
      </c>
      <c r="J70" s="125"/>
      <c r="K70" s="126"/>
      <c r="L70" s="126"/>
      <c r="M70" s="125"/>
      <c r="N70" s="126">
        <v>0.0</v>
      </c>
      <c r="O70" s="126">
        <v>0.0</v>
      </c>
      <c r="P70" s="126" t="s">
        <v>335</v>
      </c>
      <c r="Q70" s="126" t="s">
        <v>83</v>
      </c>
      <c r="R70" s="131" t="str">
        <f t="shared" si="1"/>
        <v>#VALUE!</v>
      </c>
      <c r="S70" s="131" t="str">
        <f t="shared" si="2"/>
        <v>#VALUE!</v>
      </c>
      <c r="T70" s="126" t="s">
        <v>579</v>
      </c>
      <c r="U70" s="126" t="s">
        <v>580</v>
      </c>
      <c r="V70" s="143" t="s">
        <v>401</v>
      </c>
      <c r="W70" s="144"/>
      <c r="X70" s="125"/>
      <c r="Y70" s="125"/>
      <c r="Z70" s="125"/>
      <c r="AA70" s="125"/>
      <c r="AB70" s="125"/>
      <c r="AC70" s="126"/>
      <c r="AD70" s="125"/>
      <c r="AE70" s="126"/>
      <c r="AF70" s="112"/>
      <c r="AG70" s="112"/>
      <c r="AH70" s="112"/>
    </row>
    <row r="71" ht="55.5" customHeight="1">
      <c r="A71" s="204" t="s">
        <v>7</v>
      </c>
      <c r="B71" s="124" t="s">
        <v>50</v>
      </c>
      <c r="C71" s="125" t="str">
        <f>IF(D71=0,"Digite a CH", IF(D71&lt;80,Dados!$AC$2,IF(D71=80,Dados!$AC$3,IF(D71&lt;179,Dados!$AC$3,IF(D71&gt;179,Dados!$AC$4)))))</f>
        <v>Atualização (80h-179h)</v>
      </c>
      <c r="D71" s="126">
        <v>80.0</v>
      </c>
      <c r="E71" s="125" t="s">
        <v>583</v>
      </c>
      <c r="F71" s="125" t="s">
        <v>209</v>
      </c>
      <c r="G71" s="125" t="s">
        <v>210</v>
      </c>
      <c r="H71" s="128" t="s">
        <v>232</v>
      </c>
      <c r="I71" s="143" t="s">
        <v>584</v>
      </c>
      <c r="J71" s="205" t="s">
        <v>585</v>
      </c>
      <c r="K71" s="126"/>
      <c r="L71" s="126"/>
      <c r="M71" s="125"/>
      <c r="N71" s="126">
        <v>180.0</v>
      </c>
      <c r="O71" s="126">
        <v>247.0</v>
      </c>
      <c r="P71" s="126">
        <v>160.0</v>
      </c>
      <c r="Q71" s="126" t="s">
        <v>73</v>
      </c>
      <c r="R71" s="131">
        <f t="shared" si="1"/>
        <v>0.1111111111</v>
      </c>
      <c r="S71" s="131">
        <f t="shared" si="2"/>
        <v>0.3522267206</v>
      </c>
      <c r="T71" s="126" t="s">
        <v>579</v>
      </c>
      <c r="U71" s="126" t="s">
        <v>580</v>
      </c>
      <c r="V71" s="143" t="s">
        <v>401</v>
      </c>
      <c r="W71" s="144"/>
      <c r="X71" s="125"/>
      <c r="Y71" s="125"/>
      <c r="Z71" s="125"/>
      <c r="AA71" s="125"/>
      <c r="AB71" s="125"/>
      <c r="AC71" s="125"/>
      <c r="AD71" s="125"/>
      <c r="AE71" s="126"/>
      <c r="AF71" s="112"/>
      <c r="AG71" s="112"/>
      <c r="AH71" s="112"/>
    </row>
    <row r="72" ht="81.75" customHeight="1">
      <c r="A72" s="204" t="s">
        <v>7</v>
      </c>
      <c r="B72" s="124" t="s">
        <v>67</v>
      </c>
      <c r="C72" s="125" t="str">
        <f>IF(D72=0,"Digite a CH", IF(D72&lt;80,Dados!$AC$2,IF(D72=80,Dados!$AC$3,IF(D72&lt;179,Dados!$AC$3,IF(D72&gt;179,Dados!$AC$4)))))</f>
        <v>Básico (Até 79h)</v>
      </c>
      <c r="D72" s="126">
        <v>24.0</v>
      </c>
      <c r="E72" s="126" t="s">
        <v>208</v>
      </c>
      <c r="F72" s="125" t="s">
        <v>209</v>
      </c>
      <c r="G72" s="125" t="s">
        <v>210</v>
      </c>
      <c r="H72" s="128" t="s">
        <v>232</v>
      </c>
      <c r="I72" s="125" t="s">
        <v>118</v>
      </c>
      <c r="J72" s="125" t="s">
        <v>586</v>
      </c>
      <c r="K72" s="126"/>
      <c r="L72" s="126"/>
      <c r="M72" s="125"/>
      <c r="N72" s="126">
        <v>0.0</v>
      </c>
      <c r="O72" s="126"/>
      <c r="P72" s="126"/>
      <c r="Q72" s="126" t="s">
        <v>60</v>
      </c>
      <c r="R72" s="131" t="str">
        <f t="shared" si="1"/>
        <v>#DIV/0!</v>
      </c>
      <c r="S72" s="131" t="str">
        <f t="shared" si="2"/>
        <v>#DIV/0!</v>
      </c>
      <c r="T72" s="126" t="s">
        <v>579</v>
      </c>
      <c r="U72" s="126" t="s">
        <v>580</v>
      </c>
      <c r="V72" s="143" t="s">
        <v>401</v>
      </c>
      <c r="W72" s="144"/>
      <c r="X72" s="153"/>
      <c r="Y72" s="153"/>
      <c r="Z72" s="153"/>
      <c r="AA72" s="153"/>
      <c r="AB72" s="206"/>
      <c r="AC72" s="153"/>
      <c r="AD72" s="153"/>
      <c r="AE72" s="153"/>
      <c r="AF72" s="112"/>
      <c r="AG72" s="112"/>
      <c r="AH72" s="112"/>
    </row>
    <row r="73">
      <c r="A73" s="207" t="s">
        <v>8</v>
      </c>
      <c r="B73" s="124" t="s">
        <v>51</v>
      </c>
      <c r="C73" s="125" t="str">
        <f>IF(D73=0,"Digite a CH", IF(D73&lt;80,Dados!$AC$2,IF(D73=80,Dados!$AC$3,IF(D73&lt;179,Dados!$AC$3,IF($D$73&gt;179,Dados!$AC$4)))))</f>
        <v>Básico (Até 79h)</v>
      </c>
      <c r="D73" s="126">
        <v>60.0</v>
      </c>
      <c r="E73" s="125" t="s">
        <v>587</v>
      </c>
      <c r="F73" s="125" t="s">
        <v>588</v>
      </c>
      <c r="G73" s="125" t="s">
        <v>538</v>
      </c>
      <c r="H73" s="128" t="s">
        <v>232</v>
      </c>
      <c r="I73" s="143" t="s">
        <v>113</v>
      </c>
      <c r="J73" s="125" t="s">
        <v>589</v>
      </c>
      <c r="K73" s="126"/>
      <c r="L73" s="126"/>
      <c r="M73" s="125"/>
      <c r="N73" s="126">
        <v>50.0</v>
      </c>
      <c r="O73" s="126">
        <v>51.0</v>
      </c>
      <c r="P73" s="126">
        <v>28.0</v>
      </c>
      <c r="Q73" s="126" t="s">
        <v>73</v>
      </c>
      <c r="R73" s="131">
        <f t="shared" si="1"/>
        <v>0.44</v>
      </c>
      <c r="S73" s="131">
        <f t="shared" si="2"/>
        <v>0.4509803922</v>
      </c>
      <c r="T73" s="126" t="s">
        <v>590</v>
      </c>
      <c r="U73" s="126" t="s">
        <v>591</v>
      </c>
      <c r="V73" s="125" t="s">
        <v>592</v>
      </c>
      <c r="W73" s="125" t="s">
        <v>593</v>
      </c>
      <c r="X73" s="140" t="s">
        <v>594</v>
      </c>
      <c r="Y73" s="143" t="s">
        <v>595</v>
      </c>
      <c r="Z73" s="125" t="s">
        <v>218</v>
      </c>
      <c r="AA73" s="173" t="s">
        <v>596</v>
      </c>
      <c r="AB73" s="173" t="s">
        <v>597</v>
      </c>
      <c r="AC73" s="208" t="s">
        <v>598</v>
      </c>
      <c r="AD73" s="209" t="s">
        <v>599</v>
      </c>
      <c r="AE73" s="126" t="s">
        <v>600</v>
      </c>
      <c r="AF73" s="112"/>
      <c r="AG73" s="112"/>
      <c r="AH73" s="112"/>
    </row>
    <row r="74">
      <c r="A74" s="207" t="s">
        <v>8</v>
      </c>
      <c r="B74" s="124" t="s">
        <v>51</v>
      </c>
      <c r="C74" s="125" t="str">
        <f>IF(D74=0,"Digite a CH", IF(D74&lt;80,Dados!$AC$2,IF(D74=80,Dados!$AC$3,IF(D74&lt;179,Dados!$AC$3,IF($D$73&gt;179,Dados!$AC$4)))))</f>
        <v>Básico (Até 79h)</v>
      </c>
      <c r="D74" s="126">
        <v>60.0</v>
      </c>
      <c r="E74" s="125" t="s">
        <v>601</v>
      </c>
      <c r="F74" s="125" t="s">
        <v>209</v>
      </c>
      <c r="G74" s="125" t="s">
        <v>538</v>
      </c>
      <c r="H74" s="128" t="s">
        <v>232</v>
      </c>
      <c r="I74" s="143" t="s">
        <v>117</v>
      </c>
      <c r="J74" s="125" t="s">
        <v>602</v>
      </c>
      <c r="K74" s="126"/>
      <c r="L74" s="126"/>
      <c r="M74" s="125"/>
      <c r="N74" s="126">
        <v>50.0</v>
      </c>
      <c r="O74" s="126">
        <v>65.0</v>
      </c>
      <c r="P74" s="126">
        <v>31.0</v>
      </c>
      <c r="Q74" s="126" t="s">
        <v>73</v>
      </c>
      <c r="R74" s="131">
        <f t="shared" si="1"/>
        <v>0.38</v>
      </c>
      <c r="S74" s="131">
        <f t="shared" si="2"/>
        <v>0.5230769231</v>
      </c>
      <c r="T74" s="126" t="s">
        <v>590</v>
      </c>
      <c r="U74" s="126" t="s">
        <v>591</v>
      </c>
      <c r="V74" s="125" t="s">
        <v>592</v>
      </c>
      <c r="W74" s="125" t="s">
        <v>603</v>
      </c>
      <c r="X74" s="140" t="s">
        <v>604</v>
      </c>
      <c r="Y74" s="125" t="s">
        <v>605</v>
      </c>
      <c r="Z74" s="125" t="s">
        <v>218</v>
      </c>
      <c r="AA74" s="173" t="s">
        <v>606</v>
      </c>
      <c r="AB74" s="173" t="s">
        <v>597</v>
      </c>
      <c r="AC74" s="208" t="s">
        <v>598</v>
      </c>
      <c r="AD74" s="209" t="s">
        <v>599</v>
      </c>
      <c r="AE74" s="126" t="s">
        <v>600</v>
      </c>
      <c r="AF74" s="112"/>
      <c r="AG74" s="112"/>
      <c r="AH74" s="112"/>
    </row>
    <row r="75">
      <c r="A75" s="207" t="s">
        <v>8</v>
      </c>
      <c r="B75" s="124" t="s">
        <v>51</v>
      </c>
      <c r="C75" s="125" t="str">
        <f>IF(D75=0,"Digite a CH", IF(D75&lt;80,Dados!$AC$2,IF(D75=80,Dados!$AC$3,IF(D75&lt;179,Dados!$AC$3,IF($D$73&gt;179,Dados!$AC$4)))))</f>
        <v>Básico (Até 79h)</v>
      </c>
      <c r="D75" s="126">
        <v>60.0</v>
      </c>
      <c r="E75" s="125" t="s">
        <v>607</v>
      </c>
      <c r="F75" s="125" t="s">
        <v>608</v>
      </c>
      <c r="G75" s="125" t="s">
        <v>333</v>
      </c>
      <c r="H75" s="128" t="s">
        <v>232</v>
      </c>
      <c r="I75" s="143" t="s">
        <v>609</v>
      </c>
      <c r="J75" s="125" t="s">
        <v>610</v>
      </c>
      <c r="K75" s="126"/>
      <c r="L75" s="126"/>
      <c r="M75" s="125"/>
      <c r="N75" s="126">
        <v>50.0</v>
      </c>
      <c r="O75" s="126">
        <v>49.0</v>
      </c>
      <c r="P75" s="126">
        <v>31.0</v>
      </c>
      <c r="Q75" s="126" t="s">
        <v>73</v>
      </c>
      <c r="R75" s="131">
        <f t="shared" si="1"/>
        <v>0.38</v>
      </c>
      <c r="S75" s="131">
        <f t="shared" si="2"/>
        <v>0.3673469388</v>
      </c>
      <c r="T75" s="126" t="s">
        <v>590</v>
      </c>
      <c r="U75" s="126" t="s">
        <v>591</v>
      </c>
      <c r="V75" s="125" t="s">
        <v>592</v>
      </c>
      <c r="W75" s="125" t="s">
        <v>603</v>
      </c>
      <c r="X75" s="140" t="s">
        <v>604</v>
      </c>
      <c r="Y75" s="125" t="s">
        <v>605</v>
      </c>
      <c r="Z75" s="125" t="s">
        <v>218</v>
      </c>
      <c r="AA75" s="173" t="s">
        <v>611</v>
      </c>
      <c r="AB75" s="173" t="s">
        <v>597</v>
      </c>
      <c r="AC75" s="208" t="s">
        <v>598</v>
      </c>
      <c r="AD75" s="209" t="s">
        <v>599</v>
      </c>
      <c r="AE75" s="126" t="s">
        <v>600</v>
      </c>
      <c r="AF75" s="112"/>
      <c r="AG75" s="112"/>
      <c r="AH75" s="112"/>
    </row>
    <row r="76">
      <c r="A76" s="207" t="s">
        <v>8</v>
      </c>
      <c r="B76" s="124" t="s">
        <v>51</v>
      </c>
      <c r="C76" s="125" t="str">
        <f>IF(D76=0,"Digite a CH", IF(D76&lt;80,Dados!$AC$2,IF(D76=80,Dados!$AC$3,IF(D76&lt;179,Dados!$AC$3,IF($D$73&gt;179,Dados!$AC$4)))))</f>
        <v>Básico (Até 79h)</v>
      </c>
      <c r="D76" s="126">
        <v>60.0</v>
      </c>
      <c r="E76" s="125" t="s">
        <v>612</v>
      </c>
      <c r="F76" s="125" t="s">
        <v>613</v>
      </c>
      <c r="G76" s="125" t="s">
        <v>333</v>
      </c>
      <c r="H76" s="128" t="s">
        <v>232</v>
      </c>
      <c r="I76" s="143" t="s">
        <v>115</v>
      </c>
      <c r="J76" s="125" t="s">
        <v>614</v>
      </c>
      <c r="K76" s="126"/>
      <c r="L76" s="126"/>
      <c r="M76" s="125"/>
      <c r="N76" s="124">
        <v>0.0</v>
      </c>
      <c r="O76" s="126">
        <v>0.0</v>
      </c>
      <c r="P76" s="126" t="s">
        <v>335</v>
      </c>
      <c r="Q76" s="126" t="s">
        <v>83</v>
      </c>
      <c r="R76" s="131" t="str">
        <f>IF(((#REF!-P76)/#REF!)=100%,0, (#REF!-P76)/#REF!)</f>
        <v>#REF!</v>
      </c>
      <c r="S76" s="131" t="str">
        <f t="shared" si="2"/>
        <v>#VALUE!</v>
      </c>
      <c r="T76" s="126" t="s">
        <v>590</v>
      </c>
      <c r="U76" s="126" t="s">
        <v>591</v>
      </c>
      <c r="V76" s="125" t="s">
        <v>592</v>
      </c>
      <c r="W76" s="125" t="s">
        <v>603</v>
      </c>
      <c r="X76" s="140" t="s">
        <v>604</v>
      </c>
      <c r="Y76" s="125" t="s">
        <v>615</v>
      </c>
      <c r="Z76" s="125" t="s">
        <v>218</v>
      </c>
      <c r="AA76" s="173" t="s">
        <v>616</v>
      </c>
      <c r="AB76" s="173" t="s">
        <v>597</v>
      </c>
      <c r="AC76" s="208" t="s">
        <v>598</v>
      </c>
      <c r="AD76" s="209" t="s">
        <v>599</v>
      </c>
      <c r="AE76" s="126" t="s">
        <v>600</v>
      </c>
      <c r="AF76" s="112"/>
      <c r="AG76" s="112"/>
      <c r="AH76" s="112"/>
    </row>
    <row r="77">
      <c r="A77" s="207" t="s">
        <v>8</v>
      </c>
      <c r="B77" s="124" t="s">
        <v>51</v>
      </c>
      <c r="C77" s="125" t="str">
        <f>IF(D77=0,"Digite a CH", IF(D77&lt;80,Dados!$AC$2,IF(D77=80,Dados!$AC$3,IF(D77&lt;179,Dados!$AC$3,IF($D$73&gt;179,Dados!$AC$4)))))</f>
        <v>Básico (Até 79h)</v>
      </c>
      <c r="D77" s="126">
        <v>60.0</v>
      </c>
      <c r="E77" s="125" t="s">
        <v>617</v>
      </c>
      <c r="F77" s="125" t="s">
        <v>357</v>
      </c>
      <c r="G77" s="125" t="s">
        <v>333</v>
      </c>
      <c r="H77" s="128" t="s">
        <v>232</v>
      </c>
      <c r="I77" s="143" t="s">
        <v>117</v>
      </c>
      <c r="J77" s="125" t="s">
        <v>618</v>
      </c>
      <c r="K77" s="126"/>
      <c r="L77" s="126"/>
      <c r="M77" s="125"/>
      <c r="N77" s="124">
        <v>0.0</v>
      </c>
      <c r="O77" s="126">
        <v>0.0</v>
      </c>
      <c r="P77" s="126" t="s">
        <v>335</v>
      </c>
      <c r="Q77" s="126" t="s">
        <v>83</v>
      </c>
      <c r="R77" s="131" t="str">
        <f>IF(((N76-P77)/N76)=100%,0, (N76-P77)/N76)</f>
        <v>#VALUE!</v>
      </c>
      <c r="S77" s="131" t="str">
        <f t="shared" si="2"/>
        <v>#VALUE!</v>
      </c>
      <c r="T77" s="126" t="s">
        <v>590</v>
      </c>
      <c r="U77" s="126" t="s">
        <v>591</v>
      </c>
      <c r="V77" s="125" t="s">
        <v>592</v>
      </c>
      <c r="W77" s="125" t="s">
        <v>603</v>
      </c>
      <c r="X77" s="140" t="s">
        <v>604</v>
      </c>
      <c r="Y77" s="125" t="s">
        <v>619</v>
      </c>
      <c r="Z77" s="125" t="s">
        <v>218</v>
      </c>
      <c r="AA77" s="173" t="s">
        <v>620</v>
      </c>
      <c r="AB77" s="173" t="s">
        <v>597</v>
      </c>
      <c r="AC77" s="208" t="s">
        <v>598</v>
      </c>
      <c r="AD77" s="209" t="s">
        <v>599</v>
      </c>
      <c r="AE77" s="126" t="s">
        <v>600</v>
      </c>
      <c r="AF77" s="112"/>
      <c r="AG77" s="112"/>
      <c r="AH77" s="112"/>
    </row>
    <row r="78">
      <c r="A78" s="207" t="s">
        <v>8</v>
      </c>
      <c r="B78" s="124" t="s">
        <v>51</v>
      </c>
      <c r="C78" s="125" t="str">
        <f>IF(D78=0,"Digite a CH", IF(D78&lt;80,Dados!$AC$2,IF(D78=80,Dados!$AC$3,IF(D78&lt;179,Dados!$AC$3,IF($D$73&gt;179,Dados!$AC$4)))))</f>
        <v>Básico (Até 79h)</v>
      </c>
      <c r="D78" s="126">
        <v>60.0</v>
      </c>
      <c r="E78" s="125" t="s">
        <v>621</v>
      </c>
      <c r="F78" s="125" t="s">
        <v>316</v>
      </c>
      <c r="G78" s="125" t="s">
        <v>333</v>
      </c>
      <c r="H78" s="128" t="s">
        <v>232</v>
      </c>
      <c r="I78" s="143" t="s">
        <v>117</v>
      </c>
      <c r="J78" s="125" t="s">
        <v>622</v>
      </c>
      <c r="K78" s="126"/>
      <c r="L78" s="126"/>
      <c r="M78" s="125"/>
      <c r="N78" s="126">
        <v>0.0</v>
      </c>
      <c r="O78" s="126">
        <v>0.0</v>
      </c>
      <c r="P78" s="126" t="s">
        <v>335</v>
      </c>
      <c r="Q78" s="126" t="s">
        <v>83</v>
      </c>
      <c r="R78" s="131" t="str">
        <f t="shared" ref="R78:R100" si="3">IF(((N78-P78)/N78)=100%,0, (N78-P78)/N78)</f>
        <v>#VALUE!</v>
      </c>
      <c r="S78" s="131" t="str">
        <f t="shared" si="2"/>
        <v>#VALUE!</v>
      </c>
      <c r="T78" s="126" t="s">
        <v>590</v>
      </c>
      <c r="U78" s="126" t="s">
        <v>591</v>
      </c>
      <c r="V78" s="125" t="s">
        <v>592</v>
      </c>
      <c r="W78" s="125" t="s">
        <v>603</v>
      </c>
      <c r="X78" s="140" t="s">
        <v>604</v>
      </c>
      <c r="Y78" s="125" t="s">
        <v>619</v>
      </c>
      <c r="Z78" s="125" t="s">
        <v>218</v>
      </c>
      <c r="AA78" s="173" t="s">
        <v>623</v>
      </c>
      <c r="AB78" s="173" t="s">
        <v>597</v>
      </c>
      <c r="AC78" s="208" t="s">
        <v>598</v>
      </c>
      <c r="AD78" s="209" t="s">
        <v>599</v>
      </c>
      <c r="AE78" s="126" t="s">
        <v>600</v>
      </c>
      <c r="AF78" s="112"/>
      <c r="AG78" s="112"/>
      <c r="AH78" s="112"/>
    </row>
    <row r="79">
      <c r="A79" s="207" t="s">
        <v>8</v>
      </c>
      <c r="B79" s="124" t="s">
        <v>51</v>
      </c>
      <c r="C79" s="125" t="str">
        <f>IF(D79=0,"Digite a CH", IF(D79&lt;80,Dados!$AC$2,IF(D79=80,Dados!$AC$3,IF(D79&lt;179,Dados!$AC$3,IF(D79&gt;179,Dados!$AC$4)))))</f>
        <v>Básico (Até 79h)</v>
      </c>
      <c r="D79" s="126">
        <v>60.0</v>
      </c>
      <c r="E79" s="125" t="s">
        <v>624</v>
      </c>
      <c r="F79" s="125" t="s">
        <v>625</v>
      </c>
      <c r="G79" s="125" t="s">
        <v>333</v>
      </c>
      <c r="H79" s="128" t="s">
        <v>232</v>
      </c>
      <c r="I79" s="143" t="s">
        <v>117</v>
      </c>
      <c r="J79" s="125" t="s">
        <v>626</v>
      </c>
      <c r="K79" s="126"/>
      <c r="L79" s="126"/>
      <c r="M79" s="125"/>
      <c r="N79" s="126">
        <v>0.0</v>
      </c>
      <c r="O79" s="126">
        <v>0.0</v>
      </c>
      <c r="P79" s="126" t="s">
        <v>335</v>
      </c>
      <c r="Q79" s="126" t="s">
        <v>83</v>
      </c>
      <c r="R79" s="131" t="str">
        <f t="shared" si="3"/>
        <v>#VALUE!</v>
      </c>
      <c r="S79" s="131" t="str">
        <f t="shared" si="2"/>
        <v>#VALUE!</v>
      </c>
      <c r="T79" s="126" t="s">
        <v>590</v>
      </c>
      <c r="U79" s="126" t="s">
        <v>591</v>
      </c>
      <c r="V79" s="125" t="s">
        <v>592</v>
      </c>
      <c r="W79" s="125" t="s">
        <v>603</v>
      </c>
      <c r="X79" s="140" t="s">
        <v>604</v>
      </c>
      <c r="Y79" s="125" t="s">
        <v>619</v>
      </c>
      <c r="Z79" s="125" t="s">
        <v>218</v>
      </c>
      <c r="AA79" s="173" t="s">
        <v>627</v>
      </c>
      <c r="AB79" s="173" t="s">
        <v>597</v>
      </c>
      <c r="AC79" s="208" t="s">
        <v>598</v>
      </c>
      <c r="AD79" s="209" t="s">
        <v>599</v>
      </c>
      <c r="AE79" s="126" t="s">
        <v>600</v>
      </c>
      <c r="AF79" s="112"/>
      <c r="AG79" s="112"/>
      <c r="AH79" s="112"/>
    </row>
    <row r="80">
      <c r="A80" s="207" t="s">
        <v>8</v>
      </c>
      <c r="B80" s="124" t="s">
        <v>51</v>
      </c>
      <c r="C80" s="125" t="str">
        <f>IF(D80=0,"Digite a CH", IF(D80&lt;80,Dados!$AC$2,IF(D80=80,Dados!$AC$3,IF(D80&lt;179,Dados!$AC$3,IF(D80&gt;179,Dados!$AC$4)))))</f>
        <v>Básico (Até 79h)</v>
      </c>
      <c r="D80" s="126">
        <v>60.0</v>
      </c>
      <c r="E80" s="125" t="s">
        <v>628</v>
      </c>
      <c r="F80" s="125" t="s">
        <v>342</v>
      </c>
      <c r="G80" s="125" t="s">
        <v>426</v>
      </c>
      <c r="H80" s="128" t="s">
        <v>232</v>
      </c>
      <c r="I80" s="143" t="s">
        <v>115</v>
      </c>
      <c r="J80" s="125" t="s">
        <v>629</v>
      </c>
      <c r="K80" s="126"/>
      <c r="L80" s="126"/>
      <c r="M80" s="125"/>
      <c r="N80" s="126">
        <v>50.0</v>
      </c>
      <c r="O80" s="126">
        <v>65.0</v>
      </c>
      <c r="P80" s="126">
        <v>41.0</v>
      </c>
      <c r="Q80" s="126" t="s">
        <v>73</v>
      </c>
      <c r="R80" s="131">
        <f t="shared" si="3"/>
        <v>0.18</v>
      </c>
      <c r="S80" s="131">
        <f t="shared" si="2"/>
        <v>0.3692307692</v>
      </c>
      <c r="T80" s="126" t="s">
        <v>590</v>
      </c>
      <c r="U80" s="126" t="s">
        <v>591</v>
      </c>
      <c r="V80" s="125" t="s">
        <v>592</v>
      </c>
      <c r="W80" s="125" t="s">
        <v>603</v>
      </c>
      <c r="X80" s="140" t="s">
        <v>630</v>
      </c>
      <c r="Y80" s="125" t="s">
        <v>605</v>
      </c>
      <c r="Z80" s="125" t="s">
        <v>218</v>
      </c>
      <c r="AA80" s="173" t="s">
        <v>631</v>
      </c>
      <c r="AB80" s="173" t="s">
        <v>597</v>
      </c>
      <c r="AC80" s="208" t="s">
        <v>598</v>
      </c>
      <c r="AD80" s="209" t="s">
        <v>599</v>
      </c>
      <c r="AE80" s="126" t="s">
        <v>600</v>
      </c>
      <c r="AF80" s="112"/>
      <c r="AG80" s="112"/>
      <c r="AH80" s="112"/>
    </row>
    <row r="81">
      <c r="A81" s="207" t="s">
        <v>8</v>
      </c>
      <c r="B81" s="124" t="s">
        <v>51</v>
      </c>
      <c r="C81" s="125" t="str">
        <f>IF(D81=0,"Digite a CH", IF(D81&lt;80,Dados!$AC$2,IF(D81=80,Dados!$AC$3,IF(D81&lt;179,Dados!$AC$3,IF(D81&gt;179,Dados!$AC$4)))))</f>
        <v>Básico (Até 79h)</v>
      </c>
      <c r="D81" s="126">
        <v>60.0</v>
      </c>
      <c r="E81" s="125" t="s">
        <v>632</v>
      </c>
      <c r="F81" s="125" t="s">
        <v>267</v>
      </c>
      <c r="G81" s="125" t="s">
        <v>426</v>
      </c>
      <c r="H81" s="128" t="s">
        <v>232</v>
      </c>
      <c r="I81" s="143" t="s">
        <v>117</v>
      </c>
      <c r="J81" s="125" t="s">
        <v>633</v>
      </c>
      <c r="K81" s="126"/>
      <c r="L81" s="126"/>
      <c r="M81" s="125"/>
      <c r="N81" s="126">
        <v>50.0</v>
      </c>
      <c r="O81" s="126">
        <v>61.0</v>
      </c>
      <c r="P81" s="126">
        <v>44.0</v>
      </c>
      <c r="Q81" s="126" t="s">
        <v>73</v>
      </c>
      <c r="R81" s="131">
        <f t="shared" si="3"/>
        <v>0.12</v>
      </c>
      <c r="S81" s="131">
        <f t="shared" si="2"/>
        <v>0.2786885246</v>
      </c>
      <c r="T81" s="126" t="s">
        <v>590</v>
      </c>
      <c r="U81" s="126" t="s">
        <v>591</v>
      </c>
      <c r="V81" s="125" t="s">
        <v>592</v>
      </c>
      <c r="W81" s="125" t="s">
        <v>603</v>
      </c>
      <c r="X81" s="140" t="s">
        <v>604</v>
      </c>
      <c r="Y81" s="125" t="s">
        <v>605</v>
      </c>
      <c r="Z81" s="125" t="s">
        <v>218</v>
      </c>
      <c r="AA81" s="173" t="s">
        <v>634</v>
      </c>
      <c r="AB81" s="173" t="s">
        <v>597</v>
      </c>
      <c r="AC81" s="208" t="s">
        <v>598</v>
      </c>
      <c r="AD81" s="209" t="s">
        <v>599</v>
      </c>
      <c r="AE81" s="126" t="s">
        <v>600</v>
      </c>
      <c r="AF81" s="112"/>
      <c r="AG81" s="112"/>
      <c r="AH81" s="112"/>
    </row>
    <row r="82">
      <c r="A82" s="207" t="s">
        <v>8</v>
      </c>
      <c r="B82" s="124" t="s">
        <v>51</v>
      </c>
      <c r="C82" s="125" t="str">
        <f>IF(D82=0,"Digite a CH", IF(D82&lt;80,Dados!$AC$2,IF(D82=80,Dados!$AC$3,IF(D82&lt;179,Dados!$AC$3,IF(D82&gt;179,Dados!$AC$4)))))</f>
        <v>Básico (Até 79h)</v>
      </c>
      <c r="D82" s="126">
        <v>60.0</v>
      </c>
      <c r="E82" s="125" t="s">
        <v>635</v>
      </c>
      <c r="F82" s="125" t="s">
        <v>636</v>
      </c>
      <c r="G82" s="125" t="s">
        <v>296</v>
      </c>
      <c r="H82" s="128" t="s">
        <v>232</v>
      </c>
      <c r="I82" s="143" t="s">
        <v>637</v>
      </c>
      <c r="J82" s="125" t="s">
        <v>638</v>
      </c>
      <c r="K82" s="126"/>
      <c r="L82" s="126"/>
      <c r="M82" s="125"/>
      <c r="N82" s="126">
        <v>50.0</v>
      </c>
      <c r="O82" s="126">
        <v>72.0</v>
      </c>
      <c r="P82" s="126">
        <v>51.0</v>
      </c>
      <c r="Q82" s="126" t="s">
        <v>73</v>
      </c>
      <c r="R82" s="131">
        <f t="shared" si="3"/>
        <v>-0.02</v>
      </c>
      <c r="S82" s="131">
        <f t="shared" si="2"/>
        <v>0.2916666667</v>
      </c>
      <c r="T82" s="126" t="s">
        <v>590</v>
      </c>
      <c r="U82" s="126" t="s">
        <v>591</v>
      </c>
      <c r="V82" s="125" t="s">
        <v>592</v>
      </c>
      <c r="W82" s="125" t="s">
        <v>603</v>
      </c>
      <c r="X82" s="140" t="s">
        <v>604</v>
      </c>
      <c r="Y82" s="125" t="s">
        <v>605</v>
      </c>
      <c r="Z82" s="125" t="s">
        <v>218</v>
      </c>
      <c r="AA82" s="173" t="s">
        <v>639</v>
      </c>
      <c r="AB82" s="173" t="s">
        <v>597</v>
      </c>
      <c r="AC82" s="208" t="s">
        <v>598</v>
      </c>
      <c r="AD82" s="209" t="s">
        <v>599</v>
      </c>
      <c r="AE82" s="126" t="s">
        <v>600</v>
      </c>
      <c r="AF82" s="112"/>
      <c r="AG82" s="112"/>
      <c r="AH82" s="112"/>
    </row>
    <row r="83">
      <c r="A83" s="207" t="s">
        <v>8</v>
      </c>
      <c r="B83" s="124" t="s">
        <v>51</v>
      </c>
      <c r="C83" s="125" t="str">
        <f>IF(D83=0,"Digite a CH", IF(D83&lt;80,Dados!$AC$2,IF(D83=80,Dados!$AC$3,IF(D83&lt;179,Dados!$AC$3,IF(D83&gt;179,Dados!$AC$4)))))</f>
        <v>Básico (Até 79h)</v>
      </c>
      <c r="D83" s="126">
        <v>60.0</v>
      </c>
      <c r="E83" s="125" t="s">
        <v>640</v>
      </c>
      <c r="F83" s="125" t="s">
        <v>641</v>
      </c>
      <c r="G83" s="125" t="s">
        <v>296</v>
      </c>
      <c r="H83" s="128" t="s">
        <v>232</v>
      </c>
      <c r="I83" s="143" t="s">
        <v>115</v>
      </c>
      <c r="J83" s="125" t="s">
        <v>642</v>
      </c>
      <c r="K83" s="126"/>
      <c r="L83" s="126"/>
      <c r="M83" s="125"/>
      <c r="N83" s="126">
        <v>50.0</v>
      </c>
      <c r="O83" s="126">
        <v>60.0</v>
      </c>
      <c r="P83" s="126">
        <v>43.0</v>
      </c>
      <c r="Q83" s="126" t="s">
        <v>73</v>
      </c>
      <c r="R83" s="131">
        <f t="shared" si="3"/>
        <v>0.14</v>
      </c>
      <c r="S83" s="131">
        <f t="shared" si="2"/>
        <v>0.2833333333</v>
      </c>
      <c r="T83" s="126" t="s">
        <v>590</v>
      </c>
      <c r="U83" s="126" t="s">
        <v>591</v>
      </c>
      <c r="V83" s="125" t="s">
        <v>592</v>
      </c>
      <c r="W83" s="125" t="s">
        <v>603</v>
      </c>
      <c r="X83" s="140" t="s">
        <v>604</v>
      </c>
      <c r="Y83" s="125" t="s">
        <v>605</v>
      </c>
      <c r="Z83" s="125" t="s">
        <v>218</v>
      </c>
      <c r="AA83" s="173" t="s">
        <v>643</v>
      </c>
      <c r="AB83" s="173" t="s">
        <v>597</v>
      </c>
      <c r="AC83" s="208" t="s">
        <v>598</v>
      </c>
      <c r="AD83" s="209" t="s">
        <v>599</v>
      </c>
      <c r="AE83" s="126" t="s">
        <v>600</v>
      </c>
      <c r="AF83" s="112"/>
      <c r="AG83" s="112"/>
      <c r="AH83" s="112"/>
    </row>
    <row r="84">
      <c r="A84" s="207" t="s">
        <v>8</v>
      </c>
      <c r="B84" s="124" t="s">
        <v>51</v>
      </c>
      <c r="C84" s="125" t="str">
        <f>IF(D84=0,"Digite a CH", IF(D84&lt;80,Dados!$AC$2,IF(D84=80,Dados!$AC$3,IF(D84&lt;179,Dados!$AC$3,IF(D84&gt;179,Dados!$AC$4)))))</f>
        <v>Básico (Até 79h)</v>
      </c>
      <c r="D84" s="126">
        <v>60.0</v>
      </c>
      <c r="E84" s="125" t="s">
        <v>644</v>
      </c>
      <c r="F84" s="125" t="s">
        <v>645</v>
      </c>
      <c r="G84" s="125" t="s">
        <v>296</v>
      </c>
      <c r="H84" s="128" t="s">
        <v>232</v>
      </c>
      <c r="I84" s="143" t="s">
        <v>117</v>
      </c>
      <c r="J84" s="125" t="s">
        <v>646</v>
      </c>
      <c r="K84" s="126"/>
      <c r="L84" s="126"/>
      <c r="M84" s="125"/>
      <c r="N84" s="126">
        <v>50.0</v>
      </c>
      <c r="O84" s="126">
        <v>62.0</v>
      </c>
      <c r="P84" s="126">
        <v>48.0</v>
      </c>
      <c r="Q84" s="126" t="s">
        <v>73</v>
      </c>
      <c r="R84" s="131">
        <f t="shared" si="3"/>
        <v>0.04</v>
      </c>
      <c r="S84" s="131">
        <f t="shared" si="2"/>
        <v>0.2258064516</v>
      </c>
      <c r="T84" s="126" t="s">
        <v>590</v>
      </c>
      <c r="U84" s="126" t="s">
        <v>591</v>
      </c>
      <c r="V84" s="125" t="s">
        <v>592</v>
      </c>
      <c r="W84" s="125" t="s">
        <v>603</v>
      </c>
      <c r="X84" s="140" t="s">
        <v>604</v>
      </c>
      <c r="Y84" s="125" t="s">
        <v>605</v>
      </c>
      <c r="Z84" s="125" t="s">
        <v>218</v>
      </c>
      <c r="AA84" s="173" t="s">
        <v>647</v>
      </c>
      <c r="AB84" s="173" t="s">
        <v>597</v>
      </c>
      <c r="AC84" s="208" t="s">
        <v>598</v>
      </c>
      <c r="AD84" s="209" t="s">
        <v>599</v>
      </c>
      <c r="AE84" s="126" t="s">
        <v>600</v>
      </c>
      <c r="AF84" s="112"/>
      <c r="AG84" s="112"/>
      <c r="AH84" s="112"/>
    </row>
    <row r="85">
      <c r="A85" s="207" t="s">
        <v>8</v>
      </c>
      <c r="B85" s="124" t="s">
        <v>51</v>
      </c>
      <c r="C85" s="125" t="str">
        <f>IF(D85=0,"Digite a CH", IF(D85&lt;80,Dados!$AC$2,IF(D85=80,Dados!$AC$3,IF(D85&lt;179,Dados!$AC$3,IF(D85&gt;179,Dados!$AC$4)))))</f>
        <v>Básico (Até 79h)</v>
      </c>
      <c r="D85" s="126">
        <v>60.0</v>
      </c>
      <c r="E85" s="125" t="s">
        <v>648</v>
      </c>
      <c r="F85" s="125" t="s">
        <v>649</v>
      </c>
      <c r="G85" s="125" t="s">
        <v>296</v>
      </c>
      <c r="H85" s="128" t="s">
        <v>232</v>
      </c>
      <c r="I85" s="143"/>
      <c r="J85" s="125"/>
      <c r="K85" s="126"/>
      <c r="L85" s="126"/>
      <c r="M85" s="125"/>
      <c r="N85" s="126">
        <v>50.0</v>
      </c>
      <c r="O85" s="126">
        <v>56.0</v>
      </c>
      <c r="P85" s="126">
        <v>46.0</v>
      </c>
      <c r="Q85" s="126" t="s">
        <v>73</v>
      </c>
      <c r="R85" s="131">
        <f t="shared" si="3"/>
        <v>0.08</v>
      </c>
      <c r="S85" s="131">
        <f t="shared" si="2"/>
        <v>0.1785714286</v>
      </c>
      <c r="T85" s="126" t="s">
        <v>590</v>
      </c>
      <c r="U85" s="126" t="s">
        <v>591</v>
      </c>
      <c r="V85" s="125" t="s">
        <v>592</v>
      </c>
      <c r="W85" s="125" t="s">
        <v>603</v>
      </c>
      <c r="X85" s="140" t="s">
        <v>604</v>
      </c>
      <c r="Y85" s="125" t="s">
        <v>605</v>
      </c>
      <c r="Z85" s="125" t="s">
        <v>218</v>
      </c>
      <c r="AA85" s="173" t="s">
        <v>650</v>
      </c>
      <c r="AB85" s="173" t="s">
        <v>597</v>
      </c>
      <c r="AC85" s="208" t="s">
        <v>598</v>
      </c>
      <c r="AD85" s="209" t="s">
        <v>599</v>
      </c>
      <c r="AE85" s="126" t="s">
        <v>600</v>
      </c>
      <c r="AF85" s="112"/>
      <c r="AG85" s="112"/>
      <c r="AH85" s="112"/>
    </row>
    <row r="86">
      <c r="A86" s="207" t="s">
        <v>8</v>
      </c>
      <c r="B86" s="124" t="s">
        <v>88</v>
      </c>
      <c r="C86" s="125" t="str">
        <f>IF(D86=0,"Digite a CH", IF(D86&lt;80,Dados!$AC$2,IF(D86=80,Dados!$AC$3,IF(D86&lt;179,Dados!$AC$3,IF(D86&gt;179,Dados!$AC$4)))))</f>
        <v>Básico (Até 79h)</v>
      </c>
      <c r="D86" s="126">
        <v>60.0</v>
      </c>
      <c r="E86" s="125" t="s">
        <v>651</v>
      </c>
      <c r="F86" s="125" t="s">
        <v>652</v>
      </c>
      <c r="G86" s="125" t="s">
        <v>653</v>
      </c>
      <c r="H86" s="128" t="s">
        <v>374</v>
      </c>
      <c r="I86" s="140" t="s">
        <v>654</v>
      </c>
      <c r="J86" s="210" t="s">
        <v>655</v>
      </c>
      <c r="K86" s="126"/>
      <c r="L86" s="126"/>
      <c r="M86" s="125"/>
      <c r="N86" s="126">
        <v>350.0</v>
      </c>
      <c r="O86" s="125">
        <v>1058.0</v>
      </c>
      <c r="P86" s="126">
        <v>226.0</v>
      </c>
      <c r="Q86" s="126" t="s">
        <v>73</v>
      </c>
      <c r="R86" s="131">
        <f t="shared" si="3"/>
        <v>0.3542857143</v>
      </c>
      <c r="S86" s="131">
        <f t="shared" si="2"/>
        <v>0.786389414</v>
      </c>
      <c r="T86" s="126" t="s">
        <v>590</v>
      </c>
      <c r="U86" s="126" t="s">
        <v>656</v>
      </c>
      <c r="V86" s="125" t="s">
        <v>592</v>
      </c>
      <c r="W86" s="144" t="s">
        <v>657</v>
      </c>
      <c r="X86" s="125" t="s">
        <v>658</v>
      </c>
      <c r="Y86" s="125" t="s">
        <v>659</v>
      </c>
      <c r="Z86" s="125" t="s">
        <v>218</v>
      </c>
      <c r="AA86" s="173" t="s">
        <v>660</v>
      </c>
      <c r="AB86" s="173" t="s">
        <v>661</v>
      </c>
      <c r="AC86" s="211" t="s">
        <v>662</v>
      </c>
      <c r="AD86" s="209" t="s">
        <v>663</v>
      </c>
      <c r="AE86" s="126" t="s">
        <v>600</v>
      </c>
      <c r="AF86" s="112"/>
      <c r="AG86" s="112"/>
      <c r="AH86" s="112"/>
    </row>
    <row r="87">
      <c r="A87" s="207" t="s">
        <v>8</v>
      </c>
      <c r="B87" s="124" t="s">
        <v>102</v>
      </c>
      <c r="C87" s="125" t="str">
        <f>IF(D87=0,"Digite a CH", IF(D87&lt;80,Dados!$AC$2,IF(D87=80,Dados!$AC$3,IF(D87&lt;179,Dados!$AC$3,IF(D87&gt;179,Dados!$AC$4)))))</f>
        <v>Básico (Até 79h)</v>
      </c>
      <c r="D87" s="126">
        <v>20.0</v>
      </c>
      <c r="E87" s="125" t="s">
        <v>664</v>
      </c>
      <c r="F87" s="125" t="s">
        <v>665</v>
      </c>
      <c r="G87" s="125" t="s">
        <v>538</v>
      </c>
      <c r="H87" s="128" t="s">
        <v>211</v>
      </c>
      <c r="I87" s="140" t="s">
        <v>666</v>
      </c>
      <c r="J87" s="125" t="s">
        <v>667</v>
      </c>
      <c r="K87" s="126"/>
      <c r="L87" s="126"/>
      <c r="M87" s="125"/>
      <c r="N87" s="126">
        <v>45.0</v>
      </c>
      <c r="O87" s="125">
        <v>83.0</v>
      </c>
      <c r="P87" s="126">
        <v>64.0</v>
      </c>
      <c r="Q87" s="126" t="s">
        <v>73</v>
      </c>
      <c r="R87" s="131">
        <f t="shared" si="3"/>
        <v>-0.4222222222</v>
      </c>
      <c r="S87" s="131">
        <f t="shared" si="2"/>
        <v>0.2289156627</v>
      </c>
      <c r="T87" s="126" t="s">
        <v>668</v>
      </c>
      <c r="U87" s="126" t="s">
        <v>669</v>
      </c>
      <c r="V87" s="125" t="s">
        <v>592</v>
      </c>
      <c r="W87" s="212" t="s">
        <v>670</v>
      </c>
      <c r="X87" s="125" t="s">
        <v>594</v>
      </c>
      <c r="Y87" s="125" t="s">
        <v>444</v>
      </c>
      <c r="Z87" s="125" t="s">
        <v>218</v>
      </c>
      <c r="AA87" s="173" t="s">
        <v>671</v>
      </c>
      <c r="AB87" s="173" t="s">
        <v>672</v>
      </c>
      <c r="AC87" s="213" t="s">
        <v>673</v>
      </c>
      <c r="AD87" s="209" t="s">
        <v>674</v>
      </c>
      <c r="AE87" s="126" t="s">
        <v>675</v>
      </c>
      <c r="AF87" s="112"/>
      <c r="AG87" s="112"/>
      <c r="AH87" s="112"/>
    </row>
    <row r="88">
      <c r="A88" s="207" t="s">
        <v>8</v>
      </c>
      <c r="B88" s="124" t="s">
        <v>102</v>
      </c>
      <c r="C88" s="125" t="str">
        <f>IF(D88=0,"Digite a CH", IF(D88&lt;80,Dados!$AC$2,IF(D88=80,Dados!$AC$3,IF(D88&lt;179,Dados!$AC$3,IF(D88&gt;179,Dados!$AC$4)))))</f>
        <v>Básico (Até 79h)</v>
      </c>
      <c r="D88" s="126">
        <v>20.0</v>
      </c>
      <c r="E88" s="125" t="s">
        <v>676</v>
      </c>
      <c r="F88" s="125" t="s">
        <v>677</v>
      </c>
      <c r="G88" s="125" t="s">
        <v>538</v>
      </c>
      <c r="H88" s="128" t="s">
        <v>211</v>
      </c>
      <c r="I88" s="140" t="s">
        <v>678</v>
      </c>
      <c r="J88" s="125" t="s">
        <v>679</v>
      </c>
      <c r="K88" s="126"/>
      <c r="L88" s="126"/>
      <c r="M88" s="125"/>
      <c r="N88" s="126">
        <v>45.0</v>
      </c>
      <c r="O88" s="125">
        <v>58.0</v>
      </c>
      <c r="P88" s="126">
        <v>46.0</v>
      </c>
      <c r="Q88" s="126" t="s">
        <v>73</v>
      </c>
      <c r="R88" s="131">
        <f t="shared" si="3"/>
        <v>-0.02222222222</v>
      </c>
      <c r="S88" s="131">
        <f t="shared" si="2"/>
        <v>0.2068965517</v>
      </c>
      <c r="T88" s="126" t="s">
        <v>668</v>
      </c>
      <c r="U88" s="126" t="s">
        <v>669</v>
      </c>
      <c r="V88" s="125"/>
      <c r="W88" s="212" t="s">
        <v>670</v>
      </c>
      <c r="X88" s="125" t="s">
        <v>604</v>
      </c>
      <c r="Y88" s="125" t="s">
        <v>444</v>
      </c>
      <c r="Z88" s="125" t="s">
        <v>218</v>
      </c>
      <c r="AA88" s="209" t="s">
        <v>680</v>
      </c>
      <c r="AB88" s="173" t="s">
        <v>672</v>
      </c>
      <c r="AC88" s="213" t="s">
        <v>681</v>
      </c>
      <c r="AD88" s="209" t="s">
        <v>674</v>
      </c>
      <c r="AE88" s="126" t="s">
        <v>675</v>
      </c>
      <c r="AF88" s="112"/>
      <c r="AG88" s="112"/>
      <c r="AH88" s="112"/>
    </row>
    <row r="89">
      <c r="A89" s="207" t="s">
        <v>8</v>
      </c>
      <c r="B89" s="124" t="s">
        <v>102</v>
      </c>
      <c r="C89" s="125" t="str">
        <f>IF(D89=0,"Digite a CH", IF(D89&lt;80,Dados!$AC$2,IF(D89=80,Dados!$AC$3,IF(D89&lt;179,Dados!$AC$3,IF(D89&gt;179,Dados!$AC$4)))))</f>
        <v>Básico (Até 79h)</v>
      </c>
      <c r="D89" s="126">
        <v>20.0</v>
      </c>
      <c r="E89" s="125" t="s">
        <v>682</v>
      </c>
      <c r="F89" s="125" t="s">
        <v>683</v>
      </c>
      <c r="G89" s="125" t="s">
        <v>538</v>
      </c>
      <c r="H89" s="128" t="s">
        <v>211</v>
      </c>
      <c r="I89" s="140" t="s">
        <v>678</v>
      </c>
      <c r="J89" s="125" t="s">
        <v>684</v>
      </c>
      <c r="K89" s="126"/>
      <c r="L89" s="126"/>
      <c r="M89" s="125"/>
      <c r="N89" s="126">
        <v>45.0</v>
      </c>
      <c r="O89" s="125">
        <v>59.0</v>
      </c>
      <c r="P89" s="126">
        <v>48.0</v>
      </c>
      <c r="Q89" s="126" t="s">
        <v>73</v>
      </c>
      <c r="R89" s="131">
        <f t="shared" si="3"/>
        <v>-0.06666666667</v>
      </c>
      <c r="S89" s="131">
        <f t="shared" si="2"/>
        <v>0.186440678</v>
      </c>
      <c r="T89" s="126" t="s">
        <v>668</v>
      </c>
      <c r="U89" s="126" t="s">
        <v>669</v>
      </c>
      <c r="V89" s="125"/>
      <c r="W89" s="212" t="s">
        <v>670</v>
      </c>
      <c r="X89" s="125" t="s">
        <v>604</v>
      </c>
      <c r="Y89" s="125" t="s">
        <v>444</v>
      </c>
      <c r="Z89" s="125" t="s">
        <v>218</v>
      </c>
      <c r="AA89" s="209" t="s">
        <v>685</v>
      </c>
      <c r="AB89" s="173" t="s">
        <v>672</v>
      </c>
      <c r="AC89" s="213" t="s">
        <v>681</v>
      </c>
      <c r="AD89" s="209" t="s">
        <v>674</v>
      </c>
      <c r="AE89" s="126" t="s">
        <v>675</v>
      </c>
      <c r="AF89" s="112"/>
      <c r="AG89" s="112"/>
      <c r="AH89" s="112"/>
    </row>
    <row r="90">
      <c r="A90" s="207" t="s">
        <v>8</v>
      </c>
      <c r="B90" s="124" t="s">
        <v>102</v>
      </c>
      <c r="C90" s="125" t="str">
        <f>IF(D90=0,"Digite a CH", IF(D90&lt;80,Dados!$AC$2,IF(D90=80,Dados!$AC$3,IF(D90&lt;179,Dados!$AC$3,IF(D90&gt;179,Dados!$AC$4)))))</f>
        <v>Básico (Até 79h)</v>
      </c>
      <c r="D90" s="126">
        <v>20.0</v>
      </c>
      <c r="E90" s="125" t="s">
        <v>686</v>
      </c>
      <c r="F90" s="125" t="s">
        <v>687</v>
      </c>
      <c r="G90" s="125" t="s">
        <v>538</v>
      </c>
      <c r="H90" s="128" t="s">
        <v>211</v>
      </c>
      <c r="I90" s="140" t="s">
        <v>688</v>
      </c>
      <c r="J90" s="125" t="s">
        <v>689</v>
      </c>
      <c r="K90" s="126"/>
      <c r="L90" s="126"/>
      <c r="M90" s="125"/>
      <c r="N90" s="126">
        <v>0.0</v>
      </c>
      <c r="O90" s="125">
        <v>0.0</v>
      </c>
      <c r="P90" s="126" t="s">
        <v>335</v>
      </c>
      <c r="Q90" s="126" t="s">
        <v>83</v>
      </c>
      <c r="R90" s="131" t="str">
        <f t="shared" si="3"/>
        <v>#VALUE!</v>
      </c>
      <c r="S90" s="131" t="str">
        <f t="shared" si="2"/>
        <v>#VALUE!</v>
      </c>
      <c r="T90" s="126" t="s">
        <v>668</v>
      </c>
      <c r="U90" s="126" t="s">
        <v>669</v>
      </c>
      <c r="V90" s="125"/>
      <c r="W90" s="212" t="s">
        <v>670</v>
      </c>
      <c r="X90" s="125" t="s">
        <v>604</v>
      </c>
      <c r="Y90" s="125" t="s">
        <v>444</v>
      </c>
      <c r="Z90" s="125" t="s">
        <v>218</v>
      </c>
      <c r="AA90" s="209" t="s">
        <v>690</v>
      </c>
      <c r="AB90" s="173" t="s">
        <v>672</v>
      </c>
      <c r="AC90" s="213" t="s">
        <v>681</v>
      </c>
      <c r="AD90" s="209" t="s">
        <v>674</v>
      </c>
      <c r="AE90" s="126" t="s">
        <v>675</v>
      </c>
      <c r="AF90" s="112"/>
      <c r="AG90" s="112"/>
      <c r="AH90" s="112"/>
    </row>
    <row r="91">
      <c r="A91" s="207" t="s">
        <v>8</v>
      </c>
      <c r="B91" s="124" t="s">
        <v>102</v>
      </c>
      <c r="C91" s="125" t="str">
        <f>IF(D91=0,"Digite a CH", IF(D91&lt;80,Dados!$AC$2,IF(D91=80,Dados!$AC$3,IF(D91&lt;179,Dados!$AC$3,IF(D91&gt;179,Dados!$AC$4)))))</f>
        <v>Básico (Até 79h)</v>
      </c>
      <c r="D91" s="126">
        <v>20.0</v>
      </c>
      <c r="E91" s="125" t="s">
        <v>691</v>
      </c>
      <c r="F91" s="125" t="s">
        <v>692</v>
      </c>
      <c r="G91" s="125" t="s">
        <v>538</v>
      </c>
      <c r="H91" s="128" t="s">
        <v>211</v>
      </c>
      <c r="I91" s="140" t="s">
        <v>693</v>
      </c>
      <c r="J91" s="125" t="s">
        <v>689</v>
      </c>
      <c r="K91" s="126"/>
      <c r="L91" s="126"/>
      <c r="M91" s="125"/>
      <c r="N91" s="126">
        <v>45.0</v>
      </c>
      <c r="O91" s="125">
        <v>94.0</v>
      </c>
      <c r="P91" s="126">
        <v>63.0</v>
      </c>
      <c r="Q91" s="126" t="s">
        <v>73</v>
      </c>
      <c r="R91" s="131">
        <f t="shared" si="3"/>
        <v>-0.4</v>
      </c>
      <c r="S91" s="131">
        <f t="shared" si="2"/>
        <v>0.329787234</v>
      </c>
      <c r="T91" s="126" t="s">
        <v>668</v>
      </c>
      <c r="U91" s="126" t="s">
        <v>669</v>
      </c>
      <c r="V91" s="125"/>
      <c r="W91" s="212" t="s">
        <v>670</v>
      </c>
      <c r="X91" s="125" t="s">
        <v>604</v>
      </c>
      <c r="Y91" s="125" t="s">
        <v>444</v>
      </c>
      <c r="Z91" s="125" t="s">
        <v>218</v>
      </c>
      <c r="AA91" s="209" t="s">
        <v>694</v>
      </c>
      <c r="AB91" s="173" t="s">
        <v>672</v>
      </c>
      <c r="AC91" s="213" t="s">
        <v>681</v>
      </c>
      <c r="AD91" s="209" t="s">
        <v>674</v>
      </c>
      <c r="AE91" s="126" t="s">
        <v>675</v>
      </c>
      <c r="AF91" s="112"/>
      <c r="AG91" s="112"/>
      <c r="AH91" s="112"/>
    </row>
    <row r="92">
      <c r="A92" s="207" t="s">
        <v>8</v>
      </c>
      <c r="B92" s="124" t="s">
        <v>102</v>
      </c>
      <c r="C92" s="125" t="str">
        <f>IF(D92=0,"Digite a CH", IF(D92&lt;80,Dados!$AC$2,IF(D92=80,Dados!$AC$3,IF(D92&lt;179,Dados!$AC$3,IF(D92&gt;179,Dados!$AC$4)))))</f>
        <v>Básico (Até 79h)</v>
      </c>
      <c r="D92" s="126">
        <v>20.0</v>
      </c>
      <c r="E92" s="125" t="s">
        <v>695</v>
      </c>
      <c r="F92" s="125" t="s">
        <v>696</v>
      </c>
      <c r="G92" s="125" t="s">
        <v>538</v>
      </c>
      <c r="H92" s="128" t="s">
        <v>211</v>
      </c>
      <c r="I92" s="140" t="s">
        <v>697</v>
      </c>
      <c r="J92" s="125" t="s">
        <v>698</v>
      </c>
      <c r="K92" s="126"/>
      <c r="L92" s="126"/>
      <c r="M92" s="125"/>
      <c r="N92" s="126">
        <v>45.0</v>
      </c>
      <c r="O92" s="125">
        <v>47.0</v>
      </c>
      <c r="P92" s="126">
        <v>37.0</v>
      </c>
      <c r="Q92" s="126" t="s">
        <v>73</v>
      </c>
      <c r="R92" s="131">
        <f t="shared" si="3"/>
        <v>0.1777777778</v>
      </c>
      <c r="S92" s="131">
        <f t="shared" si="2"/>
        <v>0.2127659574</v>
      </c>
      <c r="T92" s="126" t="s">
        <v>668</v>
      </c>
      <c r="U92" s="126" t="s">
        <v>669</v>
      </c>
      <c r="V92" s="125"/>
      <c r="W92" s="212" t="s">
        <v>670</v>
      </c>
      <c r="X92" s="125" t="s">
        <v>604</v>
      </c>
      <c r="Y92" s="125" t="s">
        <v>444</v>
      </c>
      <c r="Z92" s="125" t="s">
        <v>218</v>
      </c>
      <c r="AA92" s="209" t="s">
        <v>699</v>
      </c>
      <c r="AB92" s="173" t="s">
        <v>672</v>
      </c>
      <c r="AC92" s="213" t="s">
        <v>681</v>
      </c>
      <c r="AD92" s="209" t="s">
        <v>674</v>
      </c>
      <c r="AE92" s="126" t="s">
        <v>675</v>
      </c>
      <c r="AF92" s="112"/>
      <c r="AG92" s="112"/>
      <c r="AH92" s="112"/>
    </row>
    <row r="93">
      <c r="A93" s="207" t="s">
        <v>8</v>
      </c>
      <c r="B93" s="124" t="s">
        <v>102</v>
      </c>
      <c r="C93" s="125" t="str">
        <f>IF(D93=0,"Digite a CH", IF(D93&lt;80,Dados!$AC$2,IF(D93=80,Dados!$AC$3,IF(D93&lt;179,Dados!$AC$3,IF(D93&gt;179,Dados!$AC$4)))))</f>
        <v>Básico (Até 79h)</v>
      </c>
      <c r="D93" s="126">
        <v>20.0</v>
      </c>
      <c r="E93" s="125" t="s">
        <v>700</v>
      </c>
      <c r="F93" s="125" t="s">
        <v>701</v>
      </c>
      <c r="G93" s="125" t="s">
        <v>538</v>
      </c>
      <c r="H93" s="128" t="s">
        <v>211</v>
      </c>
      <c r="I93" s="140" t="s">
        <v>516</v>
      </c>
      <c r="J93" s="125" t="s">
        <v>702</v>
      </c>
      <c r="K93" s="126"/>
      <c r="L93" s="126"/>
      <c r="M93" s="125"/>
      <c r="N93" s="126">
        <v>45.0</v>
      </c>
      <c r="O93" s="125">
        <v>84.0</v>
      </c>
      <c r="P93" s="126">
        <v>67.0</v>
      </c>
      <c r="Q93" s="126" t="s">
        <v>73</v>
      </c>
      <c r="R93" s="131">
        <f t="shared" si="3"/>
        <v>-0.4888888889</v>
      </c>
      <c r="S93" s="131">
        <f t="shared" si="2"/>
        <v>0.2023809524</v>
      </c>
      <c r="T93" s="126" t="s">
        <v>668</v>
      </c>
      <c r="U93" s="126" t="s">
        <v>669</v>
      </c>
      <c r="V93" s="125"/>
      <c r="W93" s="212" t="s">
        <v>670</v>
      </c>
      <c r="X93" s="125" t="s">
        <v>604</v>
      </c>
      <c r="Y93" s="125" t="s">
        <v>444</v>
      </c>
      <c r="Z93" s="125" t="s">
        <v>218</v>
      </c>
      <c r="AA93" s="209" t="s">
        <v>703</v>
      </c>
      <c r="AB93" s="173" t="s">
        <v>672</v>
      </c>
      <c r="AC93" s="213" t="s">
        <v>681</v>
      </c>
      <c r="AD93" s="209" t="s">
        <v>674</v>
      </c>
      <c r="AE93" s="126" t="s">
        <v>675</v>
      </c>
      <c r="AF93" s="112"/>
      <c r="AG93" s="112"/>
      <c r="AH93" s="112"/>
    </row>
    <row r="94">
      <c r="A94" s="207" t="s">
        <v>8</v>
      </c>
      <c r="B94" s="124" t="s">
        <v>102</v>
      </c>
      <c r="C94" s="125" t="str">
        <f>IF(D94=0,"Digite a CH", IF(D94&lt;80,Dados!$AC$2,IF(D94=80,Dados!$AC$3,IF(D94&lt;179,Dados!$AC$3,IF(D94&gt;179,Dados!$AC$4)))))</f>
        <v>Básico (Até 79h)</v>
      </c>
      <c r="D94" s="126">
        <v>20.0</v>
      </c>
      <c r="E94" s="125" t="s">
        <v>704</v>
      </c>
      <c r="F94" s="125" t="s">
        <v>701</v>
      </c>
      <c r="G94" s="125" t="s">
        <v>538</v>
      </c>
      <c r="H94" s="128" t="s">
        <v>211</v>
      </c>
      <c r="I94" s="140" t="s">
        <v>705</v>
      </c>
      <c r="J94" s="125" t="s">
        <v>706</v>
      </c>
      <c r="K94" s="126"/>
      <c r="L94" s="126"/>
      <c r="M94" s="125"/>
      <c r="N94" s="126">
        <v>45.0</v>
      </c>
      <c r="O94" s="125">
        <v>55.0</v>
      </c>
      <c r="P94" s="126">
        <v>46.0</v>
      </c>
      <c r="Q94" s="126" t="s">
        <v>73</v>
      </c>
      <c r="R94" s="131">
        <f t="shared" si="3"/>
        <v>-0.02222222222</v>
      </c>
      <c r="S94" s="131">
        <f t="shared" si="2"/>
        <v>0.1636363636</v>
      </c>
      <c r="T94" s="126" t="s">
        <v>668</v>
      </c>
      <c r="U94" s="126" t="s">
        <v>669</v>
      </c>
      <c r="V94" s="125"/>
      <c r="W94" s="212" t="s">
        <v>670</v>
      </c>
      <c r="X94" s="125" t="s">
        <v>604</v>
      </c>
      <c r="Y94" s="125" t="s">
        <v>444</v>
      </c>
      <c r="Z94" s="125" t="s">
        <v>218</v>
      </c>
      <c r="AA94" s="209" t="s">
        <v>707</v>
      </c>
      <c r="AB94" s="173" t="s">
        <v>672</v>
      </c>
      <c r="AC94" s="213" t="s">
        <v>681</v>
      </c>
      <c r="AD94" s="209" t="s">
        <v>674</v>
      </c>
      <c r="AE94" s="126" t="s">
        <v>675</v>
      </c>
      <c r="AF94" s="112"/>
      <c r="AG94" s="112"/>
      <c r="AH94" s="112"/>
    </row>
    <row r="95">
      <c r="A95" s="207" t="s">
        <v>8</v>
      </c>
      <c r="B95" s="124" t="s">
        <v>102</v>
      </c>
      <c r="C95" s="125" t="str">
        <f>IF(D95=0,"Digite a CH", IF(D95&lt;80,Dados!$AC$2,IF(D95=80,Dados!$AC$3,IF(D95&lt;179,Dados!$AC$3,IF(D95&gt;179,Dados!$AC$4)))))</f>
        <v>Básico (Até 79h)</v>
      </c>
      <c r="D95" s="126">
        <v>20.0</v>
      </c>
      <c r="E95" s="125" t="s">
        <v>708</v>
      </c>
      <c r="F95" s="125" t="s">
        <v>709</v>
      </c>
      <c r="G95" s="125" t="s">
        <v>538</v>
      </c>
      <c r="H95" s="128" t="s">
        <v>211</v>
      </c>
      <c r="I95" s="140" t="s">
        <v>705</v>
      </c>
      <c r="J95" s="125" t="s">
        <v>710</v>
      </c>
      <c r="K95" s="126"/>
      <c r="L95" s="126"/>
      <c r="M95" s="125"/>
      <c r="N95" s="126">
        <v>45.0</v>
      </c>
      <c r="O95" s="125">
        <v>67.0</v>
      </c>
      <c r="P95" s="126">
        <v>37.0</v>
      </c>
      <c r="Q95" s="126" t="s">
        <v>73</v>
      </c>
      <c r="R95" s="131">
        <f t="shared" si="3"/>
        <v>0.1777777778</v>
      </c>
      <c r="S95" s="131">
        <f t="shared" si="2"/>
        <v>0.447761194</v>
      </c>
      <c r="T95" s="126" t="s">
        <v>668</v>
      </c>
      <c r="U95" s="126" t="s">
        <v>669</v>
      </c>
      <c r="V95" s="125"/>
      <c r="W95" s="212" t="s">
        <v>670</v>
      </c>
      <c r="X95" s="125" t="s">
        <v>604</v>
      </c>
      <c r="Y95" s="125" t="s">
        <v>444</v>
      </c>
      <c r="Z95" s="125" t="s">
        <v>218</v>
      </c>
      <c r="AA95" s="209" t="s">
        <v>711</v>
      </c>
      <c r="AB95" s="173" t="s">
        <v>672</v>
      </c>
      <c r="AC95" s="213" t="s">
        <v>681</v>
      </c>
      <c r="AD95" s="209" t="s">
        <v>674</v>
      </c>
      <c r="AE95" s="126" t="s">
        <v>675</v>
      </c>
      <c r="AF95" s="112"/>
      <c r="AG95" s="112"/>
      <c r="AH95" s="112"/>
    </row>
    <row r="96">
      <c r="A96" s="207" t="s">
        <v>8</v>
      </c>
      <c r="B96" s="124" t="s">
        <v>102</v>
      </c>
      <c r="C96" s="125" t="str">
        <f>IF(D96=0,"Digite a CH", IF(D96&lt;80,Dados!$AC$2,IF(D96=80,Dados!$AC$3,IF(D96&lt;179,Dados!$AC$3,IF(D96&gt;179,Dados!$AC$4)))))</f>
        <v>Básico (Até 79h)</v>
      </c>
      <c r="D96" s="126">
        <v>20.0</v>
      </c>
      <c r="E96" s="125" t="s">
        <v>712</v>
      </c>
      <c r="F96" s="125" t="s">
        <v>713</v>
      </c>
      <c r="G96" s="125" t="s">
        <v>538</v>
      </c>
      <c r="H96" s="128" t="s">
        <v>211</v>
      </c>
      <c r="I96" s="140" t="s">
        <v>559</v>
      </c>
      <c r="J96" s="125" t="s">
        <v>714</v>
      </c>
      <c r="K96" s="126"/>
      <c r="L96" s="126"/>
      <c r="M96" s="125"/>
      <c r="N96" s="126">
        <v>40.0</v>
      </c>
      <c r="O96" s="125">
        <v>64.0</v>
      </c>
      <c r="P96" s="126">
        <v>36.0</v>
      </c>
      <c r="Q96" s="126" t="s">
        <v>73</v>
      </c>
      <c r="R96" s="131">
        <f t="shared" si="3"/>
        <v>0.1</v>
      </c>
      <c r="S96" s="131">
        <f t="shared" si="2"/>
        <v>0.4375</v>
      </c>
      <c r="T96" s="126" t="s">
        <v>668</v>
      </c>
      <c r="U96" s="126" t="s">
        <v>669</v>
      </c>
      <c r="V96" s="125"/>
      <c r="W96" s="212" t="s">
        <v>670</v>
      </c>
      <c r="X96" s="125" t="s">
        <v>604</v>
      </c>
      <c r="Y96" s="125" t="s">
        <v>444</v>
      </c>
      <c r="Z96" s="125" t="s">
        <v>218</v>
      </c>
      <c r="AA96" s="209" t="s">
        <v>715</v>
      </c>
      <c r="AB96" s="173" t="s">
        <v>672</v>
      </c>
      <c r="AC96" s="213" t="s">
        <v>681</v>
      </c>
      <c r="AD96" s="209" t="s">
        <v>674</v>
      </c>
      <c r="AE96" s="126" t="s">
        <v>675</v>
      </c>
      <c r="AF96" s="112"/>
      <c r="AG96" s="112"/>
      <c r="AH96" s="112"/>
    </row>
    <row r="97">
      <c r="A97" s="135" t="s">
        <v>18</v>
      </c>
      <c r="B97" s="124" t="s">
        <v>18</v>
      </c>
      <c r="C97" s="125" t="str">
        <f>IF(D97=0,"Digite a CH", IF(D97&lt;80,Dados!$AC$2,IF(D97=80,Dados!$AC$3,IF(D97&lt;179,Dados!$AC$3,IF(D97&gt;179,Dados!$AC$4)))))</f>
        <v>Básico (Até 79h)</v>
      </c>
      <c r="D97" s="126">
        <v>8.0</v>
      </c>
      <c r="E97" s="126" t="s">
        <v>208</v>
      </c>
      <c r="F97" s="125" t="s">
        <v>209</v>
      </c>
      <c r="G97" s="140" t="s">
        <v>210</v>
      </c>
      <c r="H97" s="146" t="s">
        <v>211</v>
      </c>
      <c r="I97" s="138" t="s">
        <v>91</v>
      </c>
      <c r="J97" s="125">
        <v>7.0</v>
      </c>
      <c r="K97" s="126"/>
      <c r="L97" s="126"/>
      <c r="M97" s="125"/>
      <c r="N97" s="126">
        <v>100.0</v>
      </c>
      <c r="O97" s="125">
        <v>167.0</v>
      </c>
      <c r="P97" s="125">
        <v>137.0</v>
      </c>
      <c r="Q97" s="126" t="s">
        <v>73</v>
      </c>
      <c r="R97" s="131">
        <f t="shared" si="3"/>
        <v>-0.37</v>
      </c>
      <c r="S97" s="131">
        <f t="shared" si="2"/>
        <v>0.1796407186</v>
      </c>
      <c r="T97" s="125" t="s">
        <v>716</v>
      </c>
      <c r="U97" s="125" t="s">
        <v>335</v>
      </c>
      <c r="V97" s="143" t="s">
        <v>226</v>
      </c>
      <c r="W97" s="181" t="s">
        <v>717</v>
      </c>
      <c r="X97" s="214" t="s">
        <v>227</v>
      </c>
      <c r="Y97" s="125" t="s">
        <v>718</v>
      </c>
      <c r="Z97" s="125" t="s">
        <v>218</v>
      </c>
      <c r="AA97" s="125" t="s">
        <v>219</v>
      </c>
      <c r="AB97" s="125" t="s">
        <v>719</v>
      </c>
      <c r="AC97" s="125" t="s">
        <v>720</v>
      </c>
      <c r="AD97" s="125" t="s">
        <v>721</v>
      </c>
      <c r="AE97" s="152" t="s">
        <v>722</v>
      </c>
      <c r="AF97" s="112"/>
      <c r="AG97" s="112"/>
      <c r="AH97" s="112"/>
    </row>
    <row r="98">
      <c r="A98" s="135" t="s">
        <v>18</v>
      </c>
      <c r="B98" s="124" t="s">
        <v>18</v>
      </c>
      <c r="C98" s="125" t="str">
        <f>IF(D98=0,"Digite a CH", IF(D98&lt;80,Dados!$AC$2,IF(D98=80,Dados!$AC$3,IF(D98&lt;179,Dados!$AC$3,IF(D98&gt;179,Dados!$AC$4)))))</f>
        <v>Básico (Até 79h)</v>
      </c>
      <c r="D98" s="126">
        <v>8.0</v>
      </c>
      <c r="E98" s="126" t="s">
        <v>266</v>
      </c>
      <c r="F98" s="125" t="s">
        <v>316</v>
      </c>
      <c r="G98" s="125" t="s">
        <v>723</v>
      </c>
      <c r="H98" s="146" t="s">
        <v>211</v>
      </c>
      <c r="I98" s="138" t="s">
        <v>100</v>
      </c>
      <c r="J98" s="125">
        <v>13.0</v>
      </c>
      <c r="K98" s="126"/>
      <c r="L98" s="126"/>
      <c r="M98" s="130" t="s">
        <v>724</v>
      </c>
      <c r="N98" s="126">
        <v>100.0</v>
      </c>
      <c r="O98" s="143">
        <v>100.0</v>
      </c>
      <c r="P98" s="125">
        <v>68.0</v>
      </c>
      <c r="Q98" s="126" t="s">
        <v>73</v>
      </c>
      <c r="R98" s="131">
        <f t="shared" si="3"/>
        <v>0.32</v>
      </c>
      <c r="S98" s="131">
        <f t="shared" si="2"/>
        <v>0.32</v>
      </c>
      <c r="T98" s="125" t="s">
        <v>716</v>
      </c>
      <c r="U98" s="125" t="s">
        <v>335</v>
      </c>
      <c r="V98" s="143" t="s">
        <v>725</v>
      </c>
      <c r="W98" s="181" t="s">
        <v>726</v>
      </c>
      <c r="X98" s="125" t="s">
        <v>282</v>
      </c>
      <c r="Y98" s="143" t="s">
        <v>718</v>
      </c>
      <c r="Z98" s="125" t="s">
        <v>218</v>
      </c>
      <c r="AA98" s="125" t="s">
        <v>219</v>
      </c>
      <c r="AB98" s="125" t="s">
        <v>727</v>
      </c>
      <c r="AC98" s="125" t="s">
        <v>728</v>
      </c>
      <c r="AD98" s="125" t="s">
        <v>721</v>
      </c>
      <c r="AE98" s="215" t="s">
        <v>729</v>
      </c>
      <c r="AF98" s="216"/>
      <c r="AG98" s="216" t="s">
        <v>335</v>
      </c>
      <c r="AH98" s="112"/>
    </row>
    <row r="99">
      <c r="A99" s="135" t="s">
        <v>18</v>
      </c>
      <c r="B99" s="124" t="s">
        <v>18</v>
      </c>
      <c r="C99" s="125" t="str">
        <f>IF(D99=0,"Digite a CH", IF(D99&lt;80,Dados!$AC$2,IF(D99=80,Dados!$AC$3,IF(D99&lt;179,Dados!$AC$3,IF(D99&gt;179,Dados!$AC$4)))))</f>
        <v>Básico (Até 79h)</v>
      </c>
      <c r="D99" s="126">
        <v>8.0</v>
      </c>
      <c r="E99" s="126" t="s">
        <v>507</v>
      </c>
      <c r="F99" s="125" t="s">
        <v>255</v>
      </c>
      <c r="G99" s="125" t="s">
        <v>730</v>
      </c>
      <c r="H99" s="146" t="s">
        <v>211</v>
      </c>
      <c r="I99" s="125" t="s">
        <v>100</v>
      </c>
      <c r="J99" s="125">
        <v>25.0</v>
      </c>
      <c r="K99" s="153"/>
      <c r="L99" s="153"/>
      <c r="M99" s="130" t="s">
        <v>731</v>
      </c>
      <c r="N99" s="126">
        <v>100.0</v>
      </c>
      <c r="O99" s="126">
        <v>145.0</v>
      </c>
      <c r="P99" s="126">
        <v>116.0</v>
      </c>
      <c r="Q99" s="126" t="s">
        <v>73</v>
      </c>
      <c r="R99" s="131">
        <f t="shared" si="3"/>
        <v>-0.16</v>
      </c>
      <c r="S99" s="131">
        <f t="shared" si="2"/>
        <v>0.2</v>
      </c>
      <c r="T99" s="125" t="s">
        <v>716</v>
      </c>
      <c r="U99" s="125" t="s">
        <v>335</v>
      </c>
      <c r="V99" s="140" t="s">
        <v>226</v>
      </c>
      <c r="W99" s="181" t="s">
        <v>732</v>
      </c>
      <c r="X99" s="125" t="s">
        <v>282</v>
      </c>
      <c r="Y99" s="143" t="s">
        <v>718</v>
      </c>
      <c r="Z99" s="125" t="s">
        <v>218</v>
      </c>
      <c r="AA99" s="125" t="s">
        <v>219</v>
      </c>
      <c r="AB99" s="125" t="s">
        <v>733</v>
      </c>
      <c r="AC99" s="125" t="s">
        <v>734</v>
      </c>
      <c r="AD99" s="125" t="s">
        <v>721</v>
      </c>
      <c r="AE99" s="130" t="s">
        <v>735</v>
      </c>
      <c r="AF99" s="112"/>
      <c r="AG99" s="112"/>
      <c r="AH99" s="112"/>
    </row>
    <row r="100">
      <c r="A100" s="135" t="s">
        <v>18</v>
      </c>
      <c r="B100" s="124" t="s">
        <v>18</v>
      </c>
      <c r="C100" s="125" t="str">
        <f>IF(D100=0,"Digite a CH", IF(D100&lt;80,Dados!$AC$2,IF(D100=80,Dados!$AC$3,IF(D100&lt;179,Dados!$AC$3,IF(D100&gt;179,Dados!$AC$4)))))</f>
        <v>Básico (Até 79h)</v>
      </c>
      <c r="D100" s="126">
        <v>8.0</v>
      </c>
      <c r="E100" s="126" t="s">
        <v>511</v>
      </c>
      <c r="F100" s="125" t="s">
        <v>342</v>
      </c>
      <c r="G100" s="125" t="s">
        <v>426</v>
      </c>
      <c r="H100" s="146" t="s">
        <v>211</v>
      </c>
      <c r="I100" s="125" t="s">
        <v>105</v>
      </c>
      <c r="J100" s="125">
        <v>3.0</v>
      </c>
      <c r="K100" s="126"/>
      <c r="L100" s="126"/>
      <c r="M100" s="130" t="s">
        <v>736</v>
      </c>
      <c r="N100" s="126">
        <v>100.0</v>
      </c>
      <c r="O100" s="126">
        <v>110.0</v>
      </c>
      <c r="P100" s="126">
        <v>72.0</v>
      </c>
      <c r="Q100" s="126" t="s">
        <v>73</v>
      </c>
      <c r="R100" s="131">
        <f t="shared" si="3"/>
        <v>0.28</v>
      </c>
      <c r="S100" s="131">
        <f t="shared" si="2"/>
        <v>0.3454545455</v>
      </c>
      <c r="T100" s="125" t="s">
        <v>716</v>
      </c>
      <c r="U100" s="125" t="s">
        <v>335</v>
      </c>
      <c r="V100" s="143" t="s">
        <v>725</v>
      </c>
      <c r="W100" s="181" t="s">
        <v>737</v>
      </c>
      <c r="X100" s="125" t="s">
        <v>282</v>
      </c>
      <c r="Y100" s="143" t="s">
        <v>718</v>
      </c>
      <c r="Z100" s="125" t="s">
        <v>218</v>
      </c>
      <c r="AA100" s="125" t="s">
        <v>219</v>
      </c>
      <c r="AB100" s="125" t="s">
        <v>738</v>
      </c>
      <c r="AC100" s="125" t="s">
        <v>739</v>
      </c>
      <c r="AD100" s="125" t="s">
        <v>721</v>
      </c>
      <c r="AE100" s="217" t="s">
        <v>740</v>
      </c>
      <c r="AF100" s="112"/>
      <c r="AG100" s="112"/>
      <c r="AH100" s="112"/>
    </row>
    <row r="101">
      <c r="A101" s="135" t="s">
        <v>18</v>
      </c>
      <c r="B101" s="124" t="s">
        <v>18</v>
      </c>
      <c r="C101" s="125" t="str">
        <f>IF(D101=0,"Digite a CH", IF(D101&lt;80,Dados!$AC$2,IF(D101=80,Dados!$AC$3,IF(D101&lt;179,Dados!$AC$3,IF(D101&gt;179,Dados!$AC$4)))))</f>
        <v>Básico (Até 79h)</v>
      </c>
      <c r="D101" s="126">
        <v>8.0</v>
      </c>
      <c r="E101" s="126" t="s">
        <v>514</v>
      </c>
      <c r="F101" s="125" t="s">
        <v>295</v>
      </c>
      <c r="G101" s="125" t="s">
        <v>296</v>
      </c>
      <c r="H101" s="146" t="s">
        <v>211</v>
      </c>
      <c r="I101" s="125" t="s">
        <v>105</v>
      </c>
      <c r="J101" s="125">
        <v>10.0</v>
      </c>
      <c r="K101" s="126"/>
      <c r="L101" s="126"/>
      <c r="M101" s="130" t="s">
        <v>741</v>
      </c>
      <c r="N101" s="126">
        <v>0.0</v>
      </c>
      <c r="O101" s="126">
        <v>19.0</v>
      </c>
      <c r="P101" s="126" t="s">
        <v>335</v>
      </c>
      <c r="Q101" s="126" t="s">
        <v>83</v>
      </c>
      <c r="R101" s="125" t="s">
        <v>742</v>
      </c>
      <c r="S101" s="125" t="s">
        <v>742</v>
      </c>
      <c r="T101" s="125" t="s">
        <v>716</v>
      </c>
      <c r="U101" s="125" t="s">
        <v>335</v>
      </c>
      <c r="V101" s="140" t="s">
        <v>226</v>
      </c>
      <c r="W101" s="181" t="s">
        <v>743</v>
      </c>
      <c r="X101" s="125" t="s">
        <v>282</v>
      </c>
      <c r="Y101" s="125" t="s">
        <v>335</v>
      </c>
      <c r="Z101" s="184"/>
      <c r="AA101" s="218" t="s">
        <v>335</v>
      </c>
      <c r="AB101" s="219" t="s">
        <v>335</v>
      </c>
      <c r="AC101" s="125" t="s">
        <v>744</v>
      </c>
      <c r="AD101" s="125" t="s">
        <v>745</v>
      </c>
      <c r="AE101" s="126" t="s">
        <v>746</v>
      </c>
      <c r="AF101" s="112"/>
      <c r="AG101" s="112"/>
      <c r="AH101" s="112"/>
    </row>
    <row r="102">
      <c r="A102" s="145" t="s">
        <v>18</v>
      </c>
      <c r="B102" s="124" t="s">
        <v>58</v>
      </c>
      <c r="C102" s="125" t="str">
        <f>IF(D102=0,"Digite a CH", IF(D102&lt;80,Dados!$AC$2,IF(D102=80,Dados!$AC$3,IF(D102&lt;179,Dados!$AC$3,IF(D102&gt;179,Dados!$AC$4)))))</f>
        <v>Básico (Até 79h)</v>
      </c>
      <c r="D102" s="126">
        <v>8.0</v>
      </c>
      <c r="E102" s="126" t="s">
        <v>208</v>
      </c>
      <c r="F102" s="125" t="s">
        <v>209</v>
      </c>
      <c r="G102" s="125" t="s">
        <v>747</v>
      </c>
      <c r="H102" s="146" t="s">
        <v>211</v>
      </c>
      <c r="I102" s="125" t="s">
        <v>109</v>
      </c>
      <c r="J102" s="125">
        <v>12.0</v>
      </c>
      <c r="K102" s="126"/>
      <c r="L102" s="126"/>
      <c r="M102" s="125" t="s">
        <v>335</v>
      </c>
      <c r="N102" s="126">
        <v>220.0</v>
      </c>
      <c r="O102" s="126">
        <v>511.0</v>
      </c>
      <c r="P102" s="126">
        <v>289.0</v>
      </c>
      <c r="Q102" s="126" t="s">
        <v>73</v>
      </c>
      <c r="R102" s="131">
        <f t="shared" ref="R102:R160" si="4">IF(((N102-P102)/N102)=100%,0, (N102-P102)/N102)</f>
        <v>-0.3136363636</v>
      </c>
      <c r="S102" s="131">
        <f t="shared" ref="S102:S160" si="5">IF(((O102-P102)/O102)=100%,0, (O102-P102)/O102)</f>
        <v>0.4344422701</v>
      </c>
      <c r="T102" s="125" t="s">
        <v>716</v>
      </c>
      <c r="U102" s="126" t="s">
        <v>335</v>
      </c>
      <c r="V102" s="140" t="s">
        <v>226</v>
      </c>
      <c r="W102" s="181" t="s">
        <v>748</v>
      </c>
      <c r="X102" s="214" t="s">
        <v>227</v>
      </c>
      <c r="Y102" s="125" t="s">
        <v>749</v>
      </c>
      <c r="Z102" s="126" t="s">
        <v>218</v>
      </c>
      <c r="AA102" s="125" t="s">
        <v>219</v>
      </c>
      <c r="AB102" s="125" t="s">
        <v>750</v>
      </c>
      <c r="AC102" s="146" t="s">
        <v>751</v>
      </c>
      <c r="AD102" s="125" t="s">
        <v>721</v>
      </c>
      <c r="AE102" s="152" t="s">
        <v>752</v>
      </c>
      <c r="AF102" s="149"/>
      <c r="AG102" s="149"/>
      <c r="AH102" s="149"/>
    </row>
    <row r="103">
      <c r="A103" s="135" t="s">
        <v>10</v>
      </c>
      <c r="B103" s="124" t="s">
        <v>33</v>
      </c>
      <c r="C103" s="125" t="str">
        <f>IF(D103=0,"Digite a CH", IF(D103&lt;80,Dados!$AC$2,IF(D103=80,Dados!$AC$3,IF(D103&lt;179,Dados!$AC$3,IF(D103&gt;179,Dados!$AC$4)))))</f>
        <v>Aperfeiçoamento (180h-359h)</v>
      </c>
      <c r="D103" s="126">
        <v>180.0</v>
      </c>
      <c r="E103" s="126" t="s">
        <v>208</v>
      </c>
      <c r="F103" s="125" t="s">
        <v>209</v>
      </c>
      <c r="G103" s="125" t="s">
        <v>209</v>
      </c>
      <c r="H103" s="128" t="s">
        <v>374</v>
      </c>
      <c r="I103" s="140" t="s">
        <v>753</v>
      </c>
      <c r="J103" s="125" t="s">
        <v>754</v>
      </c>
      <c r="K103" s="126"/>
      <c r="L103" s="126"/>
      <c r="M103" s="130" t="s">
        <v>33</v>
      </c>
      <c r="N103" s="126">
        <v>100.0</v>
      </c>
      <c r="O103" s="125">
        <v>63.0</v>
      </c>
      <c r="P103" s="125">
        <v>36.0</v>
      </c>
      <c r="Q103" s="126" t="s">
        <v>73</v>
      </c>
      <c r="R103" s="131">
        <f t="shared" si="4"/>
        <v>0.64</v>
      </c>
      <c r="S103" s="131">
        <f t="shared" si="5"/>
        <v>0.4285714286</v>
      </c>
      <c r="T103" s="126" t="s">
        <v>214</v>
      </c>
      <c r="U103" s="126" t="s">
        <v>335</v>
      </c>
      <c r="V103" s="126" t="s">
        <v>214</v>
      </c>
      <c r="W103" s="144" t="s">
        <v>755</v>
      </c>
      <c r="X103" s="125" t="s">
        <v>756</v>
      </c>
      <c r="Y103" s="125" t="s">
        <v>757</v>
      </c>
      <c r="Z103" s="125" t="s">
        <v>218</v>
      </c>
      <c r="AA103" s="125" t="s">
        <v>219</v>
      </c>
      <c r="AB103" s="125" t="s">
        <v>758</v>
      </c>
      <c r="AC103" s="132" t="s">
        <v>759</v>
      </c>
      <c r="AD103" s="125"/>
      <c r="AE103" s="152" t="s">
        <v>760</v>
      </c>
      <c r="AF103" s="112"/>
      <c r="AG103" s="112"/>
      <c r="AH103" s="112"/>
    </row>
    <row r="104">
      <c r="A104" s="135" t="s">
        <v>11</v>
      </c>
      <c r="B104" s="124" t="s">
        <v>34</v>
      </c>
      <c r="C104" s="125" t="str">
        <f>IF(D104=0,"Digite a CH", IF(D104&lt;80,Dados!$AC$2,IF(D104=80,Dados!$AC$3,IF(D104&lt;179,Dados!$AC$3,IF(D104&gt;179,Dados!$AC$4)))))</f>
        <v>Aperfeiçoamento (180h-359h)</v>
      </c>
      <c r="D104" s="126">
        <v>180.0</v>
      </c>
      <c r="E104" s="126" t="s">
        <v>208</v>
      </c>
      <c r="F104" s="125" t="s">
        <v>209</v>
      </c>
      <c r="G104" s="125" t="s">
        <v>747</v>
      </c>
      <c r="H104" s="128" t="s">
        <v>232</v>
      </c>
      <c r="I104" s="125"/>
      <c r="J104" s="189"/>
      <c r="K104" s="126"/>
      <c r="L104" s="126"/>
      <c r="M104" s="125"/>
      <c r="N104" s="126">
        <v>30.0</v>
      </c>
      <c r="O104" s="126">
        <v>33.0</v>
      </c>
      <c r="P104" s="126"/>
      <c r="Q104" s="126" t="s">
        <v>60</v>
      </c>
      <c r="R104" s="131">
        <f t="shared" si="4"/>
        <v>0</v>
      </c>
      <c r="S104" s="131">
        <f t="shared" si="5"/>
        <v>0</v>
      </c>
      <c r="T104" s="126" t="s">
        <v>350</v>
      </c>
      <c r="U104" s="153"/>
      <c r="V104" s="126" t="s">
        <v>214</v>
      </c>
      <c r="W104" s="144" t="s">
        <v>761</v>
      </c>
      <c r="X104" s="125" t="s">
        <v>762</v>
      </c>
      <c r="Y104" s="125"/>
      <c r="Z104" s="140"/>
      <c r="AA104" s="140"/>
      <c r="AB104" s="140"/>
      <c r="AC104" s="220"/>
      <c r="AD104" s="125"/>
      <c r="AE104" s="153"/>
      <c r="AF104" s="112"/>
      <c r="AG104" s="112"/>
      <c r="AH104" s="112"/>
    </row>
    <row r="105">
      <c r="A105" s="135" t="s">
        <v>12</v>
      </c>
      <c r="B105" s="124" t="s">
        <v>35</v>
      </c>
      <c r="C105" s="125" t="str">
        <f>IF(D105=0,"Digite a CH", IF(D105&lt;80,Dados!$AC$2,IF(D105=80,Dados!$AC$3,IF(D105&lt;179,Dados!$AC$3,IF(D105&gt;179,Dados!$AC$4)))))</f>
        <v>Aperfeiçoamento (180h-359h)</v>
      </c>
      <c r="D105" s="126">
        <v>180.0</v>
      </c>
      <c r="E105" s="126"/>
      <c r="F105" s="125"/>
      <c r="G105" s="125"/>
      <c r="H105" s="128"/>
      <c r="I105" s="125"/>
      <c r="J105" s="117"/>
      <c r="K105" s="126"/>
      <c r="L105" s="126"/>
      <c r="M105" s="125"/>
      <c r="N105" s="126">
        <v>90.0</v>
      </c>
      <c r="O105" s="125"/>
      <c r="P105" s="125"/>
      <c r="Q105" s="126"/>
      <c r="R105" s="131">
        <f t="shared" si="4"/>
        <v>0</v>
      </c>
      <c r="S105" s="131" t="str">
        <f t="shared" si="5"/>
        <v>#DIV/0!</v>
      </c>
      <c r="T105" s="126"/>
      <c r="U105" s="153"/>
      <c r="V105" s="126" t="s">
        <v>214</v>
      </c>
      <c r="W105" s="144" t="s">
        <v>763</v>
      </c>
      <c r="X105" s="125" t="s">
        <v>764</v>
      </c>
      <c r="Y105" s="125"/>
      <c r="Z105" s="125"/>
      <c r="AA105" s="125"/>
      <c r="AB105" s="125"/>
      <c r="AC105" s="221"/>
      <c r="AD105" s="125"/>
      <c r="AE105" s="153"/>
      <c r="AF105" s="112"/>
      <c r="AG105" s="112"/>
      <c r="AH105" s="112"/>
    </row>
    <row r="106">
      <c r="A106" s="135" t="s">
        <v>12</v>
      </c>
      <c r="B106" s="124" t="s">
        <v>53</v>
      </c>
      <c r="C106" s="125" t="str">
        <f>IF(D106=0,"Digite a CH", IF(D106&lt;80,Dados!$AC$2,IF(D106=80,Dados!$AC$3,IF(D106&lt;179,Dados!$AC$3,IF(D106&gt;179,Dados!$AC$4)))))</f>
        <v>Básico (Até 79h)</v>
      </c>
      <c r="D106" s="126">
        <v>40.0</v>
      </c>
      <c r="E106" s="126"/>
      <c r="F106" s="125"/>
      <c r="G106" s="125"/>
      <c r="H106" s="128" t="s">
        <v>374</v>
      </c>
      <c r="I106" s="125"/>
      <c r="J106" s="189"/>
      <c r="K106" s="126"/>
      <c r="L106" s="126"/>
      <c r="M106" s="125"/>
      <c r="N106" s="126">
        <v>30.0</v>
      </c>
      <c r="O106" s="126"/>
      <c r="P106" s="126"/>
      <c r="Q106" s="126"/>
      <c r="R106" s="131">
        <f t="shared" si="4"/>
        <v>0</v>
      </c>
      <c r="S106" s="131" t="str">
        <f t="shared" si="5"/>
        <v>#DIV/0!</v>
      </c>
      <c r="T106" s="126"/>
      <c r="U106" s="153"/>
      <c r="V106" s="126" t="s">
        <v>214</v>
      </c>
      <c r="W106" s="179" t="s">
        <v>765</v>
      </c>
      <c r="X106" s="125" t="s">
        <v>282</v>
      </c>
      <c r="Y106" s="125"/>
      <c r="Z106" s="125"/>
      <c r="AA106" s="125"/>
      <c r="AB106" s="125"/>
      <c r="AC106" s="220"/>
      <c r="AD106" s="126"/>
      <c r="AE106" s="153"/>
      <c r="AF106" s="112"/>
      <c r="AG106" s="112"/>
      <c r="AH106" s="112"/>
    </row>
    <row r="107">
      <c r="A107" s="135" t="s">
        <v>13</v>
      </c>
      <c r="B107" s="124" t="s">
        <v>36</v>
      </c>
      <c r="C107" s="125" t="str">
        <f>IF(D107=0,"Digite a CH", IF(D107&lt;80,Dados!$AC$2,IF(D107=80,Dados!$AC$3,IF(D107&lt;179,Dados!$AC$3,IF(D107&gt;179,Dados!$AC$4)))))</f>
        <v>Básico (Até 79h)</v>
      </c>
      <c r="D107" s="126">
        <v>60.0</v>
      </c>
      <c r="E107" s="126"/>
      <c r="F107" s="125"/>
      <c r="G107" s="125"/>
      <c r="H107" s="128" t="s">
        <v>232</v>
      </c>
      <c r="I107" s="125"/>
      <c r="J107" s="195"/>
      <c r="K107" s="126"/>
      <c r="L107" s="126"/>
      <c r="M107" s="125"/>
      <c r="N107" s="126">
        <v>120.0</v>
      </c>
      <c r="O107" s="126"/>
      <c r="P107" s="126"/>
      <c r="Q107" s="126"/>
      <c r="R107" s="131">
        <f t="shared" si="4"/>
        <v>0</v>
      </c>
      <c r="S107" s="131" t="str">
        <f t="shared" si="5"/>
        <v>#DIV/0!</v>
      </c>
      <c r="T107" s="126"/>
      <c r="U107" s="153"/>
      <c r="V107" s="126" t="s">
        <v>214</v>
      </c>
      <c r="W107" s="144" t="s">
        <v>766</v>
      </c>
      <c r="X107" s="126" t="s">
        <v>767</v>
      </c>
      <c r="Y107" s="126"/>
      <c r="Z107" s="125"/>
      <c r="AA107" s="125"/>
      <c r="AB107" s="125"/>
      <c r="AC107" s="221"/>
      <c r="AD107" s="126"/>
      <c r="AE107" s="153"/>
      <c r="AF107" s="112"/>
      <c r="AG107" s="112"/>
      <c r="AH107" s="112"/>
    </row>
    <row r="108">
      <c r="A108" s="135" t="s">
        <v>9</v>
      </c>
      <c r="B108" s="124" t="s">
        <v>32</v>
      </c>
      <c r="C108" s="125" t="str">
        <f>IF(D108=0,"Digite a CH", IF(D108&lt;80,Dados!$AC$2,IF(D108=80,Dados!$AC$3,IF(D108&lt;179,Dados!$AC$3,IF(D108&gt;179,Dados!$AC$4)))))</f>
        <v>Atualização (80h-179h)</v>
      </c>
      <c r="D108" s="126">
        <v>80.0</v>
      </c>
      <c r="E108" s="126"/>
      <c r="F108" s="125"/>
      <c r="G108" s="125"/>
      <c r="H108" s="128" t="s">
        <v>211</v>
      </c>
      <c r="I108" s="125"/>
      <c r="J108" s="189"/>
      <c r="K108" s="126"/>
      <c r="L108" s="126"/>
      <c r="M108" s="125"/>
      <c r="N108" s="126">
        <v>150.0</v>
      </c>
      <c r="O108" s="126"/>
      <c r="P108" s="126"/>
      <c r="Q108" s="126"/>
      <c r="R108" s="131">
        <f t="shared" si="4"/>
        <v>0</v>
      </c>
      <c r="S108" s="131" t="str">
        <f t="shared" si="5"/>
        <v>#DIV/0!</v>
      </c>
      <c r="T108" s="126"/>
      <c r="U108" s="153"/>
      <c r="V108" s="126" t="s">
        <v>401</v>
      </c>
      <c r="W108" s="144" t="s">
        <v>768</v>
      </c>
      <c r="X108" s="125" t="s">
        <v>769</v>
      </c>
      <c r="Y108" s="125"/>
      <c r="Z108" s="125"/>
      <c r="AA108" s="125"/>
      <c r="AB108" s="125"/>
      <c r="AC108" s="220"/>
      <c r="AD108" s="222"/>
      <c r="AE108" s="153"/>
      <c r="AF108" s="112"/>
      <c r="AG108" s="112"/>
      <c r="AH108" s="112"/>
    </row>
    <row r="109">
      <c r="A109" s="135" t="s">
        <v>15</v>
      </c>
      <c r="B109" s="124" t="s">
        <v>38</v>
      </c>
      <c r="C109" s="125" t="str">
        <f>IF(D109=0,"Digite a CH", IF(D109&lt;80,Dados!$AC$2,IF(D109=80,Dados!$AC$3,IF(D109&lt;179,Dados!$AC$3,IF(D109&gt;179,Dados!$AC$4)))))</f>
        <v>Básico (Até 79h)</v>
      </c>
      <c r="D109" s="126">
        <v>16.0</v>
      </c>
      <c r="E109" s="126"/>
      <c r="F109" s="125"/>
      <c r="G109" s="125" t="s">
        <v>770</v>
      </c>
      <c r="H109" s="128" t="s">
        <v>211</v>
      </c>
      <c r="I109" s="125"/>
      <c r="J109" s="189"/>
      <c r="K109" s="126"/>
      <c r="L109" s="126"/>
      <c r="M109" s="125"/>
      <c r="N109" s="126"/>
      <c r="O109" s="126"/>
      <c r="P109" s="126"/>
      <c r="Q109" s="126"/>
      <c r="R109" s="131" t="str">
        <f t="shared" si="4"/>
        <v>#DIV/0!</v>
      </c>
      <c r="S109" s="131" t="str">
        <f t="shared" si="5"/>
        <v>#DIV/0!</v>
      </c>
      <c r="T109" s="126"/>
      <c r="U109" s="153"/>
      <c r="V109" s="153"/>
      <c r="W109" s="144" t="s">
        <v>771</v>
      </c>
      <c r="X109" s="125" t="s">
        <v>772</v>
      </c>
      <c r="Y109" s="125"/>
      <c r="Z109" s="184"/>
      <c r="AA109" s="184"/>
      <c r="AB109" s="190"/>
      <c r="AC109" s="221"/>
      <c r="AD109" s="126"/>
      <c r="AE109" s="153"/>
      <c r="AF109" s="112"/>
      <c r="AG109" s="112"/>
      <c r="AH109" s="112"/>
    </row>
    <row r="110">
      <c r="A110" s="135" t="s">
        <v>15</v>
      </c>
      <c r="B110" s="124" t="s">
        <v>55</v>
      </c>
      <c r="C110" s="125" t="str">
        <f>IF(D110=0,"Digite a CH", IF(D110&lt;80,Dados!$AC$2,IF(D110=80,Dados!$AC$3,IF(D110&lt;179,Dados!$AC$3,IF(D110&gt;179,Dados!$AC$4)))))</f>
        <v>Básico (Até 79h)</v>
      </c>
      <c r="D110" s="126">
        <v>20.0</v>
      </c>
      <c r="E110" s="126" t="s">
        <v>773</v>
      </c>
      <c r="F110" s="125"/>
      <c r="G110" s="125" t="s">
        <v>770</v>
      </c>
      <c r="H110" s="128" t="s">
        <v>374</v>
      </c>
      <c r="I110" s="125"/>
      <c r="J110" s="189"/>
      <c r="K110" s="126"/>
      <c r="L110" s="126"/>
      <c r="M110" s="125"/>
      <c r="N110" s="126"/>
      <c r="O110" s="126"/>
      <c r="P110" s="126"/>
      <c r="Q110" s="126"/>
      <c r="R110" s="131" t="str">
        <f t="shared" si="4"/>
        <v>#DIV/0!</v>
      </c>
      <c r="S110" s="131" t="str">
        <f t="shared" si="5"/>
        <v>#DIV/0!</v>
      </c>
      <c r="T110" s="126"/>
      <c r="U110" s="153"/>
      <c r="V110" s="153"/>
      <c r="W110" s="223" t="s">
        <v>771</v>
      </c>
      <c r="X110" s="125" t="s">
        <v>282</v>
      </c>
      <c r="Y110" s="125"/>
      <c r="Z110" s="184"/>
      <c r="AA110" s="184"/>
      <c r="AB110" s="190"/>
      <c r="AC110" s="125"/>
      <c r="AD110" s="126"/>
      <c r="AE110" s="153"/>
      <c r="AF110" s="112"/>
      <c r="AG110" s="112"/>
      <c r="AH110" s="112"/>
    </row>
    <row r="111">
      <c r="A111" s="135" t="s">
        <v>15</v>
      </c>
      <c r="B111" s="124" t="s">
        <v>70</v>
      </c>
      <c r="C111" s="125" t="str">
        <f>IF(D111=0,"Digite a CH", IF(D111&lt;80,Dados!$AC$2,IF(D111=80,Dados!$AC$3,IF(D111&lt;179,Dados!$AC$3,IF(D111&gt;179,Dados!$AC$4)))))</f>
        <v>Básico (Até 79h)</v>
      </c>
      <c r="D111" s="126">
        <v>40.0</v>
      </c>
      <c r="E111" s="126"/>
      <c r="F111" s="125"/>
      <c r="G111" s="160" t="s">
        <v>770</v>
      </c>
      <c r="H111" s="128" t="s">
        <v>232</v>
      </c>
      <c r="I111" s="125"/>
      <c r="J111" s="189"/>
      <c r="K111" s="126"/>
      <c r="L111" s="126"/>
      <c r="M111" s="125"/>
      <c r="N111" s="126"/>
      <c r="O111" s="126"/>
      <c r="P111" s="126"/>
      <c r="Q111" s="126"/>
      <c r="R111" s="131" t="str">
        <f t="shared" si="4"/>
        <v>#DIV/0!</v>
      </c>
      <c r="S111" s="131" t="str">
        <f t="shared" si="5"/>
        <v>#DIV/0!</v>
      </c>
      <c r="T111" s="126"/>
      <c r="U111" s="153"/>
      <c r="V111" s="153"/>
      <c r="W111" s="223" t="s">
        <v>771</v>
      </c>
      <c r="X111" s="125" t="s">
        <v>282</v>
      </c>
      <c r="Y111" s="125"/>
      <c r="Z111" s="184"/>
      <c r="AA111" s="184"/>
      <c r="AB111" s="190"/>
      <c r="AC111" s="125"/>
      <c r="AD111" s="126"/>
      <c r="AE111" s="153"/>
      <c r="AF111" s="112"/>
      <c r="AG111" s="112"/>
      <c r="AH111" s="112"/>
    </row>
    <row r="112">
      <c r="A112" s="135" t="s">
        <v>15</v>
      </c>
      <c r="B112" s="124" t="s">
        <v>82</v>
      </c>
      <c r="C112" s="125" t="str">
        <f>IF(D112=0,"Digite a CH", IF(D112&lt;80,Dados!$AC$2,IF(D112=80,Dados!$AC$3,IF(D112&lt;179,Dados!$AC$3,IF(D112&gt;179,Dados!$AC$4)))))</f>
        <v>Básico (Até 79h)</v>
      </c>
      <c r="D112" s="126">
        <v>30.0</v>
      </c>
      <c r="E112" s="126"/>
      <c r="F112" s="125"/>
      <c r="G112" s="160" t="s">
        <v>770</v>
      </c>
      <c r="H112" s="128" t="s">
        <v>374</v>
      </c>
      <c r="I112" s="125"/>
      <c r="J112" s="189"/>
      <c r="K112" s="126"/>
      <c r="L112" s="126"/>
      <c r="M112" s="125"/>
      <c r="N112" s="126"/>
      <c r="O112" s="126"/>
      <c r="P112" s="126"/>
      <c r="Q112" s="126"/>
      <c r="R112" s="131" t="str">
        <f t="shared" si="4"/>
        <v>#DIV/0!</v>
      </c>
      <c r="S112" s="131" t="str">
        <f t="shared" si="5"/>
        <v>#DIV/0!</v>
      </c>
      <c r="T112" s="126"/>
      <c r="U112" s="153"/>
      <c r="V112" s="153"/>
      <c r="W112" s="223" t="s">
        <v>771</v>
      </c>
      <c r="X112" s="125" t="s">
        <v>282</v>
      </c>
      <c r="Y112" s="125"/>
      <c r="Z112" s="184"/>
      <c r="AA112" s="184"/>
      <c r="AB112" s="190"/>
      <c r="AC112" s="125"/>
      <c r="AD112" s="126"/>
      <c r="AE112" s="153"/>
      <c r="AF112" s="112"/>
      <c r="AG112" s="112"/>
      <c r="AH112" s="112"/>
    </row>
    <row r="113">
      <c r="A113" s="135" t="s">
        <v>15</v>
      </c>
      <c r="B113" s="124" t="s">
        <v>90</v>
      </c>
      <c r="C113" s="125" t="str">
        <f>IF(D113=0,"Digite a CH", IF(D113&lt;80,Dados!$AC$2,IF(D113=80,Dados!$AC$3,IF(D113&lt;179,Dados!$AC$3,IF(D113&gt;179,Dados!$AC$4)))))</f>
        <v>Básico (Até 79h)</v>
      </c>
      <c r="D113" s="126">
        <v>16.0</v>
      </c>
      <c r="E113" s="126"/>
      <c r="F113" s="125"/>
      <c r="G113" s="160" t="s">
        <v>770</v>
      </c>
      <c r="H113" s="128" t="s">
        <v>374</v>
      </c>
      <c r="I113" s="125"/>
      <c r="J113" s="189"/>
      <c r="K113" s="126"/>
      <c r="L113" s="126"/>
      <c r="M113" s="125"/>
      <c r="N113" s="126"/>
      <c r="O113" s="126"/>
      <c r="P113" s="126"/>
      <c r="Q113" s="126"/>
      <c r="R113" s="131" t="str">
        <f t="shared" si="4"/>
        <v>#DIV/0!</v>
      </c>
      <c r="S113" s="131" t="str">
        <f t="shared" si="5"/>
        <v>#DIV/0!</v>
      </c>
      <c r="T113" s="126"/>
      <c r="U113" s="153"/>
      <c r="V113" s="153"/>
      <c r="W113" s="223" t="s">
        <v>771</v>
      </c>
      <c r="X113" s="125" t="s">
        <v>282</v>
      </c>
      <c r="Y113" s="125"/>
      <c r="Z113" s="184"/>
      <c r="AA113" s="184"/>
      <c r="AB113" s="190"/>
      <c r="AC113" s="125"/>
      <c r="AD113" s="126"/>
      <c r="AE113" s="153"/>
      <c r="AF113" s="112"/>
      <c r="AG113" s="112"/>
      <c r="AH113" s="112"/>
    </row>
    <row r="114">
      <c r="A114" s="135" t="s">
        <v>15</v>
      </c>
      <c r="B114" s="124" t="s">
        <v>99</v>
      </c>
      <c r="C114" s="125" t="str">
        <f>IF(D114=0,"Digite a CH", IF(D114&lt;80,Dados!$AC$2,IF(D114=80,Dados!$AC$3,IF(D114&lt;179,Dados!$AC$3,IF(D114&gt;179,Dados!$AC$4)))))</f>
        <v>Básico (Até 79h)</v>
      </c>
      <c r="D114" s="126">
        <v>20.0</v>
      </c>
      <c r="E114" s="126"/>
      <c r="F114" s="125"/>
      <c r="G114" s="160" t="s">
        <v>770</v>
      </c>
      <c r="H114" s="128" t="s">
        <v>374</v>
      </c>
      <c r="I114" s="125"/>
      <c r="J114" s="189"/>
      <c r="K114" s="126"/>
      <c r="L114" s="126"/>
      <c r="M114" s="125"/>
      <c r="N114" s="126"/>
      <c r="O114" s="126"/>
      <c r="P114" s="126"/>
      <c r="Q114" s="126"/>
      <c r="R114" s="131" t="str">
        <f t="shared" si="4"/>
        <v>#DIV/0!</v>
      </c>
      <c r="S114" s="131" t="str">
        <f t="shared" si="5"/>
        <v>#DIV/0!</v>
      </c>
      <c r="T114" s="126"/>
      <c r="U114" s="153"/>
      <c r="V114" s="153"/>
      <c r="W114" s="223" t="s">
        <v>771</v>
      </c>
      <c r="X114" s="125" t="s">
        <v>282</v>
      </c>
      <c r="Y114" s="125"/>
      <c r="Z114" s="184"/>
      <c r="AA114" s="184"/>
      <c r="AB114" s="190"/>
      <c r="AC114" s="125"/>
      <c r="AD114" s="126"/>
      <c r="AE114" s="153"/>
      <c r="AF114" s="112"/>
      <c r="AG114" s="112"/>
      <c r="AH114" s="112"/>
    </row>
    <row r="115">
      <c r="A115" s="135" t="s">
        <v>15</v>
      </c>
      <c r="B115" s="124" t="s">
        <v>104</v>
      </c>
      <c r="C115" s="125" t="str">
        <f>IF(D115=0,"Digite a CH", IF(D115&lt;80,Dados!$AC$2,IF(D115=80,Dados!$AC$3,IF(D115&lt;179,Dados!$AC$3,IF(D115&gt;179,Dados!$AC$4)))))</f>
        <v>Básico (Até 79h)</v>
      </c>
      <c r="D115" s="126">
        <v>36.0</v>
      </c>
      <c r="E115" s="126"/>
      <c r="F115" s="125"/>
      <c r="G115" s="160" t="s">
        <v>770</v>
      </c>
      <c r="H115" s="128" t="s">
        <v>232</v>
      </c>
      <c r="I115" s="125"/>
      <c r="J115" s="189"/>
      <c r="K115" s="126"/>
      <c r="L115" s="126"/>
      <c r="M115" s="125"/>
      <c r="N115" s="126"/>
      <c r="O115" s="126"/>
      <c r="P115" s="126"/>
      <c r="Q115" s="126"/>
      <c r="R115" s="131" t="str">
        <f t="shared" si="4"/>
        <v>#DIV/0!</v>
      </c>
      <c r="S115" s="131" t="str">
        <f t="shared" si="5"/>
        <v>#DIV/0!</v>
      </c>
      <c r="T115" s="126"/>
      <c r="U115" s="153"/>
      <c r="V115" s="153"/>
      <c r="W115" s="223" t="s">
        <v>771</v>
      </c>
      <c r="X115" s="125" t="s">
        <v>282</v>
      </c>
      <c r="Y115" s="125"/>
      <c r="Z115" s="184"/>
      <c r="AA115" s="184"/>
      <c r="AB115" s="190"/>
      <c r="AC115" s="125"/>
      <c r="AD115" s="126"/>
      <c r="AE115" s="153"/>
      <c r="AF115" s="112"/>
      <c r="AG115" s="112"/>
      <c r="AH115" s="112"/>
    </row>
    <row r="116">
      <c r="A116" s="135" t="s">
        <v>15</v>
      </c>
      <c r="B116" s="124" t="s">
        <v>108</v>
      </c>
      <c r="C116" s="125" t="str">
        <f>IF(D116=0,"Digite a CH", IF(D116&lt;80,Dados!$AC$2,IF(D116=80,Dados!$AC$3,IF(D116&lt;179,Dados!$AC$3,IF(D116&gt;179,Dados!$AC$4)))))</f>
        <v>Básico (Até 79h)</v>
      </c>
      <c r="D116" s="126">
        <v>36.0</v>
      </c>
      <c r="E116" s="126"/>
      <c r="F116" s="125"/>
      <c r="G116" s="160" t="s">
        <v>770</v>
      </c>
      <c r="H116" s="128" t="s">
        <v>232</v>
      </c>
      <c r="I116" s="125"/>
      <c r="J116" s="189"/>
      <c r="K116" s="126"/>
      <c r="L116" s="126"/>
      <c r="M116" s="125"/>
      <c r="N116" s="126"/>
      <c r="O116" s="126"/>
      <c r="P116" s="126"/>
      <c r="Q116" s="126"/>
      <c r="R116" s="131" t="str">
        <f t="shared" si="4"/>
        <v>#DIV/0!</v>
      </c>
      <c r="S116" s="131" t="str">
        <f t="shared" si="5"/>
        <v>#DIV/0!</v>
      </c>
      <c r="T116" s="126"/>
      <c r="U116" s="153"/>
      <c r="V116" s="153"/>
      <c r="W116" s="223" t="s">
        <v>771</v>
      </c>
      <c r="X116" s="125" t="s">
        <v>282</v>
      </c>
      <c r="Y116" s="125"/>
      <c r="Z116" s="184"/>
      <c r="AA116" s="184"/>
      <c r="AB116" s="190"/>
      <c r="AC116" s="125"/>
      <c r="AD116" s="126"/>
      <c r="AE116" s="153"/>
      <c r="AF116" s="112"/>
      <c r="AG116" s="112"/>
      <c r="AH116" s="112"/>
    </row>
    <row r="117">
      <c r="A117" s="135" t="s">
        <v>15</v>
      </c>
      <c r="B117" s="124" t="s">
        <v>112</v>
      </c>
      <c r="C117" s="125" t="str">
        <f>IF(D117=0,"Digite a CH", IF(D117&lt;80,Dados!$AC$2,IF(D117=80,Dados!$AC$3,IF(D117&lt;179,Dados!$AC$3,IF(D117&gt;179,Dados!$AC$4)))))</f>
        <v>Básico (Até 79h)</v>
      </c>
      <c r="D117" s="126">
        <v>20.0</v>
      </c>
      <c r="E117" s="126"/>
      <c r="F117" s="125"/>
      <c r="G117" s="160" t="s">
        <v>770</v>
      </c>
      <c r="H117" s="128" t="s">
        <v>211</v>
      </c>
      <c r="I117" s="125"/>
      <c r="J117" s="189"/>
      <c r="K117" s="126"/>
      <c r="L117" s="126"/>
      <c r="M117" s="125"/>
      <c r="N117" s="126"/>
      <c r="O117" s="126"/>
      <c r="P117" s="126"/>
      <c r="Q117" s="126"/>
      <c r="R117" s="131" t="str">
        <f t="shared" si="4"/>
        <v>#DIV/0!</v>
      </c>
      <c r="S117" s="131" t="str">
        <f t="shared" si="5"/>
        <v>#DIV/0!</v>
      </c>
      <c r="T117" s="126"/>
      <c r="U117" s="153"/>
      <c r="V117" s="153"/>
      <c r="W117" s="223" t="s">
        <v>771</v>
      </c>
      <c r="X117" s="125" t="s">
        <v>282</v>
      </c>
      <c r="Y117" s="125"/>
      <c r="Z117" s="184"/>
      <c r="AA117" s="184"/>
      <c r="AB117" s="190"/>
      <c r="AC117" s="125"/>
      <c r="AD117" s="126"/>
      <c r="AE117" s="153"/>
      <c r="AF117" s="112"/>
      <c r="AG117" s="112"/>
      <c r="AH117" s="112"/>
    </row>
    <row r="118" ht="19.5" customHeight="1">
      <c r="A118" s="135" t="s">
        <v>16</v>
      </c>
      <c r="B118" s="124" t="s">
        <v>39</v>
      </c>
      <c r="C118" s="125" t="str">
        <f>IF(D118=0,"Digite a CH", IF(D118&lt;80,Dados!$AC$2,IF(D118=80,Dados!$AC$3,IF(D118&lt;179,Dados!$AC$3,IF(D118&gt;179,Dados!$AC$4)))))</f>
        <v>Digite a CH</v>
      </c>
      <c r="D118" s="126"/>
      <c r="E118" s="126"/>
      <c r="F118" s="125"/>
      <c r="G118" s="125"/>
      <c r="H118" s="224"/>
      <c r="I118" s="125"/>
      <c r="J118" s="189"/>
      <c r="K118" s="126"/>
      <c r="L118" s="126"/>
      <c r="M118" s="125"/>
      <c r="N118" s="126"/>
      <c r="O118" s="126"/>
      <c r="P118" s="126"/>
      <c r="Q118" s="126"/>
      <c r="R118" s="131" t="str">
        <f t="shared" si="4"/>
        <v>#DIV/0!</v>
      </c>
      <c r="S118" s="131" t="str">
        <f t="shared" si="5"/>
        <v>#DIV/0!</v>
      </c>
      <c r="T118" s="126"/>
      <c r="U118" s="153"/>
      <c r="V118" s="153"/>
      <c r="W118" s="144"/>
      <c r="X118" s="125"/>
      <c r="Y118" s="125"/>
      <c r="Z118" s="184"/>
      <c r="AA118" s="184"/>
      <c r="AB118" s="190"/>
      <c r="AC118" s="125"/>
      <c r="AD118" s="126"/>
      <c r="AE118" s="153"/>
      <c r="AF118" s="112"/>
      <c r="AG118" s="112"/>
      <c r="AH118" s="112"/>
    </row>
    <row r="119">
      <c r="A119" s="135" t="s">
        <v>16</v>
      </c>
      <c r="B119" s="124" t="s">
        <v>56</v>
      </c>
      <c r="C119" s="125" t="str">
        <f>IF(D119=0,"Digite a CH", IF(D119&lt;80,Dados!$AC$2,IF(D119=80,Dados!$AC$3,IF(D119&lt;179,Dados!$AC$3,IF(D119&gt;179,Dados!$AC$4)))))</f>
        <v>Digite a CH</v>
      </c>
      <c r="D119" s="126"/>
      <c r="E119" s="126"/>
      <c r="F119" s="125"/>
      <c r="G119" s="125"/>
      <c r="H119" s="224"/>
      <c r="I119" s="125"/>
      <c r="J119" s="189"/>
      <c r="K119" s="126"/>
      <c r="L119" s="126"/>
      <c r="M119" s="125"/>
      <c r="N119" s="126"/>
      <c r="O119" s="126"/>
      <c r="P119" s="126"/>
      <c r="Q119" s="126"/>
      <c r="R119" s="131" t="str">
        <f t="shared" si="4"/>
        <v>#DIV/0!</v>
      </c>
      <c r="S119" s="131" t="str">
        <f t="shared" si="5"/>
        <v>#DIV/0!</v>
      </c>
      <c r="T119" s="126"/>
      <c r="U119" s="153"/>
      <c r="V119" s="153"/>
      <c r="W119" s="144"/>
      <c r="X119" s="125"/>
      <c r="Y119" s="125"/>
      <c r="Z119" s="184"/>
      <c r="AA119" s="184"/>
      <c r="AB119" s="190"/>
      <c r="AC119" s="125"/>
      <c r="AD119" s="126"/>
      <c r="AE119" s="153"/>
      <c r="AF119" s="112"/>
      <c r="AG119" s="112"/>
      <c r="AH119" s="112"/>
    </row>
    <row r="120">
      <c r="A120" s="135" t="s">
        <v>16</v>
      </c>
      <c r="B120" s="124" t="s">
        <v>71</v>
      </c>
      <c r="C120" s="125" t="str">
        <f>IF(D120=0,"Digite a CH", IF(D120&lt;80,Dados!$AC$2,IF(D120=80,Dados!$AC$3,IF(D120&lt;179,Dados!$AC$3,IF(D120&gt;179,Dados!$AC$4)))))</f>
        <v>Digite a CH</v>
      </c>
      <c r="D120" s="126"/>
      <c r="E120" s="126"/>
      <c r="F120" s="125"/>
      <c r="G120" s="125"/>
      <c r="H120" s="224"/>
      <c r="I120" s="125"/>
      <c r="J120" s="189"/>
      <c r="K120" s="126"/>
      <c r="L120" s="126"/>
      <c r="M120" s="125"/>
      <c r="N120" s="126"/>
      <c r="O120" s="126"/>
      <c r="P120" s="126"/>
      <c r="Q120" s="126"/>
      <c r="R120" s="131" t="str">
        <f t="shared" si="4"/>
        <v>#DIV/0!</v>
      </c>
      <c r="S120" s="131" t="str">
        <f t="shared" si="5"/>
        <v>#DIV/0!</v>
      </c>
      <c r="T120" s="126"/>
      <c r="U120" s="153"/>
      <c r="V120" s="153"/>
      <c r="W120" s="144"/>
      <c r="X120" s="125"/>
      <c r="Y120" s="125"/>
      <c r="Z120" s="184"/>
      <c r="AA120" s="184"/>
      <c r="AB120" s="190"/>
      <c r="AC120" s="125"/>
      <c r="AD120" s="126"/>
      <c r="AE120" s="153"/>
      <c r="AF120" s="112"/>
      <c r="AG120" s="112"/>
      <c r="AH120" s="112"/>
    </row>
    <row r="121">
      <c r="A121" s="135" t="s">
        <v>17</v>
      </c>
      <c r="B121" s="124" t="s">
        <v>57</v>
      </c>
      <c r="C121" s="125" t="str">
        <f>IF(D121=0,"Digite a CH", IF(D121&lt;80,Dados!$AC$2,IF(D121=80,Dados!$AC$3,IF(D121&lt;179,Dados!$AC$3,IF(D121&gt;179,Dados!$AC$4)))))</f>
        <v>Básico (Até 79h)</v>
      </c>
      <c r="D121" s="126">
        <v>40.0</v>
      </c>
      <c r="E121" s="126" t="s">
        <v>208</v>
      </c>
      <c r="F121" s="125" t="s">
        <v>209</v>
      </c>
      <c r="G121" s="125"/>
      <c r="H121" s="146" t="s">
        <v>211</v>
      </c>
      <c r="I121" s="125"/>
      <c r="J121" s="125"/>
      <c r="K121" s="126"/>
      <c r="L121" s="126"/>
      <c r="M121" s="125"/>
      <c r="N121" s="126">
        <v>40.0</v>
      </c>
      <c r="O121" s="125"/>
      <c r="P121" s="125"/>
      <c r="Q121" s="126"/>
      <c r="R121" s="131">
        <f t="shared" si="4"/>
        <v>0</v>
      </c>
      <c r="S121" s="131" t="str">
        <f t="shared" si="5"/>
        <v>#DIV/0!</v>
      </c>
      <c r="T121" s="126"/>
      <c r="U121" s="126"/>
      <c r="V121" s="126" t="s">
        <v>214</v>
      </c>
      <c r="W121" s="144" t="s">
        <v>774</v>
      </c>
      <c r="X121" s="125" t="s">
        <v>775</v>
      </c>
      <c r="Y121" s="126"/>
      <c r="Z121" s="173"/>
      <c r="AA121" s="173"/>
      <c r="AB121" s="173"/>
      <c r="AC121" s="173"/>
      <c r="AD121" s="125"/>
      <c r="AE121" s="126"/>
      <c r="AF121" s="112"/>
      <c r="AG121" s="112"/>
      <c r="AH121" s="112"/>
    </row>
    <row r="122">
      <c r="A122" s="135" t="s">
        <v>17</v>
      </c>
      <c r="B122" s="124" t="s">
        <v>57</v>
      </c>
      <c r="C122" s="125" t="str">
        <f>IF(D122=0,"Digite a CH", IF(D122&lt;80,Dados!$AC$2,IF(D122=80,Dados!$AC$3,IF(D122&lt;179,Dados!$AC$3,IF(D122&gt;179,Dados!$AC$4)))))</f>
        <v>Básico (Até 79h)</v>
      </c>
      <c r="D122" s="126">
        <v>40.0</v>
      </c>
      <c r="E122" s="126" t="s">
        <v>266</v>
      </c>
      <c r="F122" s="125" t="s">
        <v>209</v>
      </c>
      <c r="G122" s="140"/>
      <c r="H122" s="146" t="s">
        <v>211</v>
      </c>
      <c r="I122" s="125"/>
      <c r="J122" s="125"/>
      <c r="K122" s="126"/>
      <c r="L122" s="126"/>
      <c r="M122" s="125"/>
      <c r="N122" s="126">
        <v>40.0</v>
      </c>
      <c r="O122" s="125"/>
      <c r="P122" s="125"/>
      <c r="Q122" s="126"/>
      <c r="R122" s="131">
        <f t="shared" si="4"/>
        <v>0</v>
      </c>
      <c r="S122" s="131" t="str">
        <f t="shared" si="5"/>
        <v>#DIV/0!</v>
      </c>
      <c r="T122" s="126"/>
      <c r="U122" s="126"/>
      <c r="V122" s="143" t="s">
        <v>214</v>
      </c>
      <c r="W122" s="144" t="s">
        <v>774</v>
      </c>
      <c r="X122" s="187" t="s">
        <v>775</v>
      </c>
      <c r="Y122" s="126"/>
      <c r="Z122" s="173"/>
      <c r="AA122" s="173"/>
      <c r="AB122" s="173"/>
      <c r="AC122" s="173"/>
      <c r="AD122" s="125"/>
      <c r="AE122" s="125"/>
      <c r="AF122" s="112"/>
      <c r="AG122" s="112"/>
      <c r="AH122" s="112"/>
    </row>
    <row r="123">
      <c r="A123" s="135" t="s">
        <v>17</v>
      </c>
      <c r="B123" s="124" t="s">
        <v>57</v>
      </c>
      <c r="C123" s="125" t="str">
        <f>IF(D123=0,"Digite a CH", IF(D123&lt;80,Dados!$AC$2,IF(D123=80,Dados!$AC$3,IF(D123&lt;179,Dados!$AC$3,IF(D123&gt;179,Dados!$AC$4)))))</f>
        <v>Básico (Até 79h)</v>
      </c>
      <c r="D123" s="126">
        <v>40.0</v>
      </c>
      <c r="E123" s="126" t="s">
        <v>507</v>
      </c>
      <c r="F123" s="125" t="s">
        <v>209</v>
      </c>
      <c r="G123" s="125"/>
      <c r="H123" s="146" t="s">
        <v>211</v>
      </c>
      <c r="I123" s="125"/>
      <c r="J123" s="189"/>
      <c r="K123" s="126"/>
      <c r="L123" s="126"/>
      <c r="M123" s="125"/>
      <c r="N123" s="126">
        <v>40.0</v>
      </c>
      <c r="O123" s="126"/>
      <c r="P123" s="126"/>
      <c r="Q123" s="126"/>
      <c r="R123" s="131">
        <f t="shared" si="4"/>
        <v>0</v>
      </c>
      <c r="S123" s="131" t="str">
        <f t="shared" si="5"/>
        <v>#DIV/0!</v>
      </c>
      <c r="T123" s="126"/>
      <c r="U123" s="153"/>
      <c r="V123" s="160" t="s">
        <v>214</v>
      </c>
      <c r="W123" s="144" t="s">
        <v>774</v>
      </c>
      <c r="X123" s="187" t="s">
        <v>775</v>
      </c>
      <c r="Y123" s="125"/>
      <c r="Z123" s="184"/>
      <c r="AA123" s="184"/>
      <c r="AB123" s="190"/>
      <c r="AC123" s="125"/>
      <c r="AD123" s="126"/>
      <c r="AE123" s="153"/>
      <c r="AF123" s="112"/>
      <c r="AG123" s="112"/>
      <c r="AH123" s="112"/>
    </row>
    <row r="124">
      <c r="A124" s="135" t="s">
        <v>17</v>
      </c>
      <c r="B124" s="124" t="s">
        <v>40</v>
      </c>
      <c r="C124" s="125" t="str">
        <f>IF(D124=0,"Digite a CH", IF(D124&lt;80,Dados!$AC$2,IF(D124=80,Dados!$AC$3,IF(D124&lt;179,Dados!$AC$3,IF(D124&gt;179,Dados!$AC$4)))))</f>
        <v>Básico (Até 79h)</v>
      </c>
      <c r="D124" s="126">
        <v>40.0</v>
      </c>
      <c r="E124" s="126" t="s">
        <v>208</v>
      </c>
      <c r="F124" s="125" t="s">
        <v>209</v>
      </c>
      <c r="G124" s="125"/>
      <c r="H124" s="146" t="s">
        <v>211</v>
      </c>
      <c r="I124" s="125"/>
      <c r="J124" s="189"/>
      <c r="K124" s="126"/>
      <c r="L124" s="126"/>
      <c r="M124" s="125"/>
      <c r="N124" s="126">
        <v>45.0</v>
      </c>
      <c r="O124" s="126"/>
      <c r="P124" s="126"/>
      <c r="Q124" s="126"/>
      <c r="R124" s="131">
        <f t="shared" si="4"/>
        <v>0</v>
      </c>
      <c r="S124" s="131" t="str">
        <f t="shared" si="5"/>
        <v>#DIV/0!</v>
      </c>
      <c r="T124" s="126"/>
      <c r="U124" s="153"/>
      <c r="V124" s="160" t="s">
        <v>214</v>
      </c>
      <c r="W124" s="173" t="s">
        <v>776</v>
      </c>
      <c r="X124" s="125" t="s">
        <v>775</v>
      </c>
      <c r="Y124" s="125"/>
      <c r="Z124" s="184"/>
      <c r="AA124" s="184"/>
      <c r="AB124" s="190"/>
      <c r="AC124" s="125"/>
      <c r="AD124" s="126"/>
      <c r="AE124" s="153"/>
      <c r="AF124" s="112"/>
      <c r="AG124" s="112"/>
      <c r="AH124" s="112"/>
    </row>
    <row r="125">
      <c r="A125" s="135" t="s">
        <v>17</v>
      </c>
      <c r="B125" s="124" t="s">
        <v>40</v>
      </c>
      <c r="C125" s="125" t="str">
        <f>IF(D125=0,"Digite a CH", IF(D125&lt;80,Dados!$AC$2,IF(D125=80,Dados!$AC$3,IF(D125&lt;179,Dados!$AC$3,IF(D125&gt;179,Dados!$AC$4)))))</f>
        <v>Básico (Até 79h)</v>
      </c>
      <c r="D125" s="126">
        <v>40.0</v>
      </c>
      <c r="E125" s="126" t="s">
        <v>266</v>
      </c>
      <c r="F125" s="125" t="s">
        <v>209</v>
      </c>
      <c r="G125" s="125"/>
      <c r="H125" s="146" t="s">
        <v>211</v>
      </c>
      <c r="I125" s="125"/>
      <c r="J125" s="125"/>
      <c r="K125" s="126"/>
      <c r="L125" s="126"/>
      <c r="M125" s="125"/>
      <c r="N125" s="126">
        <v>45.0</v>
      </c>
      <c r="O125" s="125"/>
      <c r="P125" s="125"/>
      <c r="Q125" s="126"/>
      <c r="R125" s="131">
        <f t="shared" si="4"/>
        <v>0</v>
      </c>
      <c r="S125" s="131" t="str">
        <f t="shared" si="5"/>
        <v>#DIV/0!</v>
      </c>
      <c r="T125" s="126"/>
      <c r="U125" s="126"/>
      <c r="V125" s="160" t="s">
        <v>214</v>
      </c>
      <c r="W125" s="173" t="s">
        <v>776</v>
      </c>
      <c r="X125" s="187" t="s">
        <v>775</v>
      </c>
      <c r="Y125" s="126"/>
      <c r="Z125" s="173"/>
      <c r="AA125" s="173"/>
      <c r="AB125" s="173"/>
      <c r="AC125" s="173"/>
      <c r="AD125" s="173"/>
      <c r="AE125" s="173"/>
      <c r="AF125" s="112"/>
      <c r="AG125" s="112"/>
      <c r="AH125" s="112"/>
    </row>
    <row r="126">
      <c r="A126" s="135" t="s">
        <v>17</v>
      </c>
      <c r="B126" s="124" t="s">
        <v>40</v>
      </c>
      <c r="C126" s="125" t="str">
        <f>IF(D126=0,"Digite a CH", IF(D126&lt;80,Dados!$AC$2,IF(D126=80,Dados!$AC$3,IF(D126&lt;179,Dados!$AC$3,IF(D126&gt;179,Dados!$AC$4)))))</f>
        <v>Básico (Até 79h)</v>
      </c>
      <c r="D126" s="126">
        <v>40.0</v>
      </c>
      <c r="E126" s="126" t="s">
        <v>507</v>
      </c>
      <c r="F126" s="125" t="s">
        <v>209</v>
      </c>
      <c r="G126" s="125"/>
      <c r="H126" s="146" t="s">
        <v>211</v>
      </c>
      <c r="I126" s="125"/>
      <c r="J126" s="125"/>
      <c r="K126" s="126"/>
      <c r="L126" s="126"/>
      <c r="M126" s="125"/>
      <c r="N126" s="126">
        <v>45.0</v>
      </c>
      <c r="O126" s="125"/>
      <c r="P126" s="125"/>
      <c r="Q126" s="126"/>
      <c r="R126" s="131">
        <f t="shared" si="4"/>
        <v>0</v>
      </c>
      <c r="S126" s="131" t="str">
        <f t="shared" si="5"/>
        <v>#DIV/0!</v>
      </c>
      <c r="T126" s="126"/>
      <c r="U126" s="126"/>
      <c r="V126" s="160" t="s">
        <v>214</v>
      </c>
      <c r="W126" s="225" t="s">
        <v>776</v>
      </c>
      <c r="X126" s="140" t="s">
        <v>775</v>
      </c>
      <c r="Y126" s="126"/>
      <c r="Z126" s="125"/>
      <c r="AA126" s="125"/>
      <c r="AB126" s="125"/>
      <c r="AC126" s="125"/>
      <c r="AD126" s="125"/>
      <c r="AE126" s="173"/>
      <c r="AF126" s="112"/>
      <c r="AG126" s="112"/>
      <c r="AH126" s="112"/>
    </row>
    <row r="127">
      <c r="A127" s="135" t="s">
        <v>17</v>
      </c>
      <c r="B127" s="124" t="s">
        <v>40</v>
      </c>
      <c r="C127" s="125" t="str">
        <f>IF(D127=0,"Digite a CH", IF(D127&lt;80,Dados!$AC$2,IF(D127=80,Dados!$AC$3,IF(D127&lt;179,Dados!$AC$3,IF(D127&gt;179,Dados!$AC$4)))))</f>
        <v>Básico (Até 79h)</v>
      </c>
      <c r="D127" s="126">
        <v>40.0</v>
      </c>
      <c r="E127" s="126" t="s">
        <v>511</v>
      </c>
      <c r="F127" s="125" t="s">
        <v>209</v>
      </c>
      <c r="G127" s="140"/>
      <c r="H127" s="146" t="s">
        <v>211</v>
      </c>
      <c r="I127" s="138"/>
      <c r="J127" s="189"/>
      <c r="K127" s="126"/>
      <c r="L127" s="126"/>
      <c r="M127" s="125"/>
      <c r="N127" s="126">
        <v>45.0</v>
      </c>
      <c r="O127" s="125"/>
      <c r="P127" s="125"/>
      <c r="Q127" s="126"/>
      <c r="R127" s="131">
        <f t="shared" si="4"/>
        <v>0</v>
      </c>
      <c r="S127" s="131" t="str">
        <f t="shared" si="5"/>
        <v>#DIV/0!</v>
      </c>
      <c r="T127" s="125"/>
      <c r="U127" s="125"/>
      <c r="V127" s="160" t="s">
        <v>214</v>
      </c>
      <c r="W127" s="173" t="s">
        <v>776</v>
      </c>
      <c r="X127" s="140" t="s">
        <v>775</v>
      </c>
      <c r="Y127" s="125"/>
      <c r="Z127" s="125"/>
      <c r="AA127" s="125"/>
      <c r="AB127" s="125"/>
      <c r="AC127" s="125"/>
      <c r="AD127" s="125"/>
      <c r="AE127" s="125"/>
      <c r="AF127" s="112"/>
      <c r="AG127" s="112"/>
      <c r="AH127" s="112"/>
    </row>
    <row r="128">
      <c r="A128" s="145"/>
      <c r="B128" s="226"/>
      <c r="C128" s="125" t="str">
        <f>IF(D128=0,"Digite a CH", IF(D128&lt;80,Dados!$AC$2,IF(D128=80,Dados!$AC$3,IF(D128&lt;179,Dados!$AC$3,IF(D128&gt;179,Dados!$AC$4)))))</f>
        <v>Digite a CH</v>
      </c>
      <c r="D128" s="126"/>
      <c r="E128" s="126"/>
      <c r="F128" s="125"/>
      <c r="G128" s="125"/>
      <c r="H128" s="128"/>
      <c r="I128" s="143"/>
      <c r="J128" s="125"/>
      <c r="K128" s="126"/>
      <c r="L128" s="126"/>
      <c r="M128" s="125"/>
      <c r="N128" s="126"/>
      <c r="O128" s="126"/>
      <c r="P128" s="126"/>
      <c r="Q128" s="126"/>
      <c r="R128" s="131" t="str">
        <f t="shared" si="4"/>
        <v>#DIV/0!</v>
      </c>
      <c r="S128" s="131" t="str">
        <f t="shared" si="5"/>
        <v>#DIV/0!</v>
      </c>
      <c r="T128" s="126"/>
      <c r="U128" s="126"/>
      <c r="V128" s="125"/>
      <c r="W128" s="144"/>
      <c r="X128" s="125"/>
      <c r="Y128" s="126"/>
      <c r="Z128" s="125"/>
      <c r="AA128" s="125"/>
      <c r="AB128" s="125"/>
      <c r="AC128" s="125"/>
      <c r="AD128" s="125"/>
      <c r="AE128" s="126"/>
      <c r="AF128" s="112"/>
      <c r="AG128" s="112"/>
      <c r="AH128" s="112"/>
    </row>
    <row r="129">
      <c r="A129" s="145"/>
      <c r="B129" s="226"/>
      <c r="C129" s="125" t="str">
        <f>IF(D129=0,"Digite a CH", IF(D129&lt;80,Dados!$AC$2,IF(D129=80,Dados!$AC$3,IF(D129&lt;179,Dados!$AC$3,IF(D129&gt;179,Dados!$AC$4)))))</f>
        <v>Digite a CH</v>
      </c>
      <c r="D129" s="126"/>
      <c r="E129" s="126"/>
      <c r="F129" s="125"/>
      <c r="G129" s="125"/>
      <c r="H129" s="128" t="s">
        <v>211</v>
      </c>
      <c r="I129" s="143"/>
      <c r="J129" s="125"/>
      <c r="K129" s="126"/>
      <c r="L129" s="126"/>
      <c r="M129" s="125"/>
      <c r="N129" s="126"/>
      <c r="O129" s="126"/>
      <c r="P129" s="126"/>
      <c r="Q129" s="126"/>
      <c r="R129" s="131" t="str">
        <f t="shared" si="4"/>
        <v>#DIV/0!</v>
      </c>
      <c r="S129" s="131" t="str">
        <f t="shared" si="5"/>
        <v>#DIV/0!</v>
      </c>
      <c r="T129" s="126"/>
      <c r="U129" s="126"/>
      <c r="V129" s="126"/>
      <c r="W129" s="144"/>
      <c r="X129" s="125"/>
      <c r="Y129" s="125"/>
      <c r="Z129" s="125"/>
      <c r="AA129" s="125"/>
      <c r="AB129" s="125"/>
      <c r="AC129" s="126"/>
      <c r="AD129" s="125"/>
      <c r="AE129" s="126"/>
      <c r="AF129" s="112"/>
      <c r="AG129" s="112"/>
      <c r="AH129" s="112"/>
    </row>
    <row r="130">
      <c r="A130" s="145"/>
      <c r="B130" s="226"/>
      <c r="C130" s="125" t="str">
        <f>IF(D130=0,"Digite a CH", IF(D130&lt;80,Dados!$AC$2,IF(D130=80,Dados!$AC$3,IF(D130&lt;179,Dados!$AC$3,IF(D130&gt;179,Dados!$AC$4)))))</f>
        <v>Digite a CH</v>
      </c>
      <c r="D130" s="126"/>
      <c r="E130" s="126"/>
      <c r="F130" s="125"/>
      <c r="G130" s="125"/>
      <c r="H130" s="128"/>
      <c r="I130" s="143"/>
      <c r="J130" s="125"/>
      <c r="K130" s="126"/>
      <c r="L130" s="126"/>
      <c r="M130" s="125"/>
      <c r="N130" s="126"/>
      <c r="O130" s="126"/>
      <c r="P130" s="126"/>
      <c r="Q130" s="126"/>
      <c r="R130" s="131" t="str">
        <f t="shared" si="4"/>
        <v>#DIV/0!</v>
      </c>
      <c r="S130" s="131" t="str">
        <f t="shared" si="5"/>
        <v>#DIV/0!</v>
      </c>
      <c r="T130" s="126"/>
      <c r="U130" s="126"/>
      <c r="V130" s="125"/>
      <c r="W130" s="144"/>
      <c r="X130" s="125"/>
      <c r="Y130" s="126"/>
      <c r="Z130" s="125"/>
      <c r="AA130" s="125"/>
      <c r="AB130" s="125"/>
      <c r="AC130" s="125"/>
      <c r="AD130" s="125"/>
      <c r="AE130" s="126"/>
      <c r="AF130" s="112"/>
      <c r="AG130" s="112"/>
      <c r="AH130" s="112"/>
    </row>
    <row r="131">
      <c r="A131" s="145"/>
      <c r="B131" s="226"/>
      <c r="C131" s="125" t="str">
        <f>IF(D131=0,"Digite a CH", IF(D131&lt;80,Dados!$AC$2,IF(D131=80,Dados!$AC$3,IF(D131&lt;179,Dados!$AC$3,IF(D131&gt;179,Dados!$AC$4)))))</f>
        <v>Digite a CH</v>
      </c>
      <c r="D131" s="126"/>
      <c r="E131" s="126"/>
      <c r="F131" s="125"/>
      <c r="G131" s="125"/>
      <c r="H131" s="128"/>
      <c r="I131" s="143"/>
      <c r="J131" s="125"/>
      <c r="K131" s="126"/>
      <c r="L131" s="126"/>
      <c r="M131" s="125"/>
      <c r="N131" s="126"/>
      <c r="O131" s="126"/>
      <c r="P131" s="126"/>
      <c r="Q131" s="126"/>
      <c r="R131" s="131" t="str">
        <f t="shared" si="4"/>
        <v>#DIV/0!</v>
      </c>
      <c r="S131" s="131" t="str">
        <f t="shared" si="5"/>
        <v>#DIV/0!</v>
      </c>
      <c r="T131" s="126"/>
      <c r="U131" s="126"/>
      <c r="V131" s="125"/>
      <c r="W131" s="144"/>
      <c r="X131" s="126"/>
      <c r="Y131" s="126"/>
      <c r="Z131" s="125"/>
      <c r="AA131" s="125"/>
      <c r="AB131" s="125"/>
      <c r="AC131" s="125"/>
      <c r="AD131" s="125"/>
      <c r="AE131" s="126"/>
      <c r="AF131" s="112"/>
      <c r="AG131" s="112"/>
      <c r="AH131" s="112"/>
    </row>
    <row r="132">
      <c r="A132" s="145"/>
      <c r="B132" s="226"/>
      <c r="C132" s="125" t="str">
        <f>IF(D132=0,"Digite a CH", IF(D132&lt;80,Dados!$AC$2,IF(D132=80,Dados!$AC$3,IF(D132&lt;179,Dados!$AC$3,IF(D132&gt;179,Dados!$AC$4)))))</f>
        <v>Digite a CH</v>
      </c>
      <c r="D132" s="126"/>
      <c r="E132" s="126"/>
      <c r="F132" s="125"/>
      <c r="G132" s="125"/>
      <c r="H132" s="128"/>
      <c r="I132" s="143"/>
      <c r="J132" s="125"/>
      <c r="K132" s="126"/>
      <c r="L132" s="126"/>
      <c r="M132" s="125"/>
      <c r="N132" s="126"/>
      <c r="O132" s="126"/>
      <c r="P132" s="126"/>
      <c r="Q132" s="126"/>
      <c r="R132" s="131" t="str">
        <f t="shared" si="4"/>
        <v>#DIV/0!</v>
      </c>
      <c r="S132" s="131" t="str">
        <f t="shared" si="5"/>
        <v>#DIV/0!</v>
      </c>
      <c r="T132" s="126"/>
      <c r="U132" s="126"/>
      <c r="V132" s="125"/>
      <c r="W132" s="144"/>
      <c r="X132" s="126"/>
      <c r="Y132" s="126"/>
      <c r="Z132" s="125"/>
      <c r="AA132" s="125"/>
      <c r="AB132" s="125"/>
      <c r="AC132" s="125"/>
      <c r="AD132" s="125"/>
      <c r="AE132" s="126"/>
      <c r="AF132" s="112"/>
      <c r="AG132" s="112"/>
      <c r="AH132" s="112"/>
    </row>
    <row r="133">
      <c r="A133" s="145"/>
      <c r="B133" s="226"/>
      <c r="C133" s="125" t="str">
        <f>IF(D133=0,"Digite a CH", IF(D133&lt;80,Dados!$AC$2,IF(D133=80,Dados!$AC$3,IF(D133&lt;179,Dados!$AC$3,IF(D133&gt;179,Dados!$AC$4)))))</f>
        <v>Digite a CH</v>
      </c>
      <c r="D133" s="126"/>
      <c r="E133" s="126"/>
      <c r="F133" s="125"/>
      <c r="G133" s="125"/>
      <c r="H133" s="128"/>
      <c r="I133" s="143"/>
      <c r="J133" s="125"/>
      <c r="K133" s="126"/>
      <c r="L133" s="126"/>
      <c r="M133" s="125"/>
      <c r="N133" s="126"/>
      <c r="O133" s="126"/>
      <c r="P133" s="126"/>
      <c r="Q133" s="126"/>
      <c r="R133" s="131" t="str">
        <f t="shared" si="4"/>
        <v>#DIV/0!</v>
      </c>
      <c r="S133" s="131" t="str">
        <f t="shared" si="5"/>
        <v>#DIV/0!</v>
      </c>
      <c r="T133" s="126"/>
      <c r="U133" s="126"/>
      <c r="V133" s="125"/>
      <c r="W133" s="144"/>
      <c r="X133" s="126"/>
      <c r="Y133" s="126"/>
      <c r="Z133" s="125"/>
      <c r="AA133" s="125"/>
      <c r="AB133" s="125"/>
      <c r="AC133" s="125"/>
      <c r="AD133" s="125"/>
      <c r="AE133" s="126"/>
      <c r="AF133" s="112"/>
      <c r="AG133" s="112"/>
      <c r="AH133" s="112"/>
    </row>
    <row r="134">
      <c r="A134" s="145"/>
      <c r="B134" s="226"/>
      <c r="C134" s="125" t="str">
        <f>IF(D134=0,"Digite a CH", IF(D134&lt;80,Dados!$AC$2,IF(D134=80,Dados!$AC$3,IF(D134&lt;179,Dados!$AC$3,IF(D134&gt;179,Dados!$AC$4)))))</f>
        <v>Digite a CH</v>
      </c>
      <c r="D134" s="126"/>
      <c r="E134" s="126"/>
      <c r="F134" s="125"/>
      <c r="G134" s="125"/>
      <c r="H134" s="128"/>
      <c r="I134" s="143"/>
      <c r="J134" s="125"/>
      <c r="K134" s="126"/>
      <c r="L134" s="126"/>
      <c r="M134" s="125"/>
      <c r="N134" s="126"/>
      <c r="O134" s="126"/>
      <c r="P134" s="126"/>
      <c r="Q134" s="126"/>
      <c r="R134" s="131" t="str">
        <f t="shared" si="4"/>
        <v>#DIV/0!</v>
      </c>
      <c r="S134" s="131" t="str">
        <f t="shared" si="5"/>
        <v>#DIV/0!</v>
      </c>
      <c r="T134" s="126"/>
      <c r="U134" s="126"/>
      <c r="V134" s="125"/>
      <c r="W134" s="144"/>
      <c r="X134" s="126"/>
      <c r="Y134" s="126"/>
      <c r="Z134" s="125"/>
      <c r="AA134" s="125"/>
      <c r="AB134" s="125"/>
      <c r="AC134" s="125"/>
      <c r="AD134" s="125"/>
      <c r="AE134" s="126"/>
      <c r="AF134" s="112"/>
      <c r="AG134" s="112"/>
      <c r="AH134" s="112"/>
    </row>
    <row r="135">
      <c r="A135" s="145"/>
      <c r="B135" s="226"/>
      <c r="C135" s="125" t="str">
        <f>IF(D135=0,"Digite a CH", IF(D135&lt;80,Dados!$AC$2,IF(D135=80,Dados!$AC$3,IF(D135&lt;179,Dados!$AC$3,IF(D135&gt;179,Dados!$AC$4)))))</f>
        <v>Digite a CH</v>
      </c>
      <c r="D135" s="126"/>
      <c r="E135" s="126"/>
      <c r="F135" s="125"/>
      <c r="G135" s="125"/>
      <c r="H135" s="128"/>
      <c r="I135" s="143"/>
      <c r="J135" s="125"/>
      <c r="K135" s="126"/>
      <c r="L135" s="126"/>
      <c r="M135" s="125"/>
      <c r="N135" s="126"/>
      <c r="O135" s="125"/>
      <c r="P135" s="126"/>
      <c r="Q135" s="126"/>
      <c r="R135" s="131" t="str">
        <f t="shared" si="4"/>
        <v>#DIV/0!</v>
      </c>
      <c r="S135" s="131" t="str">
        <f t="shared" si="5"/>
        <v>#DIV/0!</v>
      </c>
      <c r="T135" s="126"/>
      <c r="U135" s="126"/>
      <c r="V135" s="125"/>
      <c r="W135" s="144"/>
      <c r="X135" s="125"/>
      <c r="Y135" s="125"/>
      <c r="Z135" s="125"/>
      <c r="AA135" s="125"/>
      <c r="AB135" s="125"/>
      <c r="AC135" s="125"/>
      <c r="AD135" s="125"/>
      <c r="AE135" s="227"/>
      <c r="AF135" s="112"/>
      <c r="AG135" s="112"/>
      <c r="AH135" s="112"/>
    </row>
    <row r="136">
      <c r="A136" s="145"/>
      <c r="B136" s="226"/>
      <c r="C136" s="125" t="str">
        <f>IF(D136=0,"Digite a CH", IF(D136&lt;80,Dados!$AC$2,IF(D136=80,Dados!$AC$3,IF(D136&lt;179,Dados!$AC$3,IF(D136&gt;179,Dados!$AC$4)))))</f>
        <v>Digite a CH</v>
      </c>
      <c r="D136" s="126"/>
      <c r="E136" s="126"/>
      <c r="F136" s="125"/>
      <c r="G136" s="125"/>
      <c r="H136" s="128"/>
      <c r="I136" s="143"/>
      <c r="J136" s="125"/>
      <c r="K136" s="126"/>
      <c r="L136" s="126"/>
      <c r="M136" s="125"/>
      <c r="N136" s="126"/>
      <c r="O136" s="125"/>
      <c r="P136" s="126"/>
      <c r="Q136" s="126"/>
      <c r="R136" s="131" t="str">
        <f t="shared" si="4"/>
        <v>#DIV/0!</v>
      </c>
      <c r="S136" s="131" t="str">
        <f t="shared" si="5"/>
        <v>#DIV/0!</v>
      </c>
      <c r="T136" s="126"/>
      <c r="U136" s="126"/>
      <c r="V136" s="125"/>
      <c r="W136" s="144"/>
      <c r="X136" s="125"/>
      <c r="Y136" s="125"/>
      <c r="Z136" s="125"/>
      <c r="AA136" s="125"/>
      <c r="AB136" s="125"/>
      <c r="AC136" s="125"/>
      <c r="AD136" s="125"/>
      <c r="AE136" s="227"/>
      <c r="AF136" s="112"/>
      <c r="AG136" s="112"/>
      <c r="AH136" s="112"/>
    </row>
    <row r="137">
      <c r="A137" s="145"/>
      <c r="B137" s="226"/>
      <c r="C137" s="125" t="str">
        <f>IF(D137=0,"Digite a CH", IF(D137&lt;80,Dados!$AC$2,IF(D137=80,Dados!$AC$3,IF(D137&lt;179,Dados!$AC$3,IF(D137&gt;179,Dados!$AC$4)))))</f>
        <v>Digite a CH</v>
      </c>
      <c r="D137" s="126"/>
      <c r="E137" s="126"/>
      <c r="F137" s="125"/>
      <c r="G137" s="125"/>
      <c r="H137" s="128"/>
      <c r="I137" s="143"/>
      <c r="J137" s="125"/>
      <c r="K137" s="126"/>
      <c r="L137" s="126"/>
      <c r="M137" s="125"/>
      <c r="N137" s="126"/>
      <c r="O137" s="125"/>
      <c r="P137" s="126"/>
      <c r="Q137" s="126"/>
      <c r="R137" s="131" t="str">
        <f t="shared" si="4"/>
        <v>#DIV/0!</v>
      </c>
      <c r="S137" s="131" t="str">
        <f t="shared" si="5"/>
        <v>#DIV/0!</v>
      </c>
      <c r="T137" s="126"/>
      <c r="U137" s="126"/>
      <c r="V137" s="125"/>
      <c r="W137" s="144"/>
      <c r="X137" s="125"/>
      <c r="Y137" s="125"/>
      <c r="Z137" s="125"/>
      <c r="AA137" s="125"/>
      <c r="AB137" s="125"/>
      <c r="AC137" s="125"/>
      <c r="AD137" s="125"/>
      <c r="AE137" s="227"/>
      <c r="AF137" s="112"/>
      <c r="AG137" s="112"/>
      <c r="AH137" s="112"/>
    </row>
    <row r="138">
      <c r="A138" s="145"/>
      <c r="B138" s="226"/>
      <c r="C138" s="125" t="str">
        <f>IF(D138=0,"Digite a CH", IF(D138&lt;80,Dados!$AC$2,IF(D138=80,Dados!$AC$3,IF(D138&lt;179,Dados!$AC$3,IF(D138&gt;179,Dados!$AC$4)))))</f>
        <v>Digite a CH</v>
      </c>
      <c r="D138" s="126"/>
      <c r="E138" s="126"/>
      <c r="F138" s="125"/>
      <c r="G138" s="125"/>
      <c r="H138" s="128"/>
      <c r="I138" s="143"/>
      <c r="J138" s="125"/>
      <c r="K138" s="126"/>
      <c r="L138" s="126"/>
      <c r="M138" s="125"/>
      <c r="N138" s="126"/>
      <c r="O138" s="125"/>
      <c r="P138" s="126"/>
      <c r="Q138" s="126"/>
      <c r="R138" s="131" t="str">
        <f t="shared" si="4"/>
        <v>#DIV/0!</v>
      </c>
      <c r="S138" s="131" t="str">
        <f t="shared" si="5"/>
        <v>#DIV/0!</v>
      </c>
      <c r="T138" s="126"/>
      <c r="U138" s="126"/>
      <c r="V138" s="125"/>
      <c r="W138" s="144"/>
      <c r="X138" s="125"/>
      <c r="Y138" s="125"/>
      <c r="Z138" s="125"/>
      <c r="AA138" s="125"/>
      <c r="AB138" s="125"/>
      <c r="AC138" s="125"/>
      <c r="AD138" s="125"/>
      <c r="AE138" s="227"/>
      <c r="AF138" s="112"/>
      <c r="AG138" s="112"/>
      <c r="AH138" s="112"/>
    </row>
    <row r="139">
      <c r="A139" s="145"/>
      <c r="B139" s="226"/>
      <c r="C139" s="125" t="str">
        <f>IF(D139=0,"Digite a CH", IF(D139&lt;80,Dados!$AC$2,IF(D139=80,Dados!$AC$3,IF(D139&lt;179,Dados!$AC$3,IF(D139&gt;179,Dados!$AC$4)))))</f>
        <v>Digite a CH</v>
      </c>
      <c r="D139" s="126"/>
      <c r="E139" s="126"/>
      <c r="F139" s="125"/>
      <c r="G139" s="125"/>
      <c r="H139" s="128"/>
      <c r="I139" s="143"/>
      <c r="J139" s="125"/>
      <c r="K139" s="126"/>
      <c r="L139" s="126"/>
      <c r="M139" s="125"/>
      <c r="N139" s="126"/>
      <c r="O139" s="125"/>
      <c r="P139" s="126"/>
      <c r="Q139" s="126"/>
      <c r="R139" s="131" t="str">
        <f t="shared" si="4"/>
        <v>#DIV/0!</v>
      </c>
      <c r="S139" s="131" t="str">
        <f t="shared" si="5"/>
        <v>#DIV/0!</v>
      </c>
      <c r="T139" s="126"/>
      <c r="U139" s="126"/>
      <c r="V139" s="125"/>
      <c r="W139" s="144"/>
      <c r="X139" s="125"/>
      <c r="Y139" s="125"/>
      <c r="Z139" s="125"/>
      <c r="AA139" s="125"/>
      <c r="AB139" s="125"/>
      <c r="AC139" s="125"/>
      <c r="AD139" s="125"/>
      <c r="AE139" s="227"/>
      <c r="AF139" s="112"/>
      <c r="AG139" s="112"/>
      <c r="AH139" s="112"/>
    </row>
    <row r="140">
      <c r="A140" s="145"/>
      <c r="B140" s="226"/>
      <c r="C140" s="125" t="str">
        <f>IF(D140=0,"Digite a CH", IF(D140&lt;80,Dados!$AC$2,IF(D140=80,Dados!$AC$3,IF(D140&lt;179,Dados!$AC$3,IF(D140&gt;179,Dados!$AC$4)))))</f>
        <v>Digite a CH</v>
      </c>
      <c r="D140" s="126"/>
      <c r="E140" s="126"/>
      <c r="F140" s="125"/>
      <c r="G140" s="125"/>
      <c r="H140" s="128"/>
      <c r="I140" s="143"/>
      <c r="J140" s="125"/>
      <c r="K140" s="126"/>
      <c r="L140" s="126"/>
      <c r="M140" s="125"/>
      <c r="N140" s="126"/>
      <c r="O140" s="125"/>
      <c r="P140" s="126"/>
      <c r="Q140" s="126"/>
      <c r="R140" s="131" t="str">
        <f t="shared" si="4"/>
        <v>#DIV/0!</v>
      </c>
      <c r="S140" s="131" t="str">
        <f t="shared" si="5"/>
        <v>#DIV/0!</v>
      </c>
      <c r="T140" s="126"/>
      <c r="U140" s="126"/>
      <c r="V140" s="125"/>
      <c r="W140" s="144"/>
      <c r="X140" s="125"/>
      <c r="Y140" s="125"/>
      <c r="Z140" s="125"/>
      <c r="AA140" s="125"/>
      <c r="AB140" s="125"/>
      <c r="AC140" s="125"/>
      <c r="AD140" s="125"/>
      <c r="AE140" s="227"/>
      <c r="AF140" s="112"/>
      <c r="AG140" s="112"/>
      <c r="AH140" s="112"/>
    </row>
    <row r="141">
      <c r="A141" s="135"/>
      <c r="B141" s="124"/>
      <c r="C141" s="125" t="str">
        <f>IF(D141=0,"Digite a CH", IF(D141&lt;80,Dados!$AC$2,IF(D141=80,Dados!$AC$3,IF(D141&lt;179,Dados!$AC$3,IF(D141&gt;179,Dados!$AC$4)))))</f>
        <v>Digite a CH</v>
      </c>
      <c r="D141" s="126"/>
      <c r="E141" s="126"/>
      <c r="F141" s="125"/>
      <c r="G141" s="125"/>
      <c r="H141" s="125"/>
      <c r="I141" s="125"/>
      <c r="J141" s="189"/>
      <c r="K141" s="126"/>
      <c r="L141" s="126"/>
      <c r="M141" s="125"/>
      <c r="N141" s="126"/>
      <c r="O141" s="126"/>
      <c r="P141" s="126"/>
      <c r="Q141" s="126"/>
      <c r="R141" s="131" t="str">
        <f t="shared" si="4"/>
        <v>#DIV/0!</v>
      </c>
      <c r="S141" s="131" t="str">
        <f t="shared" si="5"/>
        <v>#DIV/0!</v>
      </c>
      <c r="T141" s="126"/>
      <c r="U141" s="153"/>
      <c r="V141" s="153"/>
      <c r="W141" s="144"/>
      <c r="X141" s="125"/>
      <c r="Y141" s="125"/>
      <c r="Z141" s="184"/>
      <c r="AA141" s="184"/>
      <c r="AB141" s="190"/>
      <c r="AC141" s="125"/>
      <c r="AD141" s="126"/>
      <c r="AE141" s="153"/>
      <c r="AF141" s="112"/>
      <c r="AG141" s="112"/>
      <c r="AH141" s="112"/>
    </row>
    <row r="142">
      <c r="A142" s="222"/>
      <c r="B142" s="228"/>
      <c r="C142" s="125" t="str">
        <f>IF(D142=0,"Digite a CH", IF(D142&lt;80,Dados!$AC$2,IF(D142=80,Dados!$AC$3,IF(D142&lt;179,Dados!$AC$3,IF(D142&gt;179,Dados!$AC$4)))))</f>
        <v>Digite a CH</v>
      </c>
      <c r="D142" s="126"/>
      <c r="E142" s="126"/>
      <c r="F142" s="125"/>
      <c r="G142" s="125"/>
      <c r="H142" s="125"/>
      <c r="I142" s="125"/>
      <c r="J142" s="189"/>
      <c r="K142" s="126"/>
      <c r="L142" s="126"/>
      <c r="M142" s="125"/>
      <c r="N142" s="126"/>
      <c r="O142" s="126"/>
      <c r="P142" s="126"/>
      <c r="Q142" s="126"/>
      <c r="R142" s="131" t="str">
        <f t="shared" si="4"/>
        <v>#DIV/0!</v>
      </c>
      <c r="S142" s="131" t="str">
        <f t="shared" si="5"/>
        <v>#DIV/0!</v>
      </c>
      <c r="T142" s="126"/>
      <c r="U142" s="153"/>
      <c r="V142" s="153"/>
      <c r="W142" s="144"/>
      <c r="X142" s="125"/>
      <c r="Y142" s="125"/>
      <c r="Z142" s="184"/>
      <c r="AA142" s="184"/>
      <c r="AB142" s="190"/>
      <c r="AC142" s="125"/>
      <c r="AD142" s="126"/>
      <c r="AE142" s="153"/>
      <c r="AF142" s="112"/>
      <c r="AG142" s="112"/>
      <c r="AH142" s="112"/>
    </row>
    <row r="143">
      <c r="A143" s="135"/>
      <c r="B143" s="124"/>
      <c r="C143" s="125" t="str">
        <f>IF(D143=0,"Digite a CH", IF(D143&lt;80,Dados!$AC$2,IF(D143=80,Dados!$AC$3,IF(D143&lt;179,Dados!$AC$3,IF(D143&gt;179,Dados!$AC$4)))))</f>
        <v>Digite a CH</v>
      </c>
      <c r="D143" s="126"/>
      <c r="E143" s="126"/>
      <c r="F143" s="125"/>
      <c r="G143" s="125"/>
      <c r="H143" s="125"/>
      <c r="I143" s="125"/>
      <c r="J143" s="189"/>
      <c r="K143" s="126"/>
      <c r="L143" s="126"/>
      <c r="M143" s="125"/>
      <c r="N143" s="126"/>
      <c r="O143" s="126"/>
      <c r="P143" s="126"/>
      <c r="Q143" s="126"/>
      <c r="R143" s="131" t="str">
        <f t="shared" si="4"/>
        <v>#DIV/0!</v>
      </c>
      <c r="S143" s="131" t="str">
        <f t="shared" si="5"/>
        <v>#DIV/0!</v>
      </c>
      <c r="T143" s="126"/>
      <c r="U143" s="153"/>
      <c r="V143" s="153"/>
      <c r="W143" s="144"/>
      <c r="X143" s="125"/>
      <c r="Y143" s="125"/>
      <c r="Z143" s="184"/>
      <c r="AA143" s="184"/>
      <c r="AB143" s="190"/>
      <c r="AC143" s="125"/>
      <c r="AD143" s="126"/>
      <c r="AE143" s="153"/>
      <c r="AF143" s="112"/>
      <c r="AG143" s="112"/>
      <c r="AH143" s="112"/>
    </row>
    <row r="144">
      <c r="A144" s="135"/>
      <c r="B144" s="124"/>
      <c r="C144" s="125" t="str">
        <f>IF(D144=0,"Digite a CH", IF(D144&lt;80,Dados!$AC$2,IF(D144=80,Dados!$AC$3,IF(D144&lt;179,Dados!$AC$3,IF(D144&gt;179,Dados!$AC$4)))))</f>
        <v>Digite a CH</v>
      </c>
      <c r="D144" s="126"/>
      <c r="E144" s="126"/>
      <c r="F144" s="125"/>
      <c r="G144" s="125"/>
      <c r="H144" s="125"/>
      <c r="I144" s="125"/>
      <c r="J144" s="189"/>
      <c r="K144" s="126"/>
      <c r="L144" s="126"/>
      <c r="M144" s="125"/>
      <c r="N144" s="126"/>
      <c r="O144" s="126"/>
      <c r="P144" s="126"/>
      <c r="Q144" s="126"/>
      <c r="R144" s="131" t="str">
        <f t="shared" si="4"/>
        <v>#DIV/0!</v>
      </c>
      <c r="S144" s="131" t="str">
        <f t="shared" si="5"/>
        <v>#DIV/0!</v>
      </c>
      <c r="T144" s="126"/>
      <c r="U144" s="153"/>
      <c r="V144" s="153"/>
      <c r="W144" s="144"/>
      <c r="X144" s="125"/>
      <c r="Y144" s="125"/>
      <c r="Z144" s="184"/>
      <c r="AA144" s="184"/>
      <c r="AB144" s="190"/>
      <c r="AC144" s="125"/>
      <c r="AD144" s="126"/>
      <c r="AE144" s="153"/>
      <c r="AF144" s="112"/>
      <c r="AG144" s="112"/>
      <c r="AH144" s="112"/>
    </row>
    <row r="145">
      <c r="A145" s="135"/>
      <c r="B145" s="124"/>
      <c r="C145" s="125" t="str">
        <f>IF(D145=0,"Digite a CH", IF(D145&lt;80,Dados!$AC$2,IF(D145=80,Dados!$AC$3,IF(D145&lt;179,Dados!$AC$3,IF(D145&gt;179,Dados!$AC$4)))))</f>
        <v>Digite a CH</v>
      </c>
      <c r="D145" s="126"/>
      <c r="E145" s="126"/>
      <c r="F145" s="125"/>
      <c r="G145" s="125"/>
      <c r="H145" s="125"/>
      <c r="I145" s="125"/>
      <c r="J145" s="189"/>
      <c r="K145" s="126"/>
      <c r="L145" s="126"/>
      <c r="M145" s="125"/>
      <c r="N145" s="126"/>
      <c r="O145" s="126"/>
      <c r="P145" s="126"/>
      <c r="Q145" s="126"/>
      <c r="R145" s="131" t="str">
        <f t="shared" si="4"/>
        <v>#DIV/0!</v>
      </c>
      <c r="S145" s="131" t="str">
        <f t="shared" si="5"/>
        <v>#DIV/0!</v>
      </c>
      <c r="T145" s="126"/>
      <c r="U145" s="153"/>
      <c r="V145" s="153"/>
      <c r="W145" s="144"/>
      <c r="X145" s="125"/>
      <c r="Y145" s="125"/>
      <c r="Z145" s="184"/>
      <c r="AA145" s="184"/>
      <c r="AB145" s="190"/>
      <c r="AC145" s="125"/>
      <c r="AD145" s="126"/>
      <c r="AE145" s="153"/>
      <c r="AF145" s="112"/>
      <c r="AG145" s="112"/>
      <c r="AH145" s="112"/>
    </row>
    <row r="146">
      <c r="A146" s="135"/>
      <c r="B146" s="124"/>
      <c r="C146" s="125" t="str">
        <f>IF(D146=0,"Digite a CH", IF(D146&lt;80,Dados!$AC$2,IF(D146=80,Dados!$AC$3,IF(D146&lt;179,Dados!$AC$3,IF(D146&gt;179,Dados!$AC$4)))))</f>
        <v>Digite a CH</v>
      </c>
      <c r="D146" s="126"/>
      <c r="E146" s="126"/>
      <c r="F146" s="125"/>
      <c r="G146" s="125"/>
      <c r="H146" s="125"/>
      <c r="I146" s="125"/>
      <c r="J146" s="189"/>
      <c r="K146" s="126"/>
      <c r="L146" s="126"/>
      <c r="M146" s="125"/>
      <c r="N146" s="126"/>
      <c r="O146" s="126"/>
      <c r="P146" s="126"/>
      <c r="Q146" s="126"/>
      <c r="R146" s="131" t="str">
        <f t="shared" si="4"/>
        <v>#DIV/0!</v>
      </c>
      <c r="S146" s="131" t="str">
        <f t="shared" si="5"/>
        <v>#DIV/0!</v>
      </c>
      <c r="T146" s="126"/>
      <c r="U146" s="153"/>
      <c r="V146" s="153"/>
      <c r="W146" s="144"/>
      <c r="X146" s="125"/>
      <c r="Y146" s="125"/>
      <c r="Z146" s="184"/>
      <c r="AA146" s="184"/>
      <c r="AB146" s="190"/>
      <c r="AC146" s="125"/>
      <c r="AD146" s="126"/>
      <c r="AE146" s="153"/>
      <c r="AF146" s="112"/>
      <c r="AG146" s="112"/>
      <c r="AH146" s="112"/>
    </row>
    <row r="147">
      <c r="A147" s="135"/>
      <c r="B147" s="124"/>
      <c r="C147" s="125" t="str">
        <f>IF(D147=0,"Digite a CH", IF(D147&lt;80,Dados!$AC$2,IF(D147=80,Dados!$AC$3,IF(D147&lt;179,Dados!$AC$3,IF(D147&gt;179,Dados!$AC$4)))))</f>
        <v>Digite a CH</v>
      </c>
      <c r="D147" s="126"/>
      <c r="E147" s="126"/>
      <c r="F147" s="125"/>
      <c r="G147" s="125"/>
      <c r="H147" s="125"/>
      <c r="I147" s="125"/>
      <c r="J147" s="189"/>
      <c r="K147" s="126"/>
      <c r="L147" s="126"/>
      <c r="M147" s="125"/>
      <c r="N147" s="126"/>
      <c r="O147" s="126"/>
      <c r="P147" s="126"/>
      <c r="Q147" s="126"/>
      <c r="R147" s="131" t="str">
        <f t="shared" si="4"/>
        <v>#DIV/0!</v>
      </c>
      <c r="S147" s="131" t="str">
        <f t="shared" si="5"/>
        <v>#DIV/0!</v>
      </c>
      <c r="T147" s="126"/>
      <c r="U147" s="153"/>
      <c r="V147" s="153"/>
      <c r="W147" s="144"/>
      <c r="X147" s="125"/>
      <c r="Y147" s="125"/>
      <c r="Z147" s="184"/>
      <c r="AA147" s="184"/>
      <c r="AB147" s="190"/>
      <c r="AC147" s="125"/>
      <c r="AD147" s="126"/>
      <c r="AE147" s="153"/>
      <c r="AF147" s="112"/>
      <c r="AG147" s="112"/>
      <c r="AH147" s="112"/>
    </row>
    <row r="148">
      <c r="A148" s="135"/>
      <c r="B148" s="124"/>
      <c r="C148" s="125" t="str">
        <f>IF(D148=0,"Digite a CH", IF(D148&lt;80,Dados!$AC$2,IF(D148=80,Dados!$AC$3,IF(D148&lt;179,Dados!$AC$3,IF(D148&gt;179,Dados!$AC$4)))))</f>
        <v>Digite a CH</v>
      </c>
      <c r="D148" s="126"/>
      <c r="E148" s="126"/>
      <c r="F148" s="125"/>
      <c r="G148" s="125"/>
      <c r="H148" s="125"/>
      <c r="I148" s="125"/>
      <c r="J148" s="189"/>
      <c r="K148" s="126"/>
      <c r="L148" s="126"/>
      <c r="M148" s="125"/>
      <c r="N148" s="126"/>
      <c r="O148" s="126"/>
      <c r="P148" s="126"/>
      <c r="Q148" s="126"/>
      <c r="R148" s="131" t="str">
        <f t="shared" si="4"/>
        <v>#DIV/0!</v>
      </c>
      <c r="S148" s="131" t="str">
        <f t="shared" si="5"/>
        <v>#DIV/0!</v>
      </c>
      <c r="T148" s="126"/>
      <c r="U148" s="153"/>
      <c r="V148" s="153"/>
      <c r="W148" s="144"/>
      <c r="X148" s="125"/>
      <c r="Y148" s="125"/>
      <c r="Z148" s="184"/>
      <c r="AA148" s="184"/>
      <c r="AB148" s="190"/>
      <c r="AC148" s="125"/>
      <c r="AD148" s="126"/>
      <c r="AE148" s="153"/>
      <c r="AF148" s="112"/>
      <c r="AG148" s="112"/>
      <c r="AH148" s="112"/>
    </row>
    <row r="149">
      <c r="A149" s="135"/>
      <c r="B149" s="124"/>
      <c r="C149" s="125" t="str">
        <f>IF(D149=0,"Digite a CH", IF(D149&lt;80,Dados!$AC$2,IF(D149=80,Dados!$AC$3,IF(D149&lt;179,Dados!$AC$3,IF(D149&gt;179,Dados!$AC$4)))))</f>
        <v>Digite a CH</v>
      </c>
      <c r="D149" s="126"/>
      <c r="E149" s="126"/>
      <c r="F149" s="125"/>
      <c r="G149" s="125"/>
      <c r="H149" s="125"/>
      <c r="I149" s="125"/>
      <c r="J149" s="189"/>
      <c r="K149" s="126"/>
      <c r="L149" s="126"/>
      <c r="M149" s="125"/>
      <c r="N149" s="126"/>
      <c r="O149" s="126"/>
      <c r="P149" s="126"/>
      <c r="Q149" s="126"/>
      <c r="R149" s="131" t="str">
        <f t="shared" si="4"/>
        <v>#DIV/0!</v>
      </c>
      <c r="S149" s="131" t="str">
        <f t="shared" si="5"/>
        <v>#DIV/0!</v>
      </c>
      <c r="T149" s="126"/>
      <c r="U149" s="153"/>
      <c r="V149" s="153"/>
      <c r="W149" s="144"/>
      <c r="X149" s="125"/>
      <c r="Y149" s="125"/>
      <c r="Z149" s="184"/>
      <c r="AA149" s="184"/>
      <c r="AB149" s="190"/>
      <c r="AC149" s="125"/>
      <c r="AD149" s="126"/>
      <c r="AE149" s="153"/>
      <c r="AF149" s="112"/>
      <c r="AG149" s="112"/>
      <c r="AH149" s="112"/>
    </row>
    <row r="150">
      <c r="A150" s="135"/>
      <c r="B150" s="124"/>
      <c r="C150" s="125" t="str">
        <f>IF(D150=0,"Digite a CH", IF(D150&lt;80,Dados!$AC$2,IF(D150=80,Dados!$AC$3,IF(D150&lt;179,Dados!$AC$3,IF(D150&gt;179,Dados!$AC$4)))))</f>
        <v>Digite a CH</v>
      </c>
      <c r="D150" s="126"/>
      <c r="E150" s="126"/>
      <c r="F150" s="125"/>
      <c r="G150" s="125"/>
      <c r="H150" s="125"/>
      <c r="I150" s="125"/>
      <c r="J150" s="189"/>
      <c r="K150" s="126"/>
      <c r="L150" s="126"/>
      <c r="M150" s="125"/>
      <c r="N150" s="126"/>
      <c r="O150" s="126"/>
      <c r="P150" s="126"/>
      <c r="Q150" s="126"/>
      <c r="R150" s="131" t="str">
        <f t="shared" si="4"/>
        <v>#DIV/0!</v>
      </c>
      <c r="S150" s="131" t="str">
        <f t="shared" si="5"/>
        <v>#DIV/0!</v>
      </c>
      <c r="T150" s="126"/>
      <c r="U150" s="153"/>
      <c r="V150" s="153"/>
      <c r="W150" s="144"/>
      <c r="X150" s="125"/>
      <c r="Y150" s="125"/>
      <c r="Z150" s="184"/>
      <c r="AA150" s="184"/>
      <c r="AB150" s="190"/>
      <c r="AC150" s="125"/>
      <c r="AD150" s="126"/>
      <c r="AE150" s="153"/>
      <c r="AF150" s="112"/>
      <c r="AG150" s="112"/>
      <c r="AH150" s="112"/>
    </row>
    <row r="151">
      <c r="A151" s="135"/>
      <c r="B151" s="124"/>
      <c r="C151" s="125" t="str">
        <f>IF(D151=0,"Digite a CH", IF(D151&lt;80,Dados!$AC$2,IF(D151=80,Dados!$AC$3,IF(D151&lt;179,Dados!$AC$3,IF(D151&gt;179,Dados!$AC$4)))))</f>
        <v>Digite a CH</v>
      </c>
      <c r="D151" s="126"/>
      <c r="E151" s="126"/>
      <c r="F151" s="125"/>
      <c r="G151" s="125"/>
      <c r="H151" s="125"/>
      <c r="I151" s="125"/>
      <c r="J151" s="189"/>
      <c r="K151" s="126"/>
      <c r="L151" s="126"/>
      <c r="M151" s="125"/>
      <c r="N151" s="126"/>
      <c r="O151" s="126"/>
      <c r="P151" s="126"/>
      <c r="Q151" s="126"/>
      <c r="R151" s="131" t="str">
        <f t="shared" si="4"/>
        <v>#DIV/0!</v>
      </c>
      <c r="S151" s="131" t="str">
        <f t="shared" si="5"/>
        <v>#DIV/0!</v>
      </c>
      <c r="T151" s="126"/>
      <c r="U151" s="153"/>
      <c r="V151" s="153"/>
      <c r="W151" s="144"/>
      <c r="X151" s="125"/>
      <c r="Y151" s="125"/>
      <c r="Z151" s="184"/>
      <c r="AA151" s="184"/>
      <c r="AB151" s="190"/>
      <c r="AC151" s="125"/>
      <c r="AD151" s="126"/>
      <c r="AE151" s="153"/>
      <c r="AF151" s="112"/>
      <c r="AG151" s="112"/>
      <c r="AH151" s="112"/>
    </row>
    <row r="152">
      <c r="A152" s="135"/>
      <c r="B152" s="228"/>
      <c r="C152" s="125" t="str">
        <f>IF(D152=0,"Digite a CH", IF(D152&lt;80,Dados!$AC$2,IF(D152=80,Dados!$AC$3,IF(D152&lt;179,Dados!$AC$3,IF(D152&gt;179,Dados!$AC$4)))))</f>
        <v>Digite a CH</v>
      </c>
      <c r="D152" s="126"/>
      <c r="E152" s="126"/>
      <c r="F152" s="125"/>
      <c r="G152" s="125"/>
      <c r="H152" s="125"/>
      <c r="I152" s="125"/>
      <c r="J152" s="189"/>
      <c r="K152" s="126"/>
      <c r="L152" s="126"/>
      <c r="M152" s="125"/>
      <c r="N152" s="126"/>
      <c r="O152" s="126"/>
      <c r="P152" s="126"/>
      <c r="Q152" s="126"/>
      <c r="R152" s="131" t="str">
        <f t="shared" si="4"/>
        <v>#DIV/0!</v>
      </c>
      <c r="S152" s="131" t="str">
        <f t="shared" si="5"/>
        <v>#DIV/0!</v>
      </c>
      <c r="T152" s="126"/>
      <c r="U152" s="153"/>
      <c r="V152" s="153"/>
      <c r="W152" s="144"/>
      <c r="X152" s="125"/>
      <c r="Y152" s="125"/>
      <c r="Z152" s="184"/>
      <c r="AA152" s="184"/>
      <c r="AB152" s="190"/>
      <c r="AC152" s="125"/>
      <c r="AD152" s="126"/>
      <c r="AE152" s="153"/>
      <c r="AF152" s="112"/>
      <c r="AG152" s="112"/>
      <c r="AH152" s="112"/>
    </row>
    <row r="153">
      <c r="A153" s="135"/>
      <c r="B153" s="228"/>
      <c r="C153" s="125" t="str">
        <f>IF(D153=0,"Digite a CH", IF(D153&lt;80,Dados!$AC$2,IF(D153=80,Dados!$AC$3,IF(D153&lt;179,Dados!$AC$3,IF(D153&gt;179,Dados!$AC$4)))))</f>
        <v>Digite a CH</v>
      </c>
      <c r="D153" s="126"/>
      <c r="E153" s="126"/>
      <c r="F153" s="125"/>
      <c r="G153" s="125"/>
      <c r="H153" s="125"/>
      <c r="I153" s="125"/>
      <c r="J153" s="189"/>
      <c r="K153" s="126"/>
      <c r="L153" s="126"/>
      <c r="M153" s="125"/>
      <c r="N153" s="126"/>
      <c r="O153" s="126"/>
      <c r="P153" s="126"/>
      <c r="Q153" s="126"/>
      <c r="R153" s="131" t="str">
        <f t="shared" si="4"/>
        <v>#DIV/0!</v>
      </c>
      <c r="S153" s="131" t="str">
        <f t="shared" si="5"/>
        <v>#DIV/0!</v>
      </c>
      <c r="T153" s="126"/>
      <c r="U153" s="153"/>
      <c r="V153" s="153"/>
      <c r="W153" s="144"/>
      <c r="X153" s="125"/>
      <c r="Y153" s="125"/>
      <c r="Z153" s="184"/>
      <c r="AA153" s="184"/>
      <c r="AB153" s="190"/>
      <c r="AC153" s="125"/>
      <c r="AD153" s="126"/>
      <c r="AE153" s="153"/>
      <c r="AF153" s="112"/>
      <c r="AG153" s="112"/>
      <c r="AH153" s="112"/>
    </row>
    <row r="154">
      <c r="A154" s="135"/>
      <c r="B154" s="228"/>
      <c r="C154" s="125" t="str">
        <f>IF(D154=0,"Digite a CH", IF(D154&lt;80,Dados!$AC$2,IF(D154=80,Dados!$AC$3,IF(D154&lt;179,Dados!$AC$3,IF(D154&gt;179,Dados!$AC$4)))))</f>
        <v>Digite a CH</v>
      </c>
      <c r="D154" s="126"/>
      <c r="E154" s="126"/>
      <c r="F154" s="125"/>
      <c r="G154" s="125"/>
      <c r="H154" s="125"/>
      <c r="I154" s="125"/>
      <c r="J154" s="189"/>
      <c r="K154" s="126"/>
      <c r="L154" s="126"/>
      <c r="M154" s="125"/>
      <c r="N154" s="126"/>
      <c r="O154" s="126"/>
      <c r="P154" s="126"/>
      <c r="Q154" s="126"/>
      <c r="R154" s="131" t="str">
        <f t="shared" si="4"/>
        <v>#DIV/0!</v>
      </c>
      <c r="S154" s="131" t="str">
        <f t="shared" si="5"/>
        <v>#DIV/0!</v>
      </c>
      <c r="T154" s="126"/>
      <c r="U154" s="153"/>
      <c r="V154" s="153"/>
      <c r="W154" s="144"/>
      <c r="X154" s="125"/>
      <c r="Y154" s="125"/>
      <c r="Z154" s="184"/>
      <c r="AA154" s="184"/>
      <c r="AB154" s="190"/>
      <c r="AC154" s="125"/>
      <c r="AD154" s="126"/>
      <c r="AE154" s="153"/>
      <c r="AF154" s="112"/>
      <c r="AG154" s="112"/>
      <c r="AH154" s="112"/>
    </row>
    <row r="155">
      <c r="A155" s="135"/>
      <c r="B155" s="228"/>
      <c r="C155" s="125" t="str">
        <f>IF(D155=0,"Digite a CH", IF(D155&lt;80,Dados!$AC$2,IF(D155=80,Dados!$AC$3,IF(D155&lt;179,Dados!$AC$3,IF(D155&gt;179,Dados!$AC$4)))))</f>
        <v>Digite a CH</v>
      </c>
      <c r="D155" s="126"/>
      <c r="E155" s="126"/>
      <c r="F155" s="125"/>
      <c r="G155" s="125"/>
      <c r="H155" s="125"/>
      <c r="I155" s="125"/>
      <c r="J155" s="189"/>
      <c r="K155" s="126"/>
      <c r="L155" s="126"/>
      <c r="M155" s="125"/>
      <c r="N155" s="126"/>
      <c r="O155" s="126"/>
      <c r="P155" s="126"/>
      <c r="Q155" s="126"/>
      <c r="R155" s="131" t="str">
        <f t="shared" si="4"/>
        <v>#DIV/0!</v>
      </c>
      <c r="S155" s="131" t="str">
        <f t="shared" si="5"/>
        <v>#DIV/0!</v>
      </c>
      <c r="T155" s="126"/>
      <c r="U155" s="153"/>
      <c r="V155" s="153"/>
      <c r="W155" s="144"/>
      <c r="X155" s="125"/>
      <c r="Y155" s="125"/>
      <c r="Z155" s="184"/>
      <c r="AA155" s="184"/>
      <c r="AB155" s="190"/>
      <c r="AC155" s="125"/>
      <c r="AD155" s="126"/>
      <c r="AE155" s="153"/>
      <c r="AF155" s="112"/>
      <c r="AG155" s="112"/>
      <c r="AH155" s="112"/>
    </row>
    <row r="156">
      <c r="A156" s="135"/>
      <c r="B156" s="228"/>
      <c r="C156" s="125" t="str">
        <f>IF(D156=0,"Digite a CH", IF(D156&lt;80,Dados!$AC$2,IF(D156=80,Dados!$AC$3,IF(D156&lt;179,Dados!$AC$3,IF(D156&gt;179,Dados!$AC$4)))))</f>
        <v>Digite a CH</v>
      </c>
      <c r="D156" s="126"/>
      <c r="E156" s="126"/>
      <c r="F156" s="125"/>
      <c r="G156" s="125"/>
      <c r="H156" s="125"/>
      <c r="I156" s="125"/>
      <c r="J156" s="189"/>
      <c r="K156" s="126"/>
      <c r="L156" s="126"/>
      <c r="M156" s="125"/>
      <c r="N156" s="126"/>
      <c r="O156" s="126"/>
      <c r="P156" s="126"/>
      <c r="Q156" s="126"/>
      <c r="R156" s="131" t="str">
        <f t="shared" si="4"/>
        <v>#DIV/0!</v>
      </c>
      <c r="S156" s="131" t="str">
        <f t="shared" si="5"/>
        <v>#DIV/0!</v>
      </c>
      <c r="T156" s="126"/>
      <c r="U156" s="153"/>
      <c r="V156" s="153"/>
      <c r="W156" s="144"/>
      <c r="X156" s="125"/>
      <c r="Y156" s="125"/>
      <c r="Z156" s="184"/>
      <c r="AA156" s="184"/>
      <c r="AB156" s="190"/>
      <c r="AC156" s="125"/>
      <c r="AD156" s="126"/>
      <c r="AE156" s="153"/>
      <c r="AF156" s="112"/>
      <c r="AG156" s="112"/>
      <c r="AH156" s="112"/>
    </row>
    <row r="157">
      <c r="A157" s="135"/>
      <c r="B157" s="228"/>
      <c r="C157" s="125" t="str">
        <f>IF(D157=0,"Digite a CH", IF(D157&lt;80,Dados!$AC$2,IF(D157=80,Dados!$AC$3,IF(D157&lt;179,Dados!$AC$3,IF(D157&gt;179,Dados!$AC$4)))))</f>
        <v>Digite a CH</v>
      </c>
      <c r="D157" s="126"/>
      <c r="E157" s="126"/>
      <c r="F157" s="125"/>
      <c r="G157" s="125"/>
      <c r="H157" s="125"/>
      <c r="I157" s="125"/>
      <c r="J157" s="189"/>
      <c r="K157" s="126"/>
      <c r="L157" s="126"/>
      <c r="M157" s="125"/>
      <c r="N157" s="126"/>
      <c r="O157" s="126"/>
      <c r="P157" s="126"/>
      <c r="Q157" s="126"/>
      <c r="R157" s="131" t="str">
        <f t="shared" si="4"/>
        <v>#DIV/0!</v>
      </c>
      <c r="S157" s="131" t="str">
        <f t="shared" si="5"/>
        <v>#DIV/0!</v>
      </c>
      <c r="T157" s="126"/>
      <c r="U157" s="153"/>
      <c r="V157" s="153"/>
      <c r="W157" s="144"/>
      <c r="X157" s="125"/>
      <c r="Y157" s="125"/>
      <c r="Z157" s="184"/>
      <c r="AA157" s="184"/>
      <c r="AB157" s="190"/>
      <c r="AC157" s="125"/>
      <c r="AD157" s="126"/>
      <c r="AE157" s="153"/>
      <c r="AF157" s="112"/>
      <c r="AG157" s="112"/>
      <c r="AH157" s="112"/>
    </row>
    <row r="158">
      <c r="A158" s="135"/>
      <c r="B158" s="228"/>
      <c r="C158" s="125" t="str">
        <f>IF(D158=0,"Digite a CH", IF(D158&lt;80,Dados!$AC$2,IF(D158=80,Dados!$AC$3,IF(D158&lt;179,Dados!$AC$3,IF(D158&gt;179,Dados!$AC$4)))))</f>
        <v>Digite a CH</v>
      </c>
      <c r="D158" s="126"/>
      <c r="E158" s="126"/>
      <c r="F158" s="125"/>
      <c r="G158" s="125"/>
      <c r="H158" s="125"/>
      <c r="I158" s="125"/>
      <c r="J158" s="189"/>
      <c r="K158" s="126"/>
      <c r="L158" s="126"/>
      <c r="M158" s="125"/>
      <c r="N158" s="126"/>
      <c r="O158" s="126"/>
      <c r="P158" s="126"/>
      <c r="Q158" s="126"/>
      <c r="R158" s="131" t="str">
        <f t="shared" si="4"/>
        <v>#DIV/0!</v>
      </c>
      <c r="S158" s="131" t="str">
        <f t="shared" si="5"/>
        <v>#DIV/0!</v>
      </c>
      <c r="T158" s="126"/>
      <c r="U158" s="153"/>
      <c r="V158" s="153"/>
      <c r="W158" s="144"/>
      <c r="X158" s="125"/>
      <c r="Y158" s="125"/>
      <c r="Z158" s="184"/>
      <c r="AA158" s="184"/>
      <c r="AB158" s="190"/>
      <c r="AC158" s="125"/>
      <c r="AD158" s="126"/>
      <c r="AE158" s="153"/>
      <c r="AF158" s="112"/>
      <c r="AG158" s="112"/>
      <c r="AH158" s="112"/>
    </row>
    <row r="159">
      <c r="A159" s="135"/>
      <c r="B159" s="228"/>
      <c r="C159" s="125" t="str">
        <f>IF(D159=0,"Digite a CH", IF(D159&lt;80,Dados!$AC$2,IF(D159=80,Dados!$AC$3,IF(D159&lt;179,Dados!$AC$3,IF(D159&gt;179,Dados!$AC$4)))))</f>
        <v>Digite a CH</v>
      </c>
      <c r="D159" s="126"/>
      <c r="E159" s="126"/>
      <c r="F159" s="125"/>
      <c r="G159" s="125"/>
      <c r="H159" s="125"/>
      <c r="I159" s="125"/>
      <c r="J159" s="189"/>
      <c r="K159" s="126"/>
      <c r="L159" s="126"/>
      <c r="M159" s="125"/>
      <c r="N159" s="126"/>
      <c r="O159" s="126"/>
      <c r="P159" s="126"/>
      <c r="Q159" s="126"/>
      <c r="R159" s="131" t="str">
        <f t="shared" si="4"/>
        <v>#DIV/0!</v>
      </c>
      <c r="S159" s="131" t="str">
        <f t="shared" si="5"/>
        <v>#DIV/0!</v>
      </c>
      <c r="T159" s="126"/>
      <c r="U159" s="153"/>
      <c r="V159" s="153"/>
      <c r="W159" s="144"/>
      <c r="X159" s="125"/>
      <c r="Y159" s="125"/>
      <c r="Z159" s="184"/>
      <c r="AA159" s="184"/>
      <c r="AB159" s="190"/>
      <c r="AC159" s="125"/>
      <c r="AD159" s="126"/>
      <c r="AE159" s="153"/>
      <c r="AF159" s="112"/>
      <c r="AG159" s="112"/>
      <c r="AH159" s="112"/>
    </row>
    <row r="160">
      <c r="A160" s="135"/>
      <c r="B160" s="228"/>
      <c r="C160" s="125" t="str">
        <f>IF(D160=0,"Digite a CH", IF(D160&lt;80,Dados!$AC$2,IF(D160=80,Dados!$AC$3,IF(D160&lt;179,Dados!$AC$3,IF(D160&gt;179,Dados!$AC$4)))))</f>
        <v>Digite a CH</v>
      </c>
      <c r="D160" s="126"/>
      <c r="E160" s="126"/>
      <c r="F160" s="125"/>
      <c r="G160" s="125"/>
      <c r="H160" s="125"/>
      <c r="I160" s="125"/>
      <c r="J160" s="189"/>
      <c r="K160" s="126"/>
      <c r="L160" s="126"/>
      <c r="M160" s="125"/>
      <c r="N160" s="126"/>
      <c r="O160" s="126"/>
      <c r="P160" s="126"/>
      <c r="Q160" s="126"/>
      <c r="R160" s="131" t="str">
        <f t="shared" si="4"/>
        <v>#DIV/0!</v>
      </c>
      <c r="S160" s="131" t="str">
        <f t="shared" si="5"/>
        <v>#DIV/0!</v>
      </c>
      <c r="T160" s="126"/>
      <c r="U160" s="153"/>
      <c r="V160" s="153"/>
      <c r="W160" s="144"/>
      <c r="X160" s="125"/>
      <c r="Y160" s="125"/>
      <c r="Z160" s="184"/>
      <c r="AA160" s="184"/>
      <c r="AB160" s="190"/>
      <c r="AC160" s="125"/>
      <c r="AD160" s="126"/>
      <c r="AE160" s="153"/>
      <c r="AF160" s="112"/>
      <c r="AG160" s="112"/>
      <c r="AH160" s="112"/>
    </row>
    <row r="161">
      <c r="A161" s="153"/>
      <c r="B161" s="229"/>
      <c r="C161" s="153"/>
      <c r="D161" s="153"/>
      <c r="E161" s="153"/>
      <c r="F161" s="206"/>
      <c r="G161" s="206"/>
      <c r="H161" s="206"/>
      <c r="I161" s="206"/>
      <c r="J161" s="206"/>
      <c r="K161" s="153"/>
      <c r="L161" s="153"/>
      <c r="M161" s="206"/>
      <c r="N161" s="153"/>
      <c r="O161" s="206"/>
      <c r="P161" s="206"/>
      <c r="Q161" s="206"/>
      <c r="R161" s="230"/>
      <c r="S161" s="206"/>
      <c r="T161" s="206"/>
      <c r="U161" s="206"/>
      <c r="V161" s="206"/>
      <c r="W161" s="206"/>
      <c r="X161" s="206"/>
      <c r="Y161" s="206"/>
      <c r="Z161" s="206"/>
      <c r="AA161" s="206"/>
      <c r="AB161" s="206"/>
      <c r="AC161" s="206"/>
      <c r="AD161" s="153"/>
      <c r="AE161" s="153"/>
      <c r="AF161" s="231"/>
      <c r="AG161" s="231"/>
      <c r="AH161" s="231"/>
    </row>
    <row r="162">
      <c r="A162" s="153"/>
      <c r="B162" s="206"/>
      <c r="C162" s="153"/>
      <c r="D162" s="153"/>
      <c r="E162" s="153"/>
      <c r="F162" s="206"/>
      <c r="G162" s="206"/>
      <c r="H162" s="206"/>
      <c r="I162" s="206"/>
      <c r="J162" s="206"/>
      <c r="K162" s="153"/>
      <c r="L162" s="153"/>
      <c r="M162" s="206"/>
      <c r="N162" s="153"/>
      <c r="O162" s="206"/>
      <c r="P162" s="206"/>
      <c r="Q162" s="206"/>
      <c r="R162" s="230"/>
      <c r="S162" s="206"/>
      <c r="T162" s="206"/>
      <c r="U162" s="206"/>
      <c r="V162" s="206"/>
      <c r="W162" s="206"/>
      <c r="X162" s="206"/>
      <c r="Y162" s="206"/>
      <c r="Z162" s="206"/>
      <c r="AA162" s="206"/>
      <c r="AB162" s="206"/>
      <c r="AC162" s="206"/>
      <c r="AD162" s="153"/>
      <c r="AE162" s="153"/>
      <c r="AF162" s="231"/>
      <c r="AG162" s="231"/>
      <c r="AH162" s="231"/>
    </row>
    <row r="163">
      <c r="A163" s="153"/>
      <c r="B163" s="206"/>
      <c r="C163" s="153"/>
      <c r="D163" s="153"/>
      <c r="E163" s="153"/>
      <c r="F163" s="206"/>
      <c r="G163" s="206"/>
      <c r="H163" s="206"/>
      <c r="I163" s="206"/>
      <c r="J163" s="206"/>
      <c r="K163" s="153"/>
      <c r="L163" s="153"/>
      <c r="M163" s="206"/>
      <c r="N163" s="153"/>
      <c r="O163" s="206"/>
      <c r="P163" s="206"/>
      <c r="Q163" s="206"/>
      <c r="R163" s="230"/>
      <c r="S163" s="206"/>
      <c r="T163" s="206"/>
      <c r="U163" s="206"/>
      <c r="V163" s="206"/>
      <c r="W163" s="206"/>
      <c r="X163" s="206"/>
      <c r="Y163" s="206"/>
      <c r="Z163" s="206"/>
      <c r="AA163" s="206"/>
      <c r="AB163" s="206"/>
      <c r="AC163" s="206"/>
      <c r="AD163" s="153"/>
      <c r="AE163" s="153"/>
      <c r="AF163" s="231"/>
      <c r="AG163" s="231"/>
      <c r="AH163" s="231"/>
    </row>
    <row r="164">
      <c r="A164" s="153"/>
      <c r="B164" s="206"/>
      <c r="C164" s="153"/>
      <c r="D164" s="153"/>
      <c r="E164" s="153"/>
      <c r="F164" s="206"/>
      <c r="G164" s="206"/>
      <c r="H164" s="206"/>
      <c r="I164" s="206"/>
      <c r="J164" s="206"/>
      <c r="K164" s="153"/>
      <c r="L164" s="153"/>
      <c r="M164" s="206"/>
      <c r="N164" s="153"/>
      <c r="O164" s="206"/>
      <c r="P164" s="206"/>
      <c r="Q164" s="206"/>
      <c r="R164" s="230"/>
      <c r="S164" s="206"/>
      <c r="T164" s="206"/>
      <c r="U164" s="206"/>
      <c r="V164" s="206"/>
      <c r="W164" s="206"/>
      <c r="X164" s="206"/>
      <c r="Y164" s="206"/>
      <c r="Z164" s="206"/>
      <c r="AA164" s="206"/>
      <c r="AB164" s="206"/>
      <c r="AC164" s="206"/>
      <c r="AD164" s="153"/>
      <c r="AE164" s="153"/>
      <c r="AF164" s="231"/>
      <c r="AG164" s="231"/>
      <c r="AH164" s="231"/>
    </row>
    <row r="165">
      <c r="A165" s="153"/>
      <c r="B165" s="206"/>
      <c r="C165" s="153"/>
      <c r="D165" s="153"/>
      <c r="E165" s="153"/>
      <c r="F165" s="206"/>
      <c r="G165" s="206"/>
      <c r="H165" s="206"/>
      <c r="I165" s="206"/>
      <c r="J165" s="206"/>
      <c r="K165" s="153"/>
      <c r="L165" s="153"/>
      <c r="M165" s="206"/>
      <c r="N165" s="153"/>
      <c r="O165" s="206"/>
      <c r="P165" s="206"/>
      <c r="Q165" s="206"/>
      <c r="R165" s="230"/>
      <c r="S165" s="206"/>
      <c r="T165" s="206"/>
      <c r="U165" s="206"/>
      <c r="V165" s="206"/>
      <c r="W165" s="206"/>
      <c r="X165" s="206"/>
      <c r="Y165" s="206"/>
      <c r="Z165" s="206"/>
      <c r="AA165" s="206"/>
      <c r="AB165" s="206"/>
      <c r="AC165" s="206"/>
      <c r="AD165" s="153"/>
      <c r="AE165" s="153"/>
      <c r="AF165" s="231"/>
      <c r="AG165" s="231"/>
      <c r="AH165" s="231"/>
    </row>
    <row r="166">
      <c r="A166" s="153"/>
      <c r="B166" s="206"/>
      <c r="C166" s="153"/>
      <c r="D166" s="153"/>
      <c r="E166" s="153"/>
      <c r="F166" s="206"/>
      <c r="G166" s="206"/>
      <c r="H166" s="206"/>
      <c r="I166" s="206"/>
      <c r="J166" s="206"/>
      <c r="K166" s="153"/>
      <c r="L166" s="153"/>
      <c r="M166" s="206"/>
      <c r="N166" s="153"/>
      <c r="O166" s="206"/>
      <c r="P166" s="206"/>
      <c r="Q166" s="206"/>
      <c r="R166" s="230"/>
      <c r="S166" s="206"/>
      <c r="T166" s="206"/>
      <c r="U166" s="206"/>
      <c r="V166" s="206"/>
      <c r="W166" s="206"/>
      <c r="X166" s="206"/>
      <c r="Y166" s="206"/>
      <c r="Z166" s="206"/>
      <c r="AA166" s="206"/>
      <c r="AB166" s="206"/>
      <c r="AC166" s="206"/>
      <c r="AD166" s="153"/>
      <c r="AE166" s="153"/>
      <c r="AF166" s="231"/>
      <c r="AG166" s="231"/>
      <c r="AH166" s="231"/>
    </row>
    <row r="167">
      <c r="A167" s="153"/>
      <c r="B167" s="206"/>
      <c r="C167" s="153"/>
      <c r="D167" s="153"/>
      <c r="E167" s="153"/>
      <c r="F167" s="125"/>
      <c r="G167" s="206"/>
      <c r="H167" s="206"/>
      <c r="I167" s="206"/>
      <c r="J167" s="206"/>
      <c r="K167" s="153"/>
      <c r="L167" s="153"/>
      <c r="M167" s="206"/>
      <c r="N167" s="153"/>
      <c r="O167" s="206"/>
      <c r="P167" s="206"/>
      <c r="Q167" s="206"/>
      <c r="R167" s="230"/>
      <c r="S167" s="206"/>
      <c r="T167" s="206"/>
      <c r="U167" s="206"/>
      <c r="V167" s="206"/>
      <c r="W167" s="206"/>
      <c r="X167" s="206"/>
      <c r="Y167" s="206"/>
      <c r="Z167" s="206"/>
      <c r="AA167" s="206"/>
      <c r="AB167" s="206"/>
      <c r="AC167" s="206"/>
      <c r="AD167" s="153"/>
      <c r="AE167" s="153"/>
      <c r="AF167" s="231"/>
      <c r="AG167" s="231"/>
      <c r="AH167" s="231"/>
    </row>
    <row r="168">
      <c r="A168" s="153"/>
      <c r="B168" s="206"/>
      <c r="C168" s="153"/>
      <c r="D168" s="153"/>
      <c r="E168" s="153"/>
      <c r="F168" s="125"/>
      <c r="G168" s="125"/>
      <c r="H168" s="206"/>
      <c r="I168" s="206"/>
      <c r="J168" s="206"/>
      <c r="K168" s="153"/>
      <c r="L168" s="153"/>
      <c r="M168" s="206"/>
      <c r="N168" s="153"/>
      <c r="O168" s="206"/>
      <c r="P168" s="206"/>
      <c r="Q168" s="206"/>
      <c r="R168" s="230"/>
      <c r="S168" s="206"/>
      <c r="T168" s="206"/>
      <c r="U168" s="206"/>
      <c r="V168" s="206"/>
      <c r="W168" s="206"/>
      <c r="X168" s="206"/>
      <c r="Y168" s="206"/>
      <c r="Z168" s="206"/>
      <c r="AA168" s="206"/>
      <c r="AB168" s="206"/>
      <c r="AC168" s="206"/>
      <c r="AD168" s="153"/>
      <c r="AE168" s="153"/>
      <c r="AF168" s="231"/>
      <c r="AG168" s="231"/>
      <c r="AH168" s="231"/>
    </row>
    <row r="169">
      <c r="A169" s="153"/>
      <c r="B169" s="206"/>
      <c r="C169" s="153"/>
      <c r="D169" s="153"/>
      <c r="E169" s="153"/>
      <c r="F169" s="125"/>
      <c r="G169" s="125"/>
      <c r="H169" s="206"/>
      <c r="I169" s="206"/>
      <c r="J169" s="206"/>
      <c r="K169" s="153"/>
      <c r="L169" s="153"/>
      <c r="M169" s="206"/>
      <c r="N169" s="153"/>
      <c r="O169" s="206"/>
      <c r="P169" s="206"/>
      <c r="Q169" s="206"/>
      <c r="R169" s="230"/>
      <c r="S169" s="206"/>
      <c r="T169" s="206"/>
      <c r="U169" s="206"/>
      <c r="V169" s="206"/>
      <c r="W169" s="206"/>
      <c r="X169" s="206"/>
      <c r="Y169" s="206"/>
      <c r="Z169" s="206"/>
      <c r="AA169" s="206"/>
      <c r="AB169" s="206"/>
      <c r="AC169" s="206"/>
      <c r="AD169" s="153"/>
      <c r="AE169" s="153"/>
      <c r="AF169" s="231"/>
      <c r="AG169" s="231"/>
      <c r="AH169" s="231"/>
    </row>
    <row r="170">
      <c r="A170" s="153"/>
      <c r="B170" s="206"/>
      <c r="C170" s="153"/>
      <c r="D170" s="153"/>
      <c r="E170" s="153"/>
      <c r="F170" s="125"/>
      <c r="G170" s="206"/>
      <c r="H170" s="206"/>
      <c r="I170" s="206"/>
      <c r="J170" s="206"/>
      <c r="K170" s="153"/>
      <c r="L170" s="153"/>
      <c r="M170" s="206"/>
      <c r="N170" s="153"/>
      <c r="O170" s="206"/>
      <c r="P170" s="206"/>
      <c r="Q170" s="206"/>
      <c r="R170" s="230"/>
      <c r="S170" s="206"/>
      <c r="T170" s="206"/>
      <c r="U170" s="206"/>
      <c r="V170" s="206"/>
      <c r="W170" s="206"/>
      <c r="X170" s="206"/>
      <c r="Y170" s="206"/>
      <c r="Z170" s="206"/>
      <c r="AA170" s="206"/>
      <c r="AB170" s="206"/>
      <c r="AC170" s="206"/>
      <c r="AD170" s="153"/>
      <c r="AE170" s="153"/>
      <c r="AF170" s="231"/>
      <c r="AG170" s="231"/>
      <c r="AH170" s="231"/>
    </row>
    <row r="171">
      <c r="A171" s="153"/>
      <c r="B171" s="206"/>
      <c r="C171" s="153"/>
      <c r="D171" s="153"/>
      <c r="E171" s="153"/>
      <c r="F171" s="206"/>
      <c r="G171" s="206"/>
      <c r="H171" s="206"/>
      <c r="I171" s="206"/>
      <c r="J171" s="206"/>
      <c r="K171" s="153"/>
      <c r="L171" s="153"/>
      <c r="M171" s="206"/>
      <c r="N171" s="153"/>
      <c r="O171" s="206"/>
      <c r="P171" s="206"/>
      <c r="Q171" s="206"/>
      <c r="R171" s="230"/>
      <c r="S171" s="206"/>
      <c r="T171" s="206"/>
      <c r="U171" s="206"/>
      <c r="V171" s="206"/>
      <c r="W171" s="206"/>
      <c r="X171" s="206"/>
      <c r="Y171" s="206"/>
      <c r="Z171" s="206"/>
      <c r="AA171" s="206"/>
      <c r="AB171" s="206"/>
      <c r="AC171" s="206"/>
      <c r="AD171" s="153"/>
      <c r="AE171" s="153"/>
      <c r="AF171" s="231"/>
      <c r="AG171" s="231"/>
      <c r="AH171" s="231"/>
    </row>
    <row r="172">
      <c r="A172" s="153"/>
      <c r="B172" s="206"/>
      <c r="C172" s="153"/>
      <c r="D172" s="153"/>
      <c r="E172" s="153"/>
      <c r="F172" s="206"/>
      <c r="G172" s="206"/>
      <c r="H172" s="206"/>
      <c r="I172" s="206"/>
      <c r="J172" s="206"/>
      <c r="K172" s="153"/>
      <c r="L172" s="153"/>
      <c r="M172" s="206"/>
      <c r="N172" s="153"/>
      <c r="O172" s="206"/>
      <c r="P172" s="206"/>
      <c r="Q172" s="206"/>
      <c r="R172" s="230"/>
      <c r="S172" s="206"/>
      <c r="T172" s="206"/>
      <c r="U172" s="206"/>
      <c r="V172" s="206"/>
      <c r="W172" s="206"/>
      <c r="X172" s="206"/>
      <c r="Y172" s="206"/>
      <c r="Z172" s="206"/>
      <c r="AA172" s="206"/>
      <c r="AB172" s="206"/>
      <c r="AC172" s="206"/>
      <c r="AD172" s="153"/>
      <c r="AE172" s="153"/>
      <c r="AF172" s="231"/>
      <c r="AG172" s="231"/>
      <c r="AH172" s="231"/>
    </row>
    <row r="173">
      <c r="A173" s="153"/>
      <c r="B173" s="206"/>
      <c r="C173" s="153"/>
      <c r="D173" s="153"/>
      <c r="E173" s="153"/>
      <c r="F173" s="206"/>
      <c r="G173" s="206"/>
      <c r="H173" s="206"/>
      <c r="I173" s="206"/>
      <c r="J173" s="206"/>
      <c r="K173" s="153"/>
      <c r="L173" s="153"/>
      <c r="M173" s="206"/>
      <c r="N173" s="153"/>
      <c r="O173" s="206"/>
      <c r="P173" s="206"/>
      <c r="Q173" s="206"/>
      <c r="R173" s="230"/>
      <c r="S173" s="206"/>
      <c r="T173" s="206"/>
      <c r="U173" s="206"/>
      <c r="V173" s="206"/>
      <c r="W173" s="206"/>
      <c r="X173" s="206"/>
      <c r="Y173" s="206"/>
      <c r="Z173" s="206"/>
      <c r="AA173" s="206"/>
      <c r="AB173" s="206"/>
      <c r="AC173" s="206"/>
      <c r="AD173" s="153"/>
      <c r="AE173" s="153"/>
      <c r="AF173" s="231"/>
      <c r="AG173" s="231"/>
      <c r="AH173" s="231"/>
    </row>
    <row r="174">
      <c r="A174" s="153"/>
      <c r="B174" s="206"/>
      <c r="C174" s="153"/>
      <c r="D174" s="153"/>
      <c r="E174" s="153"/>
      <c r="F174" s="206"/>
      <c r="G174" s="206"/>
      <c r="H174" s="206"/>
      <c r="I174" s="206"/>
      <c r="J174" s="206"/>
      <c r="K174" s="153"/>
      <c r="L174" s="153"/>
      <c r="M174" s="206"/>
      <c r="N174" s="153"/>
      <c r="O174" s="206"/>
      <c r="P174" s="206"/>
      <c r="Q174" s="206"/>
      <c r="R174" s="230"/>
      <c r="S174" s="206"/>
      <c r="T174" s="206"/>
      <c r="U174" s="206"/>
      <c r="V174" s="206"/>
      <c r="W174" s="206"/>
      <c r="X174" s="206"/>
      <c r="Y174" s="206"/>
      <c r="Z174" s="206"/>
      <c r="AA174" s="206"/>
      <c r="AB174" s="206"/>
      <c r="AC174" s="206"/>
      <c r="AD174" s="153"/>
      <c r="AE174" s="153"/>
      <c r="AF174" s="231"/>
      <c r="AG174" s="231"/>
      <c r="AH174" s="231"/>
    </row>
    <row r="175">
      <c r="A175" s="153"/>
      <c r="B175" s="206"/>
      <c r="C175" s="153"/>
      <c r="D175" s="153"/>
      <c r="E175" s="153"/>
      <c r="F175" s="206"/>
      <c r="G175" s="206"/>
      <c r="H175" s="125"/>
      <c r="I175" s="206"/>
      <c r="J175" s="206"/>
      <c r="K175" s="153"/>
      <c r="L175" s="153"/>
      <c r="M175" s="206"/>
      <c r="N175" s="153"/>
      <c r="O175" s="206"/>
      <c r="P175" s="206"/>
      <c r="Q175" s="206"/>
      <c r="R175" s="230"/>
      <c r="S175" s="206"/>
      <c r="T175" s="206"/>
      <c r="U175" s="206"/>
      <c r="V175" s="206"/>
      <c r="W175" s="206"/>
      <c r="X175" s="206"/>
      <c r="Y175" s="206"/>
      <c r="Z175" s="206"/>
      <c r="AA175" s="206"/>
      <c r="AB175" s="206"/>
      <c r="AC175" s="206"/>
      <c r="AD175" s="153"/>
      <c r="AE175" s="153"/>
      <c r="AF175" s="231"/>
      <c r="AG175" s="231"/>
      <c r="AH175" s="231"/>
    </row>
    <row r="176">
      <c r="A176" s="153"/>
      <c r="B176" s="206"/>
      <c r="C176" s="153"/>
      <c r="D176" s="153"/>
      <c r="E176" s="153"/>
      <c r="F176" s="206"/>
      <c r="G176" s="206"/>
      <c r="H176" s="206"/>
      <c r="I176" s="206"/>
      <c r="J176" s="206"/>
      <c r="K176" s="153"/>
      <c r="L176" s="153"/>
      <c r="M176" s="206"/>
      <c r="N176" s="153"/>
      <c r="O176" s="206"/>
      <c r="P176" s="206"/>
      <c r="Q176" s="206"/>
      <c r="R176" s="230"/>
      <c r="S176" s="206"/>
      <c r="T176" s="206"/>
      <c r="U176" s="206"/>
      <c r="V176" s="206"/>
      <c r="W176" s="206"/>
      <c r="X176" s="206"/>
      <c r="Y176" s="206"/>
      <c r="Z176" s="206"/>
      <c r="AA176" s="206"/>
      <c r="AB176" s="206"/>
      <c r="AC176" s="206"/>
      <c r="AD176" s="153"/>
      <c r="AE176" s="153"/>
      <c r="AF176" s="231"/>
      <c r="AG176" s="231"/>
      <c r="AH176" s="231"/>
    </row>
    <row r="177">
      <c r="A177" s="153"/>
      <c r="B177" s="206"/>
      <c r="C177" s="153"/>
      <c r="D177" s="153"/>
      <c r="E177" s="153"/>
      <c r="F177" s="206"/>
      <c r="G177" s="206"/>
      <c r="H177" s="206"/>
      <c r="I177" s="206"/>
      <c r="J177" s="206"/>
      <c r="K177" s="153"/>
      <c r="L177" s="153"/>
      <c r="M177" s="206"/>
      <c r="N177" s="153"/>
      <c r="O177" s="206"/>
      <c r="P177" s="206"/>
      <c r="Q177" s="206"/>
      <c r="R177" s="230"/>
      <c r="S177" s="206"/>
      <c r="T177" s="206"/>
      <c r="U177" s="206"/>
      <c r="V177" s="206"/>
      <c r="W177" s="206"/>
      <c r="X177" s="206"/>
      <c r="Y177" s="206"/>
      <c r="Z177" s="206"/>
      <c r="AA177" s="206"/>
      <c r="AB177" s="206"/>
      <c r="AC177" s="206"/>
      <c r="AD177" s="153"/>
      <c r="AE177" s="153"/>
      <c r="AF177" s="231"/>
      <c r="AG177" s="231"/>
      <c r="AH177" s="231"/>
    </row>
    <row r="178">
      <c r="A178" s="153"/>
      <c r="B178" s="206"/>
      <c r="C178" s="153"/>
      <c r="D178" s="153"/>
      <c r="E178" s="153"/>
      <c r="F178" s="206"/>
      <c r="G178" s="206"/>
      <c r="H178" s="206"/>
      <c r="I178" s="206"/>
      <c r="J178" s="206"/>
      <c r="K178" s="153"/>
      <c r="L178" s="153"/>
      <c r="M178" s="206"/>
      <c r="N178" s="153"/>
      <c r="O178" s="206"/>
      <c r="P178" s="206"/>
      <c r="Q178" s="206"/>
      <c r="R178" s="230"/>
      <c r="S178" s="206"/>
      <c r="T178" s="206"/>
      <c r="U178" s="206"/>
      <c r="V178" s="206"/>
      <c r="W178" s="206"/>
      <c r="X178" s="206"/>
      <c r="Y178" s="206"/>
      <c r="Z178" s="206"/>
      <c r="AA178" s="206"/>
      <c r="AB178" s="206"/>
      <c r="AC178" s="206"/>
      <c r="AD178" s="153"/>
      <c r="AE178" s="153"/>
      <c r="AF178" s="231"/>
      <c r="AG178" s="231"/>
      <c r="AH178" s="231"/>
    </row>
    <row r="179">
      <c r="A179" s="153"/>
      <c r="B179" s="206"/>
      <c r="C179" s="153"/>
      <c r="D179" s="153"/>
      <c r="E179" s="153"/>
      <c r="F179" s="206"/>
      <c r="G179" s="206"/>
      <c r="H179" s="206"/>
      <c r="I179" s="206"/>
      <c r="J179" s="206"/>
      <c r="K179" s="153"/>
      <c r="L179" s="153"/>
      <c r="M179" s="206"/>
      <c r="N179" s="153"/>
      <c r="O179" s="206"/>
      <c r="P179" s="206"/>
      <c r="Q179" s="206"/>
      <c r="R179" s="230"/>
      <c r="S179" s="206"/>
      <c r="T179" s="206"/>
      <c r="U179" s="206"/>
      <c r="V179" s="206"/>
      <c r="W179" s="206"/>
      <c r="X179" s="206"/>
      <c r="Y179" s="206"/>
      <c r="Z179" s="206"/>
      <c r="AA179" s="206"/>
      <c r="AB179" s="206"/>
      <c r="AC179" s="206"/>
      <c r="AD179" s="153"/>
      <c r="AE179" s="153"/>
      <c r="AF179" s="231"/>
      <c r="AG179" s="231"/>
      <c r="AH179" s="231"/>
    </row>
    <row r="180">
      <c r="A180" s="153"/>
      <c r="B180" s="206"/>
      <c r="C180" s="153"/>
      <c r="D180" s="153"/>
      <c r="E180" s="153"/>
      <c r="F180" s="206"/>
      <c r="G180" s="206"/>
      <c r="H180" s="206"/>
      <c r="I180" s="206"/>
      <c r="J180" s="206"/>
      <c r="K180" s="153"/>
      <c r="L180" s="153"/>
      <c r="M180" s="206"/>
      <c r="N180" s="153"/>
      <c r="O180" s="206"/>
      <c r="P180" s="206"/>
      <c r="Q180" s="206"/>
      <c r="R180" s="230"/>
      <c r="S180" s="206"/>
      <c r="T180" s="206"/>
      <c r="U180" s="206"/>
      <c r="V180" s="206"/>
      <c r="W180" s="206"/>
      <c r="X180" s="206"/>
      <c r="Y180" s="206"/>
      <c r="Z180" s="206"/>
      <c r="AA180" s="206"/>
      <c r="AB180" s="206"/>
      <c r="AC180" s="206"/>
      <c r="AD180" s="153"/>
      <c r="AE180" s="153"/>
      <c r="AF180" s="231"/>
      <c r="AG180" s="231"/>
      <c r="AH180" s="231"/>
    </row>
    <row r="181">
      <c r="A181" s="153"/>
      <c r="B181" s="206"/>
      <c r="C181" s="153"/>
      <c r="D181" s="153"/>
      <c r="E181" s="153"/>
      <c r="F181" s="206"/>
      <c r="G181" s="206"/>
      <c r="H181" s="206"/>
      <c r="I181" s="206"/>
      <c r="J181" s="206"/>
      <c r="K181" s="153"/>
      <c r="L181" s="153"/>
      <c r="M181" s="206"/>
      <c r="N181" s="153"/>
      <c r="O181" s="206"/>
      <c r="P181" s="206"/>
      <c r="Q181" s="206"/>
      <c r="R181" s="230"/>
      <c r="S181" s="206"/>
      <c r="T181" s="206"/>
      <c r="U181" s="206"/>
      <c r="V181" s="206"/>
      <c r="W181" s="206"/>
      <c r="X181" s="206"/>
      <c r="Y181" s="206"/>
      <c r="Z181" s="206"/>
      <c r="AA181" s="206"/>
      <c r="AB181" s="206"/>
      <c r="AC181" s="206"/>
      <c r="AD181" s="153"/>
      <c r="AE181" s="153"/>
      <c r="AF181" s="231"/>
      <c r="AG181" s="231"/>
      <c r="AH181" s="231"/>
    </row>
    <row r="182">
      <c r="A182" s="153"/>
      <c r="B182" s="206"/>
      <c r="C182" s="153"/>
      <c r="D182" s="153"/>
      <c r="E182" s="153"/>
      <c r="F182" s="206"/>
      <c r="G182" s="206"/>
      <c r="H182" s="206"/>
      <c r="I182" s="206"/>
      <c r="J182" s="206"/>
      <c r="K182" s="153"/>
      <c r="L182" s="153"/>
      <c r="M182" s="206"/>
      <c r="N182" s="153"/>
      <c r="O182" s="206"/>
      <c r="P182" s="206"/>
      <c r="Q182" s="206"/>
      <c r="R182" s="230"/>
      <c r="S182" s="206"/>
      <c r="T182" s="206"/>
      <c r="U182" s="206"/>
      <c r="V182" s="206"/>
      <c r="W182" s="206"/>
      <c r="X182" s="206"/>
      <c r="Y182" s="206"/>
      <c r="Z182" s="206"/>
      <c r="AA182" s="206"/>
      <c r="AB182" s="206"/>
      <c r="AC182" s="206"/>
      <c r="AD182" s="153"/>
      <c r="AE182" s="153"/>
      <c r="AF182" s="231"/>
      <c r="AG182" s="231"/>
      <c r="AH182" s="231"/>
    </row>
    <row r="183">
      <c r="A183" s="153"/>
      <c r="B183" s="206"/>
      <c r="C183" s="153"/>
      <c r="D183" s="153"/>
      <c r="E183" s="153"/>
      <c r="F183" s="206"/>
      <c r="G183" s="206"/>
      <c r="H183" s="206"/>
      <c r="I183" s="206"/>
      <c r="J183" s="206"/>
      <c r="K183" s="153"/>
      <c r="L183" s="153"/>
      <c r="M183" s="206"/>
      <c r="N183" s="153"/>
      <c r="O183" s="206"/>
      <c r="P183" s="206"/>
      <c r="Q183" s="206"/>
      <c r="R183" s="230"/>
      <c r="S183" s="206"/>
      <c r="T183" s="206"/>
      <c r="U183" s="206"/>
      <c r="V183" s="206"/>
      <c r="W183" s="206"/>
      <c r="X183" s="206"/>
      <c r="Y183" s="206"/>
      <c r="Z183" s="206"/>
      <c r="AA183" s="206"/>
      <c r="AB183" s="206"/>
      <c r="AC183" s="206"/>
      <c r="AD183" s="153"/>
      <c r="AE183" s="153"/>
      <c r="AF183" s="231"/>
      <c r="AG183" s="231"/>
      <c r="AH183" s="231"/>
    </row>
    <row r="184">
      <c r="A184" s="153"/>
      <c r="B184" s="206"/>
      <c r="C184" s="153"/>
      <c r="D184" s="153"/>
      <c r="E184" s="153"/>
      <c r="F184" s="206"/>
      <c r="G184" s="206"/>
      <c r="H184" s="206"/>
      <c r="I184" s="206"/>
      <c r="J184" s="206"/>
      <c r="K184" s="153"/>
      <c r="L184" s="153"/>
      <c r="M184" s="206"/>
      <c r="N184" s="153"/>
      <c r="O184" s="206"/>
      <c r="P184" s="206"/>
      <c r="Q184" s="206"/>
      <c r="R184" s="230"/>
      <c r="S184" s="206"/>
      <c r="T184" s="206"/>
      <c r="U184" s="206"/>
      <c r="V184" s="206"/>
      <c r="W184" s="206"/>
      <c r="X184" s="206"/>
      <c r="Y184" s="206"/>
      <c r="Z184" s="206"/>
      <c r="AA184" s="206"/>
      <c r="AB184" s="206"/>
      <c r="AC184" s="206"/>
      <c r="AD184" s="153"/>
      <c r="AE184" s="153"/>
      <c r="AF184" s="231"/>
      <c r="AG184" s="231"/>
      <c r="AH184" s="231"/>
    </row>
    <row r="185">
      <c r="A185" s="153"/>
      <c r="B185" s="206"/>
      <c r="C185" s="153"/>
      <c r="D185" s="153"/>
      <c r="E185" s="153"/>
      <c r="F185" s="206"/>
      <c r="G185" s="206"/>
      <c r="H185" s="206"/>
      <c r="I185" s="206"/>
      <c r="J185" s="206"/>
      <c r="K185" s="153"/>
      <c r="L185" s="153"/>
      <c r="M185" s="206"/>
      <c r="N185" s="153"/>
      <c r="O185" s="206"/>
      <c r="P185" s="206"/>
      <c r="Q185" s="206"/>
      <c r="R185" s="230"/>
      <c r="S185" s="206"/>
      <c r="T185" s="206"/>
      <c r="U185" s="206"/>
      <c r="V185" s="206"/>
      <c r="W185" s="206"/>
      <c r="X185" s="206"/>
      <c r="Y185" s="206"/>
      <c r="Z185" s="206"/>
      <c r="AA185" s="206"/>
      <c r="AB185" s="206"/>
      <c r="AC185" s="206"/>
      <c r="AD185" s="153"/>
      <c r="AE185" s="153"/>
      <c r="AF185" s="231"/>
      <c r="AG185" s="231"/>
      <c r="AH185" s="231"/>
    </row>
    <row r="186">
      <c r="A186" s="153"/>
      <c r="B186" s="206"/>
      <c r="C186" s="153"/>
      <c r="D186" s="153"/>
      <c r="E186" s="153"/>
      <c r="F186" s="206"/>
      <c r="G186" s="206"/>
      <c r="H186" s="206"/>
      <c r="I186" s="206"/>
      <c r="J186" s="206"/>
      <c r="K186" s="153"/>
      <c r="L186" s="153"/>
      <c r="M186" s="206"/>
      <c r="N186" s="153"/>
      <c r="O186" s="206"/>
      <c r="P186" s="206"/>
      <c r="Q186" s="206"/>
      <c r="R186" s="230"/>
      <c r="S186" s="206"/>
      <c r="T186" s="206"/>
      <c r="U186" s="206"/>
      <c r="V186" s="206"/>
      <c r="W186" s="206"/>
      <c r="X186" s="206"/>
      <c r="Y186" s="206"/>
      <c r="Z186" s="206"/>
      <c r="AA186" s="206"/>
      <c r="AB186" s="206"/>
      <c r="AC186" s="206"/>
      <c r="AD186" s="153"/>
      <c r="AE186" s="153"/>
      <c r="AF186" s="231"/>
      <c r="AG186" s="231"/>
      <c r="AH186" s="231"/>
    </row>
    <row r="187">
      <c r="A187" s="153"/>
      <c r="B187" s="206"/>
      <c r="C187" s="153"/>
      <c r="D187" s="153"/>
      <c r="E187" s="153"/>
      <c r="F187" s="206"/>
      <c r="G187" s="206"/>
      <c r="H187" s="206"/>
      <c r="I187" s="206"/>
      <c r="J187" s="206"/>
      <c r="K187" s="153"/>
      <c r="L187" s="153"/>
      <c r="M187" s="206"/>
      <c r="N187" s="153"/>
      <c r="O187" s="206"/>
      <c r="P187" s="206"/>
      <c r="Q187" s="206"/>
      <c r="R187" s="230"/>
      <c r="S187" s="206"/>
      <c r="T187" s="206"/>
      <c r="U187" s="206"/>
      <c r="V187" s="206"/>
      <c r="W187" s="206"/>
      <c r="X187" s="206"/>
      <c r="Y187" s="206"/>
      <c r="Z187" s="206"/>
      <c r="AA187" s="206"/>
      <c r="AB187" s="206"/>
      <c r="AC187" s="206"/>
      <c r="AD187" s="153"/>
      <c r="AE187" s="153"/>
      <c r="AF187" s="231"/>
      <c r="AG187" s="231"/>
      <c r="AH187" s="231"/>
    </row>
    <row r="188">
      <c r="A188" s="153"/>
      <c r="B188" s="206"/>
      <c r="C188" s="153"/>
      <c r="D188" s="153"/>
      <c r="E188" s="153"/>
      <c r="F188" s="206"/>
      <c r="G188" s="206"/>
      <c r="H188" s="206"/>
      <c r="I188" s="206"/>
      <c r="J188" s="206"/>
      <c r="K188" s="153"/>
      <c r="L188" s="153"/>
      <c r="M188" s="206"/>
      <c r="N188" s="153"/>
      <c r="O188" s="206"/>
      <c r="P188" s="206"/>
      <c r="Q188" s="206"/>
      <c r="R188" s="230"/>
      <c r="S188" s="206"/>
      <c r="T188" s="206"/>
      <c r="U188" s="206"/>
      <c r="V188" s="206"/>
      <c r="W188" s="206"/>
      <c r="X188" s="206"/>
      <c r="Y188" s="206"/>
      <c r="Z188" s="206"/>
      <c r="AA188" s="206"/>
      <c r="AB188" s="206"/>
      <c r="AC188" s="206"/>
      <c r="AD188" s="153"/>
      <c r="AE188" s="153"/>
      <c r="AF188" s="231"/>
      <c r="AG188" s="231"/>
      <c r="AH188" s="231"/>
    </row>
    <row r="189">
      <c r="A189" s="153"/>
      <c r="B189" s="206"/>
      <c r="C189" s="153"/>
      <c r="D189" s="153"/>
      <c r="E189" s="153"/>
      <c r="F189" s="206"/>
      <c r="G189" s="206"/>
      <c r="H189" s="206"/>
      <c r="I189" s="206"/>
      <c r="J189" s="206"/>
      <c r="K189" s="153"/>
      <c r="L189" s="153"/>
      <c r="M189" s="206"/>
      <c r="N189" s="153"/>
      <c r="O189" s="206"/>
      <c r="P189" s="206"/>
      <c r="Q189" s="206"/>
      <c r="R189" s="230"/>
      <c r="S189" s="206"/>
      <c r="T189" s="206"/>
      <c r="U189" s="206"/>
      <c r="V189" s="206"/>
      <c r="W189" s="206"/>
      <c r="X189" s="206"/>
      <c r="Y189" s="206"/>
      <c r="Z189" s="206"/>
      <c r="AA189" s="206"/>
      <c r="AB189" s="206"/>
      <c r="AC189" s="206"/>
      <c r="AD189" s="153"/>
      <c r="AE189" s="153"/>
      <c r="AF189" s="231"/>
      <c r="AG189" s="231"/>
      <c r="AH189" s="231"/>
    </row>
    <row r="190">
      <c r="A190" s="153"/>
      <c r="B190" s="206"/>
      <c r="C190" s="153"/>
      <c r="D190" s="153"/>
      <c r="E190" s="153"/>
      <c r="F190" s="206"/>
      <c r="G190" s="206"/>
      <c r="H190" s="206"/>
      <c r="I190" s="206"/>
      <c r="J190" s="206"/>
      <c r="K190" s="153"/>
      <c r="L190" s="153"/>
      <c r="M190" s="206"/>
      <c r="N190" s="153"/>
      <c r="O190" s="206"/>
      <c r="P190" s="206"/>
      <c r="Q190" s="206"/>
      <c r="R190" s="230"/>
      <c r="S190" s="206"/>
      <c r="T190" s="206"/>
      <c r="U190" s="206"/>
      <c r="V190" s="206"/>
      <c r="W190" s="206"/>
      <c r="X190" s="206"/>
      <c r="Y190" s="206"/>
      <c r="Z190" s="206"/>
      <c r="AA190" s="206"/>
      <c r="AB190" s="206"/>
      <c r="AC190" s="206"/>
      <c r="AD190" s="153"/>
      <c r="AE190" s="153"/>
      <c r="AF190" s="231"/>
      <c r="AG190" s="231"/>
      <c r="AH190" s="231"/>
    </row>
    <row r="191">
      <c r="A191" s="153"/>
      <c r="B191" s="206"/>
      <c r="C191" s="153"/>
      <c r="D191" s="153"/>
      <c r="E191" s="153"/>
      <c r="F191" s="206"/>
      <c r="G191" s="206"/>
      <c r="H191" s="206"/>
      <c r="I191" s="206"/>
      <c r="J191" s="206"/>
      <c r="K191" s="153"/>
      <c r="L191" s="153"/>
      <c r="M191" s="206"/>
      <c r="N191" s="153"/>
      <c r="O191" s="206"/>
      <c r="P191" s="206"/>
      <c r="Q191" s="206"/>
      <c r="R191" s="230"/>
      <c r="S191" s="206"/>
      <c r="T191" s="206"/>
      <c r="U191" s="206"/>
      <c r="V191" s="206"/>
      <c r="W191" s="206"/>
      <c r="X191" s="206"/>
      <c r="Y191" s="206"/>
      <c r="Z191" s="206"/>
      <c r="AA191" s="206"/>
      <c r="AB191" s="206"/>
      <c r="AC191" s="206"/>
      <c r="AD191" s="153"/>
      <c r="AE191" s="153"/>
      <c r="AF191" s="231"/>
      <c r="AG191" s="231"/>
      <c r="AH191" s="231"/>
    </row>
    <row r="192">
      <c r="A192" s="153"/>
      <c r="B192" s="206"/>
      <c r="C192" s="153"/>
      <c r="D192" s="153"/>
      <c r="E192" s="153"/>
      <c r="F192" s="206"/>
      <c r="G192" s="206"/>
      <c r="H192" s="206"/>
      <c r="I192" s="206"/>
      <c r="J192" s="206"/>
      <c r="K192" s="153"/>
      <c r="L192" s="153"/>
      <c r="M192" s="206"/>
      <c r="N192" s="153"/>
      <c r="O192" s="206"/>
      <c r="P192" s="206"/>
      <c r="Q192" s="206"/>
      <c r="R192" s="230"/>
      <c r="S192" s="206"/>
      <c r="T192" s="206"/>
      <c r="U192" s="206"/>
      <c r="V192" s="206"/>
      <c r="W192" s="206"/>
      <c r="X192" s="206"/>
      <c r="Y192" s="206"/>
      <c r="Z192" s="206"/>
      <c r="AA192" s="206"/>
      <c r="AB192" s="206"/>
      <c r="AC192" s="206"/>
      <c r="AD192" s="153"/>
      <c r="AE192" s="153"/>
      <c r="AF192" s="231"/>
      <c r="AG192" s="231"/>
      <c r="AH192" s="231"/>
    </row>
    <row r="193">
      <c r="A193" s="153"/>
      <c r="B193" s="206"/>
      <c r="C193" s="153"/>
      <c r="D193" s="153"/>
      <c r="E193" s="153"/>
      <c r="F193" s="206"/>
      <c r="G193" s="206"/>
      <c r="H193" s="206"/>
      <c r="I193" s="206"/>
      <c r="J193" s="206"/>
      <c r="K193" s="153"/>
      <c r="L193" s="153"/>
      <c r="M193" s="206"/>
      <c r="N193" s="153"/>
      <c r="O193" s="206"/>
      <c r="P193" s="206"/>
      <c r="Q193" s="206"/>
      <c r="R193" s="230"/>
      <c r="S193" s="206"/>
      <c r="T193" s="206"/>
      <c r="U193" s="206"/>
      <c r="V193" s="206"/>
      <c r="W193" s="206"/>
      <c r="X193" s="206"/>
      <c r="Y193" s="206"/>
      <c r="Z193" s="206"/>
      <c r="AA193" s="206"/>
      <c r="AB193" s="206"/>
      <c r="AC193" s="206"/>
      <c r="AD193" s="153"/>
      <c r="AE193" s="153"/>
      <c r="AF193" s="231"/>
      <c r="AG193" s="231"/>
      <c r="AH193" s="231"/>
    </row>
    <row r="194">
      <c r="A194" s="153"/>
      <c r="B194" s="206"/>
      <c r="C194" s="153"/>
      <c r="D194" s="153"/>
      <c r="E194" s="153"/>
      <c r="F194" s="206"/>
      <c r="G194" s="206"/>
      <c r="H194" s="206"/>
      <c r="I194" s="206"/>
      <c r="J194" s="206"/>
      <c r="K194" s="153"/>
      <c r="L194" s="153"/>
      <c r="M194" s="206"/>
      <c r="N194" s="153"/>
      <c r="O194" s="206"/>
      <c r="P194" s="206"/>
      <c r="Q194" s="206"/>
      <c r="R194" s="230"/>
      <c r="S194" s="206"/>
      <c r="T194" s="206"/>
      <c r="U194" s="206"/>
      <c r="V194" s="206"/>
      <c r="W194" s="206"/>
      <c r="X194" s="206"/>
      <c r="Y194" s="206"/>
      <c r="Z194" s="206"/>
      <c r="AA194" s="206"/>
      <c r="AB194" s="206"/>
      <c r="AC194" s="206"/>
      <c r="AD194" s="153"/>
      <c r="AE194" s="153"/>
      <c r="AF194" s="231"/>
      <c r="AG194" s="231"/>
      <c r="AH194" s="231"/>
    </row>
    <row r="195">
      <c r="A195" s="153"/>
      <c r="B195" s="206"/>
      <c r="C195" s="153"/>
      <c r="D195" s="153"/>
      <c r="E195" s="153"/>
      <c r="F195" s="206"/>
      <c r="G195" s="206"/>
      <c r="H195" s="206"/>
      <c r="I195" s="206"/>
      <c r="J195" s="206"/>
      <c r="K195" s="153"/>
      <c r="L195" s="153"/>
      <c r="M195" s="206"/>
      <c r="N195" s="153"/>
      <c r="O195" s="206"/>
      <c r="P195" s="206"/>
      <c r="Q195" s="206"/>
      <c r="R195" s="230"/>
      <c r="S195" s="206"/>
      <c r="T195" s="206"/>
      <c r="U195" s="206"/>
      <c r="V195" s="206"/>
      <c r="W195" s="206"/>
      <c r="X195" s="206"/>
      <c r="Y195" s="206"/>
      <c r="Z195" s="206"/>
      <c r="AA195" s="206"/>
      <c r="AB195" s="206"/>
      <c r="AC195" s="206"/>
      <c r="AD195" s="153"/>
      <c r="AE195" s="153"/>
      <c r="AF195" s="231"/>
      <c r="AG195" s="231"/>
      <c r="AH195" s="231"/>
    </row>
    <row r="196">
      <c r="A196" s="153"/>
      <c r="B196" s="206"/>
      <c r="C196" s="153"/>
      <c r="D196" s="153"/>
      <c r="E196" s="153"/>
      <c r="F196" s="206"/>
      <c r="G196" s="206"/>
      <c r="H196" s="206"/>
      <c r="I196" s="206"/>
      <c r="J196" s="206"/>
      <c r="K196" s="153"/>
      <c r="L196" s="153"/>
      <c r="M196" s="206"/>
      <c r="N196" s="153"/>
      <c r="O196" s="206"/>
      <c r="P196" s="206"/>
      <c r="Q196" s="206"/>
      <c r="R196" s="230"/>
      <c r="S196" s="206"/>
      <c r="T196" s="206"/>
      <c r="U196" s="206"/>
      <c r="V196" s="206"/>
      <c r="W196" s="206"/>
      <c r="X196" s="206"/>
      <c r="Y196" s="206"/>
      <c r="Z196" s="206"/>
      <c r="AA196" s="206"/>
      <c r="AB196" s="206"/>
      <c r="AC196" s="206"/>
      <c r="AD196" s="153"/>
      <c r="AE196" s="153"/>
      <c r="AF196" s="231"/>
      <c r="AG196" s="231"/>
      <c r="AH196" s="231"/>
    </row>
    <row r="197">
      <c r="A197" s="153"/>
      <c r="B197" s="206"/>
      <c r="C197" s="153"/>
      <c r="D197" s="153"/>
      <c r="E197" s="153"/>
      <c r="F197" s="206"/>
      <c r="G197" s="206"/>
      <c r="H197" s="206"/>
      <c r="I197" s="206"/>
      <c r="J197" s="206"/>
      <c r="K197" s="153"/>
      <c r="L197" s="153"/>
      <c r="M197" s="206"/>
      <c r="N197" s="153"/>
      <c r="O197" s="206"/>
      <c r="P197" s="206"/>
      <c r="Q197" s="206"/>
      <c r="R197" s="230"/>
      <c r="S197" s="206"/>
      <c r="T197" s="206"/>
      <c r="U197" s="206"/>
      <c r="V197" s="206"/>
      <c r="W197" s="206"/>
      <c r="X197" s="206"/>
      <c r="Y197" s="206"/>
      <c r="Z197" s="206"/>
      <c r="AA197" s="206"/>
      <c r="AB197" s="206"/>
      <c r="AC197" s="206"/>
      <c r="AD197" s="153"/>
      <c r="AE197" s="153"/>
      <c r="AF197" s="231"/>
      <c r="AG197" s="231"/>
      <c r="AH197" s="231"/>
    </row>
    <row r="198">
      <c r="A198" s="153"/>
      <c r="B198" s="206"/>
      <c r="C198" s="153"/>
      <c r="D198" s="153"/>
      <c r="E198" s="153"/>
      <c r="F198" s="206"/>
      <c r="G198" s="206"/>
      <c r="H198" s="206"/>
      <c r="I198" s="206"/>
      <c r="J198" s="206"/>
      <c r="K198" s="153"/>
      <c r="L198" s="153"/>
      <c r="M198" s="206"/>
      <c r="N198" s="153"/>
      <c r="O198" s="206"/>
      <c r="P198" s="206"/>
      <c r="Q198" s="206"/>
      <c r="R198" s="230"/>
      <c r="S198" s="206"/>
      <c r="T198" s="206"/>
      <c r="U198" s="206"/>
      <c r="V198" s="206"/>
      <c r="W198" s="206"/>
      <c r="X198" s="206"/>
      <c r="Y198" s="206"/>
      <c r="Z198" s="206"/>
      <c r="AA198" s="206"/>
      <c r="AB198" s="206"/>
      <c r="AC198" s="206"/>
      <c r="AD198" s="153"/>
      <c r="AE198" s="153"/>
      <c r="AF198" s="231"/>
      <c r="AG198" s="231"/>
      <c r="AH198" s="231"/>
    </row>
    <row r="199">
      <c r="A199" s="153"/>
      <c r="B199" s="206"/>
      <c r="C199" s="153"/>
      <c r="D199" s="153"/>
      <c r="E199" s="153"/>
      <c r="F199" s="206"/>
      <c r="G199" s="206"/>
      <c r="H199" s="206"/>
      <c r="I199" s="206"/>
      <c r="J199" s="206"/>
      <c r="K199" s="153"/>
      <c r="L199" s="153"/>
      <c r="M199" s="206"/>
      <c r="N199" s="153"/>
      <c r="O199" s="206"/>
      <c r="P199" s="206"/>
      <c r="Q199" s="206"/>
      <c r="R199" s="230"/>
      <c r="S199" s="206"/>
      <c r="T199" s="206"/>
      <c r="U199" s="206"/>
      <c r="V199" s="206"/>
      <c r="W199" s="206"/>
      <c r="X199" s="206"/>
      <c r="Y199" s="206"/>
      <c r="Z199" s="206"/>
      <c r="AA199" s="206"/>
      <c r="AB199" s="206"/>
      <c r="AC199" s="206"/>
      <c r="AD199" s="153"/>
      <c r="AE199" s="153"/>
      <c r="AF199" s="231"/>
      <c r="AG199" s="231"/>
      <c r="AH199" s="231"/>
    </row>
    <row r="200">
      <c r="A200" s="153"/>
      <c r="B200" s="206"/>
      <c r="C200" s="153"/>
      <c r="D200" s="153"/>
      <c r="E200" s="153"/>
      <c r="F200" s="206"/>
      <c r="G200" s="206"/>
      <c r="H200" s="206"/>
      <c r="I200" s="206"/>
      <c r="J200" s="206"/>
      <c r="K200" s="153"/>
      <c r="L200" s="153"/>
      <c r="M200" s="206"/>
      <c r="N200" s="153"/>
      <c r="O200" s="206"/>
      <c r="P200" s="206"/>
      <c r="Q200" s="206"/>
      <c r="R200" s="230"/>
      <c r="S200" s="206"/>
      <c r="T200" s="206"/>
      <c r="U200" s="206"/>
      <c r="V200" s="206"/>
      <c r="W200" s="206"/>
      <c r="X200" s="206"/>
      <c r="Y200" s="206"/>
      <c r="Z200" s="206"/>
      <c r="AA200" s="206"/>
      <c r="AB200" s="206"/>
      <c r="AC200" s="206"/>
      <c r="AD200" s="153"/>
      <c r="AE200" s="153"/>
      <c r="AF200" s="231"/>
      <c r="AG200" s="231"/>
      <c r="AH200" s="231"/>
    </row>
    <row r="201">
      <c r="A201" s="153"/>
      <c r="B201" s="206"/>
      <c r="C201" s="153"/>
      <c r="D201" s="153"/>
      <c r="E201" s="153"/>
      <c r="F201" s="206"/>
      <c r="G201" s="206"/>
      <c r="H201" s="206"/>
      <c r="I201" s="206"/>
      <c r="J201" s="206"/>
      <c r="K201" s="153"/>
      <c r="L201" s="153"/>
      <c r="M201" s="206"/>
      <c r="N201" s="153"/>
      <c r="O201" s="206"/>
      <c r="P201" s="206"/>
      <c r="Q201" s="206"/>
      <c r="R201" s="230"/>
      <c r="S201" s="206"/>
      <c r="T201" s="206"/>
      <c r="U201" s="206"/>
      <c r="V201" s="206"/>
      <c r="W201" s="206"/>
      <c r="X201" s="206"/>
      <c r="Y201" s="206"/>
      <c r="Z201" s="206"/>
      <c r="AA201" s="206"/>
      <c r="AB201" s="206"/>
      <c r="AC201" s="206"/>
      <c r="AD201" s="153"/>
      <c r="AE201" s="153"/>
      <c r="AF201" s="231"/>
      <c r="AG201" s="231"/>
      <c r="AH201" s="231"/>
    </row>
    <row r="202">
      <c r="A202" s="153"/>
      <c r="B202" s="206"/>
      <c r="C202" s="153"/>
      <c r="D202" s="153"/>
      <c r="E202" s="153"/>
      <c r="F202" s="206"/>
      <c r="G202" s="206"/>
      <c r="H202" s="206"/>
      <c r="I202" s="206"/>
      <c r="J202" s="206"/>
      <c r="K202" s="153"/>
      <c r="L202" s="153"/>
      <c r="M202" s="206"/>
      <c r="N202" s="153"/>
      <c r="O202" s="206"/>
      <c r="P202" s="206"/>
      <c r="Q202" s="206"/>
      <c r="R202" s="230"/>
      <c r="S202" s="206"/>
      <c r="T202" s="206"/>
      <c r="U202" s="206"/>
      <c r="V202" s="206"/>
      <c r="W202" s="206"/>
      <c r="X202" s="206"/>
      <c r="Y202" s="206"/>
      <c r="Z202" s="206"/>
      <c r="AA202" s="206"/>
      <c r="AB202" s="206"/>
      <c r="AC202" s="206"/>
      <c r="AD202" s="153"/>
      <c r="AE202" s="153"/>
      <c r="AF202" s="231"/>
      <c r="AG202" s="231"/>
      <c r="AH202" s="231"/>
    </row>
    <row r="203">
      <c r="A203" s="153"/>
      <c r="B203" s="206"/>
      <c r="C203" s="153"/>
      <c r="D203" s="153"/>
      <c r="E203" s="153"/>
      <c r="F203" s="206"/>
      <c r="G203" s="206"/>
      <c r="H203" s="206"/>
      <c r="I203" s="206"/>
      <c r="J203" s="206"/>
      <c r="K203" s="153"/>
      <c r="L203" s="153"/>
      <c r="M203" s="206"/>
      <c r="N203" s="153"/>
      <c r="O203" s="206"/>
      <c r="P203" s="206"/>
      <c r="Q203" s="206"/>
      <c r="R203" s="230"/>
      <c r="S203" s="206"/>
      <c r="T203" s="206"/>
      <c r="U203" s="206"/>
      <c r="V203" s="206"/>
      <c r="W203" s="206"/>
      <c r="X203" s="206"/>
      <c r="Y203" s="206"/>
      <c r="Z203" s="206"/>
      <c r="AA203" s="206"/>
      <c r="AB203" s="206"/>
      <c r="AC203" s="206"/>
      <c r="AD203" s="153"/>
      <c r="AE203" s="153"/>
      <c r="AF203" s="231"/>
      <c r="AG203" s="231"/>
      <c r="AH203" s="231"/>
    </row>
    <row r="204">
      <c r="A204" s="153"/>
      <c r="B204" s="206"/>
      <c r="C204" s="153"/>
      <c r="D204" s="153"/>
      <c r="E204" s="153"/>
      <c r="F204" s="206"/>
      <c r="G204" s="206"/>
      <c r="H204" s="206"/>
      <c r="I204" s="206"/>
      <c r="J204" s="206"/>
      <c r="K204" s="153"/>
      <c r="L204" s="153"/>
      <c r="M204" s="206"/>
      <c r="N204" s="153"/>
      <c r="O204" s="206"/>
      <c r="P204" s="206"/>
      <c r="Q204" s="206"/>
      <c r="R204" s="230"/>
      <c r="S204" s="206"/>
      <c r="T204" s="206"/>
      <c r="U204" s="206"/>
      <c r="V204" s="206"/>
      <c r="W204" s="206"/>
      <c r="X204" s="206"/>
      <c r="Y204" s="206"/>
      <c r="Z204" s="206"/>
      <c r="AA204" s="206"/>
      <c r="AB204" s="206"/>
      <c r="AC204" s="206"/>
      <c r="AD204" s="153"/>
      <c r="AE204" s="153"/>
      <c r="AF204" s="231"/>
      <c r="AG204" s="231"/>
      <c r="AH204" s="231"/>
    </row>
    <row r="205">
      <c r="A205" s="153"/>
      <c r="B205" s="206"/>
      <c r="C205" s="153"/>
      <c r="D205" s="153"/>
      <c r="E205" s="153"/>
      <c r="F205" s="206"/>
      <c r="G205" s="206"/>
      <c r="H205" s="206"/>
      <c r="I205" s="206"/>
      <c r="J205" s="206"/>
      <c r="K205" s="153"/>
      <c r="L205" s="153"/>
      <c r="M205" s="206"/>
      <c r="N205" s="153"/>
      <c r="O205" s="206"/>
      <c r="P205" s="206"/>
      <c r="Q205" s="206"/>
      <c r="R205" s="230"/>
      <c r="S205" s="206"/>
      <c r="T205" s="206"/>
      <c r="U205" s="206"/>
      <c r="V205" s="206"/>
      <c r="W205" s="206"/>
      <c r="X205" s="206"/>
      <c r="Y205" s="206"/>
      <c r="Z205" s="206"/>
      <c r="AA205" s="206"/>
      <c r="AB205" s="206"/>
      <c r="AC205" s="206"/>
      <c r="AD205" s="153"/>
      <c r="AE205" s="153"/>
      <c r="AF205" s="231"/>
      <c r="AG205" s="231"/>
      <c r="AH205" s="231"/>
    </row>
    <row r="206">
      <c r="A206" s="153"/>
      <c r="B206" s="206"/>
      <c r="C206" s="153"/>
      <c r="D206" s="153"/>
      <c r="E206" s="153"/>
      <c r="F206" s="206"/>
      <c r="G206" s="206"/>
      <c r="H206" s="206"/>
      <c r="I206" s="206"/>
      <c r="J206" s="206"/>
      <c r="K206" s="153"/>
      <c r="L206" s="153"/>
      <c r="M206" s="206"/>
      <c r="N206" s="153"/>
      <c r="O206" s="206"/>
      <c r="P206" s="206"/>
      <c r="Q206" s="206"/>
      <c r="R206" s="230"/>
      <c r="S206" s="206"/>
      <c r="T206" s="206"/>
      <c r="U206" s="206"/>
      <c r="V206" s="206"/>
      <c r="W206" s="206"/>
      <c r="X206" s="206"/>
      <c r="Y206" s="206"/>
      <c r="Z206" s="206"/>
      <c r="AA206" s="206"/>
      <c r="AB206" s="206"/>
      <c r="AC206" s="206"/>
      <c r="AD206" s="153"/>
      <c r="AE206" s="153"/>
      <c r="AF206" s="231"/>
      <c r="AG206" s="231"/>
      <c r="AH206" s="231"/>
    </row>
    <row r="207">
      <c r="A207" s="153"/>
      <c r="B207" s="206"/>
      <c r="C207" s="153"/>
      <c r="D207" s="153"/>
      <c r="E207" s="153"/>
      <c r="F207" s="206"/>
      <c r="G207" s="206"/>
      <c r="H207" s="206"/>
      <c r="I207" s="206"/>
      <c r="J207" s="206"/>
      <c r="K207" s="153"/>
      <c r="L207" s="153"/>
      <c r="M207" s="206"/>
      <c r="N207" s="153"/>
      <c r="O207" s="206"/>
      <c r="P207" s="206"/>
      <c r="Q207" s="206"/>
      <c r="R207" s="230"/>
      <c r="S207" s="206"/>
      <c r="T207" s="206"/>
      <c r="U207" s="206"/>
      <c r="V207" s="206"/>
      <c r="W207" s="206"/>
      <c r="X207" s="206"/>
      <c r="Y207" s="206"/>
      <c r="Z207" s="206"/>
      <c r="AA207" s="206"/>
      <c r="AB207" s="206"/>
      <c r="AC207" s="206"/>
      <c r="AD207" s="153"/>
      <c r="AE207" s="153"/>
      <c r="AF207" s="231"/>
      <c r="AG207" s="231"/>
      <c r="AH207" s="231"/>
    </row>
    <row r="208">
      <c r="A208" s="153"/>
      <c r="B208" s="206"/>
      <c r="C208" s="153"/>
      <c r="D208" s="153"/>
      <c r="E208" s="153"/>
      <c r="F208" s="206"/>
      <c r="G208" s="206"/>
      <c r="H208" s="206"/>
      <c r="I208" s="206"/>
      <c r="J208" s="206"/>
      <c r="K208" s="153"/>
      <c r="L208" s="153"/>
      <c r="M208" s="206"/>
      <c r="N208" s="153"/>
      <c r="O208" s="206"/>
      <c r="P208" s="206"/>
      <c r="Q208" s="206"/>
      <c r="R208" s="230"/>
      <c r="S208" s="206"/>
      <c r="T208" s="206"/>
      <c r="U208" s="206"/>
      <c r="V208" s="206"/>
      <c r="W208" s="206"/>
      <c r="X208" s="206"/>
      <c r="Y208" s="206"/>
      <c r="Z208" s="206"/>
      <c r="AA208" s="206"/>
      <c r="AB208" s="206"/>
      <c r="AC208" s="206"/>
      <c r="AD208" s="153"/>
      <c r="AE208" s="153"/>
      <c r="AF208" s="231"/>
      <c r="AG208" s="231"/>
      <c r="AH208" s="231"/>
    </row>
    <row r="209">
      <c r="A209" s="153"/>
      <c r="B209" s="206"/>
      <c r="C209" s="153"/>
      <c r="D209" s="153"/>
      <c r="E209" s="153"/>
      <c r="F209" s="206"/>
      <c r="G209" s="206"/>
      <c r="H209" s="206"/>
      <c r="I209" s="206"/>
      <c r="J209" s="206"/>
      <c r="K209" s="153"/>
      <c r="L209" s="153"/>
      <c r="M209" s="206"/>
      <c r="N209" s="153"/>
      <c r="O209" s="206"/>
      <c r="P209" s="206"/>
      <c r="Q209" s="206"/>
      <c r="R209" s="230"/>
      <c r="S209" s="206"/>
      <c r="T209" s="206"/>
      <c r="U209" s="206"/>
      <c r="V209" s="206"/>
      <c r="W209" s="206"/>
      <c r="X209" s="206"/>
      <c r="Y209" s="206"/>
      <c r="Z209" s="206"/>
      <c r="AA209" s="206"/>
      <c r="AB209" s="206"/>
      <c r="AC209" s="206"/>
      <c r="AD209" s="153"/>
      <c r="AE209" s="153"/>
      <c r="AF209" s="231"/>
      <c r="AG209" s="231"/>
      <c r="AH209" s="231"/>
    </row>
    <row r="210">
      <c r="A210" s="153"/>
      <c r="B210" s="206"/>
      <c r="C210" s="153"/>
      <c r="D210" s="153"/>
      <c r="E210" s="153"/>
      <c r="F210" s="206"/>
      <c r="G210" s="206"/>
      <c r="H210" s="206"/>
      <c r="I210" s="206"/>
      <c r="J210" s="206"/>
      <c r="K210" s="153"/>
      <c r="L210" s="153"/>
      <c r="M210" s="206"/>
      <c r="N210" s="153"/>
      <c r="O210" s="206"/>
      <c r="P210" s="206"/>
      <c r="Q210" s="206"/>
      <c r="R210" s="230"/>
      <c r="S210" s="206"/>
      <c r="T210" s="206"/>
      <c r="U210" s="206"/>
      <c r="V210" s="206"/>
      <c r="W210" s="206"/>
      <c r="X210" s="206"/>
      <c r="Y210" s="206"/>
      <c r="Z210" s="206"/>
      <c r="AA210" s="206"/>
      <c r="AB210" s="206"/>
      <c r="AC210" s="206"/>
      <c r="AD210" s="153"/>
      <c r="AE210" s="153"/>
      <c r="AF210" s="231"/>
      <c r="AG210" s="231"/>
      <c r="AH210" s="231"/>
    </row>
    <row r="211">
      <c r="A211" s="153"/>
      <c r="B211" s="206"/>
      <c r="C211" s="153"/>
      <c r="D211" s="153"/>
      <c r="E211" s="153"/>
      <c r="F211" s="206"/>
      <c r="G211" s="206"/>
      <c r="H211" s="206"/>
      <c r="I211" s="206"/>
      <c r="J211" s="206"/>
      <c r="K211" s="153"/>
      <c r="L211" s="153"/>
      <c r="M211" s="206"/>
      <c r="N211" s="153"/>
      <c r="O211" s="206"/>
      <c r="P211" s="206"/>
      <c r="Q211" s="206"/>
      <c r="R211" s="230"/>
      <c r="S211" s="206"/>
      <c r="T211" s="206"/>
      <c r="U211" s="206"/>
      <c r="V211" s="206"/>
      <c r="W211" s="206"/>
      <c r="X211" s="206"/>
      <c r="Y211" s="206"/>
      <c r="Z211" s="206"/>
      <c r="AA211" s="206"/>
      <c r="AB211" s="206"/>
      <c r="AC211" s="206"/>
      <c r="AD211" s="153"/>
      <c r="AE211" s="153"/>
      <c r="AF211" s="231"/>
      <c r="AG211" s="231"/>
      <c r="AH211" s="231"/>
    </row>
    <row r="212">
      <c r="A212" s="153"/>
      <c r="B212" s="206"/>
      <c r="C212" s="153"/>
      <c r="D212" s="153"/>
      <c r="E212" s="153"/>
      <c r="F212" s="206"/>
      <c r="G212" s="206"/>
      <c r="H212" s="206"/>
      <c r="I212" s="206"/>
      <c r="J212" s="206"/>
      <c r="K212" s="153"/>
      <c r="L212" s="153"/>
      <c r="M212" s="206"/>
      <c r="N212" s="153"/>
      <c r="O212" s="206"/>
      <c r="P212" s="206"/>
      <c r="Q212" s="206"/>
      <c r="R212" s="230"/>
      <c r="S212" s="206"/>
      <c r="T212" s="206"/>
      <c r="U212" s="206"/>
      <c r="V212" s="206"/>
      <c r="W212" s="206"/>
      <c r="X212" s="206"/>
      <c r="Y212" s="206"/>
      <c r="Z212" s="206"/>
      <c r="AA212" s="206"/>
      <c r="AB212" s="206"/>
      <c r="AC212" s="206"/>
      <c r="AD212" s="153"/>
      <c r="AE212" s="153"/>
      <c r="AF212" s="231"/>
      <c r="AG212" s="231"/>
      <c r="AH212" s="231"/>
    </row>
    <row r="213">
      <c r="A213" s="153"/>
      <c r="B213" s="206"/>
      <c r="C213" s="153"/>
      <c r="D213" s="153"/>
      <c r="E213" s="153"/>
      <c r="F213" s="206"/>
      <c r="G213" s="206"/>
      <c r="H213" s="206"/>
      <c r="I213" s="206"/>
      <c r="J213" s="206"/>
      <c r="K213" s="153"/>
      <c r="L213" s="153"/>
      <c r="M213" s="206"/>
      <c r="N213" s="153"/>
      <c r="O213" s="206"/>
      <c r="P213" s="206"/>
      <c r="Q213" s="206"/>
      <c r="R213" s="230"/>
      <c r="S213" s="206"/>
      <c r="T213" s="206"/>
      <c r="U213" s="206"/>
      <c r="V213" s="206"/>
      <c r="W213" s="206"/>
      <c r="X213" s="206"/>
      <c r="Y213" s="206"/>
      <c r="Z213" s="206"/>
      <c r="AA213" s="206"/>
      <c r="AB213" s="206"/>
      <c r="AC213" s="206"/>
      <c r="AD213" s="153"/>
      <c r="AE213" s="153"/>
      <c r="AF213" s="231"/>
      <c r="AG213" s="231"/>
      <c r="AH213" s="231"/>
    </row>
    <row r="214">
      <c r="A214" s="153"/>
      <c r="B214" s="206"/>
      <c r="C214" s="153"/>
      <c r="D214" s="153"/>
      <c r="E214" s="153"/>
      <c r="F214" s="206"/>
      <c r="G214" s="206"/>
      <c r="H214" s="206"/>
      <c r="I214" s="206"/>
      <c r="J214" s="206"/>
      <c r="K214" s="153"/>
      <c r="L214" s="153"/>
      <c r="M214" s="206"/>
      <c r="N214" s="153"/>
      <c r="O214" s="206"/>
      <c r="P214" s="206"/>
      <c r="Q214" s="206"/>
      <c r="R214" s="230"/>
      <c r="S214" s="206"/>
      <c r="T214" s="206"/>
      <c r="U214" s="206"/>
      <c r="V214" s="206"/>
      <c r="W214" s="206"/>
      <c r="X214" s="206"/>
      <c r="Y214" s="206"/>
      <c r="Z214" s="206"/>
      <c r="AA214" s="206"/>
      <c r="AB214" s="206"/>
      <c r="AC214" s="206"/>
      <c r="AD214" s="153"/>
      <c r="AE214" s="153"/>
      <c r="AF214" s="231"/>
      <c r="AG214" s="231"/>
      <c r="AH214" s="231"/>
    </row>
    <row r="215">
      <c r="A215" s="153"/>
      <c r="B215" s="206"/>
      <c r="C215" s="153"/>
      <c r="D215" s="153"/>
      <c r="E215" s="153"/>
      <c r="F215" s="206"/>
      <c r="G215" s="206"/>
      <c r="H215" s="206"/>
      <c r="I215" s="206"/>
      <c r="J215" s="206"/>
      <c r="K215" s="153"/>
      <c r="L215" s="153"/>
      <c r="M215" s="206"/>
      <c r="N215" s="153"/>
      <c r="O215" s="206"/>
      <c r="P215" s="206"/>
      <c r="Q215" s="206"/>
      <c r="R215" s="230"/>
      <c r="S215" s="206"/>
      <c r="T215" s="206"/>
      <c r="U215" s="206"/>
      <c r="V215" s="206"/>
      <c r="W215" s="206"/>
      <c r="X215" s="206"/>
      <c r="Y215" s="206"/>
      <c r="Z215" s="206"/>
      <c r="AA215" s="206"/>
      <c r="AB215" s="206"/>
      <c r="AC215" s="206"/>
      <c r="AD215" s="153"/>
      <c r="AE215" s="153"/>
      <c r="AF215" s="231"/>
      <c r="AG215" s="231"/>
      <c r="AH215" s="231"/>
    </row>
    <row r="216">
      <c r="A216" s="153"/>
      <c r="B216" s="206"/>
      <c r="C216" s="153"/>
      <c r="D216" s="153"/>
      <c r="E216" s="153"/>
      <c r="F216" s="206"/>
      <c r="G216" s="206"/>
      <c r="H216" s="206"/>
      <c r="I216" s="206"/>
      <c r="J216" s="206"/>
      <c r="K216" s="153"/>
      <c r="L216" s="153"/>
      <c r="M216" s="206"/>
      <c r="N216" s="153"/>
      <c r="O216" s="206"/>
      <c r="P216" s="206"/>
      <c r="Q216" s="206"/>
      <c r="R216" s="230"/>
      <c r="S216" s="206"/>
      <c r="T216" s="206"/>
      <c r="U216" s="206"/>
      <c r="V216" s="206"/>
      <c r="W216" s="206"/>
      <c r="X216" s="206"/>
      <c r="Y216" s="206"/>
      <c r="Z216" s="206"/>
      <c r="AA216" s="206"/>
      <c r="AB216" s="206"/>
      <c r="AC216" s="206"/>
      <c r="AD216" s="153"/>
      <c r="AE216" s="153"/>
      <c r="AF216" s="231"/>
      <c r="AG216" s="231"/>
      <c r="AH216" s="231"/>
    </row>
    <row r="217">
      <c r="A217" s="153"/>
      <c r="B217" s="206"/>
      <c r="C217" s="153"/>
      <c r="D217" s="153"/>
      <c r="E217" s="153"/>
      <c r="F217" s="206"/>
      <c r="G217" s="206"/>
      <c r="H217" s="206"/>
      <c r="I217" s="206"/>
      <c r="J217" s="206"/>
      <c r="K217" s="153"/>
      <c r="L217" s="153"/>
      <c r="M217" s="206"/>
      <c r="N217" s="153"/>
      <c r="O217" s="206"/>
      <c r="P217" s="206"/>
      <c r="Q217" s="206"/>
      <c r="R217" s="230"/>
      <c r="S217" s="206"/>
      <c r="T217" s="206"/>
      <c r="U217" s="206"/>
      <c r="V217" s="206"/>
      <c r="W217" s="206"/>
      <c r="X217" s="206"/>
      <c r="Y217" s="206"/>
      <c r="Z217" s="206"/>
      <c r="AA217" s="206"/>
      <c r="AB217" s="206"/>
      <c r="AC217" s="206"/>
      <c r="AD217" s="153"/>
      <c r="AE217" s="153"/>
      <c r="AF217" s="231"/>
      <c r="AG217" s="231"/>
      <c r="AH217" s="231"/>
    </row>
    <row r="218">
      <c r="A218" s="153"/>
      <c r="B218" s="206"/>
      <c r="C218" s="153"/>
      <c r="D218" s="153"/>
      <c r="E218" s="153"/>
      <c r="F218" s="206"/>
      <c r="G218" s="206"/>
      <c r="H218" s="206"/>
      <c r="I218" s="206"/>
      <c r="J218" s="206"/>
      <c r="K218" s="153"/>
      <c r="L218" s="153"/>
      <c r="M218" s="206"/>
      <c r="N218" s="153"/>
      <c r="O218" s="206"/>
      <c r="P218" s="206"/>
      <c r="Q218" s="206"/>
      <c r="R218" s="230"/>
      <c r="S218" s="206"/>
      <c r="T218" s="206"/>
      <c r="U218" s="206"/>
      <c r="V218" s="206"/>
      <c r="W218" s="206"/>
      <c r="X218" s="206"/>
      <c r="Y218" s="206"/>
      <c r="Z218" s="206"/>
      <c r="AA218" s="206"/>
      <c r="AB218" s="206"/>
      <c r="AC218" s="206"/>
      <c r="AD218" s="153"/>
      <c r="AE218" s="153"/>
      <c r="AF218" s="231"/>
      <c r="AG218" s="231"/>
      <c r="AH218" s="231"/>
    </row>
    <row r="219">
      <c r="A219" s="153"/>
      <c r="B219" s="206"/>
      <c r="C219" s="153"/>
      <c r="D219" s="153"/>
      <c r="E219" s="153"/>
      <c r="F219" s="206"/>
      <c r="G219" s="206"/>
      <c r="H219" s="206"/>
      <c r="I219" s="206"/>
      <c r="J219" s="206"/>
      <c r="K219" s="153"/>
      <c r="L219" s="153"/>
      <c r="M219" s="206"/>
      <c r="N219" s="153"/>
      <c r="O219" s="206"/>
      <c r="P219" s="206"/>
      <c r="Q219" s="206"/>
      <c r="R219" s="230"/>
      <c r="S219" s="206"/>
      <c r="T219" s="206"/>
      <c r="U219" s="206"/>
      <c r="V219" s="206"/>
      <c r="W219" s="206"/>
      <c r="X219" s="206"/>
      <c r="Y219" s="206"/>
      <c r="Z219" s="206"/>
      <c r="AA219" s="206"/>
      <c r="AB219" s="206"/>
      <c r="AC219" s="206"/>
      <c r="AD219" s="153"/>
      <c r="AE219" s="153"/>
      <c r="AF219" s="231"/>
      <c r="AG219" s="231"/>
      <c r="AH219" s="231"/>
    </row>
    <row r="220">
      <c r="A220" s="153"/>
      <c r="B220" s="206"/>
      <c r="C220" s="153"/>
      <c r="D220" s="153"/>
      <c r="E220" s="153"/>
      <c r="F220" s="206"/>
      <c r="G220" s="206"/>
      <c r="H220" s="206"/>
      <c r="I220" s="206"/>
      <c r="J220" s="206"/>
      <c r="K220" s="153"/>
      <c r="L220" s="153"/>
      <c r="M220" s="206"/>
      <c r="N220" s="153"/>
      <c r="O220" s="206"/>
      <c r="P220" s="206"/>
      <c r="Q220" s="206"/>
      <c r="R220" s="230"/>
      <c r="S220" s="206"/>
      <c r="T220" s="206"/>
      <c r="U220" s="206"/>
      <c r="V220" s="206"/>
      <c r="W220" s="206"/>
      <c r="X220" s="206"/>
      <c r="Y220" s="206"/>
      <c r="Z220" s="206"/>
      <c r="AA220" s="206"/>
      <c r="AB220" s="206"/>
      <c r="AC220" s="206"/>
      <c r="AD220" s="153"/>
      <c r="AE220" s="153"/>
      <c r="AF220" s="231"/>
      <c r="AG220" s="231"/>
      <c r="AH220" s="231"/>
    </row>
    <row r="221">
      <c r="A221" s="153"/>
      <c r="B221" s="206"/>
      <c r="C221" s="153"/>
      <c r="D221" s="153"/>
      <c r="E221" s="153"/>
      <c r="F221" s="206"/>
      <c r="G221" s="206"/>
      <c r="H221" s="206"/>
      <c r="I221" s="206"/>
      <c r="J221" s="206"/>
      <c r="K221" s="153"/>
      <c r="L221" s="153"/>
      <c r="M221" s="206"/>
      <c r="N221" s="153"/>
      <c r="O221" s="206"/>
      <c r="P221" s="206"/>
      <c r="Q221" s="206"/>
      <c r="R221" s="230"/>
      <c r="S221" s="206"/>
      <c r="T221" s="206"/>
      <c r="U221" s="206"/>
      <c r="V221" s="206"/>
      <c r="W221" s="206"/>
      <c r="X221" s="206"/>
      <c r="Y221" s="206"/>
      <c r="Z221" s="206"/>
      <c r="AA221" s="206"/>
      <c r="AB221" s="206"/>
      <c r="AC221" s="206"/>
      <c r="AD221" s="153"/>
      <c r="AE221" s="153"/>
      <c r="AF221" s="231"/>
      <c r="AG221" s="231"/>
      <c r="AH221" s="231"/>
    </row>
    <row r="222">
      <c r="A222" s="153"/>
      <c r="B222" s="206"/>
      <c r="C222" s="153"/>
      <c r="D222" s="153"/>
      <c r="E222" s="153"/>
      <c r="F222" s="206"/>
      <c r="G222" s="206"/>
      <c r="H222" s="206"/>
      <c r="I222" s="206"/>
      <c r="J222" s="206"/>
      <c r="K222" s="153"/>
      <c r="L222" s="153"/>
      <c r="M222" s="206"/>
      <c r="N222" s="153"/>
      <c r="O222" s="206"/>
      <c r="P222" s="206"/>
      <c r="Q222" s="206"/>
      <c r="R222" s="230"/>
      <c r="S222" s="206"/>
      <c r="T222" s="206"/>
      <c r="U222" s="206"/>
      <c r="V222" s="206"/>
      <c r="W222" s="206"/>
      <c r="X222" s="206"/>
      <c r="Y222" s="206"/>
      <c r="Z222" s="206"/>
      <c r="AA222" s="206"/>
      <c r="AB222" s="206"/>
      <c r="AC222" s="206"/>
      <c r="AD222" s="153"/>
      <c r="AE222" s="153"/>
      <c r="AF222" s="231"/>
      <c r="AG222" s="231"/>
      <c r="AH222" s="231"/>
    </row>
    <row r="223">
      <c r="A223" s="153"/>
      <c r="B223" s="206"/>
      <c r="C223" s="153"/>
      <c r="D223" s="153"/>
      <c r="E223" s="153"/>
      <c r="F223" s="206"/>
      <c r="G223" s="206"/>
      <c r="H223" s="206"/>
      <c r="I223" s="206"/>
      <c r="J223" s="206"/>
      <c r="K223" s="153"/>
      <c r="L223" s="153"/>
      <c r="M223" s="206"/>
      <c r="N223" s="153"/>
      <c r="O223" s="206"/>
      <c r="P223" s="206"/>
      <c r="Q223" s="206"/>
      <c r="R223" s="230"/>
      <c r="S223" s="206"/>
      <c r="T223" s="206"/>
      <c r="U223" s="206"/>
      <c r="V223" s="206"/>
      <c r="W223" s="206"/>
      <c r="X223" s="206"/>
      <c r="Y223" s="206"/>
      <c r="Z223" s="206"/>
      <c r="AA223" s="206"/>
      <c r="AB223" s="206"/>
      <c r="AC223" s="206"/>
      <c r="AD223" s="153"/>
      <c r="AE223" s="153"/>
      <c r="AF223" s="231"/>
      <c r="AG223" s="231"/>
      <c r="AH223" s="231"/>
    </row>
    <row r="224">
      <c r="A224" s="153"/>
      <c r="B224" s="206"/>
      <c r="C224" s="153"/>
      <c r="D224" s="153"/>
      <c r="E224" s="153"/>
      <c r="F224" s="206"/>
      <c r="G224" s="206"/>
      <c r="H224" s="206"/>
      <c r="I224" s="206"/>
      <c r="J224" s="206"/>
      <c r="K224" s="153"/>
      <c r="L224" s="153"/>
      <c r="M224" s="206"/>
      <c r="N224" s="153"/>
      <c r="O224" s="206"/>
      <c r="P224" s="206"/>
      <c r="Q224" s="206"/>
      <c r="R224" s="230"/>
      <c r="S224" s="206"/>
      <c r="T224" s="206"/>
      <c r="U224" s="206"/>
      <c r="V224" s="206"/>
      <c r="W224" s="206"/>
      <c r="X224" s="206"/>
      <c r="Y224" s="206"/>
      <c r="Z224" s="206"/>
      <c r="AA224" s="206"/>
      <c r="AB224" s="206"/>
      <c r="AC224" s="206"/>
      <c r="AD224" s="153"/>
      <c r="AE224" s="153"/>
      <c r="AF224" s="231"/>
      <c r="AG224" s="231"/>
      <c r="AH224" s="231"/>
    </row>
    <row r="225">
      <c r="A225" s="153"/>
      <c r="B225" s="206"/>
      <c r="C225" s="153"/>
      <c r="D225" s="153"/>
      <c r="E225" s="153"/>
      <c r="F225" s="206"/>
      <c r="G225" s="206"/>
      <c r="H225" s="206"/>
      <c r="I225" s="206"/>
      <c r="J225" s="206"/>
      <c r="K225" s="153"/>
      <c r="L225" s="153"/>
      <c r="M225" s="206"/>
      <c r="N225" s="153"/>
      <c r="O225" s="206"/>
      <c r="P225" s="206"/>
      <c r="Q225" s="206"/>
      <c r="R225" s="230"/>
      <c r="S225" s="206"/>
      <c r="T225" s="206"/>
      <c r="U225" s="206"/>
      <c r="V225" s="206"/>
      <c r="W225" s="206"/>
      <c r="X225" s="206"/>
      <c r="Y225" s="206"/>
      <c r="Z225" s="206"/>
      <c r="AA225" s="206"/>
      <c r="AB225" s="206"/>
      <c r="AC225" s="206"/>
      <c r="AD225" s="153"/>
      <c r="AE225" s="153"/>
      <c r="AF225" s="231"/>
      <c r="AG225" s="231"/>
      <c r="AH225" s="231"/>
    </row>
    <row r="226">
      <c r="A226" s="153"/>
      <c r="B226" s="206"/>
      <c r="C226" s="153"/>
      <c r="D226" s="153"/>
      <c r="E226" s="153"/>
      <c r="F226" s="206"/>
      <c r="G226" s="206"/>
      <c r="H226" s="206"/>
      <c r="I226" s="206"/>
      <c r="J226" s="206"/>
      <c r="K226" s="153"/>
      <c r="L226" s="153"/>
      <c r="M226" s="206"/>
      <c r="N226" s="153"/>
      <c r="O226" s="206"/>
      <c r="P226" s="206"/>
      <c r="Q226" s="206"/>
      <c r="R226" s="230"/>
      <c r="S226" s="206"/>
      <c r="T226" s="206"/>
      <c r="U226" s="206"/>
      <c r="V226" s="206"/>
      <c r="W226" s="206"/>
      <c r="X226" s="206"/>
      <c r="Y226" s="206"/>
      <c r="Z226" s="206"/>
      <c r="AA226" s="206"/>
      <c r="AB226" s="206"/>
      <c r="AC226" s="206"/>
      <c r="AD226" s="153"/>
      <c r="AE226" s="153"/>
      <c r="AF226" s="231"/>
      <c r="AG226" s="231"/>
      <c r="AH226" s="231"/>
    </row>
    <row r="227">
      <c r="A227" s="153"/>
      <c r="B227" s="206"/>
      <c r="C227" s="153"/>
      <c r="D227" s="153"/>
      <c r="E227" s="153"/>
      <c r="F227" s="206"/>
      <c r="G227" s="206"/>
      <c r="H227" s="206"/>
      <c r="I227" s="206"/>
      <c r="J227" s="206"/>
      <c r="K227" s="153"/>
      <c r="L227" s="153"/>
      <c r="M227" s="206"/>
      <c r="N227" s="153"/>
      <c r="O227" s="206"/>
      <c r="P227" s="206"/>
      <c r="Q227" s="206"/>
      <c r="R227" s="230"/>
      <c r="S227" s="206"/>
      <c r="T227" s="206"/>
      <c r="U227" s="206"/>
      <c r="V227" s="206"/>
      <c r="W227" s="206"/>
      <c r="X227" s="206"/>
      <c r="Y227" s="206"/>
      <c r="Z227" s="206"/>
      <c r="AA227" s="206"/>
      <c r="AB227" s="206"/>
      <c r="AC227" s="206"/>
      <c r="AD227" s="153"/>
      <c r="AE227" s="153"/>
      <c r="AF227" s="231"/>
      <c r="AG227" s="231"/>
      <c r="AH227" s="231"/>
    </row>
    <row r="228">
      <c r="A228" s="153"/>
      <c r="B228" s="206"/>
      <c r="C228" s="153"/>
      <c r="D228" s="153"/>
      <c r="E228" s="153"/>
      <c r="F228" s="206"/>
      <c r="G228" s="206"/>
      <c r="H228" s="206"/>
      <c r="I228" s="206"/>
      <c r="J228" s="206"/>
      <c r="K228" s="153"/>
      <c r="L228" s="153"/>
      <c r="M228" s="206"/>
      <c r="N228" s="153"/>
      <c r="O228" s="206"/>
      <c r="P228" s="206"/>
      <c r="Q228" s="206"/>
      <c r="R228" s="230"/>
      <c r="S228" s="206"/>
      <c r="T228" s="206"/>
      <c r="U228" s="206"/>
      <c r="V228" s="206"/>
      <c r="W228" s="206"/>
      <c r="X228" s="206"/>
      <c r="Y228" s="206"/>
      <c r="Z228" s="206"/>
      <c r="AA228" s="206"/>
      <c r="AB228" s="206"/>
      <c r="AC228" s="206"/>
      <c r="AD228" s="153"/>
      <c r="AE228" s="153"/>
      <c r="AF228" s="231"/>
      <c r="AG228" s="231"/>
      <c r="AH228" s="231"/>
    </row>
    <row r="229">
      <c r="A229" s="153"/>
      <c r="B229" s="206"/>
      <c r="C229" s="153"/>
      <c r="D229" s="153"/>
      <c r="E229" s="153"/>
      <c r="F229" s="206"/>
      <c r="G229" s="206"/>
      <c r="H229" s="206"/>
      <c r="I229" s="206"/>
      <c r="J229" s="206"/>
      <c r="K229" s="153"/>
      <c r="L229" s="153"/>
      <c r="M229" s="206"/>
      <c r="N229" s="153"/>
      <c r="O229" s="206"/>
      <c r="P229" s="206"/>
      <c r="Q229" s="206"/>
      <c r="R229" s="230"/>
      <c r="S229" s="206"/>
      <c r="T229" s="206"/>
      <c r="U229" s="206"/>
      <c r="V229" s="206"/>
      <c r="W229" s="206"/>
      <c r="X229" s="206"/>
      <c r="Y229" s="206"/>
      <c r="Z229" s="206"/>
      <c r="AA229" s="206"/>
      <c r="AB229" s="206"/>
      <c r="AC229" s="206"/>
      <c r="AD229" s="153"/>
      <c r="AE229" s="153"/>
      <c r="AF229" s="231"/>
      <c r="AG229" s="231"/>
      <c r="AH229" s="231"/>
    </row>
    <row r="230">
      <c r="A230" s="153"/>
      <c r="B230" s="206"/>
      <c r="C230" s="153"/>
      <c r="D230" s="153"/>
      <c r="E230" s="153"/>
      <c r="F230" s="206"/>
      <c r="G230" s="206"/>
      <c r="H230" s="206"/>
      <c r="I230" s="206"/>
      <c r="J230" s="206"/>
      <c r="K230" s="153"/>
      <c r="L230" s="153"/>
      <c r="M230" s="206"/>
      <c r="N230" s="153"/>
      <c r="O230" s="206"/>
      <c r="P230" s="206"/>
      <c r="Q230" s="206"/>
      <c r="R230" s="230"/>
      <c r="S230" s="206"/>
      <c r="T230" s="206"/>
      <c r="U230" s="206"/>
      <c r="V230" s="206"/>
      <c r="W230" s="206"/>
      <c r="X230" s="206"/>
      <c r="Y230" s="206"/>
      <c r="Z230" s="206"/>
      <c r="AA230" s="206"/>
      <c r="AB230" s="206"/>
      <c r="AC230" s="206"/>
      <c r="AD230" s="153"/>
      <c r="AE230" s="153"/>
      <c r="AF230" s="231"/>
      <c r="AG230" s="231"/>
      <c r="AH230" s="231"/>
    </row>
    <row r="231">
      <c r="A231" s="153"/>
      <c r="B231" s="206"/>
      <c r="C231" s="153"/>
      <c r="D231" s="153"/>
      <c r="E231" s="153"/>
      <c r="F231" s="206"/>
      <c r="G231" s="206"/>
      <c r="H231" s="206"/>
      <c r="I231" s="206"/>
      <c r="J231" s="206"/>
      <c r="K231" s="153"/>
      <c r="L231" s="153"/>
      <c r="M231" s="206"/>
      <c r="N231" s="153"/>
      <c r="O231" s="206"/>
      <c r="P231" s="206"/>
      <c r="Q231" s="206"/>
      <c r="R231" s="230"/>
      <c r="S231" s="206"/>
      <c r="T231" s="206"/>
      <c r="U231" s="206"/>
      <c r="V231" s="206"/>
      <c r="W231" s="206"/>
      <c r="X231" s="206"/>
      <c r="Y231" s="206"/>
      <c r="Z231" s="206"/>
      <c r="AA231" s="206"/>
      <c r="AB231" s="206"/>
      <c r="AC231" s="206"/>
      <c r="AD231" s="153"/>
      <c r="AE231" s="153"/>
      <c r="AF231" s="231"/>
      <c r="AG231" s="231"/>
      <c r="AH231" s="231"/>
    </row>
    <row r="232">
      <c r="A232" s="153"/>
      <c r="B232" s="206"/>
      <c r="C232" s="153"/>
      <c r="D232" s="153"/>
      <c r="E232" s="153"/>
      <c r="F232" s="206"/>
      <c r="G232" s="206"/>
      <c r="H232" s="206"/>
      <c r="I232" s="206"/>
      <c r="J232" s="206"/>
      <c r="K232" s="153"/>
      <c r="L232" s="153"/>
      <c r="M232" s="206"/>
      <c r="N232" s="153"/>
      <c r="O232" s="206"/>
      <c r="P232" s="206"/>
      <c r="Q232" s="206"/>
      <c r="R232" s="230"/>
      <c r="S232" s="206"/>
      <c r="T232" s="206"/>
      <c r="U232" s="206"/>
      <c r="V232" s="206"/>
      <c r="W232" s="206"/>
      <c r="X232" s="206"/>
      <c r="Y232" s="206"/>
      <c r="Z232" s="206"/>
      <c r="AA232" s="206"/>
      <c r="AB232" s="206"/>
      <c r="AC232" s="206"/>
      <c r="AD232" s="153"/>
      <c r="AE232" s="153"/>
      <c r="AF232" s="231"/>
      <c r="AG232" s="231"/>
      <c r="AH232" s="231"/>
    </row>
    <row r="233">
      <c r="A233" s="153"/>
      <c r="B233" s="206"/>
      <c r="C233" s="153"/>
      <c r="D233" s="153"/>
      <c r="E233" s="153"/>
      <c r="F233" s="206"/>
      <c r="G233" s="206"/>
      <c r="H233" s="206"/>
      <c r="I233" s="206"/>
      <c r="J233" s="206"/>
      <c r="K233" s="153"/>
      <c r="L233" s="153"/>
      <c r="M233" s="206"/>
      <c r="N233" s="153"/>
      <c r="O233" s="206"/>
      <c r="P233" s="206"/>
      <c r="Q233" s="206"/>
      <c r="R233" s="230"/>
      <c r="S233" s="206"/>
      <c r="T233" s="206"/>
      <c r="U233" s="206"/>
      <c r="V233" s="206"/>
      <c r="W233" s="206"/>
      <c r="X233" s="206"/>
      <c r="Y233" s="206"/>
      <c r="Z233" s="206"/>
      <c r="AA233" s="206"/>
      <c r="AB233" s="206"/>
      <c r="AC233" s="206"/>
      <c r="AD233" s="153"/>
      <c r="AE233" s="153"/>
      <c r="AF233" s="231"/>
      <c r="AG233" s="231"/>
      <c r="AH233" s="231"/>
    </row>
    <row r="234">
      <c r="A234" s="153"/>
      <c r="B234" s="206"/>
      <c r="C234" s="153"/>
      <c r="D234" s="153"/>
      <c r="E234" s="153"/>
      <c r="F234" s="206"/>
      <c r="G234" s="206"/>
      <c r="H234" s="206"/>
      <c r="I234" s="206"/>
      <c r="J234" s="206"/>
      <c r="K234" s="153"/>
      <c r="L234" s="153"/>
      <c r="M234" s="206"/>
      <c r="N234" s="153"/>
      <c r="O234" s="206"/>
      <c r="P234" s="206"/>
      <c r="Q234" s="206"/>
      <c r="R234" s="230"/>
      <c r="S234" s="206"/>
      <c r="T234" s="206"/>
      <c r="U234" s="206"/>
      <c r="V234" s="206"/>
      <c r="W234" s="206"/>
      <c r="X234" s="206"/>
      <c r="Y234" s="206"/>
      <c r="Z234" s="206"/>
      <c r="AA234" s="206"/>
      <c r="AB234" s="206"/>
      <c r="AC234" s="206"/>
      <c r="AD234" s="153"/>
      <c r="AE234" s="153"/>
      <c r="AF234" s="231"/>
      <c r="AG234" s="231"/>
      <c r="AH234" s="231"/>
    </row>
    <row r="235">
      <c r="A235" s="153"/>
      <c r="B235" s="206"/>
      <c r="C235" s="153"/>
      <c r="D235" s="153"/>
      <c r="E235" s="153"/>
      <c r="F235" s="206"/>
      <c r="G235" s="206"/>
      <c r="H235" s="206"/>
      <c r="I235" s="206"/>
      <c r="J235" s="206"/>
      <c r="K235" s="153"/>
      <c r="L235" s="153"/>
      <c r="M235" s="206"/>
      <c r="N235" s="153"/>
      <c r="O235" s="206"/>
      <c r="P235" s="206"/>
      <c r="Q235" s="206"/>
      <c r="R235" s="230"/>
      <c r="S235" s="206"/>
      <c r="T235" s="206"/>
      <c r="U235" s="206"/>
      <c r="V235" s="206"/>
      <c r="W235" s="206"/>
      <c r="X235" s="206"/>
      <c r="Y235" s="206"/>
      <c r="Z235" s="206"/>
      <c r="AA235" s="206"/>
      <c r="AB235" s="206"/>
      <c r="AC235" s="206"/>
      <c r="AD235" s="153"/>
      <c r="AE235" s="153"/>
      <c r="AF235" s="231"/>
      <c r="AG235" s="231"/>
      <c r="AH235" s="231"/>
    </row>
    <row r="236">
      <c r="A236" s="153"/>
      <c r="B236" s="206"/>
      <c r="C236" s="153"/>
      <c r="D236" s="153"/>
      <c r="E236" s="153"/>
      <c r="F236" s="206"/>
      <c r="G236" s="206"/>
      <c r="H236" s="206"/>
      <c r="I236" s="206"/>
      <c r="J236" s="206"/>
      <c r="K236" s="153"/>
      <c r="L236" s="153"/>
      <c r="M236" s="206"/>
      <c r="N236" s="153"/>
      <c r="O236" s="206"/>
      <c r="P236" s="206"/>
      <c r="Q236" s="206"/>
      <c r="R236" s="230"/>
      <c r="S236" s="206"/>
      <c r="T236" s="206"/>
      <c r="U236" s="206"/>
      <c r="V236" s="206"/>
      <c r="W236" s="206"/>
      <c r="X236" s="206"/>
      <c r="Y236" s="206"/>
      <c r="Z236" s="206"/>
      <c r="AA236" s="206"/>
      <c r="AB236" s="206"/>
      <c r="AC236" s="206"/>
      <c r="AD236" s="153"/>
      <c r="AE236" s="153"/>
      <c r="AF236" s="231"/>
      <c r="AG236" s="231"/>
      <c r="AH236" s="231"/>
    </row>
    <row r="237">
      <c r="A237" s="153"/>
      <c r="B237" s="206"/>
      <c r="C237" s="153"/>
      <c r="D237" s="153"/>
      <c r="E237" s="153"/>
      <c r="F237" s="206"/>
      <c r="G237" s="206"/>
      <c r="H237" s="206"/>
      <c r="I237" s="206"/>
      <c r="J237" s="206"/>
      <c r="K237" s="153"/>
      <c r="L237" s="153"/>
      <c r="M237" s="206"/>
      <c r="N237" s="153"/>
      <c r="O237" s="206"/>
      <c r="P237" s="206"/>
      <c r="Q237" s="206"/>
      <c r="R237" s="230"/>
      <c r="S237" s="206"/>
      <c r="T237" s="206"/>
      <c r="U237" s="206"/>
      <c r="V237" s="206"/>
      <c r="W237" s="206"/>
      <c r="X237" s="206"/>
      <c r="Y237" s="206"/>
      <c r="Z237" s="206"/>
      <c r="AA237" s="206"/>
      <c r="AB237" s="206"/>
      <c r="AC237" s="206"/>
      <c r="AD237" s="153"/>
      <c r="AE237" s="153"/>
      <c r="AF237" s="231"/>
      <c r="AG237" s="231"/>
      <c r="AH237" s="231"/>
    </row>
    <row r="238">
      <c r="A238" s="153"/>
      <c r="B238" s="206"/>
      <c r="C238" s="153"/>
      <c r="D238" s="153"/>
      <c r="E238" s="153"/>
      <c r="F238" s="206"/>
      <c r="G238" s="206"/>
      <c r="H238" s="206"/>
      <c r="I238" s="206"/>
      <c r="J238" s="206"/>
      <c r="K238" s="153"/>
      <c r="L238" s="153"/>
      <c r="M238" s="206"/>
      <c r="N238" s="153"/>
      <c r="O238" s="206"/>
      <c r="P238" s="206"/>
      <c r="Q238" s="206"/>
      <c r="R238" s="230"/>
      <c r="S238" s="206"/>
      <c r="T238" s="206"/>
      <c r="U238" s="206"/>
      <c r="V238" s="206"/>
      <c r="W238" s="206"/>
      <c r="X238" s="206"/>
      <c r="Y238" s="206"/>
      <c r="Z238" s="206"/>
      <c r="AA238" s="206"/>
      <c r="AB238" s="206"/>
      <c r="AC238" s="206"/>
      <c r="AD238" s="153"/>
      <c r="AE238" s="153"/>
      <c r="AF238" s="231"/>
      <c r="AG238" s="231"/>
      <c r="AH238" s="231"/>
    </row>
    <row r="239">
      <c r="A239" s="153"/>
      <c r="B239" s="206"/>
      <c r="C239" s="153"/>
      <c r="D239" s="153"/>
      <c r="E239" s="153"/>
      <c r="F239" s="206"/>
      <c r="G239" s="206"/>
      <c r="H239" s="206"/>
      <c r="I239" s="206"/>
      <c r="J239" s="206"/>
      <c r="K239" s="153"/>
      <c r="L239" s="153"/>
      <c r="M239" s="206"/>
      <c r="N239" s="153"/>
      <c r="O239" s="206"/>
      <c r="P239" s="206"/>
      <c r="Q239" s="206"/>
      <c r="R239" s="230"/>
      <c r="S239" s="206"/>
      <c r="T239" s="206"/>
      <c r="U239" s="206"/>
      <c r="V239" s="206"/>
      <c r="W239" s="206"/>
      <c r="X239" s="206"/>
      <c r="Y239" s="206"/>
      <c r="Z239" s="206"/>
      <c r="AA239" s="206"/>
      <c r="AB239" s="206"/>
      <c r="AC239" s="206"/>
      <c r="AD239" s="153"/>
      <c r="AE239" s="153"/>
      <c r="AF239" s="231"/>
      <c r="AG239" s="231"/>
      <c r="AH239" s="231"/>
    </row>
    <row r="240">
      <c r="A240" s="153"/>
      <c r="B240" s="206"/>
      <c r="C240" s="153"/>
      <c r="D240" s="153"/>
      <c r="E240" s="153"/>
      <c r="F240" s="206"/>
      <c r="G240" s="206"/>
      <c r="H240" s="206"/>
      <c r="I240" s="206"/>
      <c r="J240" s="206"/>
      <c r="K240" s="153"/>
      <c r="L240" s="153"/>
      <c r="M240" s="206"/>
      <c r="N240" s="153"/>
      <c r="O240" s="206"/>
      <c r="P240" s="206"/>
      <c r="Q240" s="206"/>
      <c r="R240" s="230"/>
      <c r="S240" s="206"/>
      <c r="T240" s="206"/>
      <c r="U240" s="206"/>
      <c r="V240" s="206"/>
      <c r="W240" s="206"/>
      <c r="X240" s="206"/>
      <c r="Y240" s="206"/>
      <c r="Z240" s="206"/>
      <c r="AA240" s="206"/>
      <c r="AB240" s="206"/>
      <c r="AC240" s="206"/>
      <c r="AD240" s="153"/>
      <c r="AE240" s="153"/>
      <c r="AF240" s="231"/>
      <c r="AG240" s="231"/>
      <c r="AH240" s="231"/>
    </row>
    <row r="241">
      <c r="A241" s="153"/>
      <c r="B241" s="206"/>
      <c r="C241" s="153"/>
      <c r="D241" s="153"/>
      <c r="E241" s="153"/>
      <c r="F241" s="206"/>
      <c r="G241" s="206"/>
      <c r="H241" s="206"/>
      <c r="I241" s="206"/>
      <c r="J241" s="206"/>
      <c r="K241" s="153"/>
      <c r="L241" s="153"/>
      <c r="M241" s="206"/>
      <c r="N241" s="153"/>
      <c r="O241" s="206"/>
      <c r="P241" s="206"/>
      <c r="Q241" s="206"/>
      <c r="R241" s="230"/>
      <c r="S241" s="206"/>
      <c r="T241" s="206"/>
      <c r="U241" s="206"/>
      <c r="V241" s="206"/>
      <c r="W241" s="206"/>
      <c r="X241" s="206"/>
      <c r="Y241" s="206"/>
      <c r="Z241" s="206"/>
      <c r="AA241" s="206"/>
      <c r="AB241" s="206"/>
      <c r="AC241" s="206"/>
      <c r="AD241" s="153"/>
      <c r="AE241" s="153"/>
      <c r="AF241" s="231"/>
      <c r="AG241" s="231"/>
      <c r="AH241" s="231"/>
    </row>
    <row r="242">
      <c r="A242" s="153"/>
      <c r="B242" s="206"/>
      <c r="C242" s="153"/>
      <c r="D242" s="153"/>
      <c r="E242" s="153"/>
      <c r="F242" s="206"/>
      <c r="G242" s="206"/>
      <c r="H242" s="206"/>
      <c r="I242" s="206"/>
      <c r="J242" s="206"/>
      <c r="K242" s="153"/>
      <c r="L242" s="153"/>
      <c r="M242" s="206"/>
      <c r="N242" s="153"/>
      <c r="O242" s="206"/>
      <c r="P242" s="206"/>
      <c r="Q242" s="206"/>
      <c r="R242" s="230"/>
      <c r="S242" s="206"/>
      <c r="T242" s="206"/>
      <c r="U242" s="206"/>
      <c r="V242" s="206"/>
      <c r="W242" s="206"/>
      <c r="X242" s="206"/>
      <c r="Y242" s="206"/>
      <c r="Z242" s="206"/>
      <c r="AA242" s="206"/>
      <c r="AB242" s="206"/>
      <c r="AC242" s="206"/>
      <c r="AD242" s="153"/>
      <c r="AE242" s="153"/>
      <c r="AF242" s="231"/>
      <c r="AG242" s="231"/>
      <c r="AH242" s="231"/>
    </row>
    <row r="243">
      <c r="A243" s="153"/>
      <c r="B243" s="206"/>
      <c r="C243" s="153"/>
      <c r="D243" s="153"/>
      <c r="E243" s="153"/>
      <c r="F243" s="206"/>
      <c r="G243" s="206"/>
      <c r="H243" s="206"/>
      <c r="I243" s="206"/>
      <c r="J243" s="206"/>
      <c r="K243" s="153"/>
      <c r="L243" s="153"/>
      <c r="M243" s="206"/>
      <c r="N243" s="153"/>
      <c r="O243" s="206"/>
      <c r="P243" s="206"/>
      <c r="Q243" s="206"/>
      <c r="R243" s="230"/>
      <c r="S243" s="206"/>
      <c r="T243" s="206"/>
      <c r="U243" s="206"/>
      <c r="V243" s="206"/>
      <c r="W243" s="206"/>
      <c r="X243" s="206"/>
      <c r="Y243" s="206"/>
      <c r="Z243" s="206"/>
      <c r="AA243" s="206"/>
      <c r="AB243" s="206"/>
      <c r="AC243" s="206"/>
      <c r="AD243" s="153"/>
      <c r="AE243" s="153"/>
      <c r="AF243" s="231"/>
      <c r="AG243" s="231"/>
      <c r="AH243" s="231"/>
    </row>
    <row r="244">
      <c r="A244" s="153"/>
      <c r="B244" s="206"/>
      <c r="C244" s="153"/>
      <c r="D244" s="153"/>
      <c r="E244" s="153"/>
      <c r="F244" s="206"/>
      <c r="G244" s="206"/>
      <c r="H244" s="206"/>
      <c r="I244" s="206"/>
      <c r="J244" s="206"/>
      <c r="K244" s="153"/>
      <c r="L244" s="153"/>
      <c r="M244" s="206"/>
      <c r="N244" s="153"/>
      <c r="O244" s="206"/>
      <c r="P244" s="206"/>
      <c r="Q244" s="206"/>
      <c r="R244" s="230"/>
      <c r="S244" s="206"/>
      <c r="T244" s="206"/>
      <c r="U244" s="206"/>
      <c r="V244" s="206"/>
      <c r="W244" s="206"/>
      <c r="X244" s="206"/>
      <c r="Y244" s="206"/>
      <c r="Z244" s="206"/>
      <c r="AA244" s="206"/>
      <c r="AB244" s="206"/>
      <c r="AC244" s="206"/>
      <c r="AD244" s="153"/>
      <c r="AE244" s="153"/>
      <c r="AF244" s="231"/>
      <c r="AG244" s="231"/>
      <c r="AH244" s="231"/>
    </row>
    <row r="245">
      <c r="A245" s="153"/>
      <c r="B245" s="206"/>
      <c r="C245" s="153"/>
      <c r="D245" s="153"/>
      <c r="E245" s="153"/>
      <c r="F245" s="206"/>
      <c r="G245" s="206"/>
      <c r="H245" s="206"/>
      <c r="I245" s="206"/>
      <c r="J245" s="206"/>
      <c r="K245" s="153"/>
      <c r="L245" s="153"/>
      <c r="M245" s="206"/>
      <c r="N245" s="153"/>
      <c r="O245" s="206"/>
      <c r="P245" s="206"/>
      <c r="Q245" s="206"/>
      <c r="R245" s="230"/>
      <c r="S245" s="206"/>
      <c r="T245" s="206"/>
      <c r="U245" s="206"/>
      <c r="V245" s="206"/>
      <c r="W245" s="206"/>
      <c r="X245" s="206"/>
      <c r="Y245" s="206"/>
      <c r="Z245" s="206"/>
      <c r="AA245" s="206"/>
      <c r="AB245" s="206"/>
      <c r="AC245" s="206"/>
      <c r="AD245" s="153"/>
      <c r="AE245" s="153"/>
      <c r="AF245" s="231"/>
      <c r="AG245" s="231"/>
      <c r="AH245" s="231"/>
    </row>
    <row r="246">
      <c r="A246" s="153"/>
      <c r="B246" s="206"/>
      <c r="C246" s="153"/>
      <c r="D246" s="153"/>
      <c r="E246" s="153"/>
      <c r="F246" s="206"/>
      <c r="G246" s="206"/>
      <c r="H246" s="206"/>
      <c r="I246" s="206"/>
      <c r="J246" s="206"/>
      <c r="K246" s="153"/>
      <c r="L246" s="153"/>
      <c r="M246" s="206"/>
      <c r="N246" s="153"/>
      <c r="O246" s="206"/>
      <c r="P246" s="206"/>
      <c r="Q246" s="206"/>
      <c r="R246" s="230"/>
      <c r="S246" s="206"/>
      <c r="T246" s="206"/>
      <c r="U246" s="206"/>
      <c r="V246" s="206"/>
      <c r="W246" s="206"/>
      <c r="X246" s="206"/>
      <c r="Y246" s="206"/>
      <c r="Z246" s="206"/>
      <c r="AA246" s="206"/>
      <c r="AB246" s="206"/>
      <c r="AC246" s="206"/>
      <c r="AD246" s="153"/>
      <c r="AE246" s="153"/>
      <c r="AF246" s="231"/>
      <c r="AG246" s="231"/>
      <c r="AH246" s="231"/>
    </row>
    <row r="247">
      <c r="A247" s="153"/>
      <c r="B247" s="206"/>
      <c r="C247" s="153"/>
      <c r="D247" s="153"/>
      <c r="E247" s="153"/>
      <c r="F247" s="206"/>
      <c r="G247" s="206"/>
      <c r="H247" s="206"/>
      <c r="I247" s="206"/>
      <c r="J247" s="206"/>
      <c r="K247" s="153"/>
      <c r="L247" s="153"/>
      <c r="M247" s="206"/>
      <c r="N247" s="153"/>
      <c r="O247" s="206"/>
      <c r="P247" s="206"/>
      <c r="Q247" s="206"/>
      <c r="R247" s="230"/>
      <c r="S247" s="206"/>
      <c r="T247" s="206"/>
      <c r="U247" s="206"/>
      <c r="V247" s="206"/>
      <c r="W247" s="206"/>
      <c r="X247" s="206"/>
      <c r="Y247" s="206"/>
      <c r="Z247" s="206"/>
      <c r="AA247" s="206"/>
      <c r="AB247" s="206"/>
      <c r="AC247" s="206"/>
      <c r="AD247" s="153"/>
      <c r="AE247" s="153"/>
      <c r="AF247" s="231"/>
      <c r="AG247" s="231"/>
      <c r="AH247" s="231"/>
    </row>
    <row r="248">
      <c r="A248" s="153"/>
      <c r="B248" s="206"/>
      <c r="C248" s="153"/>
      <c r="D248" s="153"/>
      <c r="E248" s="153"/>
      <c r="F248" s="206"/>
      <c r="G248" s="206"/>
      <c r="H248" s="206"/>
      <c r="I248" s="206"/>
      <c r="J248" s="206"/>
      <c r="K248" s="153"/>
      <c r="L248" s="153"/>
      <c r="M248" s="206"/>
      <c r="N248" s="153"/>
      <c r="O248" s="206"/>
      <c r="P248" s="206"/>
      <c r="Q248" s="206"/>
      <c r="R248" s="230"/>
      <c r="S248" s="206"/>
      <c r="T248" s="206"/>
      <c r="U248" s="206"/>
      <c r="V248" s="206"/>
      <c r="W248" s="206"/>
      <c r="X248" s="206"/>
      <c r="Y248" s="206"/>
      <c r="Z248" s="206"/>
      <c r="AA248" s="206"/>
      <c r="AB248" s="206"/>
      <c r="AC248" s="206"/>
      <c r="AD248" s="153"/>
      <c r="AE248" s="153"/>
      <c r="AF248" s="231"/>
      <c r="AG248" s="231"/>
      <c r="AH248" s="231"/>
    </row>
    <row r="249">
      <c r="A249" s="153"/>
      <c r="B249" s="206"/>
      <c r="C249" s="153"/>
      <c r="D249" s="153"/>
      <c r="E249" s="153"/>
      <c r="F249" s="206"/>
      <c r="G249" s="206"/>
      <c r="H249" s="206"/>
      <c r="I249" s="206"/>
      <c r="J249" s="206"/>
      <c r="K249" s="153"/>
      <c r="L249" s="153"/>
      <c r="M249" s="206"/>
      <c r="N249" s="153"/>
      <c r="O249" s="206"/>
      <c r="P249" s="206"/>
      <c r="Q249" s="206"/>
      <c r="R249" s="230"/>
      <c r="S249" s="206"/>
      <c r="T249" s="206"/>
      <c r="U249" s="206"/>
      <c r="V249" s="206"/>
      <c r="W249" s="206"/>
      <c r="X249" s="206"/>
      <c r="Y249" s="206"/>
      <c r="Z249" s="206"/>
      <c r="AA249" s="206"/>
      <c r="AB249" s="206"/>
      <c r="AC249" s="206"/>
      <c r="AD249" s="153"/>
      <c r="AE249" s="153"/>
      <c r="AF249" s="231"/>
      <c r="AG249" s="231"/>
      <c r="AH249" s="231"/>
    </row>
    <row r="250">
      <c r="A250" s="153"/>
      <c r="B250" s="206"/>
      <c r="C250" s="153"/>
      <c r="D250" s="153"/>
      <c r="E250" s="153"/>
      <c r="F250" s="206"/>
      <c r="G250" s="206"/>
      <c r="H250" s="206"/>
      <c r="I250" s="206"/>
      <c r="J250" s="206"/>
      <c r="K250" s="153"/>
      <c r="L250" s="153"/>
      <c r="M250" s="206"/>
      <c r="N250" s="153"/>
      <c r="O250" s="206"/>
      <c r="P250" s="206"/>
      <c r="Q250" s="206"/>
      <c r="R250" s="230"/>
      <c r="S250" s="206"/>
      <c r="T250" s="206"/>
      <c r="U250" s="206"/>
      <c r="V250" s="206"/>
      <c r="W250" s="206"/>
      <c r="X250" s="206"/>
      <c r="Y250" s="206"/>
      <c r="Z250" s="206"/>
      <c r="AA250" s="206"/>
      <c r="AB250" s="206"/>
      <c r="AC250" s="206"/>
      <c r="AD250" s="153"/>
      <c r="AE250" s="153"/>
      <c r="AF250" s="231"/>
      <c r="AG250" s="231"/>
      <c r="AH250" s="231"/>
    </row>
    <row r="251">
      <c r="A251" s="153"/>
      <c r="B251" s="206"/>
      <c r="C251" s="153"/>
      <c r="D251" s="153"/>
      <c r="E251" s="153"/>
      <c r="F251" s="206"/>
      <c r="G251" s="206"/>
      <c r="H251" s="206"/>
      <c r="I251" s="206"/>
      <c r="J251" s="206"/>
      <c r="K251" s="153"/>
      <c r="L251" s="153"/>
      <c r="M251" s="206"/>
      <c r="N251" s="153"/>
      <c r="O251" s="206"/>
      <c r="P251" s="206"/>
      <c r="Q251" s="206"/>
      <c r="R251" s="230"/>
      <c r="S251" s="206"/>
      <c r="T251" s="206"/>
      <c r="U251" s="206"/>
      <c r="V251" s="206"/>
      <c r="W251" s="206"/>
      <c r="X251" s="206"/>
      <c r="Y251" s="206"/>
      <c r="Z251" s="206"/>
      <c r="AA251" s="206"/>
      <c r="AB251" s="206"/>
      <c r="AC251" s="206"/>
      <c r="AD251" s="153"/>
      <c r="AE251" s="153"/>
      <c r="AF251" s="231"/>
      <c r="AG251" s="231"/>
      <c r="AH251" s="231"/>
    </row>
    <row r="252">
      <c r="A252" s="153"/>
      <c r="B252" s="206"/>
      <c r="C252" s="153"/>
      <c r="D252" s="153"/>
      <c r="E252" s="153"/>
      <c r="F252" s="206"/>
      <c r="G252" s="206"/>
      <c r="H252" s="206"/>
      <c r="I252" s="206"/>
      <c r="J252" s="206"/>
      <c r="K252" s="153"/>
      <c r="L252" s="153"/>
      <c r="M252" s="206"/>
      <c r="N252" s="153"/>
      <c r="O252" s="206"/>
      <c r="P252" s="206"/>
      <c r="Q252" s="206"/>
      <c r="R252" s="230"/>
      <c r="S252" s="206"/>
      <c r="T252" s="206"/>
      <c r="U252" s="206"/>
      <c r="V252" s="206"/>
      <c r="W252" s="206"/>
      <c r="X252" s="206"/>
      <c r="Y252" s="206"/>
      <c r="Z252" s="206"/>
      <c r="AA252" s="206"/>
      <c r="AB252" s="206"/>
      <c r="AC252" s="206"/>
      <c r="AD252" s="153"/>
      <c r="AE252" s="153"/>
      <c r="AF252" s="231"/>
      <c r="AG252" s="231"/>
      <c r="AH252" s="231"/>
    </row>
    <row r="253">
      <c r="A253" s="153"/>
      <c r="B253" s="206"/>
      <c r="C253" s="153"/>
      <c r="D253" s="153"/>
      <c r="E253" s="153"/>
      <c r="F253" s="206"/>
      <c r="G253" s="206"/>
      <c r="H253" s="206"/>
      <c r="I253" s="206"/>
      <c r="J253" s="206"/>
      <c r="K253" s="153"/>
      <c r="L253" s="153"/>
      <c r="M253" s="206"/>
      <c r="N253" s="153"/>
      <c r="O253" s="206"/>
      <c r="P253" s="206"/>
      <c r="Q253" s="206"/>
      <c r="R253" s="230"/>
      <c r="S253" s="206"/>
      <c r="T253" s="206"/>
      <c r="U253" s="206"/>
      <c r="V253" s="206"/>
      <c r="W253" s="206"/>
      <c r="X253" s="206"/>
      <c r="Y253" s="206"/>
      <c r="Z253" s="206"/>
      <c r="AA253" s="206"/>
      <c r="AB253" s="206"/>
      <c r="AC253" s="206"/>
      <c r="AD253" s="153"/>
      <c r="AE253" s="153"/>
      <c r="AF253" s="231"/>
      <c r="AG253" s="231"/>
      <c r="AH253" s="231"/>
    </row>
    <row r="254">
      <c r="A254" s="153"/>
      <c r="B254" s="206"/>
      <c r="C254" s="153"/>
      <c r="D254" s="153"/>
      <c r="E254" s="153"/>
      <c r="F254" s="206"/>
      <c r="G254" s="206"/>
      <c r="H254" s="206"/>
      <c r="I254" s="206"/>
      <c r="J254" s="206"/>
      <c r="K254" s="153"/>
      <c r="L254" s="153"/>
      <c r="M254" s="206"/>
      <c r="N254" s="153"/>
      <c r="O254" s="206"/>
      <c r="P254" s="206"/>
      <c r="Q254" s="206"/>
      <c r="R254" s="230"/>
      <c r="S254" s="206"/>
      <c r="T254" s="206"/>
      <c r="U254" s="206"/>
      <c r="V254" s="206"/>
      <c r="W254" s="206"/>
      <c r="X254" s="206"/>
      <c r="Y254" s="206"/>
      <c r="Z254" s="206"/>
      <c r="AA254" s="206"/>
      <c r="AB254" s="206"/>
      <c r="AC254" s="206"/>
      <c r="AD254" s="153"/>
      <c r="AE254" s="153"/>
      <c r="AF254" s="231"/>
      <c r="AG254" s="231"/>
      <c r="AH254" s="231"/>
    </row>
    <row r="255">
      <c r="A255" s="153"/>
      <c r="B255" s="206"/>
      <c r="C255" s="153"/>
      <c r="D255" s="153"/>
      <c r="E255" s="153"/>
      <c r="F255" s="206"/>
      <c r="G255" s="206"/>
      <c r="H255" s="206"/>
      <c r="I255" s="206"/>
      <c r="J255" s="206"/>
      <c r="K255" s="153"/>
      <c r="L255" s="153"/>
      <c r="M255" s="206"/>
      <c r="N255" s="153"/>
      <c r="O255" s="206"/>
      <c r="P255" s="206"/>
      <c r="Q255" s="206"/>
      <c r="R255" s="230"/>
      <c r="S255" s="206"/>
      <c r="T255" s="206"/>
      <c r="U255" s="206"/>
      <c r="V255" s="206"/>
      <c r="W255" s="206"/>
      <c r="X255" s="206"/>
      <c r="Y255" s="206"/>
      <c r="Z255" s="206"/>
      <c r="AA255" s="206"/>
      <c r="AB255" s="206"/>
      <c r="AC255" s="206"/>
      <c r="AD255" s="153"/>
      <c r="AE255" s="153"/>
      <c r="AF255" s="231"/>
      <c r="AG255" s="231"/>
      <c r="AH255" s="231"/>
    </row>
    <row r="256">
      <c r="A256" s="153"/>
      <c r="B256" s="206"/>
      <c r="C256" s="153"/>
      <c r="D256" s="153"/>
      <c r="E256" s="153"/>
      <c r="F256" s="206"/>
      <c r="G256" s="206"/>
      <c r="H256" s="206"/>
      <c r="I256" s="206"/>
      <c r="J256" s="206"/>
      <c r="K256" s="153"/>
      <c r="L256" s="153"/>
      <c r="M256" s="206"/>
      <c r="N256" s="153"/>
      <c r="O256" s="206"/>
      <c r="P256" s="206"/>
      <c r="Q256" s="206"/>
      <c r="R256" s="230"/>
      <c r="S256" s="206"/>
      <c r="T256" s="206"/>
      <c r="U256" s="206"/>
      <c r="V256" s="206"/>
      <c r="W256" s="206"/>
      <c r="X256" s="206"/>
      <c r="Y256" s="206"/>
      <c r="Z256" s="206"/>
      <c r="AA256" s="206"/>
      <c r="AB256" s="206"/>
      <c r="AC256" s="206"/>
      <c r="AD256" s="153"/>
      <c r="AE256" s="153"/>
      <c r="AF256" s="231"/>
      <c r="AG256" s="231"/>
      <c r="AH256" s="231"/>
    </row>
    <row r="257">
      <c r="A257" s="153"/>
      <c r="B257" s="206"/>
      <c r="C257" s="153"/>
      <c r="D257" s="153"/>
      <c r="E257" s="153"/>
      <c r="F257" s="206"/>
      <c r="G257" s="206"/>
      <c r="H257" s="206"/>
      <c r="I257" s="206"/>
      <c r="J257" s="206"/>
      <c r="K257" s="153"/>
      <c r="L257" s="153"/>
      <c r="M257" s="206"/>
      <c r="N257" s="153"/>
      <c r="O257" s="206"/>
      <c r="P257" s="206"/>
      <c r="Q257" s="206"/>
      <c r="R257" s="230"/>
      <c r="S257" s="206"/>
      <c r="T257" s="206"/>
      <c r="U257" s="206"/>
      <c r="V257" s="206"/>
      <c r="W257" s="206"/>
      <c r="X257" s="206"/>
      <c r="Y257" s="206"/>
      <c r="Z257" s="206"/>
      <c r="AA257" s="206"/>
      <c r="AB257" s="206"/>
      <c r="AC257" s="206"/>
      <c r="AD257" s="153"/>
      <c r="AE257" s="153"/>
      <c r="AF257" s="231"/>
      <c r="AG257" s="231"/>
      <c r="AH257" s="231"/>
    </row>
    <row r="258">
      <c r="A258" s="153"/>
      <c r="B258" s="206"/>
      <c r="C258" s="153"/>
      <c r="D258" s="153"/>
      <c r="E258" s="153"/>
      <c r="F258" s="206"/>
      <c r="G258" s="206"/>
      <c r="H258" s="206"/>
      <c r="I258" s="206"/>
      <c r="J258" s="206"/>
      <c r="K258" s="153"/>
      <c r="L258" s="153"/>
      <c r="M258" s="206"/>
      <c r="N258" s="153"/>
      <c r="O258" s="206"/>
      <c r="P258" s="206"/>
      <c r="Q258" s="206"/>
      <c r="R258" s="230"/>
      <c r="S258" s="206"/>
      <c r="T258" s="206"/>
      <c r="U258" s="206"/>
      <c r="V258" s="206"/>
      <c r="W258" s="206"/>
      <c r="X258" s="206"/>
      <c r="Y258" s="206"/>
      <c r="Z258" s="206"/>
      <c r="AA258" s="206"/>
      <c r="AB258" s="206"/>
      <c r="AC258" s="206"/>
      <c r="AD258" s="153"/>
      <c r="AE258" s="153"/>
      <c r="AF258" s="231"/>
      <c r="AG258" s="231"/>
      <c r="AH258" s="231"/>
    </row>
    <row r="259">
      <c r="A259" s="153"/>
      <c r="B259" s="206"/>
      <c r="C259" s="153"/>
      <c r="D259" s="153"/>
      <c r="E259" s="153"/>
      <c r="F259" s="206"/>
      <c r="G259" s="206"/>
      <c r="H259" s="206"/>
      <c r="I259" s="206"/>
      <c r="J259" s="206"/>
      <c r="K259" s="153"/>
      <c r="L259" s="153"/>
      <c r="M259" s="206"/>
      <c r="N259" s="153"/>
      <c r="O259" s="206"/>
      <c r="P259" s="206"/>
      <c r="Q259" s="206"/>
      <c r="R259" s="230"/>
      <c r="S259" s="206"/>
      <c r="T259" s="206"/>
      <c r="U259" s="206"/>
      <c r="V259" s="206"/>
      <c r="W259" s="206"/>
      <c r="X259" s="206"/>
      <c r="Y259" s="206"/>
      <c r="Z259" s="206"/>
      <c r="AA259" s="206"/>
      <c r="AB259" s="206"/>
      <c r="AC259" s="206"/>
      <c r="AD259" s="153"/>
      <c r="AE259" s="153"/>
      <c r="AF259" s="231"/>
      <c r="AG259" s="231"/>
      <c r="AH259" s="231"/>
    </row>
    <row r="260">
      <c r="A260" s="153"/>
      <c r="B260" s="206"/>
      <c r="C260" s="153"/>
      <c r="D260" s="153"/>
      <c r="E260" s="153"/>
      <c r="F260" s="206"/>
      <c r="G260" s="206"/>
      <c r="H260" s="206"/>
      <c r="I260" s="206"/>
      <c r="J260" s="206"/>
      <c r="K260" s="153"/>
      <c r="L260" s="153"/>
      <c r="M260" s="206"/>
      <c r="N260" s="153"/>
      <c r="O260" s="206"/>
      <c r="P260" s="206"/>
      <c r="Q260" s="206"/>
      <c r="R260" s="230"/>
      <c r="S260" s="206"/>
      <c r="T260" s="206"/>
      <c r="U260" s="206"/>
      <c r="V260" s="206"/>
      <c r="W260" s="206"/>
      <c r="X260" s="206"/>
      <c r="Y260" s="206"/>
      <c r="Z260" s="206"/>
      <c r="AA260" s="206"/>
      <c r="AB260" s="206"/>
      <c r="AC260" s="206"/>
      <c r="AD260" s="153"/>
      <c r="AE260" s="153"/>
      <c r="AF260" s="231"/>
      <c r="AG260" s="231"/>
      <c r="AH260" s="231"/>
    </row>
    <row r="261">
      <c r="A261" s="153"/>
      <c r="B261" s="206"/>
      <c r="C261" s="153"/>
      <c r="D261" s="153"/>
      <c r="E261" s="153"/>
      <c r="F261" s="206"/>
      <c r="G261" s="206"/>
      <c r="H261" s="206"/>
      <c r="I261" s="206"/>
      <c r="J261" s="206"/>
      <c r="K261" s="153"/>
      <c r="L261" s="153"/>
      <c r="M261" s="206"/>
      <c r="N261" s="153"/>
      <c r="O261" s="206"/>
      <c r="P261" s="206"/>
      <c r="Q261" s="206"/>
      <c r="R261" s="230"/>
      <c r="S261" s="206"/>
      <c r="T261" s="206"/>
      <c r="U261" s="206"/>
      <c r="V261" s="206"/>
      <c r="W261" s="206"/>
      <c r="X261" s="206"/>
      <c r="Y261" s="206"/>
      <c r="Z261" s="206"/>
      <c r="AA261" s="206"/>
      <c r="AB261" s="206"/>
      <c r="AC261" s="206"/>
      <c r="AD261" s="153"/>
      <c r="AE261" s="153"/>
      <c r="AF261" s="231"/>
      <c r="AG261" s="231"/>
      <c r="AH261" s="231"/>
    </row>
    <row r="262">
      <c r="A262" s="153"/>
      <c r="B262" s="206"/>
      <c r="C262" s="153"/>
      <c r="D262" s="153"/>
      <c r="E262" s="153"/>
      <c r="F262" s="206"/>
      <c r="G262" s="206"/>
      <c r="H262" s="206"/>
      <c r="I262" s="206"/>
      <c r="J262" s="206"/>
      <c r="K262" s="153"/>
      <c r="L262" s="153"/>
      <c r="M262" s="206"/>
      <c r="N262" s="153"/>
      <c r="O262" s="206"/>
      <c r="P262" s="206"/>
      <c r="Q262" s="206"/>
      <c r="R262" s="230"/>
      <c r="S262" s="206"/>
      <c r="T262" s="206"/>
      <c r="U262" s="206"/>
      <c r="V262" s="206"/>
      <c r="W262" s="206"/>
      <c r="X262" s="206"/>
      <c r="Y262" s="206"/>
      <c r="Z262" s="206"/>
      <c r="AA262" s="206"/>
      <c r="AB262" s="206"/>
      <c r="AC262" s="206"/>
      <c r="AD262" s="153"/>
      <c r="AE262" s="153"/>
      <c r="AF262" s="231"/>
      <c r="AG262" s="231"/>
      <c r="AH262" s="231"/>
    </row>
    <row r="263">
      <c r="A263" s="153"/>
      <c r="B263" s="206"/>
      <c r="C263" s="153"/>
      <c r="D263" s="153"/>
      <c r="E263" s="153"/>
      <c r="F263" s="206"/>
      <c r="G263" s="206"/>
      <c r="H263" s="206"/>
      <c r="I263" s="206"/>
      <c r="J263" s="206"/>
      <c r="K263" s="153"/>
      <c r="L263" s="153"/>
      <c r="M263" s="206"/>
      <c r="N263" s="153"/>
      <c r="O263" s="206"/>
      <c r="P263" s="206"/>
      <c r="Q263" s="206"/>
      <c r="R263" s="230"/>
      <c r="S263" s="206"/>
      <c r="T263" s="206"/>
      <c r="U263" s="206"/>
      <c r="V263" s="206"/>
      <c r="W263" s="206"/>
      <c r="X263" s="206"/>
      <c r="Y263" s="206"/>
      <c r="Z263" s="206"/>
      <c r="AA263" s="206"/>
      <c r="AB263" s="206"/>
      <c r="AC263" s="206"/>
      <c r="AD263" s="153"/>
      <c r="AE263" s="153"/>
      <c r="AF263" s="231"/>
      <c r="AG263" s="231"/>
      <c r="AH263" s="231"/>
    </row>
    <row r="264">
      <c r="A264" s="153"/>
      <c r="B264" s="206"/>
      <c r="C264" s="153"/>
      <c r="D264" s="153"/>
      <c r="E264" s="153"/>
      <c r="F264" s="206"/>
      <c r="G264" s="206"/>
      <c r="H264" s="206"/>
      <c r="I264" s="206"/>
      <c r="J264" s="206"/>
      <c r="K264" s="153"/>
      <c r="L264" s="153"/>
      <c r="M264" s="206"/>
      <c r="N264" s="153"/>
      <c r="O264" s="206"/>
      <c r="P264" s="206"/>
      <c r="Q264" s="206"/>
      <c r="R264" s="230"/>
      <c r="S264" s="206"/>
      <c r="T264" s="206"/>
      <c r="U264" s="206"/>
      <c r="V264" s="206"/>
      <c r="W264" s="206"/>
      <c r="X264" s="206"/>
      <c r="Y264" s="206"/>
      <c r="Z264" s="206"/>
      <c r="AA264" s="206"/>
      <c r="AB264" s="206"/>
      <c r="AC264" s="206"/>
      <c r="AD264" s="153"/>
      <c r="AE264" s="153"/>
      <c r="AF264" s="231"/>
      <c r="AG264" s="231"/>
      <c r="AH264" s="231"/>
    </row>
    <row r="265">
      <c r="A265" s="153"/>
      <c r="B265" s="206"/>
      <c r="C265" s="153"/>
      <c r="D265" s="153"/>
      <c r="E265" s="153"/>
      <c r="F265" s="206"/>
      <c r="G265" s="206"/>
      <c r="H265" s="206"/>
      <c r="I265" s="206"/>
      <c r="J265" s="206"/>
      <c r="K265" s="153"/>
      <c r="L265" s="153"/>
      <c r="M265" s="206"/>
      <c r="N265" s="153"/>
      <c r="O265" s="206"/>
      <c r="P265" s="206"/>
      <c r="Q265" s="206"/>
      <c r="R265" s="230"/>
      <c r="S265" s="206"/>
      <c r="T265" s="206"/>
      <c r="U265" s="206"/>
      <c r="V265" s="206"/>
      <c r="W265" s="206"/>
      <c r="X265" s="206"/>
      <c r="Y265" s="206"/>
      <c r="Z265" s="206"/>
      <c r="AA265" s="206"/>
      <c r="AB265" s="206"/>
      <c r="AC265" s="206"/>
      <c r="AD265" s="153"/>
      <c r="AE265" s="153"/>
      <c r="AF265" s="231"/>
      <c r="AG265" s="231"/>
      <c r="AH265" s="231"/>
    </row>
    <row r="266">
      <c r="A266" s="153"/>
      <c r="B266" s="206"/>
      <c r="C266" s="153"/>
      <c r="D266" s="153"/>
      <c r="E266" s="153"/>
      <c r="F266" s="206"/>
      <c r="G266" s="206"/>
      <c r="H266" s="206"/>
      <c r="I266" s="206"/>
      <c r="J266" s="206"/>
      <c r="K266" s="153"/>
      <c r="L266" s="153"/>
      <c r="M266" s="206"/>
      <c r="N266" s="153"/>
      <c r="O266" s="206"/>
      <c r="P266" s="206"/>
      <c r="Q266" s="206"/>
      <c r="R266" s="230"/>
      <c r="S266" s="206"/>
      <c r="T266" s="206"/>
      <c r="U266" s="206"/>
      <c r="V266" s="206"/>
      <c r="W266" s="206"/>
      <c r="X266" s="206"/>
      <c r="Y266" s="206"/>
      <c r="Z266" s="206"/>
      <c r="AA266" s="206"/>
      <c r="AB266" s="206"/>
      <c r="AC266" s="206"/>
      <c r="AD266" s="153"/>
      <c r="AE266" s="153"/>
      <c r="AF266" s="231"/>
      <c r="AG266" s="231"/>
      <c r="AH266" s="231"/>
    </row>
    <row r="267">
      <c r="A267" s="153"/>
      <c r="B267" s="206"/>
      <c r="C267" s="153"/>
      <c r="D267" s="153"/>
      <c r="E267" s="153"/>
      <c r="F267" s="206"/>
      <c r="G267" s="206"/>
      <c r="H267" s="206"/>
      <c r="I267" s="206"/>
      <c r="J267" s="206"/>
      <c r="K267" s="153"/>
      <c r="L267" s="153"/>
      <c r="M267" s="206"/>
      <c r="N267" s="153"/>
      <c r="O267" s="206"/>
      <c r="P267" s="206"/>
      <c r="Q267" s="206"/>
      <c r="R267" s="230"/>
      <c r="S267" s="206"/>
      <c r="T267" s="206"/>
      <c r="U267" s="206"/>
      <c r="V267" s="206"/>
      <c r="W267" s="206"/>
      <c r="X267" s="206"/>
      <c r="Y267" s="206"/>
      <c r="Z267" s="206"/>
      <c r="AA267" s="206"/>
      <c r="AB267" s="206"/>
      <c r="AC267" s="206"/>
      <c r="AD267" s="153"/>
      <c r="AE267" s="153"/>
      <c r="AF267" s="231"/>
      <c r="AG267" s="231"/>
      <c r="AH267" s="231"/>
    </row>
    <row r="268">
      <c r="A268" s="153"/>
      <c r="B268" s="206"/>
      <c r="C268" s="153"/>
      <c r="D268" s="153"/>
      <c r="E268" s="153"/>
      <c r="F268" s="206"/>
      <c r="G268" s="206"/>
      <c r="H268" s="206"/>
      <c r="I268" s="206"/>
      <c r="J268" s="206"/>
      <c r="K268" s="153"/>
      <c r="L268" s="153"/>
      <c r="M268" s="206"/>
      <c r="N268" s="153"/>
      <c r="O268" s="206"/>
      <c r="P268" s="206"/>
      <c r="Q268" s="206"/>
      <c r="R268" s="230"/>
      <c r="S268" s="206"/>
      <c r="T268" s="206"/>
      <c r="U268" s="206"/>
      <c r="V268" s="206"/>
      <c r="W268" s="206"/>
      <c r="X268" s="206"/>
      <c r="Y268" s="206"/>
      <c r="Z268" s="206"/>
      <c r="AA268" s="206"/>
      <c r="AB268" s="206"/>
      <c r="AC268" s="206"/>
      <c r="AD268" s="153"/>
      <c r="AE268" s="153"/>
      <c r="AF268" s="231"/>
      <c r="AG268" s="231"/>
      <c r="AH268" s="231"/>
    </row>
    <row r="269">
      <c r="A269" s="153"/>
      <c r="B269" s="206"/>
      <c r="C269" s="153"/>
      <c r="D269" s="153"/>
      <c r="E269" s="153"/>
      <c r="F269" s="206"/>
      <c r="G269" s="206"/>
      <c r="H269" s="206"/>
      <c r="I269" s="206"/>
      <c r="J269" s="206"/>
      <c r="K269" s="153"/>
      <c r="L269" s="153"/>
      <c r="M269" s="206"/>
      <c r="N269" s="153"/>
      <c r="O269" s="206"/>
      <c r="P269" s="206"/>
      <c r="Q269" s="206"/>
      <c r="R269" s="230"/>
      <c r="S269" s="206"/>
      <c r="T269" s="206"/>
      <c r="U269" s="206"/>
      <c r="V269" s="206"/>
      <c r="W269" s="206"/>
      <c r="X269" s="206"/>
      <c r="Y269" s="206"/>
      <c r="Z269" s="206"/>
      <c r="AA269" s="206"/>
      <c r="AB269" s="206"/>
      <c r="AC269" s="206"/>
      <c r="AD269" s="153"/>
      <c r="AE269" s="153"/>
      <c r="AF269" s="231"/>
      <c r="AG269" s="231"/>
      <c r="AH269" s="231"/>
    </row>
    <row r="270">
      <c r="A270" s="153"/>
      <c r="B270" s="206"/>
      <c r="C270" s="153"/>
      <c r="D270" s="153"/>
      <c r="E270" s="153"/>
      <c r="F270" s="206"/>
      <c r="G270" s="206"/>
      <c r="H270" s="206"/>
      <c r="I270" s="206"/>
      <c r="J270" s="206"/>
      <c r="K270" s="153"/>
      <c r="L270" s="153"/>
      <c r="M270" s="206"/>
      <c r="N270" s="153"/>
      <c r="O270" s="206"/>
      <c r="P270" s="206"/>
      <c r="Q270" s="206"/>
      <c r="R270" s="230"/>
      <c r="S270" s="206"/>
      <c r="T270" s="206"/>
      <c r="U270" s="206"/>
      <c r="V270" s="206"/>
      <c r="W270" s="206"/>
      <c r="X270" s="206"/>
      <c r="Y270" s="206"/>
      <c r="Z270" s="206"/>
      <c r="AA270" s="206"/>
      <c r="AB270" s="206"/>
      <c r="AC270" s="206"/>
      <c r="AD270" s="153"/>
      <c r="AE270" s="153"/>
      <c r="AF270" s="231"/>
      <c r="AG270" s="231"/>
      <c r="AH270" s="231"/>
    </row>
    <row r="271">
      <c r="A271" s="153"/>
      <c r="B271" s="206"/>
      <c r="C271" s="153"/>
      <c r="D271" s="153"/>
      <c r="E271" s="153"/>
      <c r="F271" s="206"/>
      <c r="G271" s="206"/>
      <c r="H271" s="206"/>
      <c r="I271" s="206"/>
      <c r="J271" s="206"/>
      <c r="K271" s="153"/>
      <c r="L271" s="153"/>
      <c r="M271" s="206"/>
      <c r="N271" s="153"/>
      <c r="O271" s="206"/>
      <c r="P271" s="206"/>
      <c r="Q271" s="206"/>
      <c r="R271" s="230"/>
      <c r="S271" s="206"/>
      <c r="T271" s="206"/>
      <c r="U271" s="206"/>
      <c r="V271" s="206"/>
      <c r="W271" s="206"/>
      <c r="X271" s="206"/>
      <c r="Y271" s="206"/>
      <c r="Z271" s="206"/>
      <c r="AA271" s="206"/>
      <c r="AB271" s="206"/>
      <c r="AC271" s="206"/>
      <c r="AD271" s="153"/>
      <c r="AE271" s="153"/>
      <c r="AF271" s="231"/>
      <c r="AG271" s="231"/>
      <c r="AH271" s="231"/>
    </row>
    <row r="272">
      <c r="A272" s="153"/>
      <c r="B272" s="206"/>
      <c r="C272" s="153"/>
      <c r="D272" s="153"/>
      <c r="E272" s="153"/>
      <c r="F272" s="206"/>
      <c r="G272" s="206"/>
      <c r="H272" s="206"/>
      <c r="I272" s="206"/>
      <c r="J272" s="206"/>
      <c r="K272" s="153"/>
      <c r="L272" s="153"/>
      <c r="M272" s="206"/>
      <c r="N272" s="153"/>
      <c r="O272" s="206"/>
      <c r="P272" s="206"/>
      <c r="Q272" s="206"/>
      <c r="R272" s="230"/>
      <c r="S272" s="206"/>
      <c r="T272" s="206"/>
      <c r="U272" s="206"/>
      <c r="V272" s="206"/>
      <c r="W272" s="206"/>
      <c r="X272" s="206"/>
      <c r="Y272" s="206"/>
      <c r="Z272" s="206"/>
      <c r="AA272" s="206"/>
      <c r="AB272" s="206"/>
      <c r="AC272" s="206"/>
      <c r="AD272" s="153"/>
      <c r="AE272" s="153"/>
      <c r="AF272" s="231"/>
      <c r="AG272" s="231"/>
      <c r="AH272" s="231"/>
    </row>
    <row r="273">
      <c r="A273" s="153"/>
      <c r="B273" s="206"/>
      <c r="C273" s="153"/>
      <c r="D273" s="153"/>
      <c r="E273" s="153"/>
      <c r="F273" s="206"/>
      <c r="G273" s="206"/>
      <c r="H273" s="206"/>
      <c r="I273" s="206"/>
      <c r="J273" s="206"/>
      <c r="K273" s="153"/>
      <c r="L273" s="153"/>
      <c r="M273" s="206"/>
      <c r="N273" s="153"/>
      <c r="O273" s="206"/>
      <c r="P273" s="206"/>
      <c r="Q273" s="206"/>
      <c r="R273" s="230"/>
      <c r="S273" s="206"/>
      <c r="T273" s="206"/>
      <c r="U273" s="206"/>
      <c r="V273" s="206"/>
      <c r="W273" s="206"/>
      <c r="X273" s="206"/>
      <c r="Y273" s="206"/>
      <c r="Z273" s="206"/>
      <c r="AA273" s="206"/>
      <c r="AB273" s="206"/>
      <c r="AC273" s="206"/>
      <c r="AD273" s="153"/>
      <c r="AE273" s="153"/>
      <c r="AF273" s="231"/>
      <c r="AG273" s="231"/>
      <c r="AH273" s="231"/>
    </row>
    <row r="274">
      <c r="A274" s="153"/>
      <c r="B274" s="206"/>
      <c r="C274" s="153"/>
      <c r="D274" s="153"/>
      <c r="E274" s="153"/>
      <c r="F274" s="206"/>
      <c r="G274" s="206"/>
      <c r="H274" s="206"/>
      <c r="I274" s="206"/>
      <c r="J274" s="206"/>
      <c r="K274" s="153"/>
      <c r="L274" s="153"/>
      <c r="M274" s="206"/>
      <c r="N274" s="153"/>
      <c r="O274" s="206"/>
      <c r="P274" s="206"/>
      <c r="Q274" s="206"/>
      <c r="R274" s="230"/>
      <c r="S274" s="206"/>
      <c r="T274" s="206"/>
      <c r="U274" s="206"/>
      <c r="V274" s="206"/>
      <c r="W274" s="206"/>
      <c r="X274" s="206"/>
      <c r="Y274" s="206"/>
      <c r="Z274" s="206"/>
      <c r="AA274" s="206"/>
      <c r="AB274" s="206"/>
      <c r="AC274" s="206"/>
      <c r="AD274" s="153"/>
      <c r="AE274" s="153"/>
      <c r="AF274" s="231"/>
      <c r="AG274" s="231"/>
      <c r="AH274" s="231"/>
    </row>
    <row r="275">
      <c r="A275" s="153"/>
      <c r="B275" s="206"/>
      <c r="C275" s="153"/>
      <c r="D275" s="153"/>
      <c r="E275" s="153"/>
      <c r="F275" s="206"/>
      <c r="G275" s="206"/>
      <c r="H275" s="206"/>
      <c r="I275" s="206"/>
      <c r="J275" s="206"/>
      <c r="K275" s="153"/>
      <c r="L275" s="153"/>
      <c r="M275" s="206"/>
      <c r="N275" s="153"/>
      <c r="O275" s="206"/>
      <c r="P275" s="206"/>
      <c r="Q275" s="206"/>
      <c r="R275" s="230"/>
      <c r="S275" s="206"/>
      <c r="T275" s="206"/>
      <c r="U275" s="206"/>
      <c r="V275" s="206"/>
      <c r="W275" s="206"/>
      <c r="X275" s="206"/>
      <c r="Y275" s="206"/>
      <c r="Z275" s="206"/>
      <c r="AA275" s="206"/>
      <c r="AB275" s="206"/>
      <c r="AC275" s="206"/>
      <c r="AD275" s="153"/>
      <c r="AE275" s="153"/>
      <c r="AF275" s="231"/>
      <c r="AG275" s="231"/>
      <c r="AH275" s="231"/>
    </row>
    <row r="276">
      <c r="A276" s="153"/>
      <c r="B276" s="206"/>
      <c r="C276" s="153"/>
      <c r="D276" s="153"/>
      <c r="E276" s="153"/>
      <c r="F276" s="206"/>
      <c r="G276" s="206"/>
      <c r="H276" s="206"/>
      <c r="I276" s="206"/>
      <c r="J276" s="206"/>
      <c r="K276" s="153"/>
      <c r="L276" s="153"/>
      <c r="M276" s="206"/>
      <c r="N276" s="153"/>
      <c r="O276" s="206"/>
      <c r="P276" s="206"/>
      <c r="Q276" s="206"/>
      <c r="R276" s="230"/>
      <c r="S276" s="206"/>
      <c r="T276" s="206"/>
      <c r="U276" s="206"/>
      <c r="V276" s="206"/>
      <c r="W276" s="206"/>
      <c r="X276" s="206"/>
      <c r="Y276" s="206"/>
      <c r="Z276" s="206"/>
      <c r="AA276" s="206"/>
      <c r="AB276" s="206"/>
      <c r="AC276" s="206"/>
      <c r="AD276" s="153"/>
      <c r="AE276" s="153"/>
      <c r="AF276" s="231"/>
      <c r="AG276" s="231"/>
      <c r="AH276" s="231"/>
    </row>
    <row r="277">
      <c r="A277" s="153"/>
      <c r="B277" s="206"/>
      <c r="C277" s="153"/>
      <c r="D277" s="153"/>
      <c r="E277" s="153"/>
      <c r="F277" s="206"/>
      <c r="G277" s="206"/>
      <c r="H277" s="206"/>
      <c r="I277" s="206"/>
      <c r="J277" s="206"/>
      <c r="K277" s="153"/>
      <c r="L277" s="153"/>
      <c r="M277" s="206"/>
      <c r="N277" s="153"/>
      <c r="O277" s="206"/>
      <c r="P277" s="206"/>
      <c r="Q277" s="206"/>
      <c r="R277" s="230"/>
      <c r="S277" s="206"/>
      <c r="T277" s="206"/>
      <c r="U277" s="206"/>
      <c r="V277" s="206"/>
      <c r="W277" s="206"/>
      <c r="X277" s="206"/>
      <c r="Y277" s="206"/>
      <c r="Z277" s="206"/>
      <c r="AA277" s="206"/>
      <c r="AB277" s="206"/>
      <c r="AC277" s="206"/>
      <c r="AD277" s="153"/>
      <c r="AE277" s="153"/>
      <c r="AF277" s="231"/>
      <c r="AG277" s="231"/>
      <c r="AH277" s="231"/>
    </row>
    <row r="278">
      <c r="A278" s="153"/>
      <c r="B278" s="206"/>
      <c r="C278" s="153"/>
      <c r="D278" s="153"/>
      <c r="E278" s="153"/>
      <c r="F278" s="206"/>
      <c r="G278" s="206"/>
      <c r="H278" s="206"/>
      <c r="I278" s="206"/>
      <c r="J278" s="206"/>
      <c r="K278" s="153"/>
      <c r="L278" s="153"/>
      <c r="M278" s="206"/>
      <c r="N278" s="153"/>
      <c r="O278" s="206"/>
      <c r="P278" s="206"/>
      <c r="Q278" s="206"/>
      <c r="R278" s="230"/>
      <c r="S278" s="206"/>
      <c r="T278" s="206"/>
      <c r="U278" s="206"/>
      <c r="V278" s="206"/>
      <c r="W278" s="206"/>
      <c r="X278" s="206"/>
      <c r="Y278" s="206"/>
      <c r="Z278" s="206"/>
      <c r="AA278" s="206"/>
      <c r="AB278" s="206"/>
      <c r="AC278" s="206"/>
      <c r="AD278" s="153"/>
      <c r="AE278" s="153"/>
      <c r="AF278" s="231"/>
      <c r="AG278" s="231"/>
      <c r="AH278" s="231"/>
    </row>
    <row r="279">
      <c r="A279" s="153"/>
      <c r="B279" s="206"/>
      <c r="C279" s="153"/>
      <c r="D279" s="153"/>
      <c r="E279" s="153"/>
      <c r="F279" s="206"/>
      <c r="G279" s="206"/>
      <c r="H279" s="206"/>
      <c r="I279" s="206"/>
      <c r="J279" s="206"/>
      <c r="K279" s="153"/>
      <c r="L279" s="153"/>
      <c r="M279" s="206"/>
      <c r="N279" s="153"/>
      <c r="O279" s="206"/>
      <c r="P279" s="206"/>
      <c r="Q279" s="206"/>
      <c r="R279" s="230"/>
      <c r="S279" s="206"/>
      <c r="T279" s="206"/>
      <c r="U279" s="206"/>
      <c r="V279" s="206"/>
      <c r="W279" s="206"/>
      <c r="X279" s="206"/>
      <c r="Y279" s="206"/>
      <c r="Z279" s="206"/>
      <c r="AA279" s="206"/>
      <c r="AB279" s="206"/>
      <c r="AC279" s="206"/>
      <c r="AD279" s="153"/>
      <c r="AE279" s="153"/>
      <c r="AF279" s="231"/>
      <c r="AG279" s="231"/>
      <c r="AH279" s="231"/>
    </row>
    <row r="280">
      <c r="A280" s="153"/>
      <c r="B280" s="206"/>
      <c r="C280" s="153"/>
      <c r="D280" s="153"/>
      <c r="E280" s="153"/>
      <c r="F280" s="206"/>
      <c r="G280" s="206"/>
      <c r="H280" s="206"/>
      <c r="I280" s="206"/>
      <c r="J280" s="206"/>
      <c r="K280" s="153"/>
      <c r="L280" s="153"/>
      <c r="M280" s="206"/>
      <c r="N280" s="153"/>
      <c r="O280" s="206"/>
      <c r="P280" s="206"/>
      <c r="Q280" s="206"/>
      <c r="R280" s="230"/>
      <c r="S280" s="206"/>
      <c r="T280" s="206"/>
      <c r="U280" s="206"/>
      <c r="V280" s="206"/>
      <c r="W280" s="206"/>
      <c r="X280" s="206"/>
      <c r="Y280" s="206"/>
      <c r="Z280" s="206"/>
      <c r="AA280" s="206"/>
      <c r="AB280" s="206"/>
      <c r="AC280" s="206"/>
      <c r="AD280" s="153"/>
      <c r="AE280" s="153"/>
      <c r="AF280" s="231"/>
      <c r="AG280" s="231"/>
      <c r="AH280" s="231"/>
    </row>
    <row r="281">
      <c r="A281" s="153"/>
      <c r="B281" s="206"/>
      <c r="C281" s="153"/>
      <c r="D281" s="153"/>
      <c r="E281" s="153"/>
      <c r="F281" s="206"/>
      <c r="G281" s="206"/>
      <c r="H281" s="206"/>
      <c r="I281" s="206"/>
      <c r="J281" s="206"/>
      <c r="K281" s="153"/>
      <c r="L281" s="153"/>
      <c r="M281" s="206"/>
      <c r="N281" s="153"/>
      <c r="O281" s="206"/>
      <c r="P281" s="206"/>
      <c r="Q281" s="206"/>
      <c r="R281" s="230"/>
      <c r="S281" s="206"/>
      <c r="T281" s="206"/>
      <c r="U281" s="206"/>
      <c r="V281" s="206"/>
      <c r="W281" s="206"/>
      <c r="X281" s="206"/>
      <c r="Y281" s="206"/>
      <c r="Z281" s="206"/>
      <c r="AA281" s="206"/>
      <c r="AB281" s="206"/>
      <c r="AC281" s="206"/>
      <c r="AD281" s="153"/>
      <c r="AE281" s="153"/>
      <c r="AF281" s="231"/>
      <c r="AG281" s="231"/>
      <c r="AH281" s="231"/>
    </row>
    <row r="282">
      <c r="A282" s="153"/>
      <c r="B282" s="206"/>
      <c r="C282" s="153"/>
      <c r="D282" s="153"/>
      <c r="E282" s="153"/>
      <c r="F282" s="206"/>
      <c r="G282" s="206"/>
      <c r="H282" s="206"/>
      <c r="I282" s="206"/>
      <c r="J282" s="206"/>
      <c r="K282" s="153"/>
      <c r="L282" s="153"/>
      <c r="M282" s="206"/>
      <c r="N282" s="153"/>
      <c r="O282" s="206"/>
      <c r="P282" s="206"/>
      <c r="Q282" s="206"/>
      <c r="R282" s="230"/>
      <c r="S282" s="206"/>
      <c r="T282" s="206"/>
      <c r="U282" s="206"/>
      <c r="V282" s="206"/>
      <c r="W282" s="206"/>
      <c r="X282" s="206"/>
      <c r="Y282" s="206"/>
      <c r="Z282" s="206"/>
      <c r="AA282" s="206"/>
      <c r="AB282" s="206"/>
      <c r="AC282" s="206"/>
      <c r="AD282" s="153"/>
      <c r="AE282" s="153"/>
      <c r="AF282" s="231"/>
      <c r="AG282" s="231"/>
      <c r="AH282" s="231"/>
    </row>
    <row r="283">
      <c r="A283" s="153"/>
      <c r="B283" s="206"/>
      <c r="C283" s="153"/>
      <c r="D283" s="153"/>
      <c r="E283" s="153"/>
      <c r="F283" s="206"/>
      <c r="G283" s="206"/>
      <c r="H283" s="206"/>
      <c r="I283" s="206"/>
      <c r="J283" s="206"/>
      <c r="K283" s="153"/>
      <c r="L283" s="153"/>
      <c r="M283" s="206"/>
      <c r="N283" s="153"/>
      <c r="O283" s="206"/>
      <c r="P283" s="206"/>
      <c r="Q283" s="206"/>
      <c r="R283" s="230"/>
      <c r="S283" s="206"/>
      <c r="T283" s="206"/>
      <c r="U283" s="206"/>
      <c r="V283" s="206"/>
      <c r="W283" s="206"/>
      <c r="X283" s="206"/>
      <c r="Y283" s="206"/>
      <c r="Z283" s="206"/>
      <c r="AA283" s="206"/>
      <c r="AB283" s="206"/>
      <c r="AC283" s="206"/>
      <c r="AD283" s="153"/>
      <c r="AE283" s="153"/>
      <c r="AF283" s="231"/>
      <c r="AG283" s="231"/>
      <c r="AH283" s="231"/>
    </row>
    <row r="284">
      <c r="A284" s="153"/>
      <c r="B284" s="206"/>
      <c r="C284" s="153"/>
      <c r="D284" s="153"/>
      <c r="E284" s="153"/>
      <c r="F284" s="206"/>
      <c r="G284" s="206"/>
      <c r="H284" s="206"/>
      <c r="I284" s="206"/>
      <c r="J284" s="206"/>
      <c r="K284" s="153"/>
      <c r="L284" s="153"/>
      <c r="M284" s="206"/>
      <c r="N284" s="153"/>
      <c r="O284" s="206"/>
      <c r="P284" s="206"/>
      <c r="Q284" s="206"/>
      <c r="R284" s="230"/>
      <c r="S284" s="206"/>
      <c r="T284" s="206"/>
      <c r="U284" s="206"/>
      <c r="V284" s="206"/>
      <c r="W284" s="206"/>
      <c r="X284" s="206"/>
      <c r="Y284" s="206"/>
      <c r="Z284" s="206"/>
      <c r="AA284" s="206"/>
      <c r="AB284" s="206"/>
      <c r="AC284" s="206"/>
      <c r="AD284" s="153"/>
      <c r="AE284" s="153"/>
      <c r="AF284" s="231"/>
      <c r="AG284" s="231"/>
      <c r="AH284" s="231"/>
    </row>
    <row r="285">
      <c r="A285" s="153"/>
      <c r="B285" s="206"/>
      <c r="C285" s="153"/>
      <c r="D285" s="153"/>
      <c r="E285" s="153"/>
      <c r="F285" s="206"/>
      <c r="G285" s="206"/>
      <c r="H285" s="206"/>
      <c r="I285" s="206"/>
      <c r="J285" s="206"/>
      <c r="K285" s="153"/>
      <c r="L285" s="153"/>
      <c r="M285" s="206"/>
      <c r="N285" s="153"/>
      <c r="O285" s="206"/>
      <c r="P285" s="206"/>
      <c r="Q285" s="206"/>
      <c r="R285" s="230"/>
      <c r="S285" s="206"/>
      <c r="T285" s="206"/>
      <c r="U285" s="206"/>
      <c r="V285" s="206"/>
      <c r="W285" s="206"/>
      <c r="X285" s="206"/>
      <c r="Y285" s="206"/>
      <c r="Z285" s="206"/>
      <c r="AA285" s="206"/>
      <c r="AB285" s="206"/>
      <c r="AC285" s="206"/>
      <c r="AD285" s="153"/>
      <c r="AE285" s="153"/>
      <c r="AF285" s="231"/>
      <c r="AG285" s="231"/>
      <c r="AH285" s="231"/>
    </row>
    <row r="286">
      <c r="A286" s="153"/>
      <c r="B286" s="206"/>
      <c r="C286" s="153"/>
      <c r="D286" s="153"/>
      <c r="E286" s="153"/>
      <c r="F286" s="206"/>
      <c r="G286" s="206"/>
      <c r="H286" s="206"/>
      <c r="I286" s="206"/>
      <c r="J286" s="206"/>
      <c r="K286" s="153"/>
      <c r="L286" s="153"/>
      <c r="M286" s="206"/>
      <c r="N286" s="153"/>
      <c r="O286" s="206"/>
      <c r="P286" s="206"/>
      <c r="Q286" s="206"/>
      <c r="R286" s="230"/>
      <c r="S286" s="206"/>
      <c r="T286" s="206"/>
      <c r="U286" s="206"/>
      <c r="V286" s="206"/>
      <c r="W286" s="206"/>
      <c r="X286" s="206"/>
      <c r="Y286" s="206"/>
      <c r="Z286" s="206"/>
      <c r="AA286" s="206"/>
      <c r="AB286" s="206"/>
      <c r="AC286" s="206"/>
      <c r="AD286" s="153"/>
      <c r="AE286" s="153"/>
      <c r="AF286" s="231"/>
      <c r="AG286" s="231"/>
      <c r="AH286" s="231"/>
    </row>
    <row r="287">
      <c r="A287" s="153"/>
      <c r="B287" s="206"/>
      <c r="C287" s="153"/>
      <c r="D287" s="153"/>
      <c r="E287" s="153"/>
      <c r="F287" s="206"/>
      <c r="G287" s="206"/>
      <c r="H287" s="206"/>
      <c r="I287" s="206"/>
      <c r="J287" s="206"/>
      <c r="K287" s="153"/>
      <c r="L287" s="153"/>
      <c r="M287" s="206"/>
      <c r="N287" s="153"/>
      <c r="O287" s="206"/>
      <c r="P287" s="206"/>
      <c r="Q287" s="206"/>
      <c r="R287" s="230"/>
      <c r="S287" s="206"/>
      <c r="T287" s="206"/>
      <c r="U287" s="206"/>
      <c r="V287" s="206"/>
      <c r="W287" s="206"/>
      <c r="X287" s="206"/>
      <c r="Y287" s="206"/>
      <c r="Z287" s="206"/>
      <c r="AA287" s="206"/>
      <c r="AB287" s="206"/>
      <c r="AC287" s="206"/>
      <c r="AD287" s="153"/>
      <c r="AE287" s="153"/>
      <c r="AF287" s="231"/>
      <c r="AG287" s="231"/>
      <c r="AH287" s="231"/>
    </row>
    <row r="288">
      <c r="A288" s="153"/>
      <c r="B288" s="206"/>
      <c r="C288" s="153"/>
      <c r="D288" s="153"/>
      <c r="E288" s="153"/>
      <c r="F288" s="206"/>
      <c r="G288" s="206"/>
      <c r="H288" s="206"/>
      <c r="I288" s="206"/>
      <c r="J288" s="206"/>
      <c r="K288" s="153"/>
      <c r="L288" s="153"/>
      <c r="M288" s="206"/>
      <c r="N288" s="153"/>
      <c r="O288" s="206"/>
      <c r="P288" s="206"/>
      <c r="Q288" s="206"/>
      <c r="R288" s="230"/>
      <c r="S288" s="206"/>
      <c r="T288" s="206"/>
      <c r="U288" s="206"/>
      <c r="V288" s="206"/>
      <c r="W288" s="206"/>
      <c r="X288" s="206"/>
      <c r="Y288" s="206"/>
      <c r="Z288" s="206"/>
      <c r="AA288" s="206"/>
      <c r="AB288" s="206"/>
      <c r="AC288" s="206"/>
      <c r="AD288" s="153"/>
      <c r="AE288" s="153"/>
      <c r="AF288" s="231"/>
      <c r="AG288" s="231"/>
      <c r="AH288" s="231"/>
    </row>
    <row r="289">
      <c r="A289" s="153"/>
      <c r="B289" s="206"/>
      <c r="C289" s="153"/>
      <c r="D289" s="153"/>
      <c r="E289" s="153"/>
      <c r="F289" s="206"/>
      <c r="G289" s="206"/>
      <c r="H289" s="206"/>
      <c r="I289" s="206"/>
      <c r="J289" s="206"/>
      <c r="K289" s="153"/>
      <c r="L289" s="153"/>
      <c r="M289" s="206"/>
      <c r="N289" s="153"/>
      <c r="O289" s="206"/>
      <c r="P289" s="206"/>
      <c r="Q289" s="206"/>
      <c r="R289" s="230"/>
      <c r="S289" s="206"/>
      <c r="T289" s="206"/>
      <c r="U289" s="206"/>
      <c r="V289" s="206"/>
      <c r="W289" s="206"/>
      <c r="X289" s="206"/>
      <c r="Y289" s="206"/>
      <c r="Z289" s="206"/>
      <c r="AA289" s="206"/>
      <c r="AB289" s="206"/>
      <c r="AC289" s="206"/>
      <c r="AD289" s="153"/>
      <c r="AE289" s="153"/>
      <c r="AF289" s="231"/>
      <c r="AG289" s="231"/>
      <c r="AH289" s="231"/>
    </row>
    <row r="290">
      <c r="A290" s="153"/>
      <c r="B290" s="206"/>
      <c r="C290" s="153"/>
      <c r="D290" s="153"/>
      <c r="E290" s="153"/>
      <c r="F290" s="206"/>
      <c r="G290" s="206"/>
      <c r="H290" s="206"/>
      <c r="I290" s="206"/>
      <c r="J290" s="206"/>
      <c r="K290" s="153"/>
      <c r="L290" s="153"/>
      <c r="M290" s="206"/>
      <c r="N290" s="153"/>
      <c r="O290" s="206"/>
      <c r="P290" s="206"/>
      <c r="Q290" s="206"/>
      <c r="R290" s="230"/>
      <c r="S290" s="206"/>
      <c r="T290" s="206"/>
      <c r="U290" s="206"/>
      <c r="V290" s="206"/>
      <c r="W290" s="206"/>
      <c r="X290" s="206"/>
      <c r="Y290" s="206"/>
      <c r="Z290" s="206"/>
      <c r="AA290" s="206"/>
      <c r="AB290" s="206"/>
      <c r="AC290" s="206"/>
      <c r="AD290" s="153"/>
      <c r="AE290" s="153"/>
      <c r="AF290" s="231"/>
      <c r="AG290" s="231"/>
      <c r="AH290" s="231"/>
    </row>
    <row r="291">
      <c r="A291" s="153"/>
      <c r="B291" s="206"/>
      <c r="C291" s="153"/>
      <c r="D291" s="153"/>
      <c r="E291" s="153"/>
      <c r="F291" s="206"/>
      <c r="G291" s="206"/>
      <c r="H291" s="206"/>
      <c r="I291" s="206"/>
      <c r="J291" s="206"/>
      <c r="K291" s="153"/>
      <c r="L291" s="153"/>
      <c r="M291" s="206"/>
      <c r="N291" s="153"/>
      <c r="O291" s="206"/>
      <c r="P291" s="206"/>
      <c r="Q291" s="206"/>
      <c r="R291" s="230"/>
      <c r="S291" s="206"/>
      <c r="T291" s="206"/>
      <c r="U291" s="206"/>
      <c r="V291" s="206"/>
      <c r="W291" s="206"/>
      <c r="X291" s="206"/>
      <c r="Y291" s="206"/>
      <c r="Z291" s="206"/>
      <c r="AA291" s="206"/>
      <c r="AB291" s="206"/>
      <c r="AC291" s="206"/>
      <c r="AD291" s="153"/>
      <c r="AE291" s="153"/>
      <c r="AF291" s="231"/>
      <c r="AG291" s="231"/>
      <c r="AH291" s="231"/>
    </row>
    <row r="292">
      <c r="A292" s="153"/>
      <c r="B292" s="206"/>
      <c r="C292" s="153"/>
      <c r="D292" s="153"/>
      <c r="E292" s="153"/>
      <c r="F292" s="206"/>
      <c r="G292" s="206"/>
      <c r="H292" s="206"/>
      <c r="I292" s="206"/>
      <c r="J292" s="206"/>
      <c r="K292" s="153"/>
      <c r="L292" s="153"/>
      <c r="M292" s="206"/>
      <c r="N292" s="153"/>
      <c r="O292" s="206"/>
      <c r="P292" s="206"/>
      <c r="Q292" s="206"/>
      <c r="R292" s="230"/>
      <c r="S292" s="206"/>
      <c r="T292" s="206"/>
      <c r="U292" s="206"/>
      <c r="V292" s="206"/>
      <c r="W292" s="206"/>
      <c r="X292" s="206"/>
      <c r="Y292" s="206"/>
      <c r="Z292" s="206"/>
      <c r="AA292" s="206"/>
      <c r="AB292" s="206"/>
      <c r="AC292" s="206"/>
      <c r="AD292" s="153"/>
      <c r="AE292" s="153"/>
      <c r="AF292" s="231"/>
      <c r="AG292" s="231"/>
      <c r="AH292" s="231"/>
    </row>
    <row r="293">
      <c r="A293" s="153"/>
      <c r="B293" s="206"/>
      <c r="C293" s="153"/>
      <c r="D293" s="153"/>
      <c r="E293" s="153"/>
      <c r="F293" s="206"/>
      <c r="G293" s="206"/>
      <c r="H293" s="206"/>
      <c r="I293" s="206"/>
      <c r="J293" s="206"/>
      <c r="K293" s="153"/>
      <c r="L293" s="153"/>
      <c r="M293" s="206"/>
      <c r="N293" s="153"/>
      <c r="O293" s="206"/>
      <c r="P293" s="206"/>
      <c r="Q293" s="206"/>
      <c r="R293" s="230"/>
      <c r="S293" s="206"/>
      <c r="T293" s="206"/>
      <c r="U293" s="206"/>
      <c r="V293" s="206"/>
      <c r="W293" s="206"/>
      <c r="X293" s="206"/>
      <c r="Y293" s="206"/>
      <c r="Z293" s="206"/>
      <c r="AA293" s="206"/>
      <c r="AB293" s="206"/>
      <c r="AC293" s="206"/>
      <c r="AD293" s="153"/>
      <c r="AE293" s="153"/>
      <c r="AF293" s="231"/>
      <c r="AG293" s="231"/>
      <c r="AH293" s="231"/>
    </row>
    <row r="294">
      <c r="A294" s="153"/>
      <c r="B294" s="206"/>
      <c r="C294" s="153"/>
      <c r="D294" s="153"/>
      <c r="E294" s="153"/>
      <c r="F294" s="206"/>
      <c r="G294" s="206"/>
      <c r="H294" s="206"/>
      <c r="I294" s="206"/>
      <c r="J294" s="206"/>
      <c r="K294" s="153"/>
      <c r="L294" s="153"/>
      <c r="M294" s="206"/>
      <c r="N294" s="153"/>
      <c r="O294" s="206"/>
      <c r="P294" s="206"/>
      <c r="Q294" s="206"/>
      <c r="R294" s="230"/>
      <c r="S294" s="206"/>
      <c r="T294" s="206"/>
      <c r="U294" s="206"/>
      <c r="V294" s="206"/>
      <c r="W294" s="206"/>
      <c r="X294" s="206"/>
      <c r="Y294" s="206"/>
      <c r="Z294" s="206"/>
      <c r="AA294" s="206"/>
      <c r="AB294" s="206"/>
      <c r="AC294" s="206"/>
      <c r="AD294" s="153"/>
      <c r="AE294" s="153"/>
      <c r="AF294" s="231"/>
      <c r="AG294" s="231"/>
      <c r="AH294" s="231"/>
    </row>
    <row r="295">
      <c r="A295" s="153"/>
      <c r="B295" s="206"/>
      <c r="C295" s="153"/>
      <c r="D295" s="153"/>
      <c r="E295" s="153"/>
      <c r="F295" s="206"/>
      <c r="G295" s="206"/>
      <c r="H295" s="206"/>
      <c r="I295" s="206"/>
      <c r="J295" s="206"/>
      <c r="K295" s="153"/>
      <c r="L295" s="153"/>
      <c r="M295" s="206"/>
      <c r="N295" s="153"/>
      <c r="O295" s="206"/>
      <c r="P295" s="206"/>
      <c r="Q295" s="206"/>
      <c r="R295" s="230"/>
      <c r="S295" s="206"/>
      <c r="T295" s="206"/>
      <c r="U295" s="206"/>
      <c r="V295" s="206"/>
      <c r="W295" s="206"/>
      <c r="X295" s="206"/>
      <c r="Y295" s="206"/>
      <c r="Z295" s="206"/>
      <c r="AA295" s="206"/>
      <c r="AB295" s="206"/>
      <c r="AC295" s="206"/>
      <c r="AD295" s="153"/>
      <c r="AE295" s="153"/>
      <c r="AF295" s="231"/>
      <c r="AG295" s="231"/>
      <c r="AH295" s="231"/>
    </row>
    <row r="296">
      <c r="A296" s="153"/>
      <c r="B296" s="206"/>
      <c r="C296" s="153"/>
      <c r="D296" s="153"/>
      <c r="E296" s="153"/>
      <c r="F296" s="206"/>
      <c r="G296" s="206"/>
      <c r="H296" s="206"/>
      <c r="I296" s="206"/>
      <c r="J296" s="206"/>
      <c r="K296" s="153"/>
      <c r="L296" s="153"/>
      <c r="M296" s="206"/>
      <c r="N296" s="153"/>
      <c r="O296" s="206"/>
      <c r="P296" s="206"/>
      <c r="Q296" s="206"/>
      <c r="R296" s="230"/>
      <c r="S296" s="206"/>
      <c r="T296" s="206"/>
      <c r="U296" s="206"/>
      <c r="V296" s="206"/>
      <c r="W296" s="206"/>
      <c r="X296" s="206"/>
      <c r="Y296" s="206"/>
      <c r="Z296" s="206"/>
      <c r="AA296" s="206"/>
      <c r="AB296" s="206"/>
      <c r="AC296" s="206"/>
      <c r="AD296" s="153"/>
      <c r="AE296" s="153"/>
      <c r="AF296" s="231"/>
      <c r="AG296" s="231"/>
      <c r="AH296" s="231"/>
    </row>
    <row r="297">
      <c r="A297" s="153"/>
      <c r="B297" s="206"/>
      <c r="C297" s="153"/>
      <c r="D297" s="153"/>
      <c r="E297" s="153"/>
      <c r="F297" s="206"/>
      <c r="G297" s="206"/>
      <c r="H297" s="206"/>
      <c r="I297" s="206"/>
      <c r="J297" s="206"/>
      <c r="K297" s="153"/>
      <c r="L297" s="153"/>
      <c r="M297" s="206"/>
      <c r="N297" s="153"/>
      <c r="O297" s="206"/>
      <c r="P297" s="206"/>
      <c r="Q297" s="206"/>
      <c r="R297" s="230"/>
      <c r="S297" s="206"/>
      <c r="T297" s="206"/>
      <c r="U297" s="206"/>
      <c r="V297" s="206"/>
      <c r="W297" s="206"/>
      <c r="X297" s="206"/>
      <c r="Y297" s="206"/>
      <c r="Z297" s="206"/>
      <c r="AA297" s="206"/>
      <c r="AB297" s="206"/>
      <c r="AC297" s="206"/>
      <c r="AD297" s="153"/>
      <c r="AE297" s="153"/>
      <c r="AF297" s="231"/>
      <c r="AG297" s="231"/>
      <c r="AH297" s="231"/>
    </row>
    <row r="298">
      <c r="A298" s="153"/>
      <c r="B298" s="206"/>
      <c r="C298" s="153"/>
      <c r="D298" s="153"/>
      <c r="E298" s="153"/>
      <c r="F298" s="206"/>
      <c r="G298" s="206"/>
      <c r="H298" s="206"/>
      <c r="I298" s="206"/>
      <c r="J298" s="206"/>
      <c r="K298" s="153"/>
      <c r="L298" s="153"/>
      <c r="M298" s="206"/>
      <c r="N298" s="153"/>
      <c r="O298" s="206"/>
      <c r="P298" s="206"/>
      <c r="Q298" s="206"/>
      <c r="R298" s="230"/>
      <c r="S298" s="206"/>
      <c r="T298" s="206"/>
      <c r="U298" s="206"/>
      <c r="V298" s="206"/>
      <c r="W298" s="206"/>
      <c r="X298" s="206"/>
      <c r="Y298" s="206"/>
      <c r="Z298" s="206"/>
      <c r="AA298" s="206"/>
      <c r="AB298" s="206"/>
      <c r="AC298" s="206"/>
      <c r="AD298" s="153"/>
      <c r="AE298" s="153"/>
      <c r="AF298" s="231"/>
      <c r="AG298" s="231"/>
      <c r="AH298" s="231"/>
    </row>
    <row r="299">
      <c r="A299" s="153"/>
      <c r="B299" s="206"/>
      <c r="C299" s="153"/>
      <c r="D299" s="153"/>
      <c r="E299" s="153"/>
      <c r="F299" s="206"/>
      <c r="G299" s="206"/>
      <c r="H299" s="206"/>
      <c r="I299" s="206"/>
      <c r="J299" s="206"/>
      <c r="K299" s="153"/>
      <c r="L299" s="153"/>
      <c r="M299" s="206"/>
      <c r="N299" s="153"/>
      <c r="O299" s="206"/>
      <c r="P299" s="206"/>
      <c r="Q299" s="206"/>
      <c r="R299" s="230"/>
      <c r="S299" s="206"/>
      <c r="T299" s="206"/>
      <c r="U299" s="206"/>
      <c r="V299" s="206"/>
      <c r="W299" s="206"/>
      <c r="X299" s="206"/>
      <c r="Y299" s="206"/>
      <c r="Z299" s="206"/>
      <c r="AA299" s="206"/>
      <c r="AB299" s="206"/>
      <c r="AC299" s="206"/>
      <c r="AD299" s="153"/>
      <c r="AE299" s="153"/>
      <c r="AF299" s="231"/>
      <c r="AG299" s="231"/>
      <c r="AH299" s="231"/>
    </row>
    <row r="300">
      <c r="A300" s="153"/>
      <c r="B300" s="206"/>
      <c r="C300" s="153"/>
      <c r="D300" s="153"/>
      <c r="E300" s="153"/>
      <c r="F300" s="206"/>
      <c r="G300" s="206"/>
      <c r="H300" s="206"/>
      <c r="I300" s="206"/>
      <c r="J300" s="206"/>
      <c r="K300" s="153"/>
      <c r="L300" s="153"/>
      <c r="M300" s="206"/>
      <c r="N300" s="153"/>
      <c r="O300" s="206"/>
      <c r="P300" s="206"/>
      <c r="Q300" s="206"/>
      <c r="R300" s="230"/>
      <c r="S300" s="206"/>
      <c r="T300" s="206"/>
      <c r="U300" s="206"/>
      <c r="V300" s="206"/>
      <c r="W300" s="206"/>
      <c r="X300" s="206"/>
      <c r="Y300" s="206"/>
      <c r="Z300" s="206"/>
      <c r="AA300" s="206"/>
      <c r="AB300" s="206"/>
      <c r="AC300" s="206"/>
      <c r="AD300" s="153"/>
      <c r="AE300" s="153"/>
      <c r="AF300" s="231"/>
      <c r="AG300" s="231"/>
      <c r="AH300" s="231"/>
    </row>
    <row r="301">
      <c r="A301" s="153"/>
      <c r="B301" s="206"/>
      <c r="C301" s="153"/>
      <c r="D301" s="153"/>
      <c r="E301" s="153"/>
      <c r="F301" s="206"/>
      <c r="G301" s="206"/>
      <c r="H301" s="206"/>
      <c r="I301" s="206"/>
      <c r="J301" s="206"/>
      <c r="K301" s="153"/>
      <c r="L301" s="153"/>
      <c r="M301" s="206"/>
      <c r="N301" s="153"/>
      <c r="O301" s="206"/>
      <c r="P301" s="206"/>
      <c r="Q301" s="206"/>
      <c r="R301" s="230"/>
      <c r="S301" s="206"/>
      <c r="T301" s="206"/>
      <c r="U301" s="206"/>
      <c r="V301" s="206"/>
      <c r="W301" s="206"/>
      <c r="X301" s="206"/>
      <c r="Y301" s="206"/>
      <c r="Z301" s="206"/>
      <c r="AA301" s="206"/>
      <c r="AB301" s="206"/>
      <c r="AC301" s="206"/>
      <c r="AD301" s="153"/>
      <c r="AE301" s="153"/>
      <c r="AF301" s="231"/>
      <c r="AG301" s="231"/>
      <c r="AH301" s="231"/>
    </row>
    <row r="302">
      <c r="A302" s="153"/>
      <c r="B302" s="206"/>
      <c r="C302" s="153"/>
      <c r="D302" s="153"/>
      <c r="E302" s="153"/>
      <c r="F302" s="206"/>
      <c r="G302" s="206"/>
      <c r="H302" s="206"/>
      <c r="I302" s="206"/>
      <c r="J302" s="206"/>
      <c r="K302" s="153"/>
      <c r="L302" s="153"/>
      <c r="M302" s="206"/>
      <c r="N302" s="153"/>
      <c r="O302" s="206"/>
      <c r="P302" s="206"/>
      <c r="Q302" s="206"/>
      <c r="R302" s="230"/>
      <c r="S302" s="206"/>
      <c r="T302" s="206"/>
      <c r="U302" s="206"/>
      <c r="V302" s="206"/>
      <c r="W302" s="206"/>
      <c r="X302" s="206"/>
      <c r="Y302" s="206"/>
      <c r="Z302" s="206"/>
      <c r="AA302" s="206"/>
      <c r="AB302" s="206"/>
      <c r="AC302" s="206"/>
      <c r="AD302" s="153"/>
      <c r="AE302" s="153"/>
      <c r="AF302" s="231"/>
      <c r="AG302" s="231"/>
      <c r="AH302" s="231"/>
    </row>
    <row r="303">
      <c r="A303" s="153"/>
      <c r="B303" s="206"/>
      <c r="C303" s="153"/>
      <c r="D303" s="153"/>
      <c r="E303" s="153"/>
      <c r="F303" s="206"/>
      <c r="G303" s="206"/>
      <c r="H303" s="206"/>
      <c r="I303" s="206"/>
      <c r="J303" s="206"/>
      <c r="K303" s="153"/>
      <c r="L303" s="153"/>
      <c r="M303" s="206"/>
      <c r="N303" s="153"/>
      <c r="O303" s="206"/>
      <c r="P303" s="206"/>
      <c r="Q303" s="206"/>
      <c r="R303" s="230"/>
      <c r="S303" s="206"/>
      <c r="T303" s="206"/>
      <c r="U303" s="206"/>
      <c r="V303" s="206"/>
      <c r="W303" s="206"/>
      <c r="X303" s="206"/>
      <c r="Y303" s="206"/>
      <c r="Z303" s="206"/>
      <c r="AA303" s="206"/>
      <c r="AB303" s="206"/>
      <c r="AC303" s="206"/>
      <c r="AD303" s="153"/>
      <c r="AE303" s="153"/>
      <c r="AF303" s="231"/>
      <c r="AG303" s="231"/>
      <c r="AH303" s="231"/>
    </row>
    <row r="304">
      <c r="A304" s="153"/>
      <c r="B304" s="206"/>
      <c r="C304" s="153"/>
      <c r="D304" s="153"/>
      <c r="E304" s="153"/>
      <c r="F304" s="206"/>
      <c r="G304" s="206"/>
      <c r="H304" s="206"/>
      <c r="I304" s="206"/>
      <c r="J304" s="206"/>
      <c r="K304" s="153"/>
      <c r="L304" s="153"/>
      <c r="M304" s="206"/>
      <c r="N304" s="153"/>
      <c r="O304" s="206"/>
      <c r="P304" s="206"/>
      <c r="Q304" s="206"/>
      <c r="R304" s="230"/>
      <c r="S304" s="206"/>
      <c r="T304" s="206"/>
      <c r="U304" s="206"/>
      <c r="V304" s="206"/>
      <c r="W304" s="206"/>
      <c r="X304" s="206"/>
      <c r="Y304" s="206"/>
      <c r="Z304" s="206"/>
      <c r="AA304" s="206"/>
      <c r="AB304" s="206"/>
      <c r="AC304" s="206"/>
      <c r="AD304" s="153"/>
      <c r="AE304" s="153"/>
      <c r="AF304" s="231"/>
      <c r="AG304" s="231"/>
      <c r="AH304" s="231"/>
    </row>
    <row r="305">
      <c r="A305" s="153"/>
      <c r="B305" s="206"/>
      <c r="C305" s="153"/>
      <c r="D305" s="153"/>
      <c r="E305" s="153"/>
      <c r="F305" s="206"/>
      <c r="G305" s="206"/>
      <c r="H305" s="206"/>
      <c r="I305" s="206"/>
      <c r="J305" s="206"/>
      <c r="K305" s="153"/>
      <c r="L305" s="153"/>
      <c r="M305" s="206"/>
      <c r="N305" s="153"/>
      <c r="O305" s="206"/>
      <c r="P305" s="206"/>
      <c r="Q305" s="206"/>
      <c r="R305" s="230"/>
      <c r="S305" s="206"/>
      <c r="T305" s="206"/>
      <c r="U305" s="206"/>
      <c r="V305" s="206"/>
      <c r="W305" s="206"/>
      <c r="X305" s="206"/>
      <c r="Y305" s="206"/>
      <c r="Z305" s="206"/>
      <c r="AA305" s="206"/>
      <c r="AB305" s="206"/>
      <c r="AC305" s="206"/>
      <c r="AD305" s="153"/>
      <c r="AE305" s="153"/>
      <c r="AF305" s="231"/>
      <c r="AG305" s="231"/>
      <c r="AH305" s="231"/>
    </row>
    <row r="306">
      <c r="A306" s="153"/>
      <c r="B306" s="206"/>
      <c r="C306" s="153"/>
      <c r="D306" s="153"/>
      <c r="E306" s="153"/>
      <c r="F306" s="206"/>
      <c r="G306" s="206"/>
      <c r="H306" s="206"/>
      <c r="I306" s="206"/>
      <c r="J306" s="206"/>
      <c r="K306" s="153"/>
      <c r="L306" s="153"/>
      <c r="M306" s="206"/>
      <c r="N306" s="153"/>
      <c r="O306" s="206"/>
      <c r="P306" s="206"/>
      <c r="Q306" s="206"/>
      <c r="R306" s="230"/>
      <c r="S306" s="206"/>
      <c r="T306" s="206"/>
      <c r="U306" s="206"/>
      <c r="V306" s="206"/>
      <c r="W306" s="206"/>
      <c r="X306" s="206"/>
      <c r="Y306" s="206"/>
      <c r="Z306" s="206"/>
      <c r="AA306" s="206"/>
      <c r="AB306" s="206"/>
      <c r="AC306" s="206"/>
      <c r="AD306" s="153"/>
      <c r="AE306" s="153"/>
      <c r="AF306" s="231"/>
      <c r="AG306" s="231"/>
      <c r="AH306" s="231"/>
    </row>
    <row r="307">
      <c r="A307" s="153"/>
      <c r="B307" s="206"/>
      <c r="C307" s="153"/>
      <c r="D307" s="153"/>
      <c r="E307" s="153"/>
      <c r="F307" s="206"/>
      <c r="G307" s="206"/>
      <c r="H307" s="206"/>
      <c r="I307" s="206"/>
      <c r="J307" s="206"/>
      <c r="K307" s="153"/>
      <c r="L307" s="153"/>
      <c r="M307" s="206"/>
      <c r="N307" s="153"/>
      <c r="O307" s="206"/>
      <c r="P307" s="206"/>
      <c r="Q307" s="206"/>
      <c r="R307" s="230"/>
      <c r="S307" s="206"/>
      <c r="T307" s="206"/>
      <c r="U307" s="206"/>
      <c r="V307" s="206"/>
      <c r="W307" s="206"/>
      <c r="X307" s="206"/>
      <c r="Y307" s="206"/>
      <c r="Z307" s="206"/>
      <c r="AA307" s="206"/>
      <c r="AB307" s="206"/>
      <c r="AC307" s="206"/>
      <c r="AD307" s="153"/>
      <c r="AE307" s="153"/>
      <c r="AF307" s="231"/>
      <c r="AG307" s="231"/>
      <c r="AH307" s="231"/>
    </row>
    <row r="308">
      <c r="A308" s="153"/>
      <c r="B308" s="206"/>
      <c r="C308" s="153"/>
      <c r="D308" s="153"/>
      <c r="E308" s="153"/>
      <c r="F308" s="206"/>
      <c r="G308" s="206"/>
      <c r="H308" s="206"/>
      <c r="I308" s="206"/>
      <c r="J308" s="206"/>
      <c r="K308" s="153"/>
      <c r="L308" s="153"/>
      <c r="M308" s="206"/>
      <c r="N308" s="153"/>
      <c r="O308" s="206"/>
      <c r="P308" s="206"/>
      <c r="Q308" s="206"/>
      <c r="R308" s="230"/>
      <c r="S308" s="206"/>
      <c r="T308" s="206"/>
      <c r="U308" s="206"/>
      <c r="V308" s="206"/>
      <c r="W308" s="206"/>
      <c r="X308" s="206"/>
      <c r="Y308" s="206"/>
      <c r="Z308" s="206"/>
      <c r="AA308" s="206"/>
      <c r="AB308" s="206"/>
      <c r="AC308" s="206"/>
      <c r="AD308" s="153"/>
      <c r="AE308" s="153"/>
      <c r="AF308" s="231"/>
      <c r="AG308" s="231"/>
      <c r="AH308" s="231"/>
    </row>
  </sheetData>
  <autoFilter ref="$A$5:$AE$160"/>
  <conditionalFormatting sqref="R6:S160">
    <cfRule type="cellIs" dxfId="7" priority="1" operator="lessThanOrEqual">
      <formula>"10%"</formula>
    </cfRule>
  </conditionalFormatting>
  <conditionalFormatting sqref="R6:S160">
    <cfRule type="cellIs" dxfId="8" priority="2" operator="greaterThan">
      <formula>"10%"</formula>
    </cfRule>
  </conditionalFormatting>
  <conditionalFormatting sqref="C6:C160">
    <cfRule type="cellIs" dxfId="9" priority="3" operator="equal">
      <formula>"Básico (Até 79h)"</formula>
    </cfRule>
  </conditionalFormatting>
  <conditionalFormatting sqref="C6:C160">
    <cfRule type="cellIs" dxfId="10" priority="4" operator="equal">
      <formula>"Atualização (80h-179h)"</formula>
    </cfRule>
  </conditionalFormatting>
  <conditionalFormatting sqref="C6:C160">
    <cfRule type="cellIs" dxfId="11" priority="5" operator="equal">
      <formula>"Aperfeiçoamento (180h-359h)"</formula>
    </cfRule>
  </conditionalFormatting>
  <conditionalFormatting sqref="C6:C160">
    <cfRule type="cellIs" dxfId="12" priority="6" operator="equal">
      <formula>"Digite a CH"</formula>
    </cfRule>
  </conditionalFormatting>
  <dataValidations>
    <dataValidation type="list" allowBlank="1" sqref="B6:B8">
      <formula1>Dados!$E$2:$E$201</formula1>
    </dataValidation>
    <dataValidation type="list" allowBlank="1" sqref="B30:B35">
      <formula1>Dados!$D$2:$D$201</formula1>
    </dataValidation>
    <dataValidation type="list" allowBlank="1" showErrorMessage="1" sqref="H6:H160">
      <formula1>Dados!$AI$2:$AI$4</formula1>
    </dataValidation>
    <dataValidation type="list" allowBlank="1" sqref="B103">
      <formula1>Dados!$K$2:$K$201</formula1>
    </dataValidation>
    <dataValidation type="list" allowBlank="1" sqref="B109:B117">
      <formula1>Dados!$Q$2:$Q$201</formula1>
    </dataValidation>
    <dataValidation type="list" allowBlank="1" sqref="B118:B120">
      <formula1>Dados!$R$2:$R$201</formula1>
    </dataValidation>
    <dataValidation type="list" allowBlank="1" sqref="B121:B127">
      <formula1>Dados!$S$2:$S$201</formula1>
    </dataValidation>
    <dataValidation type="list" allowBlank="1" sqref="B21:B22">
      <formula1>Dados!$C$2:$C$201</formula1>
    </dataValidation>
    <dataValidation type="list" allowBlank="1" showErrorMessage="1" sqref="Z6:Z160">
      <formula1>"Sim,Não"</formula1>
    </dataValidation>
    <dataValidation type="list" allowBlank="1" sqref="B108">
      <formula1>Dados!$J$2:$J$201</formula1>
    </dataValidation>
    <dataValidation type="list" allowBlank="1" sqref="B11:B20">
      <formula1>Dados!$B$2:$B$201</formula1>
    </dataValidation>
    <dataValidation type="list" allowBlank="1" showErrorMessage="1" sqref="A6:A160">
      <formula1>Dados!$A$1:$V$1</formula1>
    </dataValidation>
    <dataValidation type="list" allowBlank="1" sqref="B97:B102">
      <formula1>Dados!$T$2:$T$201</formula1>
    </dataValidation>
    <dataValidation type="list" allowBlank="1" sqref="B23:B29">
      <formula1>Dados!$A$2:$A$201</formula1>
    </dataValidation>
    <dataValidation type="list" allowBlank="1" sqref="B73:B96">
      <formula1>Dados!$I$2:$I$201</formula1>
    </dataValidation>
    <dataValidation type="list" allowBlank="1" sqref="B69:B72">
      <formula1>Dados!$H$2:$H$201</formula1>
    </dataValidation>
    <dataValidation type="list" allowBlank="1" sqref="B36:B37">
      <formula1>Dados!$G$2:$G$201</formula1>
    </dataValidation>
    <dataValidation type="list" allowBlank="1" sqref="B38:B68">
      <formula1>Dados!$O$2:$O$201</formula1>
    </dataValidation>
    <dataValidation type="list" allowBlank="1" sqref="B107">
      <formula1>Dados!$N$2:$N$201</formula1>
    </dataValidation>
    <dataValidation type="list" allowBlank="1" sqref="B104">
      <formula1>Dados!$L$2:$L$201</formula1>
    </dataValidation>
    <dataValidation type="decimal" allowBlank="1" showDropDown="1" showInputMessage="1" prompt="Insira apenas números" sqref="K122:N127 D6:D160">
      <formula1>0.0</formula1>
      <formula2>1000.0</formula2>
    </dataValidation>
    <dataValidation type="list" allowBlank="1" sqref="B9:B10">
      <formula1>Dados!$F$2:$F$201</formula1>
    </dataValidation>
    <dataValidation type="list" allowBlank="1" sqref="B105:B106">
      <formula1>Dados!$M$2:$M$201</formula1>
    </dataValidation>
    <dataValidation type="list" allowBlank="1" showErrorMessage="1" sqref="Q6:Q160">
      <formula1>Dados!$AE$2:$AE$5</formula1>
    </dataValidation>
  </dataValidations>
  <hyperlinks>
    <hyperlink r:id="rId2" ref="F3"/>
    <hyperlink r:id="rId3" ref="M6"/>
    <hyperlink r:id="rId4" ref="AE6"/>
    <hyperlink r:id="rId5" ref="AE8"/>
    <hyperlink r:id="rId6" ref="M9"/>
    <hyperlink r:id="rId7" ref="AE9"/>
    <hyperlink r:id="rId8" ref="M10"/>
    <hyperlink r:id="rId9" ref="AE10"/>
    <hyperlink r:id="rId10" ref="AE11"/>
    <hyperlink r:id="rId11" ref="AE12"/>
    <hyperlink r:id="rId12" ref="M13"/>
    <hyperlink r:id="rId13" ref="AE13"/>
    <hyperlink r:id="rId14" ref="M14"/>
    <hyperlink r:id="rId15" ref="AE14"/>
    <hyperlink r:id="rId16" ref="M15"/>
    <hyperlink r:id="rId17" ref="AE15"/>
    <hyperlink r:id="rId18" ref="M16"/>
    <hyperlink r:id="rId19" ref="AE16"/>
    <hyperlink r:id="rId20" ref="M17"/>
    <hyperlink r:id="rId21" ref="AE17"/>
    <hyperlink r:id="rId22" ref="M18"/>
    <hyperlink r:id="rId23" ref="AE18"/>
    <hyperlink r:id="rId24" ref="M19"/>
    <hyperlink r:id="rId25" ref="AE19"/>
    <hyperlink r:id="rId26" ref="M20"/>
    <hyperlink r:id="rId27" ref="AE20"/>
    <hyperlink r:id="rId28" ref="M21"/>
    <hyperlink r:id="rId29" ref="AE21"/>
    <hyperlink r:id="rId30" ref="M22"/>
    <hyperlink r:id="rId31" ref="AE22"/>
    <hyperlink r:id="rId32" ref="M23"/>
    <hyperlink r:id="rId33" ref="AE23"/>
    <hyperlink r:id="rId34" ref="AE24"/>
    <hyperlink r:id="rId35" ref="M25"/>
    <hyperlink r:id="rId36" ref="AE25"/>
    <hyperlink r:id="rId37" ref="M26"/>
    <hyperlink r:id="rId38" ref="AE26"/>
    <hyperlink r:id="rId39" ref="M27"/>
    <hyperlink r:id="rId40" ref="AE27"/>
    <hyperlink r:id="rId41" ref="M28"/>
    <hyperlink r:id="rId42" ref="AE28"/>
    <hyperlink r:id="rId43" ref="M29"/>
    <hyperlink r:id="rId44" ref="AE29"/>
    <hyperlink r:id="rId45" ref="M30"/>
    <hyperlink r:id="rId46" ref="AE30"/>
    <hyperlink r:id="rId47" ref="M31"/>
    <hyperlink r:id="rId48" ref="AE31"/>
    <hyperlink r:id="rId49" ref="M32"/>
    <hyperlink r:id="rId50" ref="AE32"/>
    <hyperlink r:id="rId51" ref="M33"/>
    <hyperlink r:id="rId52" ref="AE33"/>
    <hyperlink r:id="rId53" ref="M34"/>
    <hyperlink r:id="rId54" ref="AE34"/>
    <hyperlink r:id="rId55" ref="M35"/>
    <hyperlink r:id="rId56" ref="AE35"/>
    <hyperlink r:id="rId57" ref="M36"/>
    <hyperlink r:id="rId58" ref="AE36"/>
    <hyperlink r:id="rId59" ref="M37"/>
    <hyperlink r:id="rId60" ref="AE37"/>
    <hyperlink r:id="rId61" ref="M38"/>
    <hyperlink r:id="rId62" ref="AE38"/>
    <hyperlink r:id="rId63" ref="AE39"/>
    <hyperlink r:id="rId64" ref="M40"/>
    <hyperlink r:id="rId65" ref="AE40"/>
    <hyperlink r:id="rId66" ref="M41"/>
    <hyperlink r:id="rId67" ref="AE41"/>
    <hyperlink r:id="rId68" ref="AE42"/>
    <hyperlink r:id="rId69" ref="AE43"/>
    <hyperlink r:id="rId70" ref="AE45"/>
    <hyperlink r:id="rId71" ref="M46"/>
    <hyperlink r:id="rId72" ref="AE46"/>
    <hyperlink r:id="rId73" ref="AE47"/>
    <hyperlink r:id="rId74" ref="AE48"/>
    <hyperlink r:id="rId75" ref="AE49"/>
    <hyperlink r:id="rId76" ref="AE59"/>
    <hyperlink r:id="rId77" ref="AE60"/>
    <hyperlink r:id="rId78" ref="AE62"/>
    <hyperlink r:id="rId79" ref="AE67"/>
    <hyperlink r:id="rId80" ref="AE68"/>
    <hyperlink r:id="rId81" ref="M69"/>
    <hyperlink r:id="rId82" ref="AE97"/>
    <hyperlink r:id="rId83" ref="M98"/>
    <hyperlink r:id="rId84" ref="AE98"/>
    <hyperlink r:id="rId85" ref="M99"/>
    <hyperlink r:id="rId86" ref="AE99"/>
    <hyperlink r:id="rId87" ref="M100"/>
    <hyperlink r:id="rId88" ref="AE100"/>
    <hyperlink r:id="rId89" ref="M101"/>
    <hyperlink r:id="rId90" ref="AE102"/>
    <hyperlink r:id="rId91" ref="M103"/>
    <hyperlink r:id="rId92" ref="AE103"/>
  </hyperlinks>
  <printOptions gridLines="1" horizontalCentered="1"/>
  <pageMargins bottom="0.75" footer="0.0" header="0.0" left="0.7" right="0.7" top="0.75"/>
  <pageSetup fitToHeight="0" paperSize="9" cellComments="atEnd" orientation="landscape" pageOrder="overThenDown"/>
  <drawing r:id="rId93"/>
  <legacyDrawing r:id="rId9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0.5"/>
    <col customWidth="1" min="2" max="2" width="6.13"/>
    <col customWidth="1" min="3" max="3" width="29.13"/>
    <col customWidth="1" min="4" max="4" width="39.0"/>
    <col customWidth="1" min="5" max="5" width="67.5"/>
    <col customWidth="1" min="6" max="6" width="125.63"/>
  </cols>
  <sheetData>
    <row r="1" ht="24.75" customHeight="1">
      <c r="A1" s="232"/>
      <c r="B1" s="232"/>
      <c r="C1" s="232"/>
      <c r="D1" s="232"/>
      <c r="E1" s="232"/>
      <c r="F1" s="232"/>
      <c r="G1" s="233"/>
      <c r="H1" s="234"/>
      <c r="I1" s="234"/>
      <c r="J1" s="234"/>
      <c r="K1" s="234"/>
      <c r="L1" s="234"/>
      <c r="M1" s="234"/>
      <c r="N1" s="234"/>
      <c r="O1" s="234"/>
      <c r="P1" s="234"/>
      <c r="Q1" s="234"/>
      <c r="R1" s="234"/>
      <c r="S1" s="234"/>
      <c r="T1" s="234"/>
      <c r="U1" s="234"/>
      <c r="V1" s="234"/>
      <c r="W1" s="234"/>
      <c r="X1" s="234"/>
      <c r="Y1" s="234"/>
      <c r="Z1" s="234"/>
      <c r="AA1" s="234"/>
      <c r="AB1" s="234"/>
      <c r="AC1" s="234"/>
      <c r="AD1" s="234"/>
    </row>
    <row r="2" ht="24.75" customHeight="1">
      <c r="A2" s="232"/>
      <c r="B2" s="232"/>
      <c r="C2" s="232"/>
      <c r="D2" s="235"/>
      <c r="E2" s="236" t="s">
        <v>777</v>
      </c>
      <c r="F2" s="232"/>
      <c r="G2" s="237"/>
      <c r="H2" s="234"/>
      <c r="I2" s="234"/>
      <c r="J2" s="234"/>
      <c r="K2" s="234"/>
      <c r="L2" s="234"/>
      <c r="M2" s="234"/>
      <c r="N2" s="234"/>
      <c r="O2" s="234"/>
      <c r="P2" s="234"/>
      <c r="Q2" s="234"/>
      <c r="R2" s="234"/>
      <c r="S2" s="234"/>
      <c r="T2" s="234"/>
      <c r="U2" s="234"/>
      <c r="V2" s="234"/>
      <c r="W2" s="234"/>
      <c r="X2" s="234"/>
      <c r="Y2" s="234"/>
      <c r="Z2" s="234"/>
      <c r="AA2" s="234"/>
      <c r="AB2" s="234"/>
      <c r="AC2" s="234"/>
      <c r="AD2" s="234"/>
    </row>
    <row r="3" ht="24.75" customHeight="1">
      <c r="A3" s="232"/>
      <c r="B3" s="232"/>
      <c r="C3" s="232"/>
      <c r="D3" s="232"/>
      <c r="E3" s="232"/>
      <c r="F3" s="232"/>
      <c r="G3" s="238"/>
      <c r="H3" s="234"/>
      <c r="I3" s="234"/>
      <c r="J3" s="234"/>
      <c r="K3" s="234"/>
      <c r="L3" s="234"/>
      <c r="M3" s="234"/>
      <c r="N3" s="234"/>
      <c r="O3" s="234"/>
      <c r="P3" s="234"/>
      <c r="Q3" s="234"/>
      <c r="R3" s="234"/>
      <c r="S3" s="234"/>
      <c r="T3" s="234"/>
      <c r="U3" s="234"/>
      <c r="V3" s="234"/>
      <c r="W3" s="234"/>
      <c r="X3" s="234"/>
      <c r="Y3" s="234"/>
      <c r="Z3" s="234"/>
      <c r="AA3" s="234"/>
      <c r="AB3" s="234"/>
      <c r="AC3" s="234"/>
      <c r="AD3" s="234"/>
    </row>
    <row r="4" ht="33.75" customHeight="1">
      <c r="A4" s="239" t="s">
        <v>21</v>
      </c>
      <c r="B4" s="239" t="s">
        <v>778</v>
      </c>
      <c r="C4" s="239" t="s">
        <v>779</v>
      </c>
      <c r="D4" s="239" t="s">
        <v>780</v>
      </c>
      <c r="E4" s="239" t="s">
        <v>781</v>
      </c>
      <c r="F4" s="239" t="s">
        <v>782</v>
      </c>
      <c r="G4" s="234"/>
      <c r="H4" s="234"/>
      <c r="I4" s="234"/>
      <c r="J4" s="234"/>
      <c r="K4" s="234"/>
      <c r="L4" s="234"/>
      <c r="M4" s="234"/>
      <c r="N4" s="234"/>
      <c r="O4" s="234"/>
      <c r="P4" s="234"/>
      <c r="Q4" s="234"/>
      <c r="R4" s="234"/>
      <c r="S4" s="234"/>
      <c r="T4" s="234"/>
      <c r="U4" s="234"/>
      <c r="V4" s="234"/>
      <c r="W4" s="234"/>
      <c r="X4" s="234"/>
      <c r="Y4" s="234"/>
      <c r="Z4" s="234"/>
      <c r="AA4" s="234"/>
      <c r="AB4" s="234"/>
      <c r="AC4" s="234"/>
      <c r="AD4" s="234"/>
    </row>
    <row r="5" ht="48.75" hidden="1" customHeight="1">
      <c r="A5" s="240" t="s">
        <v>43</v>
      </c>
      <c r="B5" s="240">
        <v>24.0</v>
      </c>
      <c r="C5" s="135" t="s">
        <v>3</v>
      </c>
      <c r="D5" s="241" t="s">
        <v>783</v>
      </c>
      <c r="E5" s="242" t="s">
        <v>26</v>
      </c>
      <c r="F5" s="242" t="s">
        <v>784</v>
      </c>
      <c r="G5" s="243"/>
      <c r="H5" s="243"/>
      <c r="I5" s="243"/>
      <c r="J5" s="243"/>
      <c r="K5" s="243"/>
      <c r="L5" s="243"/>
      <c r="M5" s="243"/>
      <c r="N5" s="243"/>
      <c r="O5" s="243"/>
      <c r="P5" s="243"/>
      <c r="Q5" s="243"/>
      <c r="R5" s="243"/>
      <c r="S5" s="243"/>
      <c r="T5" s="243"/>
      <c r="U5" s="243"/>
      <c r="V5" s="243"/>
      <c r="W5" s="243"/>
      <c r="X5" s="243"/>
      <c r="Y5" s="243"/>
      <c r="Z5" s="243"/>
      <c r="AA5" s="243"/>
      <c r="AB5" s="243"/>
      <c r="AC5" s="243"/>
      <c r="AD5" s="243"/>
    </row>
    <row r="6" hidden="1">
      <c r="A6" s="240" t="s">
        <v>43</v>
      </c>
      <c r="B6" s="240">
        <v>29.0</v>
      </c>
      <c r="C6" s="135" t="s">
        <v>1</v>
      </c>
      <c r="D6" s="241" t="s">
        <v>783</v>
      </c>
      <c r="E6" s="241" t="s">
        <v>46</v>
      </c>
      <c r="F6" s="242" t="s">
        <v>785</v>
      </c>
      <c r="G6" s="243"/>
      <c r="H6" s="243"/>
      <c r="I6" s="243"/>
      <c r="J6" s="243"/>
      <c r="K6" s="243"/>
      <c r="L6" s="243"/>
      <c r="M6" s="243"/>
      <c r="N6" s="243"/>
      <c r="O6" s="243"/>
      <c r="P6" s="243"/>
      <c r="Q6" s="243"/>
      <c r="R6" s="243"/>
      <c r="S6" s="243"/>
      <c r="T6" s="243"/>
      <c r="U6" s="243"/>
      <c r="V6" s="243"/>
      <c r="W6" s="243"/>
      <c r="X6" s="243"/>
      <c r="Y6" s="243"/>
      <c r="Z6" s="243"/>
      <c r="AA6" s="243"/>
      <c r="AB6" s="243"/>
      <c r="AC6" s="243"/>
      <c r="AD6" s="243"/>
    </row>
    <row r="7" ht="33.75" hidden="1" customHeight="1">
      <c r="A7" s="240" t="s">
        <v>43</v>
      </c>
      <c r="B7" s="240">
        <v>29.0</v>
      </c>
      <c r="C7" s="135" t="s">
        <v>1</v>
      </c>
      <c r="D7" s="241" t="s">
        <v>783</v>
      </c>
      <c r="E7" s="241" t="s">
        <v>324</v>
      </c>
      <c r="F7" s="241" t="s">
        <v>786</v>
      </c>
      <c r="G7" s="243"/>
      <c r="H7" s="243"/>
      <c r="I7" s="243"/>
      <c r="J7" s="243"/>
      <c r="K7" s="243"/>
      <c r="L7" s="243"/>
      <c r="M7" s="243"/>
      <c r="N7" s="243"/>
      <c r="O7" s="243"/>
      <c r="P7" s="243"/>
      <c r="Q7" s="243"/>
      <c r="R7" s="243"/>
      <c r="S7" s="243"/>
      <c r="T7" s="243"/>
      <c r="U7" s="243"/>
      <c r="V7" s="243"/>
      <c r="W7" s="243"/>
      <c r="X7" s="243"/>
      <c r="Y7" s="243"/>
      <c r="Z7" s="243"/>
      <c r="AA7" s="243"/>
      <c r="AB7" s="243"/>
      <c r="AC7" s="243"/>
      <c r="AD7" s="243"/>
    </row>
    <row r="8" ht="48.75" customHeight="1">
      <c r="A8" s="240" t="s">
        <v>43</v>
      </c>
      <c r="B8" s="240">
        <v>29.0</v>
      </c>
      <c r="C8" s="135" t="s">
        <v>0</v>
      </c>
      <c r="D8" s="241" t="s">
        <v>783</v>
      </c>
      <c r="E8" s="241" t="s">
        <v>787</v>
      </c>
      <c r="F8" s="242" t="s">
        <v>788</v>
      </c>
      <c r="G8" s="243"/>
      <c r="H8" s="243"/>
      <c r="I8" s="243"/>
      <c r="J8" s="243"/>
      <c r="K8" s="243"/>
      <c r="L8" s="243"/>
      <c r="M8" s="243"/>
      <c r="N8" s="243"/>
      <c r="O8" s="243"/>
      <c r="P8" s="243"/>
      <c r="Q8" s="243"/>
      <c r="R8" s="243"/>
      <c r="S8" s="243"/>
      <c r="T8" s="243"/>
      <c r="U8" s="243"/>
      <c r="V8" s="243"/>
      <c r="W8" s="243"/>
      <c r="X8" s="243"/>
      <c r="Y8" s="243"/>
      <c r="Z8" s="243"/>
      <c r="AA8" s="243"/>
      <c r="AB8" s="243"/>
      <c r="AC8" s="243"/>
      <c r="AD8" s="243"/>
    </row>
    <row r="9" ht="33.75" hidden="1" customHeight="1">
      <c r="A9" s="240" t="s">
        <v>43</v>
      </c>
      <c r="B9" s="240">
        <v>31.0</v>
      </c>
      <c r="C9" s="135" t="s">
        <v>1</v>
      </c>
      <c r="D9" s="241" t="s">
        <v>783</v>
      </c>
      <c r="E9" s="244" t="s">
        <v>789</v>
      </c>
      <c r="F9" s="245" t="s">
        <v>790</v>
      </c>
      <c r="G9" s="243"/>
      <c r="H9" s="243"/>
      <c r="I9" s="243"/>
      <c r="J9" s="243"/>
      <c r="K9" s="243"/>
      <c r="L9" s="243"/>
      <c r="M9" s="243"/>
      <c r="N9" s="243"/>
      <c r="O9" s="243"/>
      <c r="P9" s="243"/>
      <c r="Q9" s="243"/>
      <c r="R9" s="243"/>
      <c r="S9" s="243"/>
      <c r="T9" s="243"/>
      <c r="U9" s="243"/>
      <c r="V9" s="243"/>
      <c r="W9" s="243"/>
      <c r="X9" s="243"/>
      <c r="Y9" s="243"/>
      <c r="Z9" s="243"/>
      <c r="AA9" s="243"/>
      <c r="AB9" s="243"/>
      <c r="AC9" s="243"/>
      <c r="AD9" s="243"/>
    </row>
    <row r="10" ht="33.75" hidden="1" customHeight="1">
      <c r="A10" s="240" t="s">
        <v>61</v>
      </c>
      <c r="B10" s="240">
        <v>14.0</v>
      </c>
      <c r="C10" s="135" t="s">
        <v>1</v>
      </c>
      <c r="D10" s="241" t="s">
        <v>783</v>
      </c>
      <c r="E10" s="241" t="s">
        <v>791</v>
      </c>
      <c r="F10" s="246" t="s">
        <v>792</v>
      </c>
      <c r="G10" s="243"/>
      <c r="H10" s="243"/>
      <c r="I10" s="243"/>
      <c r="J10" s="243"/>
      <c r="K10" s="243"/>
      <c r="L10" s="243"/>
      <c r="M10" s="243"/>
      <c r="N10" s="243"/>
      <c r="O10" s="243"/>
      <c r="P10" s="243"/>
      <c r="Q10" s="243"/>
      <c r="R10" s="243"/>
      <c r="S10" s="243"/>
      <c r="T10" s="243"/>
      <c r="U10" s="243"/>
      <c r="V10" s="243"/>
      <c r="W10" s="243"/>
      <c r="X10" s="243"/>
      <c r="Y10" s="243"/>
      <c r="Z10" s="243"/>
      <c r="AA10" s="243"/>
      <c r="AB10" s="243"/>
      <c r="AC10" s="243"/>
      <c r="AD10" s="243"/>
    </row>
    <row r="11" ht="33.75" hidden="1" customHeight="1">
      <c r="A11" s="240" t="s">
        <v>61</v>
      </c>
      <c r="B11" s="240">
        <v>5.0</v>
      </c>
      <c r="C11" s="135" t="s">
        <v>3</v>
      </c>
      <c r="D11" s="241" t="s">
        <v>783</v>
      </c>
      <c r="E11" s="241" t="s">
        <v>78</v>
      </c>
      <c r="F11" s="247" t="s">
        <v>793</v>
      </c>
      <c r="G11" s="243"/>
      <c r="H11" s="243"/>
      <c r="I11" s="243"/>
      <c r="J11" s="243"/>
      <c r="K11" s="243"/>
      <c r="L11" s="243"/>
      <c r="M11" s="243"/>
      <c r="N11" s="243"/>
      <c r="O11" s="243"/>
      <c r="P11" s="243"/>
      <c r="Q11" s="243"/>
      <c r="R11" s="243"/>
      <c r="S11" s="243"/>
      <c r="T11" s="243"/>
      <c r="U11" s="243"/>
      <c r="V11" s="243"/>
      <c r="W11" s="243"/>
      <c r="X11" s="243"/>
      <c r="Y11" s="243"/>
      <c r="Z11" s="243"/>
      <c r="AA11" s="243"/>
      <c r="AB11" s="243"/>
      <c r="AC11" s="243"/>
      <c r="AD11" s="243"/>
    </row>
    <row r="12" ht="48.0" hidden="1" customHeight="1">
      <c r="A12" s="240" t="s">
        <v>61</v>
      </c>
      <c r="B12" s="240">
        <v>21.0</v>
      </c>
      <c r="C12" s="135" t="s">
        <v>3</v>
      </c>
      <c r="D12" s="241" t="s">
        <v>783</v>
      </c>
      <c r="E12" s="242" t="s">
        <v>420</v>
      </c>
      <c r="F12" s="248" t="s">
        <v>794</v>
      </c>
      <c r="G12" s="243"/>
      <c r="H12" s="243"/>
      <c r="I12" s="243"/>
      <c r="J12" s="243"/>
      <c r="K12" s="243"/>
      <c r="L12" s="243"/>
      <c r="M12" s="243"/>
      <c r="N12" s="243"/>
      <c r="O12" s="243"/>
      <c r="P12" s="243"/>
      <c r="Q12" s="243"/>
      <c r="R12" s="243"/>
      <c r="S12" s="243"/>
      <c r="T12" s="243"/>
      <c r="U12" s="243"/>
      <c r="V12" s="243"/>
      <c r="W12" s="243"/>
      <c r="X12" s="243"/>
      <c r="Y12" s="243"/>
      <c r="Z12" s="243"/>
      <c r="AA12" s="243"/>
      <c r="AB12" s="243"/>
      <c r="AC12" s="243"/>
      <c r="AD12" s="243"/>
    </row>
    <row r="13" ht="33.75" hidden="1" customHeight="1">
      <c r="A13" s="240" t="s">
        <v>61</v>
      </c>
      <c r="B13" s="240">
        <v>21.0</v>
      </c>
      <c r="C13" s="135" t="s">
        <v>2</v>
      </c>
      <c r="D13" s="241" t="s">
        <v>783</v>
      </c>
      <c r="E13" s="247" t="s">
        <v>795</v>
      </c>
      <c r="F13" s="248" t="s">
        <v>796</v>
      </c>
      <c r="G13" s="243"/>
      <c r="H13" s="243"/>
      <c r="I13" s="243"/>
      <c r="J13" s="243"/>
      <c r="K13" s="243"/>
      <c r="L13" s="243"/>
      <c r="M13" s="243"/>
      <c r="N13" s="243"/>
      <c r="O13" s="243"/>
      <c r="P13" s="243"/>
      <c r="Q13" s="243"/>
      <c r="R13" s="243"/>
      <c r="S13" s="243"/>
      <c r="T13" s="243"/>
      <c r="U13" s="243"/>
      <c r="V13" s="243"/>
      <c r="W13" s="243"/>
      <c r="X13" s="243"/>
      <c r="Y13" s="243"/>
      <c r="Z13" s="243"/>
      <c r="AA13" s="243"/>
      <c r="AB13" s="243"/>
      <c r="AC13" s="243"/>
      <c r="AD13" s="243"/>
    </row>
    <row r="14" ht="43.5" customHeight="1">
      <c r="A14" s="240" t="s">
        <v>61</v>
      </c>
      <c r="B14" s="249">
        <v>15.0</v>
      </c>
      <c r="C14" s="207" t="s">
        <v>8</v>
      </c>
      <c r="D14" s="240" t="s">
        <v>783</v>
      </c>
      <c r="E14" s="247" t="s">
        <v>797</v>
      </c>
      <c r="F14" s="248" t="s">
        <v>798</v>
      </c>
      <c r="G14" s="243"/>
      <c r="H14" s="243"/>
      <c r="I14" s="243"/>
      <c r="J14" s="243"/>
      <c r="K14" s="243"/>
      <c r="L14" s="243"/>
      <c r="M14" s="243"/>
      <c r="N14" s="243"/>
      <c r="O14" s="243"/>
      <c r="P14" s="243"/>
      <c r="Q14" s="243"/>
      <c r="R14" s="243"/>
      <c r="S14" s="243"/>
      <c r="T14" s="243"/>
      <c r="U14" s="243"/>
      <c r="V14" s="243"/>
      <c r="W14" s="243"/>
      <c r="X14" s="243"/>
      <c r="Y14" s="243"/>
      <c r="Z14" s="243"/>
      <c r="AA14" s="243"/>
      <c r="AB14" s="243"/>
      <c r="AC14" s="243"/>
      <c r="AD14" s="243"/>
    </row>
    <row r="15" ht="43.5" customHeight="1">
      <c r="A15" s="240" t="s">
        <v>74</v>
      </c>
      <c r="B15" s="249">
        <v>1.0</v>
      </c>
      <c r="C15" s="207" t="s">
        <v>8</v>
      </c>
      <c r="D15" s="240" t="s">
        <v>783</v>
      </c>
      <c r="E15" s="247" t="s">
        <v>799</v>
      </c>
      <c r="F15" s="247" t="s">
        <v>800</v>
      </c>
      <c r="G15" s="243"/>
      <c r="H15" s="243"/>
      <c r="I15" s="243"/>
      <c r="J15" s="243"/>
      <c r="K15" s="243"/>
      <c r="L15" s="243"/>
      <c r="M15" s="243"/>
      <c r="N15" s="243"/>
      <c r="O15" s="243"/>
      <c r="P15" s="243"/>
      <c r="Q15" s="243"/>
      <c r="R15" s="243"/>
      <c r="S15" s="243"/>
      <c r="T15" s="243"/>
      <c r="U15" s="243"/>
      <c r="V15" s="243"/>
      <c r="W15" s="243"/>
      <c r="X15" s="243"/>
      <c r="Y15" s="243"/>
      <c r="Z15" s="243"/>
      <c r="AA15" s="243"/>
      <c r="AB15" s="243"/>
      <c r="AC15" s="243"/>
      <c r="AD15" s="243"/>
    </row>
    <row r="16" ht="41.25" customHeight="1">
      <c r="A16" s="240" t="s">
        <v>74</v>
      </c>
      <c r="B16" s="249">
        <v>1.0</v>
      </c>
      <c r="C16" s="207" t="s">
        <v>8</v>
      </c>
      <c r="D16" s="240" t="s">
        <v>783</v>
      </c>
      <c r="E16" s="247" t="s">
        <v>801</v>
      </c>
      <c r="F16" s="247" t="s">
        <v>802</v>
      </c>
      <c r="G16" s="243"/>
      <c r="H16" s="243"/>
      <c r="I16" s="243"/>
      <c r="J16" s="243"/>
      <c r="K16" s="243"/>
      <c r="L16" s="243"/>
      <c r="M16" s="243"/>
      <c r="N16" s="243"/>
      <c r="O16" s="243"/>
      <c r="P16" s="243"/>
      <c r="Q16" s="243"/>
      <c r="R16" s="243"/>
      <c r="S16" s="243"/>
      <c r="T16" s="243"/>
      <c r="U16" s="243"/>
      <c r="V16" s="243"/>
      <c r="W16" s="243"/>
      <c r="X16" s="243"/>
      <c r="Y16" s="243"/>
      <c r="Z16" s="243"/>
      <c r="AA16" s="243"/>
      <c r="AB16" s="243"/>
      <c r="AC16" s="243"/>
      <c r="AD16" s="243"/>
    </row>
    <row r="17" ht="44.25" hidden="1" customHeight="1">
      <c r="A17" s="240" t="s">
        <v>74</v>
      </c>
      <c r="B17" s="249">
        <v>1.0</v>
      </c>
      <c r="C17" s="204" t="s">
        <v>7</v>
      </c>
      <c r="D17" s="241" t="s">
        <v>783</v>
      </c>
      <c r="E17" s="247" t="s">
        <v>803</v>
      </c>
      <c r="F17" s="248" t="s">
        <v>804</v>
      </c>
      <c r="G17" s="243"/>
      <c r="H17" s="243"/>
      <c r="I17" s="243"/>
      <c r="J17" s="243"/>
      <c r="K17" s="243"/>
      <c r="L17" s="243"/>
      <c r="M17" s="243"/>
      <c r="N17" s="243"/>
      <c r="O17" s="243"/>
      <c r="P17" s="243"/>
      <c r="Q17" s="243"/>
      <c r="R17" s="243"/>
      <c r="S17" s="243"/>
      <c r="T17" s="243"/>
      <c r="U17" s="243"/>
      <c r="V17" s="243"/>
      <c r="W17" s="243"/>
      <c r="X17" s="243"/>
      <c r="Y17" s="243"/>
      <c r="Z17" s="243"/>
      <c r="AA17" s="243"/>
      <c r="AB17" s="243"/>
      <c r="AC17" s="243"/>
      <c r="AD17" s="243"/>
    </row>
    <row r="18" ht="45.0" hidden="1" customHeight="1">
      <c r="A18" s="240" t="s">
        <v>74</v>
      </c>
      <c r="B18" s="249">
        <v>7.0</v>
      </c>
      <c r="C18" s="204" t="s">
        <v>7</v>
      </c>
      <c r="D18" s="241" t="s">
        <v>783</v>
      </c>
      <c r="E18" s="245" t="s">
        <v>803</v>
      </c>
      <c r="F18" s="247" t="s">
        <v>805</v>
      </c>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row>
    <row r="19" ht="33.75" hidden="1" customHeight="1">
      <c r="A19" s="240" t="s">
        <v>74</v>
      </c>
      <c r="B19" s="249">
        <v>20.0</v>
      </c>
      <c r="C19" s="135" t="s">
        <v>3</v>
      </c>
      <c r="D19" s="241" t="s">
        <v>783</v>
      </c>
      <c r="E19" s="245" t="s">
        <v>806</v>
      </c>
      <c r="F19" s="248" t="s">
        <v>807</v>
      </c>
      <c r="G19" s="243"/>
      <c r="H19" s="243"/>
      <c r="I19" s="243"/>
      <c r="J19" s="243"/>
      <c r="K19" s="243"/>
      <c r="L19" s="243"/>
      <c r="M19" s="243"/>
      <c r="N19" s="243"/>
      <c r="O19" s="243"/>
      <c r="P19" s="243"/>
      <c r="Q19" s="243"/>
      <c r="R19" s="243"/>
      <c r="S19" s="243"/>
      <c r="T19" s="243"/>
      <c r="U19" s="243"/>
      <c r="V19" s="243"/>
      <c r="W19" s="243"/>
      <c r="X19" s="243"/>
      <c r="Y19" s="243"/>
      <c r="Z19" s="243"/>
      <c r="AA19" s="243"/>
      <c r="AB19" s="243"/>
      <c r="AC19" s="243"/>
      <c r="AD19" s="243"/>
    </row>
    <row r="20" ht="33.75" hidden="1" customHeight="1">
      <c r="A20" s="240" t="s">
        <v>74</v>
      </c>
      <c r="B20" s="249">
        <v>20.0</v>
      </c>
      <c r="C20" s="135" t="s">
        <v>5</v>
      </c>
      <c r="D20" s="241" t="s">
        <v>808</v>
      </c>
      <c r="E20" s="245" t="s">
        <v>28</v>
      </c>
      <c r="F20" s="247" t="s">
        <v>809</v>
      </c>
      <c r="G20" s="243"/>
      <c r="H20" s="243"/>
      <c r="I20" s="243"/>
      <c r="J20" s="243"/>
      <c r="K20" s="243"/>
      <c r="L20" s="243"/>
      <c r="M20" s="243"/>
      <c r="N20" s="243"/>
      <c r="O20" s="243"/>
      <c r="P20" s="243"/>
      <c r="Q20" s="243"/>
      <c r="R20" s="243"/>
      <c r="S20" s="243"/>
      <c r="T20" s="243"/>
      <c r="U20" s="243"/>
      <c r="V20" s="243"/>
      <c r="W20" s="243"/>
      <c r="X20" s="243"/>
      <c r="Y20" s="243"/>
      <c r="Z20" s="243"/>
      <c r="AA20" s="243"/>
      <c r="AB20" s="243"/>
      <c r="AC20" s="243"/>
      <c r="AD20" s="243"/>
    </row>
    <row r="21" ht="33.75" hidden="1" customHeight="1">
      <c r="A21" s="240" t="s">
        <v>74</v>
      </c>
      <c r="B21" s="249">
        <v>20.0</v>
      </c>
      <c r="C21" s="135" t="s">
        <v>14</v>
      </c>
      <c r="D21" s="241" t="s">
        <v>783</v>
      </c>
      <c r="E21" s="245" t="s">
        <v>810</v>
      </c>
      <c r="F21" s="247" t="s">
        <v>811</v>
      </c>
      <c r="G21" s="243"/>
      <c r="H21" s="243"/>
      <c r="I21" s="243"/>
      <c r="J21" s="243"/>
      <c r="K21" s="243"/>
      <c r="L21" s="243"/>
      <c r="M21" s="243"/>
      <c r="N21" s="243"/>
      <c r="O21" s="243"/>
      <c r="P21" s="243"/>
      <c r="Q21" s="243"/>
      <c r="R21" s="243"/>
      <c r="S21" s="243"/>
      <c r="T21" s="243"/>
      <c r="U21" s="243"/>
      <c r="V21" s="243"/>
      <c r="W21" s="243"/>
      <c r="X21" s="243"/>
      <c r="Y21" s="243"/>
      <c r="Z21" s="243"/>
      <c r="AA21" s="243"/>
      <c r="AB21" s="243"/>
      <c r="AC21" s="243"/>
      <c r="AD21" s="243"/>
    </row>
    <row r="22" ht="33.75" hidden="1" customHeight="1">
      <c r="A22" s="240" t="s">
        <v>84</v>
      </c>
      <c r="B22" s="249">
        <v>3.0</v>
      </c>
      <c r="C22" s="135" t="s">
        <v>4</v>
      </c>
      <c r="D22" s="241" t="s">
        <v>783</v>
      </c>
      <c r="E22" s="250" t="s">
        <v>27</v>
      </c>
      <c r="F22" s="248" t="s">
        <v>812</v>
      </c>
      <c r="G22" s="243"/>
      <c r="H22" s="243"/>
      <c r="I22" s="243"/>
      <c r="J22" s="243"/>
      <c r="K22" s="243"/>
      <c r="L22" s="243"/>
      <c r="M22" s="243"/>
      <c r="N22" s="243"/>
      <c r="O22" s="243"/>
      <c r="P22" s="243"/>
      <c r="Q22" s="243"/>
      <c r="R22" s="243"/>
      <c r="S22" s="243"/>
      <c r="T22" s="243"/>
      <c r="U22" s="243"/>
      <c r="V22" s="243"/>
      <c r="W22" s="243"/>
      <c r="X22" s="243"/>
      <c r="Y22" s="243"/>
      <c r="Z22" s="243"/>
      <c r="AA22" s="243"/>
      <c r="AB22" s="243"/>
      <c r="AC22" s="243"/>
      <c r="AD22" s="243"/>
    </row>
    <row r="23" ht="44.25" hidden="1" customHeight="1">
      <c r="A23" s="240" t="s">
        <v>84</v>
      </c>
      <c r="B23" s="249">
        <v>10.0</v>
      </c>
      <c r="C23" s="204" t="s">
        <v>7</v>
      </c>
      <c r="D23" s="241" t="s">
        <v>808</v>
      </c>
      <c r="E23" s="158" t="s">
        <v>813</v>
      </c>
      <c r="F23" s="248" t="s">
        <v>814</v>
      </c>
      <c r="G23" s="243"/>
      <c r="H23" s="243"/>
      <c r="I23" s="243"/>
      <c r="J23" s="243"/>
      <c r="K23" s="243"/>
      <c r="L23" s="243"/>
      <c r="M23" s="243"/>
      <c r="N23" s="243"/>
      <c r="O23" s="243"/>
      <c r="P23" s="243"/>
      <c r="Q23" s="243"/>
      <c r="R23" s="243"/>
      <c r="S23" s="243"/>
      <c r="T23" s="243"/>
      <c r="U23" s="243"/>
      <c r="V23" s="243"/>
      <c r="W23" s="243"/>
      <c r="X23" s="243"/>
      <c r="Y23" s="243"/>
      <c r="Z23" s="243"/>
      <c r="AA23" s="243"/>
      <c r="AB23" s="243"/>
      <c r="AC23" s="243"/>
      <c r="AD23" s="243"/>
    </row>
    <row r="24" ht="44.25" hidden="1" customHeight="1">
      <c r="A24" s="240" t="s">
        <v>84</v>
      </c>
      <c r="B24" s="249">
        <v>10.0</v>
      </c>
      <c r="C24" s="204" t="s">
        <v>7</v>
      </c>
      <c r="D24" s="241" t="s">
        <v>815</v>
      </c>
      <c r="E24" s="248" t="s">
        <v>816</v>
      </c>
      <c r="F24" s="248" t="s">
        <v>817</v>
      </c>
      <c r="G24" s="243"/>
      <c r="H24" s="243"/>
      <c r="I24" s="243"/>
      <c r="J24" s="243"/>
      <c r="K24" s="243"/>
      <c r="L24" s="243"/>
      <c r="M24" s="243"/>
      <c r="N24" s="243"/>
      <c r="O24" s="243"/>
      <c r="P24" s="243"/>
      <c r="Q24" s="243"/>
      <c r="R24" s="243"/>
      <c r="S24" s="243"/>
      <c r="T24" s="243"/>
      <c r="U24" s="243"/>
      <c r="V24" s="243"/>
      <c r="W24" s="243"/>
      <c r="X24" s="243"/>
      <c r="Y24" s="243"/>
      <c r="Z24" s="243"/>
      <c r="AA24" s="243"/>
      <c r="AB24" s="243"/>
      <c r="AC24" s="243"/>
      <c r="AD24" s="243"/>
    </row>
    <row r="25" ht="33.75" hidden="1" customHeight="1">
      <c r="A25" s="240" t="s">
        <v>84</v>
      </c>
      <c r="B25" s="249">
        <v>12.0</v>
      </c>
      <c r="C25" s="135" t="s">
        <v>3</v>
      </c>
      <c r="D25" s="241" t="s">
        <v>783</v>
      </c>
      <c r="E25" s="124" t="s">
        <v>26</v>
      </c>
      <c r="F25" s="247" t="s">
        <v>818</v>
      </c>
      <c r="G25" s="243"/>
      <c r="H25" s="243"/>
      <c r="I25" s="243"/>
      <c r="J25" s="243"/>
      <c r="K25" s="243"/>
      <c r="L25" s="243"/>
      <c r="M25" s="243"/>
      <c r="N25" s="243"/>
      <c r="O25" s="243"/>
      <c r="P25" s="243"/>
      <c r="Q25" s="243"/>
      <c r="R25" s="243"/>
      <c r="S25" s="243"/>
      <c r="T25" s="243"/>
      <c r="U25" s="243"/>
      <c r="V25" s="243"/>
      <c r="W25" s="243"/>
      <c r="X25" s="243"/>
      <c r="Y25" s="243"/>
      <c r="Z25" s="243"/>
      <c r="AA25" s="243"/>
      <c r="AB25" s="243"/>
      <c r="AC25" s="243"/>
      <c r="AD25" s="243"/>
    </row>
    <row r="26" ht="33.75" hidden="1" customHeight="1">
      <c r="A26" s="240" t="s">
        <v>91</v>
      </c>
      <c r="B26" s="249">
        <v>2.0</v>
      </c>
      <c r="C26" s="135" t="s">
        <v>6</v>
      </c>
      <c r="D26" s="241" t="s">
        <v>783</v>
      </c>
      <c r="E26" s="247" t="s">
        <v>136</v>
      </c>
      <c r="F26" s="247" t="s">
        <v>819</v>
      </c>
      <c r="G26" s="243"/>
      <c r="H26" s="243"/>
      <c r="I26" s="243"/>
      <c r="J26" s="243"/>
      <c r="K26" s="243"/>
      <c r="L26" s="243"/>
      <c r="M26" s="243"/>
      <c r="N26" s="243"/>
      <c r="O26" s="243"/>
      <c r="P26" s="243"/>
      <c r="Q26" s="243"/>
      <c r="R26" s="243"/>
      <c r="S26" s="243"/>
      <c r="T26" s="243"/>
      <c r="U26" s="243"/>
      <c r="V26" s="243"/>
      <c r="W26" s="243"/>
      <c r="X26" s="243"/>
      <c r="Y26" s="243"/>
      <c r="Z26" s="243"/>
      <c r="AA26" s="243"/>
      <c r="AB26" s="243"/>
      <c r="AC26" s="243"/>
      <c r="AD26" s="243"/>
    </row>
    <row r="27" ht="33.75" hidden="1" customHeight="1">
      <c r="A27" s="240" t="s">
        <v>91</v>
      </c>
      <c r="B27" s="249">
        <v>7.0</v>
      </c>
      <c r="C27" s="135" t="s">
        <v>3</v>
      </c>
      <c r="D27" s="241" t="s">
        <v>783</v>
      </c>
      <c r="E27" s="246" t="s">
        <v>65</v>
      </c>
      <c r="F27" s="248" t="s">
        <v>820</v>
      </c>
      <c r="G27" s="243"/>
      <c r="H27" s="243"/>
      <c r="I27" s="243"/>
      <c r="J27" s="243"/>
      <c r="K27" s="243"/>
      <c r="L27" s="243"/>
      <c r="M27" s="243"/>
      <c r="N27" s="243"/>
      <c r="O27" s="243"/>
      <c r="P27" s="243"/>
      <c r="Q27" s="243"/>
      <c r="R27" s="243"/>
      <c r="S27" s="243"/>
      <c r="T27" s="243"/>
      <c r="U27" s="243"/>
      <c r="V27" s="243"/>
      <c r="W27" s="243"/>
      <c r="X27" s="243"/>
      <c r="Y27" s="243"/>
      <c r="Z27" s="243"/>
      <c r="AA27" s="243"/>
      <c r="AB27" s="243"/>
      <c r="AC27" s="243"/>
      <c r="AD27" s="243"/>
    </row>
    <row r="28" ht="33.75" hidden="1" customHeight="1">
      <c r="A28" s="240" t="s">
        <v>91</v>
      </c>
      <c r="B28" s="249">
        <v>8.0</v>
      </c>
      <c r="C28" s="135" t="s">
        <v>3</v>
      </c>
      <c r="D28" s="241" t="s">
        <v>783</v>
      </c>
      <c r="E28" s="245" t="s">
        <v>821</v>
      </c>
      <c r="F28" s="247" t="s">
        <v>822</v>
      </c>
      <c r="G28" s="243"/>
      <c r="H28" s="243"/>
      <c r="I28" s="243"/>
      <c r="J28" s="243"/>
      <c r="K28" s="243"/>
      <c r="L28" s="243"/>
      <c r="M28" s="243"/>
      <c r="N28" s="243"/>
      <c r="O28" s="243"/>
      <c r="P28" s="243"/>
      <c r="Q28" s="243"/>
      <c r="R28" s="243"/>
      <c r="S28" s="243"/>
      <c r="T28" s="243"/>
      <c r="U28" s="243"/>
      <c r="V28" s="243"/>
      <c r="W28" s="243"/>
      <c r="X28" s="243"/>
      <c r="Y28" s="243"/>
      <c r="Z28" s="243"/>
      <c r="AA28" s="243"/>
      <c r="AB28" s="243"/>
      <c r="AC28" s="243"/>
      <c r="AD28" s="243"/>
    </row>
    <row r="29" ht="43.5" customHeight="1">
      <c r="A29" s="240" t="s">
        <v>91</v>
      </c>
      <c r="B29" s="249">
        <v>3.0</v>
      </c>
      <c r="C29" s="207" t="s">
        <v>8</v>
      </c>
      <c r="D29" s="240" t="s">
        <v>783</v>
      </c>
      <c r="E29" s="248" t="s">
        <v>823</v>
      </c>
      <c r="F29" s="248" t="s">
        <v>824</v>
      </c>
      <c r="G29" s="243"/>
      <c r="H29" s="243"/>
      <c r="I29" s="243"/>
      <c r="J29" s="243"/>
      <c r="K29" s="243"/>
      <c r="L29" s="243"/>
      <c r="M29" s="243"/>
      <c r="N29" s="243"/>
      <c r="O29" s="243"/>
      <c r="P29" s="243"/>
      <c r="Q29" s="243"/>
      <c r="R29" s="243"/>
      <c r="S29" s="243"/>
      <c r="T29" s="243"/>
      <c r="U29" s="243"/>
      <c r="V29" s="243"/>
      <c r="W29" s="243"/>
      <c r="X29" s="243"/>
      <c r="Y29" s="243"/>
      <c r="Z29" s="243"/>
      <c r="AA29" s="243"/>
      <c r="AB29" s="243"/>
      <c r="AC29" s="243"/>
      <c r="AD29" s="243"/>
    </row>
    <row r="30" ht="43.5" customHeight="1">
      <c r="A30" s="240" t="s">
        <v>91</v>
      </c>
      <c r="B30" s="249">
        <v>9.0</v>
      </c>
      <c r="C30" s="207" t="s">
        <v>8</v>
      </c>
      <c r="D30" s="240" t="s">
        <v>815</v>
      </c>
      <c r="E30" s="248" t="s">
        <v>825</v>
      </c>
      <c r="F30" s="248" t="s">
        <v>826</v>
      </c>
      <c r="G30" s="243"/>
      <c r="H30" s="243"/>
      <c r="I30" s="243"/>
      <c r="J30" s="243"/>
      <c r="K30" s="243"/>
      <c r="L30" s="243"/>
      <c r="M30" s="243"/>
      <c r="N30" s="243"/>
      <c r="O30" s="243"/>
      <c r="P30" s="243"/>
      <c r="Q30" s="243"/>
      <c r="R30" s="243"/>
      <c r="S30" s="243"/>
      <c r="T30" s="243"/>
      <c r="U30" s="243"/>
      <c r="V30" s="243"/>
      <c r="W30" s="243"/>
      <c r="X30" s="243"/>
      <c r="Y30" s="243"/>
      <c r="Z30" s="243"/>
      <c r="AA30" s="243"/>
      <c r="AB30" s="243"/>
      <c r="AC30" s="243"/>
      <c r="AD30" s="243"/>
    </row>
    <row r="31" ht="43.5" customHeight="1">
      <c r="A31" s="240" t="s">
        <v>91</v>
      </c>
      <c r="B31" s="249">
        <v>20.0</v>
      </c>
      <c r="C31" s="207" t="s">
        <v>8</v>
      </c>
      <c r="D31" s="240" t="s">
        <v>808</v>
      </c>
      <c r="E31" s="248" t="s">
        <v>827</v>
      </c>
      <c r="F31" s="248" t="s">
        <v>828</v>
      </c>
      <c r="G31" s="243"/>
      <c r="H31" s="243"/>
      <c r="I31" s="243"/>
      <c r="J31" s="243"/>
      <c r="K31" s="243"/>
      <c r="L31" s="243"/>
      <c r="M31" s="243"/>
      <c r="N31" s="243"/>
      <c r="O31" s="243"/>
      <c r="P31" s="243"/>
      <c r="Q31" s="243"/>
      <c r="R31" s="243"/>
      <c r="S31" s="243"/>
      <c r="T31" s="243"/>
      <c r="U31" s="243"/>
      <c r="V31" s="243"/>
      <c r="W31" s="243"/>
      <c r="X31" s="243"/>
      <c r="Y31" s="243"/>
      <c r="Z31" s="243"/>
      <c r="AA31" s="243"/>
      <c r="AB31" s="243"/>
      <c r="AC31" s="243"/>
      <c r="AD31" s="243"/>
    </row>
    <row r="32" ht="43.5" customHeight="1">
      <c r="A32" s="240" t="s">
        <v>100</v>
      </c>
      <c r="B32" s="249">
        <v>3.0</v>
      </c>
      <c r="C32" s="207" t="s">
        <v>8</v>
      </c>
      <c r="D32" s="240" t="s">
        <v>815</v>
      </c>
      <c r="E32" s="248" t="s">
        <v>829</v>
      </c>
      <c r="F32" s="248" t="s">
        <v>830</v>
      </c>
      <c r="G32" s="243"/>
      <c r="H32" s="243"/>
      <c r="I32" s="243"/>
      <c r="J32" s="243"/>
      <c r="K32" s="243"/>
      <c r="L32" s="243"/>
      <c r="M32" s="243"/>
      <c r="N32" s="243"/>
      <c r="O32" s="243"/>
      <c r="P32" s="243"/>
      <c r="Q32" s="243"/>
      <c r="R32" s="243"/>
      <c r="S32" s="243"/>
      <c r="T32" s="243"/>
      <c r="U32" s="243"/>
      <c r="V32" s="243"/>
      <c r="W32" s="243"/>
      <c r="X32" s="243"/>
      <c r="Y32" s="243"/>
      <c r="Z32" s="243"/>
      <c r="AA32" s="243"/>
      <c r="AB32" s="243"/>
      <c r="AC32" s="243"/>
      <c r="AD32" s="243"/>
    </row>
    <row r="33" ht="43.5" customHeight="1">
      <c r="A33" s="240" t="s">
        <v>100</v>
      </c>
      <c r="B33" s="249">
        <v>4.0</v>
      </c>
      <c r="C33" s="207" t="s">
        <v>8</v>
      </c>
      <c r="D33" s="240" t="s">
        <v>815</v>
      </c>
      <c r="E33" s="248" t="s">
        <v>831</v>
      </c>
      <c r="F33" s="248" t="s">
        <v>832</v>
      </c>
      <c r="G33" s="243"/>
      <c r="H33" s="243"/>
      <c r="I33" s="243"/>
      <c r="J33" s="243"/>
      <c r="K33" s="243"/>
      <c r="L33" s="243"/>
      <c r="M33" s="243"/>
      <c r="N33" s="243"/>
      <c r="O33" s="243"/>
      <c r="P33" s="243"/>
      <c r="Q33" s="243"/>
      <c r="R33" s="243"/>
      <c r="S33" s="243"/>
      <c r="T33" s="243"/>
      <c r="U33" s="243"/>
      <c r="V33" s="243"/>
      <c r="W33" s="243"/>
      <c r="X33" s="243"/>
      <c r="Y33" s="243"/>
      <c r="Z33" s="243"/>
      <c r="AA33" s="243"/>
      <c r="AB33" s="243"/>
      <c r="AC33" s="243"/>
      <c r="AD33" s="243"/>
    </row>
    <row r="34" ht="63.0" customHeight="1">
      <c r="A34" s="240" t="s">
        <v>100</v>
      </c>
      <c r="B34" s="249">
        <v>28.0</v>
      </c>
      <c r="C34" s="207" t="s">
        <v>8</v>
      </c>
      <c r="D34" s="240" t="s">
        <v>815</v>
      </c>
      <c r="E34" s="248" t="s">
        <v>833</v>
      </c>
      <c r="F34" s="250" t="s">
        <v>834</v>
      </c>
      <c r="G34" s="243"/>
      <c r="H34" s="243"/>
      <c r="I34" s="243"/>
      <c r="J34" s="243"/>
      <c r="K34" s="243"/>
      <c r="L34" s="243"/>
      <c r="M34" s="243"/>
      <c r="N34" s="243"/>
      <c r="O34" s="243"/>
      <c r="P34" s="243"/>
      <c r="Q34" s="243"/>
      <c r="R34" s="243"/>
      <c r="S34" s="243"/>
      <c r="T34" s="243"/>
      <c r="U34" s="243"/>
      <c r="V34" s="243"/>
      <c r="W34" s="243"/>
      <c r="X34" s="243"/>
      <c r="Y34" s="243"/>
      <c r="Z34" s="243"/>
      <c r="AA34" s="243"/>
      <c r="AB34" s="243"/>
      <c r="AC34" s="243"/>
      <c r="AD34" s="243"/>
    </row>
    <row r="35" hidden="1">
      <c r="A35" s="240" t="s">
        <v>105</v>
      </c>
      <c r="B35" s="249">
        <v>2.0</v>
      </c>
      <c r="C35" s="135" t="s">
        <v>18</v>
      </c>
      <c r="D35" s="241" t="s">
        <v>808</v>
      </c>
      <c r="E35" s="248" t="s">
        <v>835</v>
      </c>
      <c r="F35" s="248" t="s">
        <v>836</v>
      </c>
      <c r="G35" s="243"/>
      <c r="H35" s="243"/>
      <c r="I35" s="243"/>
      <c r="J35" s="243"/>
      <c r="K35" s="243"/>
      <c r="L35" s="243"/>
      <c r="M35" s="243"/>
      <c r="N35" s="243"/>
      <c r="O35" s="243"/>
      <c r="P35" s="243"/>
      <c r="Q35" s="243"/>
      <c r="R35" s="243"/>
      <c r="S35" s="243"/>
      <c r="T35" s="243"/>
      <c r="U35" s="243"/>
      <c r="V35" s="243"/>
      <c r="W35" s="243"/>
      <c r="X35" s="243"/>
      <c r="Y35" s="243"/>
      <c r="Z35" s="243"/>
      <c r="AA35" s="243"/>
      <c r="AB35" s="243"/>
      <c r="AC35" s="243"/>
      <c r="AD35" s="243"/>
    </row>
    <row r="36" ht="45.0" hidden="1" customHeight="1">
      <c r="A36" s="240" t="s">
        <v>105</v>
      </c>
      <c r="B36" s="249">
        <v>9.0</v>
      </c>
      <c r="C36" s="135" t="s">
        <v>7</v>
      </c>
      <c r="D36" s="241" t="s">
        <v>815</v>
      </c>
      <c r="E36" s="248" t="s">
        <v>837</v>
      </c>
      <c r="F36" s="248" t="s">
        <v>837</v>
      </c>
      <c r="G36" s="243"/>
      <c r="H36" s="243"/>
      <c r="I36" s="243"/>
      <c r="J36" s="243"/>
      <c r="K36" s="243"/>
      <c r="L36" s="243"/>
      <c r="M36" s="243"/>
      <c r="N36" s="243"/>
      <c r="O36" s="243"/>
      <c r="P36" s="243"/>
      <c r="Q36" s="243"/>
      <c r="R36" s="243"/>
      <c r="S36" s="243"/>
      <c r="T36" s="243"/>
      <c r="U36" s="243"/>
      <c r="V36" s="243"/>
      <c r="W36" s="243"/>
      <c r="X36" s="243"/>
      <c r="Y36" s="243"/>
      <c r="Z36" s="243"/>
      <c r="AA36" s="243"/>
      <c r="AB36" s="243"/>
      <c r="AC36" s="243"/>
      <c r="AD36" s="243"/>
    </row>
    <row r="37" ht="33.75" hidden="1" customHeight="1">
      <c r="A37" s="240" t="s">
        <v>105</v>
      </c>
      <c r="B37" s="249">
        <v>12.0</v>
      </c>
      <c r="C37" s="135" t="s">
        <v>14</v>
      </c>
      <c r="D37" s="241" t="s">
        <v>783</v>
      </c>
      <c r="E37" s="251" t="s">
        <v>838</v>
      </c>
      <c r="F37" s="247" t="s">
        <v>839</v>
      </c>
      <c r="G37" s="243"/>
      <c r="H37" s="243"/>
      <c r="I37" s="243"/>
      <c r="J37" s="243"/>
      <c r="K37" s="243"/>
      <c r="L37" s="243"/>
      <c r="M37" s="243"/>
      <c r="N37" s="243"/>
      <c r="O37" s="243"/>
      <c r="P37" s="243"/>
      <c r="Q37" s="243"/>
      <c r="R37" s="243"/>
      <c r="S37" s="243"/>
      <c r="T37" s="243"/>
      <c r="U37" s="243"/>
      <c r="V37" s="243"/>
      <c r="W37" s="243"/>
      <c r="X37" s="243"/>
      <c r="Y37" s="243"/>
      <c r="Z37" s="243"/>
      <c r="AA37" s="243"/>
      <c r="AB37" s="243"/>
      <c r="AC37" s="243"/>
      <c r="AD37" s="243"/>
    </row>
    <row r="38" ht="33.75" hidden="1" customHeight="1">
      <c r="A38" s="240" t="s">
        <v>91</v>
      </c>
      <c r="B38" s="249"/>
      <c r="C38" s="135" t="s">
        <v>14</v>
      </c>
      <c r="D38" s="241" t="s">
        <v>783</v>
      </c>
      <c r="E38" s="162" t="s">
        <v>840</v>
      </c>
      <c r="F38" s="248" t="s">
        <v>841</v>
      </c>
      <c r="G38" s="243"/>
      <c r="H38" s="243"/>
      <c r="I38" s="243"/>
      <c r="J38" s="243"/>
      <c r="K38" s="243"/>
      <c r="L38" s="243"/>
      <c r="M38" s="243"/>
      <c r="N38" s="243"/>
      <c r="O38" s="243"/>
      <c r="P38" s="243"/>
      <c r="Q38" s="243"/>
      <c r="R38" s="243"/>
      <c r="S38" s="243"/>
      <c r="T38" s="243"/>
      <c r="U38" s="243"/>
      <c r="V38" s="243"/>
      <c r="W38" s="243"/>
      <c r="X38" s="243"/>
      <c r="Y38" s="243"/>
      <c r="Z38" s="243"/>
      <c r="AA38" s="243"/>
      <c r="AB38" s="243"/>
      <c r="AC38" s="243"/>
      <c r="AD38" s="243"/>
    </row>
    <row r="39" ht="33.75" hidden="1" customHeight="1">
      <c r="A39" s="240" t="s">
        <v>105</v>
      </c>
      <c r="B39" s="249">
        <v>12.0</v>
      </c>
      <c r="C39" s="135" t="s">
        <v>14</v>
      </c>
      <c r="D39" s="241" t="s">
        <v>783</v>
      </c>
      <c r="E39" s="162" t="s">
        <v>838</v>
      </c>
      <c r="F39" s="246" t="s">
        <v>842</v>
      </c>
      <c r="G39" s="243"/>
      <c r="H39" s="243"/>
      <c r="I39" s="243"/>
      <c r="J39" s="243"/>
      <c r="K39" s="243"/>
      <c r="L39" s="243"/>
      <c r="M39" s="243"/>
      <c r="N39" s="243"/>
      <c r="O39" s="243"/>
      <c r="P39" s="243"/>
      <c r="Q39" s="243"/>
      <c r="R39" s="243"/>
      <c r="S39" s="243"/>
      <c r="T39" s="243"/>
      <c r="U39" s="243"/>
      <c r="V39" s="243"/>
      <c r="W39" s="243"/>
      <c r="X39" s="243"/>
      <c r="Y39" s="243"/>
      <c r="Z39" s="243"/>
      <c r="AA39" s="243"/>
      <c r="AB39" s="243"/>
      <c r="AC39" s="243"/>
      <c r="AD39" s="243"/>
    </row>
    <row r="40" ht="33.75" hidden="1" customHeight="1">
      <c r="A40" s="240" t="s">
        <v>105</v>
      </c>
      <c r="B40" s="249">
        <v>22.0</v>
      </c>
      <c r="C40" s="135" t="s">
        <v>14</v>
      </c>
      <c r="D40" s="241" t="s">
        <v>808</v>
      </c>
      <c r="E40" s="247" t="s">
        <v>843</v>
      </c>
      <c r="F40" s="248" t="s">
        <v>844</v>
      </c>
      <c r="G40" s="243"/>
      <c r="H40" s="243"/>
      <c r="I40" s="243"/>
      <c r="J40" s="243"/>
      <c r="K40" s="243"/>
      <c r="L40" s="243"/>
      <c r="M40" s="243"/>
      <c r="N40" s="243"/>
      <c r="O40" s="243"/>
      <c r="P40" s="243"/>
      <c r="Q40" s="243"/>
      <c r="R40" s="243"/>
      <c r="S40" s="243"/>
      <c r="T40" s="243"/>
      <c r="U40" s="243"/>
      <c r="V40" s="243"/>
      <c r="W40" s="243"/>
      <c r="X40" s="243"/>
      <c r="Y40" s="243"/>
      <c r="Z40" s="243"/>
      <c r="AA40" s="243"/>
      <c r="AB40" s="243"/>
      <c r="AC40" s="243"/>
      <c r="AD40" s="243"/>
    </row>
    <row r="41" ht="33.75" hidden="1" customHeight="1">
      <c r="A41" s="240" t="s">
        <v>105</v>
      </c>
      <c r="B41" s="249">
        <v>22.0</v>
      </c>
      <c r="C41" s="135" t="s">
        <v>14</v>
      </c>
      <c r="D41" s="241" t="s">
        <v>783</v>
      </c>
      <c r="E41" s="248" t="s">
        <v>840</v>
      </c>
      <c r="F41" s="225" t="s">
        <v>845</v>
      </c>
      <c r="G41" s="243"/>
      <c r="H41" s="243"/>
      <c r="I41" s="243"/>
      <c r="J41" s="243"/>
      <c r="K41" s="243"/>
      <c r="L41" s="243"/>
      <c r="M41" s="243"/>
      <c r="N41" s="243"/>
      <c r="O41" s="243"/>
      <c r="P41" s="243"/>
      <c r="Q41" s="243"/>
      <c r="R41" s="243"/>
      <c r="S41" s="243"/>
      <c r="T41" s="243"/>
      <c r="U41" s="243"/>
      <c r="V41" s="243"/>
      <c r="W41" s="243"/>
      <c r="X41" s="243"/>
      <c r="Y41" s="243"/>
      <c r="Z41" s="243"/>
      <c r="AA41" s="243"/>
      <c r="AB41" s="243"/>
      <c r="AC41" s="243"/>
      <c r="AD41" s="243"/>
    </row>
    <row r="42" ht="33.75" hidden="1" customHeight="1">
      <c r="A42" s="240" t="s">
        <v>105</v>
      </c>
      <c r="B42" s="249">
        <v>25.0</v>
      </c>
      <c r="C42" s="135" t="s">
        <v>3</v>
      </c>
      <c r="D42" s="241" t="s">
        <v>783</v>
      </c>
      <c r="E42" s="247" t="s">
        <v>26</v>
      </c>
      <c r="F42" s="247" t="s">
        <v>846</v>
      </c>
      <c r="G42" s="243"/>
      <c r="H42" s="243"/>
      <c r="I42" s="243"/>
      <c r="J42" s="243"/>
      <c r="K42" s="243"/>
      <c r="L42" s="243"/>
      <c r="M42" s="243"/>
      <c r="N42" s="243"/>
      <c r="O42" s="243"/>
      <c r="P42" s="243"/>
      <c r="Q42" s="243"/>
      <c r="R42" s="243"/>
      <c r="S42" s="243"/>
      <c r="T42" s="243"/>
      <c r="U42" s="243"/>
      <c r="V42" s="243"/>
      <c r="W42" s="243"/>
      <c r="X42" s="243"/>
      <c r="Y42" s="243"/>
      <c r="Z42" s="243"/>
      <c r="AA42" s="243"/>
      <c r="AB42" s="243"/>
      <c r="AC42" s="243"/>
      <c r="AD42" s="243"/>
    </row>
    <row r="43" ht="43.5" customHeight="1">
      <c r="A43" s="240" t="s">
        <v>113</v>
      </c>
      <c r="B43" s="249">
        <v>5.0</v>
      </c>
      <c r="C43" s="207" t="s">
        <v>8</v>
      </c>
      <c r="D43" s="240" t="s">
        <v>783</v>
      </c>
      <c r="E43" s="248" t="s">
        <v>847</v>
      </c>
      <c r="F43" s="248" t="s">
        <v>848</v>
      </c>
      <c r="G43" s="243"/>
      <c r="H43" s="243"/>
      <c r="I43" s="243"/>
      <c r="J43" s="243"/>
      <c r="K43" s="243"/>
      <c r="L43" s="243"/>
      <c r="M43" s="243"/>
      <c r="N43" s="243"/>
      <c r="O43" s="243"/>
      <c r="P43" s="243"/>
      <c r="Q43" s="243"/>
      <c r="R43" s="243"/>
      <c r="S43" s="243"/>
      <c r="T43" s="243"/>
      <c r="U43" s="243"/>
      <c r="V43" s="243"/>
      <c r="W43" s="243"/>
      <c r="X43" s="243"/>
      <c r="Y43" s="243"/>
      <c r="Z43" s="243"/>
      <c r="AA43" s="243"/>
      <c r="AB43" s="243"/>
      <c r="AC43" s="243"/>
      <c r="AD43" s="243"/>
    </row>
    <row r="44" ht="43.5" customHeight="1">
      <c r="A44" s="240" t="s">
        <v>113</v>
      </c>
      <c r="B44" s="249">
        <v>5.0</v>
      </c>
      <c r="C44" s="207" t="s">
        <v>8</v>
      </c>
      <c r="D44" s="240" t="s">
        <v>815</v>
      </c>
      <c r="E44" s="248" t="s">
        <v>833</v>
      </c>
      <c r="F44" s="250" t="s">
        <v>849</v>
      </c>
      <c r="G44" s="243"/>
      <c r="H44" s="243"/>
      <c r="I44" s="243"/>
      <c r="J44" s="243"/>
      <c r="K44" s="243"/>
      <c r="L44" s="243"/>
      <c r="M44" s="243"/>
      <c r="N44" s="243"/>
      <c r="O44" s="243"/>
      <c r="P44" s="243"/>
      <c r="Q44" s="243"/>
      <c r="R44" s="243"/>
      <c r="S44" s="243"/>
      <c r="T44" s="243"/>
      <c r="U44" s="243"/>
      <c r="V44" s="243"/>
      <c r="W44" s="243"/>
      <c r="X44" s="243"/>
      <c r="Y44" s="243"/>
      <c r="Z44" s="243"/>
      <c r="AA44" s="243"/>
      <c r="AB44" s="243"/>
      <c r="AC44" s="243"/>
      <c r="AD44" s="243"/>
    </row>
    <row r="45" ht="63.0" customHeight="1">
      <c r="A45" s="240" t="s">
        <v>113</v>
      </c>
      <c r="B45" s="249">
        <v>5.0</v>
      </c>
      <c r="C45" s="207" t="s">
        <v>8</v>
      </c>
      <c r="D45" s="240" t="s">
        <v>808</v>
      </c>
      <c r="E45" s="248" t="s">
        <v>850</v>
      </c>
      <c r="F45" s="250" t="s">
        <v>851</v>
      </c>
      <c r="G45" s="243"/>
      <c r="H45" s="243"/>
      <c r="I45" s="243"/>
      <c r="J45" s="243"/>
      <c r="K45" s="243"/>
      <c r="L45" s="243"/>
      <c r="M45" s="243"/>
      <c r="N45" s="243"/>
      <c r="O45" s="243"/>
      <c r="P45" s="243"/>
      <c r="Q45" s="243"/>
      <c r="R45" s="243"/>
      <c r="S45" s="243"/>
      <c r="T45" s="243"/>
      <c r="U45" s="243"/>
      <c r="V45" s="243"/>
      <c r="W45" s="243"/>
      <c r="X45" s="243"/>
      <c r="Y45" s="243"/>
      <c r="Z45" s="243"/>
      <c r="AA45" s="243"/>
      <c r="AB45" s="243"/>
      <c r="AC45" s="243"/>
      <c r="AD45" s="243"/>
    </row>
    <row r="46" ht="63.0" customHeight="1">
      <c r="A46" s="240" t="s">
        <v>113</v>
      </c>
      <c r="B46" s="249">
        <v>5.0</v>
      </c>
      <c r="C46" s="207" t="s">
        <v>8</v>
      </c>
      <c r="D46" s="240" t="s">
        <v>815</v>
      </c>
      <c r="E46" s="248" t="s">
        <v>833</v>
      </c>
      <c r="F46" s="250" t="s">
        <v>852</v>
      </c>
      <c r="G46" s="243"/>
      <c r="H46" s="243"/>
      <c r="I46" s="243"/>
      <c r="J46" s="243"/>
      <c r="K46" s="243"/>
      <c r="L46" s="243"/>
      <c r="M46" s="243"/>
      <c r="N46" s="243"/>
      <c r="O46" s="243"/>
      <c r="P46" s="243"/>
      <c r="Q46" s="243"/>
      <c r="R46" s="243"/>
      <c r="S46" s="243"/>
      <c r="T46" s="243"/>
      <c r="U46" s="243"/>
      <c r="V46" s="243"/>
      <c r="W46" s="243"/>
      <c r="X46" s="243"/>
      <c r="Y46" s="243"/>
      <c r="Z46" s="243"/>
      <c r="AA46" s="243"/>
      <c r="AB46" s="243"/>
      <c r="AC46" s="243"/>
      <c r="AD46" s="243"/>
    </row>
    <row r="47">
      <c r="A47" s="240" t="s">
        <v>115</v>
      </c>
      <c r="B47" s="249"/>
      <c r="C47" s="135" t="s">
        <v>0</v>
      </c>
      <c r="D47" s="241" t="s">
        <v>783</v>
      </c>
      <c r="E47" s="247" t="s">
        <v>853</v>
      </c>
      <c r="F47" s="248" t="s">
        <v>854</v>
      </c>
      <c r="G47" s="243"/>
      <c r="H47" s="243"/>
      <c r="I47" s="243"/>
      <c r="J47" s="243"/>
      <c r="K47" s="243"/>
      <c r="L47" s="243"/>
      <c r="M47" s="243"/>
      <c r="N47" s="243"/>
      <c r="O47" s="243"/>
      <c r="P47" s="243"/>
      <c r="Q47" s="243"/>
      <c r="R47" s="243"/>
      <c r="S47" s="243"/>
      <c r="T47" s="243"/>
      <c r="U47" s="243"/>
      <c r="V47" s="243"/>
      <c r="W47" s="243"/>
      <c r="X47" s="243"/>
      <c r="Y47" s="243"/>
      <c r="Z47" s="243"/>
      <c r="AA47" s="243"/>
      <c r="AB47" s="243"/>
      <c r="AC47" s="243"/>
      <c r="AD47" s="243"/>
    </row>
    <row r="48" ht="63.0" customHeight="1">
      <c r="A48" s="240" t="s">
        <v>115</v>
      </c>
      <c r="B48" s="249">
        <v>10.0</v>
      </c>
      <c r="C48" s="207" t="s">
        <v>8</v>
      </c>
      <c r="D48" s="240" t="s">
        <v>808</v>
      </c>
      <c r="E48" s="248" t="s">
        <v>850</v>
      </c>
      <c r="F48" s="250" t="s">
        <v>855</v>
      </c>
      <c r="G48" s="243"/>
      <c r="H48" s="243"/>
      <c r="I48" s="243"/>
      <c r="J48" s="243"/>
      <c r="K48" s="243"/>
      <c r="L48" s="243"/>
      <c r="M48" s="243"/>
      <c r="N48" s="243"/>
      <c r="O48" s="243"/>
      <c r="P48" s="243"/>
      <c r="Q48" s="243"/>
      <c r="R48" s="243"/>
      <c r="S48" s="243"/>
      <c r="T48" s="243"/>
      <c r="U48" s="243"/>
      <c r="V48" s="243"/>
      <c r="W48" s="243"/>
      <c r="X48" s="243"/>
      <c r="Y48" s="243"/>
      <c r="Z48" s="243"/>
      <c r="AA48" s="243"/>
      <c r="AB48" s="243"/>
      <c r="AC48" s="243"/>
      <c r="AD48" s="243"/>
    </row>
    <row r="49" ht="33.75" hidden="1" customHeight="1">
      <c r="A49" s="240"/>
      <c r="B49" s="249"/>
      <c r="C49" s="135"/>
      <c r="D49" s="241"/>
      <c r="E49" s="247"/>
      <c r="F49" s="248"/>
      <c r="G49" s="243"/>
      <c r="H49" s="243"/>
      <c r="I49" s="243"/>
      <c r="J49" s="243"/>
      <c r="K49" s="243"/>
      <c r="L49" s="243"/>
      <c r="M49" s="243"/>
      <c r="N49" s="243"/>
      <c r="O49" s="243"/>
      <c r="P49" s="243"/>
      <c r="Q49" s="243"/>
      <c r="R49" s="243"/>
      <c r="S49" s="243"/>
      <c r="T49" s="243"/>
      <c r="U49" s="243"/>
      <c r="V49" s="243"/>
      <c r="W49" s="243"/>
      <c r="X49" s="243"/>
      <c r="Y49" s="243"/>
      <c r="Z49" s="243"/>
      <c r="AA49" s="243"/>
      <c r="AB49" s="243"/>
      <c r="AC49" s="243"/>
      <c r="AD49" s="243"/>
    </row>
    <row r="50" ht="33.75" hidden="1" customHeight="1">
      <c r="A50" s="240"/>
      <c r="B50" s="249"/>
      <c r="C50" s="135"/>
      <c r="D50" s="241"/>
      <c r="E50" s="247"/>
      <c r="F50" s="248"/>
      <c r="G50" s="243"/>
      <c r="H50" s="243"/>
      <c r="I50" s="243"/>
      <c r="J50" s="243"/>
      <c r="K50" s="243"/>
      <c r="L50" s="243"/>
      <c r="M50" s="243"/>
      <c r="N50" s="243"/>
      <c r="O50" s="243"/>
      <c r="P50" s="243"/>
      <c r="Q50" s="243"/>
      <c r="R50" s="243"/>
      <c r="S50" s="243"/>
      <c r="T50" s="243"/>
      <c r="U50" s="243"/>
      <c r="V50" s="243"/>
      <c r="W50" s="243"/>
      <c r="X50" s="243"/>
      <c r="Y50" s="243"/>
      <c r="Z50" s="243"/>
      <c r="AA50" s="243"/>
      <c r="AB50" s="243"/>
      <c r="AC50" s="243"/>
      <c r="AD50" s="243"/>
    </row>
    <row r="51" ht="33.75" hidden="1" customHeight="1">
      <c r="A51" s="240"/>
      <c r="B51" s="249"/>
      <c r="C51" s="135"/>
      <c r="D51" s="241"/>
      <c r="E51" s="247"/>
      <c r="F51" s="248"/>
      <c r="G51" s="243"/>
      <c r="H51" s="243"/>
      <c r="I51" s="243"/>
      <c r="J51" s="243"/>
      <c r="K51" s="243"/>
      <c r="L51" s="243"/>
      <c r="M51" s="243"/>
      <c r="N51" s="243"/>
      <c r="O51" s="243"/>
      <c r="P51" s="243"/>
      <c r="Q51" s="243"/>
      <c r="R51" s="243"/>
      <c r="S51" s="243"/>
      <c r="T51" s="243"/>
      <c r="U51" s="243"/>
      <c r="V51" s="243"/>
      <c r="W51" s="243"/>
      <c r="X51" s="243"/>
      <c r="Y51" s="243"/>
      <c r="Z51" s="243"/>
      <c r="AA51" s="243"/>
      <c r="AB51" s="243"/>
      <c r="AC51" s="243"/>
      <c r="AD51" s="243"/>
    </row>
    <row r="52" ht="33.75" hidden="1" customHeight="1">
      <c r="A52" s="240"/>
      <c r="B52" s="249"/>
      <c r="C52" s="135"/>
      <c r="D52" s="241"/>
      <c r="E52" s="247"/>
      <c r="F52" s="248"/>
      <c r="G52" s="243"/>
      <c r="H52" s="243"/>
      <c r="I52" s="243"/>
      <c r="J52" s="243"/>
      <c r="K52" s="243"/>
      <c r="L52" s="243"/>
      <c r="M52" s="243"/>
      <c r="N52" s="243"/>
      <c r="O52" s="243"/>
      <c r="P52" s="243"/>
      <c r="Q52" s="243"/>
      <c r="R52" s="243"/>
      <c r="S52" s="243"/>
      <c r="T52" s="243"/>
      <c r="U52" s="243"/>
      <c r="V52" s="243"/>
      <c r="W52" s="243"/>
      <c r="X52" s="243"/>
      <c r="Y52" s="243"/>
      <c r="Z52" s="243"/>
      <c r="AA52" s="243"/>
      <c r="AB52" s="243"/>
      <c r="AC52" s="243"/>
      <c r="AD52" s="243"/>
    </row>
    <row r="53" ht="33.75" hidden="1" customHeight="1">
      <c r="A53" s="240"/>
      <c r="B53" s="249"/>
      <c r="C53" s="135"/>
      <c r="D53" s="241"/>
      <c r="E53" s="247"/>
      <c r="F53" s="248"/>
      <c r="G53" s="243"/>
      <c r="H53" s="243"/>
      <c r="I53" s="243"/>
      <c r="J53" s="243"/>
      <c r="K53" s="243"/>
      <c r="L53" s="243"/>
      <c r="M53" s="243"/>
      <c r="N53" s="243"/>
      <c r="O53" s="243"/>
      <c r="P53" s="243"/>
      <c r="Q53" s="243"/>
      <c r="R53" s="243"/>
      <c r="S53" s="243"/>
      <c r="T53" s="243"/>
      <c r="U53" s="243"/>
      <c r="V53" s="243"/>
      <c r="W53" s="243"/>
      <c r="X53" s="243"/>
      <c r="Y53" s="243"/>
      <c r="Z53" s="243"/>
      <c r="AA53" s="243"/>
      <c r="AB53" s="243"/>
      <c r="AC53" s="243"/>
      <c r="AD53" s="243"/>
    </row>
    <row r="54" ht="33.75" hidden="1" customHeight="1">
      <c r="A54" s="240"/>
      <c r="B54" s="249"/>
      <c r="C54" s="135"/>
      <c r="D54" s="241"/>
      <c r="E54" s="247"/>
      <c r="F54" s="248"/>
      <c r="G54" s="243"/>
      <c r="H54" s="243"/>
      <c r="I54" s="243"/>
      <c r="J54" s="243"/>
      <c r="K54" s="243"/>
      <c r="L54" s="243"/>
      <c r="M54" s="243"/>
      <c r="N54" s="243"/>
      <c r="O54" s="243"/>
      <c r="P54" s="243"/>
      <c r="Q54" s="243"/>
      <c r="R54" s="243"/>
      <c r="S54" s="243"/>
      <c r="T54" s="243"/>
      <c r="U54" s="243"/>
      <c r="V54" s="243"/>
      <c r="W54" s="243"/>
      <c r="X54" s="243"/>
      <c r="Y54" s="243"/>
      <c r="Z54" s="243"/>
      <c r="AA54" s="243"/>
      <c r="AB54" s="243"/>
      <c r="AC54" s="243"/>
      <c r="AD54" s="243"/>
    </row>
    <row r="55" ht="33.75" hidden="1" customHeight="1">
      <c r="A55" s="240"/>
      <c r="B55" s="249"/>
      <c r="C55" s="135"/>
      <c r="D55" s="241"/>
      <c r="E55" s="247"/>
      <c r="F55" s="248"/>
      <c r="G55" s="243"/>
      <c r="H55" s="243"/>
      <c r="I55" s="243"/>
      <c r="J55" s="243"/>
      <c r="K55" s="243"/>
      <c r="L55" s="243"/>
      <c r="M55" s="243"/>
      <c r="N55" s="243"/>
      <c r="O55" s="243"/>
      <c r="P55" s="243"/>
      <c r="Q55" s="243"/>
      <c r="R55" s="243"/>
      <c r="S55" s="243"/>
      <c r="T55" s="243"/>
      <c r="U55" s="243"/>
      <c r="V55" s="243"/>
      <c r="W55" s="243"/>
      <c r="X55" s="243"/>
      <c r="Y55" s="243"/>
      <c r="Z55" s="243"/>
      <c r="AA55" s="243"/>
      <c r="AB55" s="243"/>
      <c r="AC55" s="243"/>
      <c r="AD55" s="243"/>
    </row>
    <row r="56" ht="33.75" hidden="1" customHeight="1">
      <c r="A56" s="240"/>
      <c r="B56" s="249"/>
      <c r="C56" s="135"/>
      <c r="D56" s="241"/>
      <c r="E56" s="247"/>
      <c r="F56" s="248"/>
      <c r="G56" s="243"/>
      <c r="H56" s="243"/>
      <c r="I56" s="243"/>
      <c r="J56" s="243"/>
      <c r="K56" s="243"/>
      <c r="L56" s="243"/>
      <c r="M56" s="243"/>
      <c r="N56" s="243"/>
      <c r="O56" s="243"/>
      <c r="P56" s="243"/>
      <c r="Q56" s="243"/>
      <c r="R56" s="243"/>
      <c r="S56" s="243"/>
      <c r="T56" s="243"/>
      <c r="U56" s="243"/>
      <c r="V56" s="243"/>
      <c r="W56" s="243"/>
      <c r="X56" s="243"/>
      <c r="Y56" s="243"/>
      <c r="Z56" s="243"/>
      <c r="AA56" s="243"/>
      <c r="AB56" s="243"/>
      <c r="AC56" s="243"/>
      <c r="AD56" s="243"/>
    </row>
    <row r="57" ht="33.75" hidden="1" customHeight="1">
      <c r="A57" s="240"/>
      <c r="B57" s="249"/>
      <c r="C57" s="135"/>
      <c r="D57" s="241"/>
      <c r="E57" s="245"/>
      <c r="F57" s="248"/>
      <c r="G57" s="243"/>
      <c r="H57" s="243"/>
      <c r="I57" s="243"/>
      <c r="J57" s="243"/>
      <c r="K57" s="243"/>
      <c r="L57" s="243"/>
      <c r="M57" s="243"/>
      <c r="N57" s="243"/>
      <c r="O57" s="243"/>
      <c r="P57" s="243"/>
      <c r="Q57" s="243"/>
      <c r="R57" s="243"/>
      <c r="S57" s="243"/>
      <c r="T57" s="243"/>
      <c r="U57" s="243"/>
      <c r="V57" s="243"/>
      <c r="W57" s="243"/>
      <c r="X57" s="243"/>
      <c r="Y57" s="243"/>
      <c r="Z57" s="243"/>
      <c r="AA57" s="243"/>
      <c r="AB57" s="243"/>
      <c r="AC57" s="243"/>
      <c r="AD57" s="243"/>
    </row>
    <row r="58" ht="33.75" customHeight="1">
      <c r="A58" s="252"/>
      <c r="B58" s="252"/>
      <c r="C58" s="158"/>
      <c r="D58" s="253"/>
      <c r="E58" s="243"/>
      <c r="F58" s="243"/>
      <c r="G58" s="243"/>
      <c r="H58" s="243"/>
      <c r="I58" s="243"/>
      <c r="J58" s="243"/>
      <c r="K58" s="243"/>
      <c r="L58" s="243"/>
      <c r="M58" s="243"/>
      <c r="N58" s="243"/>
      <c r="O58" s="243"/>
      <c r="P58" s="243"/>
      <c r="Q58" s="243"/>
      <c r="R58" s="243"/>
      <c r="S58" s="243"/>
      <c r="T58" s="243"/>
      <c r="U58" s="243"/>
      <c r="V58" s="243"/>
      <c r="W58" s="243"/>
      <c r="X58" s="243"/>
      <c r="Y58" s="243"/>
      <c r="Z58" s="243"/>
      <c r="AA58" s="243"/>
      <c r="AB58" s="243"/>
      <c r="AC58" s="243"/>
      <c r="AD58" s="243"/>
    </row>
    <row r="59" ht="33.75" customHeight="1">
      <c r="A59" s="252"/>
      <c r="B59" s="252"/>
      <c r="C59" s="158"/>
      <c r="D59" s="253"/>
      <c r="E59" s="243"/>
      <c r="F59" s="243"/>
      <c r="G59" s="243"/>
      <c r="H59" s="243"/>
      <c r="I59" s="243"/>
      <c r="J59" s="243"/>
      <c r="K59" s="243"/>
      <c r="L59" s="243"/>
      <c r="M59" s="243"/>
      <c r="N59" s="243"/>
      <c r="O59" s="243"/>
      <c r="P59" s="243"/>
      <c r="Q59" s="243"/>
      <c r="R59" s="243"/>
      <c r="S59" s="243"/>
      <c r="T59" s="243"/>
      <c r="U59" s="243"/>
      <c r="V59" s="243"/>
      <c r="W59" s="243"/>
      <c r="X59" s="243"/>
      <c r="Y59" s="243"/>
      <c r="Z59" s="243"/>
      <c r="AA59" s="243"/>
      <c r="AB59" s="243"/>
      <c r="AC59" s="243"/>
      <c r="AD59" s="243"/>
    </row>
    <row r="60" ht="33.75" customHeight="1">
      <c r="A60" s="252"/>
      <c r="B60" s="252"/>
      <c r="C60" s="158"/>
      <c r="D60" s="253"/>
      <c r="E60" s="243"/>
      <c r="F60" s="243"/>
      <c r="G60" s="243"/>
      <c r="H60" s="243"/>
      <c r="I60" s="243"/>
      <c r="J60" s="243"/>
      <c r="K60" s="243"/>
      <c r="L60" s="243"/>
      <c r="M60" s="243"/>
      <c r="N60" s="243"/>
      <c r="O60" s="243"/>
      <c r="P60" s="243"/>
      <c r="Q60" s="243"/>
      <c r="R60" s="243"/>
      <c r="S60" s="243"/>
      <c r="T60" s="243"/>
      <c r="U60" s="243"/>
      <c r="V60" s="243"/>
      <c r="W60" s="243"/>
      <c r="X60" s="243"/>
      <c r="Y60" s="243"/>
      <c r="Z60" s="243"/>
      <c r="AA60" s="243"/>
      <c r="AB60" s="243"/>
      <c r="AC60" s="243"/>
      <c r="AD60" s="243"/>
    </row>
    <row r="61" ht="33.75" customHeight="1">
      <c r="A61" s="252"/>
      <c r="B61" s="252"/>
      <c r="C61" s="158"/>
      <c r="D61" s="253"/>
      <c r="E61" s="243"/>
      <c r="F61" s="243"/>
      <c r="G61" s="243"/>
      <c r="H61" s="243"/>
      <c r="I61" s="243"/>
      <c r="J61" s="243"/>
      <c r="K61" s="243"/>
      <c r="L61" s="243"/>
      <c r="M61" s="243"/>
      <c r="N61" s="243"/>
      <c r="O61" s="243"/>
      <c r="P61" s="243"/>
      <c r="Q61" s="243"/>
      <c r="R61" s="243"/>
      <c r="S61" s="243"/>
      <c r="T61" s="243"/>
      <c r="U61" s="243"/>
      <c r="V61" s="243"/>
      <c r="W61" s="243"/>
      <c r="X61" s="243"/>
      <c r="Y61" s="243"/>
      <c r="Z61" s="243"/>
      <c r="AA61" s="243"/>
      <c r="AB61" s="243"/>
      <c r="AC61" s="243"/>
      <c r="AD61" s="243"/>
    </row>
    <row r="62" ht="33.75" customHeight="1">
      <c r="A62" s="252"/>
      <c r="B62" s="252"/>
      <c r="C62" s="158"/>
      <c r="D62" s="253"/>
      <c r="E62" s="243"/>
      <c r="F62" s="243"/>
      <c r="G62" s="243"/>
      <c r="H62" s="243"/>
      <c r="I62" s="243"/>
      <c r="J62" s="243"/>
      <c r="K62" s="243"/>
      <c r="L62" s="243"/>
      <c r="M62" s="243"/>
      <c r="N62" s="243"/>
      <c r="O62" s="243"/>
      <c r="P62" s="243"/>
      <c r="Q62" s="243"/>
      <c r="R62" s="243"/>
      <c r="S62" s="243"/>
      <c r="T62" s="243"/>
      <c r="U62" s="243"/>
      <c r="V62" s="243"/>
      <c r="W62" s="243"/>
      <c r="X62" s="243"/>
      <c r="Y62" s="243"/>
      <c r="Z62" s="243"/>
      <c r="AA62" s="243"/>
      <c r="AB62" s="243"/>
      <c r="AC62" s="243"/>
      <c r="AD62" s="243"/>
    </row>
    <row r="63" ht="33.75" customHeight="1">
      <c r="A63" s="252"/>
      <c r="B63" s="252"/>
      <c r="C63" s="158"/>
      <c r="D63" s="253"/>
      <c r="E63" s="243"/>
      <c r="F63" s="243"/>
      <c r="G63" s="243"/>
      <c r="H63" s="243"/>
      <c r="I63" s="243"/>
      <c r="J63" s="243"/>
      <c r="K63" s="243"/>
      <c r="L63" s="243"/>
      <c r="M63" s="243"/>
      <c r="N63" s="243"/>
      <c r="O63" s="243"/>
      <c r="P63" s="243"/>
      <c r="Q63" s="243"/>
      <c r="R63" s="243"/>
      <c r="S63" s="243"/>
      <c r="T63" s="243"/>
      <c r="U63" s="243"/>
      <c r="V63" s="243"/>
      <c r="W63" s="243"/>
      <c r="X63" s="243"/>
      <c r="Y63" s="243"/>
      <c r="Z63" s="243"/>
      <c r="AA63" s="243"/>
      <c r="AB63" s="243"/>
      <c r="AC63" s="243"/>
      <c r="AD63" s="243"/>
    </row>
    <row r="64" ht="33.75" customHeight="1">
      <c r="A64" s="252"/>
      <c r="B64" s="252"/>
      <c r="C64" s="158"/>
      <c r="D64" s="253"/>
      <c r="E64" s="243"/>
      <c r="F64" s="243"/>
      <c r="G64" s="243"/>
      <c r="H64" s="243"/>
      <c r="I64" s="243"/>
      <c r="J64" s="243"/>
      <c r="K64" s="243"/>
      <c r="L64" s="243"/>
      <c r="M64" s="243"/>
      <c r="N64" s="243"/>
      <c r="O64" s="243"/>
      <c r="P64" s="243"/>
      <c r="Q64" s="243"/>
      <c r="R64" s="243"/>
      <c r="S64" s="243"/>
      <c r="T64" s="243"/>
      <c r="U64" s="243"/>
      <c r="V64" s="243"/>
      <c r="W64" s="243"/>
      <c r="X64" s="243"/>
      <c r="Y64" s="243"/>
      <c r="Z64" s="243"/>
      <c r="AA64" s="243"/>
      <c r="AB64" s="243"/>
      <c r="AC64" s="243"/>
      <c r="AD64" s="243"/>
    </row>
    <row r="65" ht="33.75" customHeight="1">
      <c r="A65" s="252"/>
      <c r="B65" s="252"/>
      <c r="C65" s="158"/>
      <c r="D65" s="253"/>
      <c r="E65" s="243"/>
      <c r="F65" s="243"/>
      <c r="G65" s="243"/>
      <c r="H65" s="243"/>
      <c r="I65" s="243"/>
      <c r="J65" s="243"/>
      <c r="K65" s="243"/>
      <c r="L65" s="243"/>
      <c r="M65" s="243"/>
      <c r="N65" s="243"/>
      <c r="O65" s="243"/>
      <c r="P65" s="243"/>
      <c r="Q65" s="243"/>
      <c r="R65" s="243"/>
      <c r="S65" s="243"/>
      <c r="T65" s="243"/>
      <c r="U65" s="243"/>
      <c r="V65" s="243"/>
      <c r="W65" s="243"/>
      <c r="X65" s="243"/>
      <c r="Y65" s="243"/>
      <c r="Z65" s="243"/>
      <c r="AA65" s="243"/>
      <c r="AB65" s="243"/>
      <c r="AC65" s="243"/>
      <c r="AD65" s="243"/>
    </row>
    <row r="66" ht="33.75" customHeight="1">
      <c r="A66" s="252"/>
      <c r="B66" s="252"/>
      <c r="C66" s="158"/>
      <c r="D66" s="253"/>
      <c r="E66" s="243"/>
      <c r="F66" s="243"/>
      <c r="G66" s="243"/>
      <c r="H66" s="243"/>
      <c r="I66" s="243"/>
      <c r="J66" s="243"/>
      <c r="K66" s="243"/>
      <c r="L66" s="243"/>
      <c r="M66" s="243"/>
      <c r="N66" s="243"/>
      <c r="O66" s="243"/>
      <c r="P66" s="243"/>
      <c r="Q66" s="243"/>
      <c r="R66" s="243"/>
      <c r="S66" s="243"/>
      <c r="T66" s="243"/>
      <c r="U66" s="243"/>
      <c r="V66" s="243"/>
      <c r="W66" s="243"/>
      <c r="X66" s="243"/>
      <c r="Y66" s="243"/>
      <c r="Z66" s="243"/>
      <c r="AA66" s="243"/>
      <c r="AB66" s="243"/>
      <c r="AC66" s="243"/>
      <c r="AD66" s="243"/>
    </row>
    <row r="67" ht="33.75" customHeight="1">
      <c r="A67" s="252"/>
      <c r="B67" s="252"/>
      <c r="C67" s="158"/>
      <c r="D67" s="253"/>
      <c r="E67" s="243"/>
      <c r="F67" s="243"/>
      <c r="G67" s="243"/>
      <c r="H67" s="243"/>
      <c r="I67" s="243"/>
      <c r="J67" s="243"/>
      <c r="K67" s="243"/>
      <c r="L67" s="243"/>
      <c r="M67" s="243"/>
      <c r="N67" s="243"/>
      <c r="O67" s="243"/>
      <c r="P67" s="243"/>
      <c r="Q67" s="243"/>
      <c r="R67" s="243"/>
      <c r="S67" s="243"/>
      <c r="T67" s="243"/>
      <c r="U67" s="243"/>
      <c r="V67" s="243"/>
      <c r="W67" s="243"/>
      <c r="X67" s="243"/>
      <c r="Y67" s="243"/>
      <c r="Z67" s="243"/>
      <c r="AA67" s="243"/>
      <c r="AB67" s="243"/>
      <c r="AC67" s="243"/>
      <c r="AD67" s="243"/>
    </row>
    <row r="68" ht="33.75" customHeight="1">
      <c r="A68" s="252"/>
      <c r="B68" s="252"/>
      <c r="C68" s="158"/>
      <c r="D68" s="253"/>
      <c r="E68" s="243"/>
      <c r="F68" s="243"/>
      <c r="G68" s="243"/>
      <c r="H68" s="243"/>
      <c r="I68" s="243"/>
      <c r="J68" s="243"/>
      <c r="K68" s="243"/>
      <c r="L68" s="243"/>
      <c r="M68" s="243"/>
      <c r="N68" s="243"/>
      <c r="O68" s="243"/>
      <c r="P68" s="243"/>
      <c r="Q68" s="243"/>
      <c r="R68" s="243"/>
      <c r="S68" s="243"/>
      <c r="T68" s="243"/>
      <c r="U68" s="243"/>
      <c r="V68" s="243"/>
      <c r="W68" s="243"/>
      <c r="X68" s="243"/>
      <c r="Y68" s="243"/>
      <c r="Z68" s="243"/>
      <c r="AA68" s="243"/>
      <c r="AB68" s="243"/>
      <c r="AC68" s="243"/>
      <c r="AD68" s="243"/>
    </row>
    <row r="69" ht="33.75" customHeight="1">
      <c r="A69" s="252"/>
      <c r="B69" s="252"/>
      <c r="C69" s="158"/>
      <c r="D69" s="253"/>
      <c r="E69" s="243"/>
      <c r="F69" s="243"/>
      <c r="G69" s="243"/>
      <c r="H69" s="243"/>
      <c r="I69" s="243"/>
      <c r="J69" s="243"/>
      <c r="K69" s="243"/>
      <c r="L69" s="243"/>
      <c r="M69" s="243"/>
      <c r="N69" s="243"/>
      <c r="O69" s="243"/>
      <c r="P69" s="243"/>
      <c r="Q69" s="243"/>
      <c r="R69" s="243"/>
      <c r="S69" s="243"/>
      <c r="T69" s="243"/>
      <c r="U69" s="243"/>
      <c r="V69" s="243"/>
      <c r="W69" s="243"/>
      <c r="X69" s="243"/>
      <c r="Y69" s="243"/>
      <c r="Z69" s="243"/>
      <c r="AA69" s="243"/>
      <c r="AB69" s="243"/>
      <c r="AC69" s="243"/>
      <c r="AD69" s="243"/>
    </row>
    <row r="70" ht="33.75" customHeight="1">
      <c r="A70" s="252"/>
      <c r="B70" s="252"/>
      <c r="C70" s="158"/>
      <c r="D70" s="253"/>
      <c r="E70" s="243"/>
      <c r="F70" s="243"/>
      <c r="G70" s="243"/>
      <c r="H70" s="243"/>
      <c r="I70" s="243"/>
      <c r="J70" s="243"/>
      <c r="K70" s="243"/>
      <c r="L70" s="243"/>
      <c r="M70" s="243"/>
      <c r="N70" s="243"/>
      <c r="O70" s="243"/>
      <c r="P70" s="243"/>
      <c r="Q70" s="243"/>
      <c r="R70" s="243"/>
      <c r="S70" s="243"/>
      <c r="T70" s="243"/>
      <c r="U70" s="243"/>
      <c r="V70" s="243"/>
      <c r="W70" s="243"/>
      <c r="X70" s="243"/>
      <c r="Y70" s="243"/>
      <c r="Z70" s="243"/>
      <c r="AA70" s="243"/>
      <c r="AB70" s="243"/>
      <c r="AC70" s="243"/>
      <c r="AD70" s="243"/>
    </row>
    <row r="71" ht="33.75" customHeight="1">
      <c r="A71" s="252"/>
      <c r="B71" s="252"/>
      <c r="C71" s="158"/>
      <c r="D71" s="253"/>
      <c r="E71" s="243"/>
      <c r="F71" s="243"/>
      <c r="G71" s="243"/>
      <c r="H71" s="243"/>
      <c r="I71" s="243"/>
      <c r="J71" s="243"/>
      <c r="K71" s="243"/>
      <c r="L71" s="243"/>
      <c r="M71" s="243"/>
      <c r="N71" s="243"/>
      <c r="O71" s="243"/>
      <c r="P71" s="243"/>
      <c r="Q71" s="243"/>
      <c r="R71" s="243"/>
      <c r="S71" s="243"/>
      <c r="T71" s="243"/>
      <c r="U71" s="243"/>
      <c r="V71" s="243"/>
      <c r="W71" s="243"/>
      <c r="X71" s="243"/>
      <c r="Y71" s="243"/>
      <c r="Z71" s="243"/>
      <c r="AA71" s="243"/>
      <c r="AB71" s="243"/>
      <c r="AC71" s="243"/>
      <c r="AD71" s="243"/>
    </row>
    <row r="72" ht="33.75" customHeight="1">
      <c r="A72" s="252"/>
      <c r="B72" s="252"/>
      <c r="C72" s="158"/>
      <c r="D72" s="253"/>
      <c r="E72" s="243"/>
      <c r="F72" s="243"/>
      <c r="G72" s="243"/>
      <c r="H72" s="243"/>
      <c r="I72" s="243"/>
      <c r="J72" s="243"/>
      <c r="K72" s="243"/>
      <c r="L72" s="243"/>
      <c r="M72" s="243"/>
      <c r="N72" s="243"/>
      <c r="O72" s="243"/>
      <c r="P72" s="243"/>
      <c r="Q72" s="243"/>
      <c r="R72" s="243"/>
      <c r="S72" s="243"/>
      <c r="T72" s="243"/>
      <c r="U72" s="243"/>
      <c r="V72" s="243"/>
      <c r="W72" s="243"/>
      <c r="X72" s="243"/>
      <c r="Y72" s="243"/>
      <c r="Z72" s="243"/>
      <c r="AA72" s="243"/>
      <c r="AB72" s="243"/>
      <c r="AC72" s="243"/>
      <c r="AD72" s="243"/>
    </row>
    <row r="73" ht="33.75" customHeight="1">
      <c r="A73" s="252"/>
      <c r="B73" s="252"/>
      <c r="C73" s="158"/>
      <c r="D73" s="253"/>
      <c r="E73" s="243"/>
      <c r="F73" s="243"/>
      <c r="G73" s="243"/>
      <c r="H73" s="243"/>
      <c r="I73" s="243"/>
      <c r="J73" s="243"/>
      <c r="K73" s="243"/>
      <c r="L73" s="243"/>
      <c r="M73" s="243"/>
      <c r="N73" s="243"/>
      <c r="O73" s="243"/>
      <c r="P73" s="243"/>
      <c r="Q73" s="243"/>
      <c r="R73" s="243"/>
      <c r="S73" s="243"/>
      <c r="T73" s="243"/>
      <c r="U73" s="243"/>
      <c r="V73" s="243"/>
      <c r="W73" s="243"/>
      <c r="X73" s="243"/>
      <c r="Y73" s="243"/>
      <c r="Z73" s="243"/>
      <c r="AA73" s="243"/>
      <c r="AB73" s="243"/>
      <c r="AC73" s="243"/>
      <c r="AD73" s="243"/>
    </row>
    <row r="74" ht="33.75" customHeight="1">
      <c r="A74" s="252"/>
      <c r="B74" s="252"/>
      <c r="C74" s="158"/>
      <c r="D74" s="253"/>
      <c r="E74" s="243"/>
      <c r="F74" s="243"/>
      <c r="G74" s="243"/>
      <c r="H74" s="243"/>
      <c r="I74" s="243"/>
      <c r="J74" s="243"/>
      <c r="K74" s="243"/>
      <c r="L74" s="243"/>
      <c r="M74" s="243"/>
      <c r="N74" s="243"/>
      <c r="O74" s="243"/>
      <c r="P74" s="243"/>
      <c r="Q74" s="243"/>
      <c r="R74" s="243"/>
      <c r="S74" s="243"/>
      <c r="T74" s="243"/>
      <c r="U74" s="243"/>
      <c r="V74" s="243"/>
      <c r="W74" s="243"/>
      <c r="X74" s="243"/>
      <c r="Y74" s="243"/>
      <c r="Z74" s="243"/>
      <c r="AA74" s="243"/>
      <c r="AB74" s="243"/>
      <c r="AC74" s="243"/>
      <c r="AD74" s="243"/>
    </row>
    <row r="75" ht="33.75" customHeight="1">
      <c r="A75" s="252"/>
      <c r="B75" s="252"/>
      <c r="C75" s="158"/>
      <c r="D75" s="253"/>
      <c r="E75" s="243"/>
      <c r="F75" s="243"/>
      <c r="G75" s="243"/>
      <c r="H75" s="243"/>
      <c r="I75" s="243"/>
      <c r="J75" s="243"/>
      <c r="K75" s="243"/>
      <c r="L75" s="243"/>
      <c r="M75" s="243"/>
      <c r="N75" s="243"/>
      <c r="O75" s="243"/>
      <c r="P75" s="243"/>
      <c r="Q75" s="243"/>
      <c r="R75" s="243"/>
      <c r="S75" s="243"/>
      <c r="T75" s="243"/>
      <c r="U75" s="243"/>
      <c r="V75" s="243"/>
      <c r="W75" s="243"/>
      <c r="X75" s="243"/>
      <c r="Y75" s="243"/>
      <c r="Z75" s="243"/>
      <c r="AA75" s="243"/>
      <c r="AB75" s="243"/>
      <c r="AC75" s="243"/>
      <c r="AD75" s="243"/>
    </row>
    <row r="76" ht="33.75" customHeight="1">
      <c r="A76" s="252"/>
      <c r="B76" s="252"/>
      <c r="C76" s="243"/>
      <c r="D76" s="252"/>
      <c r="E76" s="243"/>
      <c r="F76" s="243"/>
      <c r="G76" s="243"/>
      <c r="H76" s="243"/>
      <c r="I76" s="243"/>
      <c r="J76" s="243"/>
      <c r="K76" s="243"/>
      <c r="L76" s="243"/>
      <c r="M76" s="243"/>
      <c r="N76" s="243"/>
      <c r="O76" s="243"/>
      <c r="P76" s="243"/>
      <c r="Q76" s="243"/>
      <c r="R76" s="243"/>
      <c r="S76" s="243"/>
      <c r="T76" s="243"/>
      <c r="U76" s="243"/>
      <c r="V76" s="243"/>
      <c r="W76" s="243"/>
      <c r="X76" s="243"/>
      <c r="Y76" s="243"/>
      <c r="Z76" s="243"/>
      <c r="AA76" s="243"/>
      <c r="AB76" s="243"/>
      <c r="AC76" s="243"/>
      <c r="AD76" s="243"/>
    </row>
    <row r="77" ht="33.75" customHeight="1">
      <c r="A77" s="252"/>
      <c r="B77" s="252"/>
      <c r="C77" s="243"/>
      <c r="D77" s="252"/>
      <c r="E77" s="243"/>
      <c r="F77" s="243"/>
      <c r="G77" s="243"/>
      <c r="H77" s="243"/>
      <c r="I77" s="243"/>
      <c r="J77" s="243"/>
      <c r="K77" s="243"/>
      <c r="L77" s="243"/>
      <c r="M77" s="243"/>
      <c r="N77" s="243"/>
      <c r="O77" s="243"/>
      <c r="P77" s="243"/>
      <c r="Q77" s="243"/>
      <c r="R77" s="243"/>
      <c r="S77" s="243"/>
      <c r="T77" s="243"/>
      <c r="U77" s="243"/>
      <c r="V77" s="243"/>
      <c r="W77" s="243"/>
      <c r="X77" s="243"/>
      <c r="Y77" s="243"/>
      <c r="Z77" s="243"/>
      <c r="AA77" s="243"/>
      <c r="AB77" s="243"/>
      <c r="AC77" s="243"/>
      <c r="AD77" s="243"/>
    </row>
    <row r="78" ht="33.75" customHeight="1">
      <c r="A78" s="252"/>
      <c r="B78" s="252"/>
      <c r="C78" s="243"/>
      <c r="D78" s="252"/>
      <c r="E78" s="243"/>
      <c r="F78" s="243"/>
      <c r="G78" s="243"/>
      <c r="H78" s="243"/>
      <c r="I78" s="243"/>
      <c r="J78" s="243"/>
      <c r="K78" s="243"/>
      <c r="L78" s="243"/>
      <c r="M78" s="243"/>
      <c r="N78" s="243"/>
      <c r="O78" s="243"/>
      <c r="P78" s="243"/>
      <c r="Q78" s="243"/>
      <c r="R78" s="243"/>
      <c r="S78" s="243"/>
      <c r="T78" s="243"/>
      <c r="U78" s="243"/>
      <c r="V78" s="243"/>
      <c r="W78" s="243"/>
      <c r="X78" s="243"/>
      <c r="Y78" s="243"/>
      <c r="Z78" s="243"/>
      <c r="AA78" s="243"/>
      <c r="AB78" s="243"/>
      <c r="AC78" s="243"/>
      <c r="AD78" s="243"/>
    </row>
    <row r="79" ht="33.75" customHeight="1">
      <c r="A79" s="252"/>
      <c r="B79" s="252"/>
      <c r="C79" s="243"/>
      <c r="D79" s="252"/>
      <c r="E79" s="243"/>
      <c r="F79" s="243"/>
      <c r="G79" s="243"/>
      <c r="H79" s="243"/>
      <c r="I79" s="243"/>
      <c r="J79" s="243"/>
      <c r="K79" s="243"/>
      <c r="L79" s="243"/>
      <c r="M79" s="243"/>
      <c r="N79" s="243"/>
      <c r="O79" s="243"/>
      <c r="P79" s="243"/>
      <c r="Q79" s="243"/>
      <c r="R79" s="243"/>
      <c r="S79" s="243"/>
      <c r="T79" s="243"/>
      <c r="U79" s="243"/>
      <c r="V79" s="243"/>
      <c r="W79" s="243"/>
      <c r="X79" s="243"/>
      <c r="Y79" s="243"/>
      <c r="Z79" s="243"/>
      <c r="AA79" s="243"/>
      <c r="AB79" s="243"/>
      <c r="AC79" s="243"/>
      <c r="AD79" s="243"/>
    </row>
    <row r="80" ht="33.75" customHeight="1">
      <c r="A80" s="252"/>
      <c r="B80" s="252"/>
      <c r="C80" s="243"/>
      <c r="D80" s="252"/>
      <c r="E80" s="243"/>
      <c r="F80" s="243"/>
      <c r="G80" s="243"/>
      <c r="H80" s="243"/>
      <c r="I80" s="243"/>
      <c r="J80" s="243"/>
      <c r="K80" s="243"/>
      <c r="L80" s="243"/>
      <c r="M80" s="243"/>
      <c r="N80" s="243"/>
      <c r="O80" s="243"/>
      <c r="P80" s="243"/>
      <c r="Q80" s="243"/>
      <c r="R80" s="243"/>
      <c r="S80" s="243"/>
      <c r="T80" s="243"/>
      <c r="U80" s="243"/>
      <c r="V80" s="243"/>
      <c r="W80" s="243"/>
      <c r="X80" s="243"/>
      <c r="Y80" s="243"/>
      <c r="Z80" s="243"/>
      <c r="AA80" s="243"/>
      <c r="AB80" s="243"/>
      <c r="AC80" s="243"/>
      <c r="AD80" s="243"/>
    </row>
    <row r="81" ht="33.75" customHeight="1">
      <c r="A81" s="252"/>
      <c r="B81" s="252"/>
      <c r="C81" s="243"/>
      <c r="D81" s="252"/>
      <c r="E81" s="243"/>
      <c r="F81" s="243"/>
      <c r="G81" s="243"/>
      <c r="H81" s="243"/>
      <c r="I81" s="243"/>
      <c r="J81" s="243"/>
      <c r="K81" s="243"/>
      <c r="L81" s="243"/>
      <c r="M81" s="243"/>
      <c r="N81" s="243"/>
      <c r="O81" s="243"/>
      <c r="P81" s="243"/>
      <c r="Q81" s="243"/>
      <c r="R81" s="243"/>
      <c r="S81" s="243"/>
      <c r="T81" s="243"/>
      <c r="U81" s="243"/>
      <c r="V81" s="243"/>
      <c r="W81" s="243"/>
      <c r="X81" s="243"/>
      <c r="Y81" s="243"/>
      <c r="Z81" s="243"/>
      <c r="AA81" s="243"/>
      <c r="AB81" s="243"/>
      <c r="AC81" s="243"/>
      <c r="AD81" s="243"/>
    </row>
    <row r="82" ht="33.75" customHeight="1">
      <c r="A82" s="252"/>
      <c r="B82" s="252"/>
      <c r="C82" s="243"/>
      <c r="D82" s="252"/>
      <c r="E82" s="243"/>
      <c r="F82" s="243"/>
      <c r="G82" s="243"/>
      <c r="H82" s="243"/>
      <c r="I82" s="243"/>
      <c r="J82" s="243"/>
      <c r="K82" s="243"/>
      <c r="L82" s="243"/>
      <c r="M82" s="243"/>
      <c r="N82" s="243"/>
      <c r="O82" s="243"/>
      <c r="P82" s="243"/>
      <c r="Q82" s="243"/>
      <c r="R82" s="243"/>
      <c r="S82" s="243"/>
      <c r="T82" s="243"/>
      <c r="U82" s="243"/>
      <c r="V82" s="243"/>
      <c r="W82" s="243"/>
      <c r="X82" s="243"/>
      <c r="Y82" s="243"/>
      <c r="Z82" s="243"/>
      <c r="AA82" s="243"/>
      <c r="AB82" s="243"/>
      <c r="AC82" s="243"/>
      <c r="AD82" s="243"/>
    </row>
    <row r="83" ht="33.75" customHeight="1">
      <c r="A83" s="252"/>
      <c r="B83" s="252"/>
      <c r="C83" s="243"/>
      <c r="D83" s="252"/>
      <c r="E83" s="243"/>
      <c r="F83" s="243"/>
      <c r="G83" s="243"/>
      <c r="H83" s="243"/>
      <c r="I83" s="243"/>
      <c r="J83" s="243"/>
      <c r="K83" s="243"/>
      <c r="L83" s="243"/>
      <c r="M83" s="243"/>
      <c r="N83" s="243"/>
      <c r="O83" s="243"/>
      <c r="P83" s="243"/>
      <c r="Q83" s="243"/>
      <c r="R83" s="243"/>
      <c r="S83" s="243"/>
      <c r="T83" s="243"/>
      <c r="U83" s="243"/>
      <c r="V83" s="243"/>
      <c r="W83" s="243"/>
      <c r="X83" s="243"/>
      <c r="Y83" s="243"/>
      <c r="Z83" s="243"/>
      <c r="AA83" s="243"/>
      <c r="AB83" s="243"/>
      <c r="AC83" s="243"/>
      <c r="AD83" s="243"/>
    </row>
    <row r="84" ht="33.75" customHeight="1">
      <c r="A84" s="252"/>
      <c r="B84" s="252"/>
      <c r="C84" s="243"/>
      <c r="D84" s="252"/>
      <c r="E84" s="243"/>
      <c r="F84" s="243"/>
      <c r="G84" s="243"/>
      <c r="H84" s="243"/>
      <c r="I84" s="243"/>
      <c r="J84" s="243"/>
      <c r="K84" s="243"/>
      <c r="L84" s="243"/>
      <c r="M84" s="243"/>
      <c r="N84" s="243"/>
      <c r="O84" s="243"/>
      <c r="P84" s="243"/>
      <c r="Q84" s="243"/>
      <c r="R84" s="243"/>
      <c r="S84" s="243"/>
      <c r="T84" s="243"/>
      <c r="U84" s="243"/>
      <c r="V84" s="243"/>
      <c r="W84" s="243"/>
      <c r="X84" s="243"/>
      <c r="Y84" s="243"/>
      <c r="Z84" s="243"/>
      <c r="AA84" s="243"/>
      <c r="AB84" s="243"/>
      <c r="AC84" s="243"/>
      <c r="AD84" s="243"/>
    </row>
    <row r="85" ht="33.75" customHeight="1">
      <c r="A85" s="252"/>
      <c r="B85" s="252"/>
      <c r="C85" s="243"/>
      <c r="D85" s="252"/>
      <c r="E85" s="243"/>
      <c r="F85" s="243"/>
      <c r="G85" s="243"/>
      <c r="H85" s="243"/>
      <c r="I85" s="243"/>
      <c r="J85" s="243"/>
      <c r="K85" s="243"/>
      <c r="L85" s="243"/>
      <c r="M85" s="243"/>
      <c r="N85" s="243"/>
      <c r="O85" s="243"/>
      <c r="P85" s="243"/>
      <c r="Q85" s="243"/>
      <c r="R85" s="243"/>
      <c r="S85" s="243"/>
      <c r="T85" s="243"/>
      <c r="U85" s="243"/>
      <c r="V85" s="243"/>
      <c r="W85" s="243"/>
      <c r="X85" s="243"/>
      <c r="Y85" s="243"/>
      <c r="Z85" s="243"/>
      <c r="AA85" s="243"/>
      <c r="AB85" s="243"/>
      <c r="AC85" s="243"/>
      <c r="AD85" s="243"/>
    </row>
    <row r="86" ht="33.75" customHeight="1">
      <c r="A86" s="252"/>
      <c r="B86" s="252"/>
      <c r="C86" s="243"/>
      <c r="D86" s="252"/>
      <c r="E86" s="243"/>
      <c r="F86" s="243"/>
      <c r="G86" s="243"/>
      <c r="H86" s="243"/>
      <c r="I86" s="243"/>
      <c r="J86" s="243"/>
      <c r="K86" s="243"/>
      <c r="L86" s="243"/>
      <c r="M86" s="243"/>
      <c r="N86" s="243"/>
      <c r="O86" s="243"/>
      <c r="P86" s="243"/>
      <c r="Q86" s="243"/>
      <c r="R86" s="243"/>
      <c r="S86" s="243"/>
      <c r="T86" s="243"/>
      <c r="U86" s="243"/>
      <c r="V86" s="243"/>
      <c r="W86" s="243"/>
      <c r="X86" s="243"/>
      <c r="Y86" s="243"/>
      <c r="Z86" s="243"/>
      <c r="AA86" s="243"/>
      <c r="AB86" s="243"/>
      <c r="AC86" s="243"/>
      <c r="AD86" s="243"/>
    </row>
    <row r="87" ht="33.75" customHeight="1">
      <c r="A87" s="252"/>
      <c r="B87" s="252"/>
      <c r="C87" s="243"/>
      <c r="D87" s="252"/>
      <c r="E87" s="243"/>
      <c r="F87" s="243"/>
      <c r="G87" s="243"/>
      <c r="H87" s="243"/>
      <c r="I87" s="243"/>
      <c r="J87" s="243"/>
      <c r="K87" s="243"/>
      <c r="L87" s="243"/>
      <c r="M87" s="243"/>
      <c r="N87" s="243"/>
      <c r="O87" s="243"/>
      <c r="P87" s="243"/>
      <c r="Q87" s="243"/>
      <c r="R87" s="243"/>
      <c r="S87" s="243"/>
      <c r="T87" s="243"/>
      <c r="U87" s="243"/>
      <c r="V87" s="243"/>
      <c r="W87" s="243"/>
      <c r="X87" s="243"/>
      <c r="Y87" s="243"/>
      <c r="Z87" s="243"/>
      <c r="AA87" s="243"/>
      <c r="AB87" s="243"/>
      <c r="AC87" s="243"/>
      <c r="AD87" s="243"/>
    </row>
    <row r="88" ht="33.75" customHeight="1">
      <c r="A88" s="252"/>
      <c r="B88" s="252"/>
      <c r="C88" s="243"/>
      <c r="D88" s="252"/>
      <c r="E88" s="243"/>
      <c r="F88" s="243"/>
      <c r="G88" s="243"/>
      <c r="H88" s="243"/>
      <c r="I88" s="243"/>
      <c r="J88" s="243"/>
      <c r="K88" s="243"/>
      <c r="L88" s="243"/>
      <c r="M88" s="243"/>
      <c r="N88" s="243"/>
      <c r="O88" s="243"/>
      <c r="P88" s="243"/>
      <c r="Q88" s="243"/>
      <c r="R88" s="243"/>
      <c r="S88" s="243"/>
      <c r="T88" s="243"/>
      <c r="U88" s="243"/>
      <c r="V88" s="243"/>
      <c r="W88" s="243"/>
      <c r="X88" s="243"/>
      <c r="Y88" s="243"/>
      <c r="Z88" s="243"/>
      <c r="AA88" s="243"/>
      <c r="AB88" s="243"/>
      <c r="AC88" s="243"/>
      <c r="AD88" s="243"/>
    </row>
    <row r="89" ht="33.75" customHeight="1">
      <c r="A89" s="252"/>
      <c r="B89" s="252"/>
      <c r="C89" s="243"/>
      <c r="D89" s="252"/>
      <c r="E89" s="243"/>
      <c r="F89" s="243"/>
      <c r="G89" s="243"/>
      <c r="H89" s="243"/>
      <c r="I89" s="243"/>
      <c r="J89" s="243"/>
      <c r="K89" s="243"/>
      <c r="L89" s="243"/>
      <c r="M89" s="243"/>
      <c r="N89" s="243"/>
      <c r="O89" s="243"/>
      <c r="P89" s="243"/>
      <c r="Q89" s="243"/>
      <c r="R89" s="243"/>
      <c r="S89" s="243"/>
      <c r="T89" s="243"/>
      <c r="U89" s="243"/>
      <c r="V89" s="243"/>
      <c r="W89" s="243"/>
      <c r="X89" s="243"/>
      <c r="Y89" s="243"/>
      <c r="Z89" s="243"/>
      <c r="AA89" s="243"/>
      <c r="AB89" s="243"/>
      <c r="AC89" s="243"/>
      <c r="AD89" s="243"/>
    </row>
    <row r="90" ht="33.75" customHeight="1">
      <c r="A90" s="252"/>
      <c r="B90" s="252"/>
      <c r="C90" s="243"/>
      <c r="D90" s="252"/>
      <c r="E90" s="243"/>
      <c r="F90" s="243"/>
      <c r="G90" s="243"/>
      <c r="H90" s="243"/>
      <c r="I90" s="243"/>
      <c r="J90" s="243"/>
      <c r="K90" s="243"/>
      <c r="L90" s="243"/>
      <c r="M90" s="243"/>
      <c r="N90" s="243"/>
      <c r="O90" s="243"/>
      <c r="P90" s="243"/>
      <c r="Q90" s="243"/>
      <c r="R90" s="243"/>
      <c r="S90" s="243"/>
      <c r="T90" s="243"/>
      <c r="U90" s="243"/>
      <c r="V90" s="243"/>
      <c r="W90" s="243"/>
      <c r="X90" s="243"/>
      <c r="Y90" s="243"/>
      <c r="Z90" s="243"/>
      <c r="AA90" s="243"/>
      <c r="AB90" s="243"/>
      <c r="AC90" s="243"/>
      <c r="AD90" s="243"/>
    </row>
    <row r="91" ht="33.75" customHeight="1">
      <c r="A91" s="252"/>
      <c r="B91" s="252"/>
      <c r="C91" s="243"/>
      <c r="D91" s="252"/>
      <c r="E91" s="243"/>
      <c r="F91" s="243"/>
      <c r="G91" s="243"/>
      <c r="H91" s="243"/>
      <c r="I91" s="243"/>
      <c r="J91" s="243"/>
      <c r="K91" s="243"/>
      <c r="L91" s="243"/>
      <c r="M91" s="243"/>
      <c r="N91" s="243"/>
      <c r="O91" s="243"/>
      <c r="P91" s="243"/>
      <c r="Q91" s="243"/>
      <c r="R91" s="243"/>
      <c r="S91" s="243"/>
      <c r="T91" s="243"/>
      <c r="U91" s="243"/>
      <c r="V91" s="243"/>
      <c r="W91" s="243"/>
      <c r="X91" s="243"/>
      <c r="Y91" s="243"/>
      <c r="Z91" s="243"/>
      <c r="AA91" s="243"/>
      <c r="AB91" s="243"/>
      <c r="AC91" s="243"/>
      <c r="AD91" s="243"/>
    </row>
    <row r="92" ht="33.75" customHeight="1">
      <c r="A92" s="252"/>
      <c r="B92" s="252"/>
      <c r="C92" s="243"/>
      <c r="D92" s="252"/>
      <c r="E92" s="243"/>
      <c r="F92" s="243"/>
      <c r="G92" s="243"/>
      <c r="H92" s="243"/>
      <c r="I92" s="243"/>
      <c r="J92" s="243"/>
      <c r="K92" s="243"/>
      <c r="L92" s="243"/>
      <c r="M92" s="243"/>
      <c r="N92" s="243"/>
      <c r="O92" s="243"/>
      <c r="P92" s="243"/>
      <c r="Q92" s="243"/>
      <c r="R92" s="243"/>
      <c r="S92" s="243"/>
      <c r="T92" s="243"/>
      <c r="U92" s="243"/>
      <c r="V92" s="243"/>
      <c r="W92" s="243"/>
      <c r="X92" s="243"/>
      <c r="Y92" s="243"/>
      <c r="Z92" s="243"/>
      <c r="AA92" s="243"/>
      <c r="AB92" s="243"/>
      <c r="AC92" s="243"/>
      <c r="AD92" s="243"/>
    </row>
    <row r="93" ht="33.75" customHeight="1">
      <c r="A93" s="252"/>
      <c r="B93" s="252"/>
      <c r="C93" s="243"/>
      <c r="D93" s="252"/>
      <c r="E93" s="243"/>
      <c r="F93" s="243"/>
      <c r="G93" s="243"/>
      <c r="H93" s="243"/>
      <c r="I93" s="243"/>
      <c r="J93" s="243"/>
      <c r="K93" s="243"/>
      <c r="L93" s="243"/>
      <c r="M93" s="243"/>
      <c r="N93" s="243"/>
      <c r="O93" s="243"/>
      <c r="P93" s="243"/>
      <c r="Q93" s="243"/>
      <c r="R93" s="243"/>
      <c r="S93" s="243"/>
      <c r="T93" s="243"/>
      <c r="U93" s="243"/>
      <c r="V93" s="243"/>
      <c r="W93" s="243"/>
      <c r="X93" s="243"/>
      <c r="Y93" s="243"/>
      <c r="Z93" s="243"/>
      <c r="AA93" s="243"/>
      <c r="AB93" s="243"/>
      <c r="AC93" s="243"/>
      <c r="AD93" s="243"/>
    </row>
    <row r="94" ht="33.75" customHeight="1">
      <c r="A94" s="252"/>
      <c r="B94" s="252"/>
      <c r="C94" s="243"/>
      <c r="D94" s="252"/>
      <c r="E94" s="243"/>
      <c r="F94" s="243"/>
      <c r="G94" s="243"/>
      <c r="H94" s="243"/>
      <c r="I94" s="243"/>
      <c r="J94" s="243"/>
      <c r="K94" s="243"/>
      <c r="L94" s="243"/>
      <c r="M94" s="243"/>
      <c r="N94" s="243"/>
      <c r="O94" s="243"/>
      <c r="P94" s="243"/>
      <c r="Q94" s="243"/>
      <c r="R94" s="243"/>
      <c r="S94" s="243"/>
      <c r="T94" s="243"/>
      <c r="U94" s="243"/>
      <c r="V94" s="243"/>
      <c r="W94" s="243"/>
      <c r="X94" s="243"/>
      <c r="Y94" s="243"/>
      <c r="Z94" s="243"/>
      <c r="AA94" s="243"/>
      <c r="AB94" s="243"/>
      <c r="AC94" s="243"/>
      <c r="AD94" s="243"/>
    </row>
    <row r="95" ht="33.75" customHeight="1">
      <c r="A95" s="252"/>
      <c r="B95" s="252"/>
      <c r="C95" s="243"/>
      <c r="D95" s="252"/>
      <c r="E95" s="243"/>
      <c r="F95" s="243"/>
      <c r="G95" s="243"/>
      <c r="H95" s="243"/>
      <c r="I95" s="243"/>
      <c r="J95" s="243"/>
      <c r="K95" s="243"/>
      <c r="L95" s="243"/>
      <c r="M95" s="243"/>
      <c r="N95" s="243"/>
      <c r="O95" s="243"/>
      <c r="P95" s="243"/>
      <c r="Q95" s="243"/>
      <c r="R95" s="243"/>
      <c r="S95" s="243"/>
      <c r="T95" s="243"/>
      <c r="U95" s="243"/>
      <c r="V95" s="243"/>
      <c r="W95" s="243"/>
      <c r="X95" s="243"/>
      <c r="Y95" s="243"/>
      <c r="Z95" s="243"/>
      <c r="AA95" s="243"/>
      <c r="AB95" s="243"/>
      <c r="AC95" s="243"/>
      <c r="AD95" s="243"/>
    </row>
    <row r="96" ht="33.75" customHeight="1">
      <c r="A96" s="252"/>
      <c r="B96" s="252"/>
      <c r="C96" s="243"/>
      <c r="D96" s="252"/>
      <c r="E96" s="243"/>
      <c r="F96" s="243"/>
      <c r="G96" s="243"/>
      <c r="H96" s="243"/>
      <c r="I96" s="243"/>
      <c r="J96" s="243"/>
      <c r="K96" s="243"/>
      <c r="L96" s="243"/>
      <c r="M96" s="243"/>
      <c r="N96" s="243"/>
      <c r="O96" s="243"/>
      <c r="P96" s="243"/>
      <c r="Q96" s="243"/>
      <c r="R96" s="243"/>
      <c r="S96" s="243"/>
      <c r="T96" s="243"/>
      <c r="U96" s="243"/>
      <c r="V96" s="243"/>
      <c r="W96" s="243"/>
      <c r="X96" s="243"/>
      <c r="Y96" s="243"/>
      <c r="Z96" s="243"/>
      <c r="AA96" s="243"/>
      <c r="AB96" s="243"/>
      <c r="AC96" s="243"/>
      <c r="AD96" s="243"/>
    </row>
    <row r="97" ht="33.75" customHeight="1">
      <c r="A97" s="252"/>
      <c r="B97" s="252"/>
      <c r="C97" s="243"/>
      <c r="D97" s="252"/>
      <c r="E97" s="243"/>
      <c r="F97" s="243"/>
      <c r="G97" s="243"/>
      <c r="H97" s="243"/>
      <c r="I97" s="243"/>
      <c r="J97" s="243"/>
      <c r="K97" s="243"/>
      <c r="L97" s="243"/>
      <c r="M97" s="243"/>
      <c r="N97" s="243"/>
      <c r="O97" s="243"/>
      <c r="P97" s="243"/>
      <c r="Q97" s="243"/>
      <c r="R97" s="243"/>
      <c r="S97" s="243"/>
      <c r="T97" s="243"/>
      <c r="U97" s="243"/>
      <c r="V97" s="243"/>
      <c r="W97" s="243"/>
      <c r="X97" s="243"/>
      <c r="Y97" s="243"/>
      <c r="Z97" s="243"/>
      <c r="AA97" s="243"/>
      <c r="AB97" s="243"/>
      <c r="AC97" s="243"/>
      <c r="AD97" s="243"/>
    </row>
    <row r="98" ht="33.75" customHeight="1">
      <c r="A98" s="252"/>
      <c r="B98" s="252"/>
      <c r="C98" s="243"/>
      <c r="D98" s="252"/>
      <c r="E98" s="243"/>
      <c r="F98" s="243"/>
      <c r="G98" s="243"/>
      <c r="H98" s="243"/>
      <c r="I98" s="243"/>
      <c r="J98" s="243"/>
      <c r="K98" s="243"/>
      <c r="L98" s="243"/>
      <c r="M98" s="243"/>
      <c r="N98" s="243"/>
      <c r="O98" s="243"/>
      <c r="P98" s="243"/>
      <c r="Q98" s="243"/>
      <c r="R98" s="243"/>
      <c r="S98" s="243"/>
      <c r="T98" s="243"/>
      <c r="U98" s="243"/>
      <c r="V98" s="243"/>
      <c r="W98" s="243"/>
      <c r="X98" s="243"/>
      <c r="Y98" s="243"/>
      <c r="Z98" s="243"/>
      <c r="AA98" s="243"/>
      <c r="AB98" s="243"/>
      <c r="AC98" s="243"/>
      <c r="AD98" s="243"/>
    </row>
    <row r="99" ht="33.75" customHeight="1">
      <c r="A99" s="252"/>
      <c r="B99" s="252"/>
      <c r="C99" s="243"/>
      <c r="D99" s="252"/>
      <c r="E99" s="243"/>
      <c r="F99" s="243"/>
      <c r="G99" s="243"/>
      <c r="H99" s="243"/>
      <c r="I99" s="243"/>
      <c r="J99" s="243"/>
      <c r="K99" s="243"/>
      <c r="L99" s="243"/>
      <c r="M99" s="243"/>
      <c r="N99" s="243"/>
      <c r="O99" s="243"/>
      <c r="P99" s="243"/>
      <c r="Q99" s="243"/>
      <c r="R99" s="243"/>
      <c r="S99" s="243"/>
      <c r="T99" s="243"/>
      <c r="U99" s="243"/>
      <c r="V99" s="243"/>
      <c r="W99" s="243"/>
      <c r="X99" s="243"/>
      <c r="Y99" s="243"/>
      <c r="Z99" s="243"/>
      <c r="AA99" s="243"/>
      <c r="AB99" s="243"/>
      <c r="AC99" s="243"/>
      <c r="AD99" s="243"/>
    </row>
    <row r="100" ht="33.75" customHeight="1">
      <c r="A100" s="252"/>
      <c r="B100" s="252"/>
      <c r="C100" s="243"/>
      <c r="D100" s="252"/>
      <c r="E100" s="243"/>
      <c r="F100" s="243"/>
      <c r="G100" s="243"/>
      <c r="H100" s="243"/>
      <c r="I100" s="243"/>
      <c r="J100" s="243"/>
      <c r="K100" s="243"/>
      <c r="L100" s="243"/>
      <c r="M100" s="243"/>
      <c r="N100" s="243"/>
      <c r="O100" s="243"/>
      <c r="P100" s="243"/>
      <c r="Q100" s="243"/>
      <c r="R100" s="243"/>
      <c r="S100" s="243"/>
      <c r="T100" s="243"/>
      <c r="U100" s="243"/>
      <c r="V100" s="243"/>
      <c r="W100" s="243"/>
      <c r="X100" s="243"/>
      <c r="Y100" s="243"/>
      <c r="Z100" s="243"/>
      <c r="AA100" s="243"/>
      <c r="AB100" s="243"/>
      <c r="AC100" s="243"/>
      <c r="AD100" s="243"/>
    </row>
    <row r="101" ht="33.75" customHeight="1">
      <c r="A101" s="252"/>
      <c r="B101" s="252"/>
      <c r="C101" s="243"/>
      <c r="D101" s="252"/>
      <c r="E101" s="243"/>
      <c r="F101" s="243"/>
      <c r="G101" s="243"/>
      <c r="H101" s="243"/>
      <c r="I101" s="243"/>
      <c r="J101" s="243"/>
      <c r="K101" s="243"/>
      <c r="L101" s="243"/>
      <c r="M101" s="243"/>
      <c r="N101" s="243"/>
      <c r="O101" s="243"/>
      <c r="P101" s="243"/>
      <c r="Q101" s="243"/>
      <c r="R101" s="243"/>
      <c r="S101" s="243"/>
      <c r="T101" s="243"/>
      <c r="U101" s="243"/>
      <c r="V101" s="243"/>
      <c r="W101" s="243"/>
      <c r="X101" s="243"/>
      <c r="Y101" s="243"/>
      <c r="Z101" s="243"/>
      <c r="AA101" s="243"/>
      <c r="AB101" s="243"/>
      <c r="AC101" s="243"/>
      <c r="AD101" s="243"/>
    </row>
    <row r="102" ht="33.75" customHeight="1">
      <c r="A102" s="252"/>
      <c r="B102" s="252"/>
      <c r="C102" s="243"/>
      <c r="D102" s="252"/>
      <c r="E102" s="243"/>
      <c r="F102" s="243"/>
      <c r="G102" s="243"/>
      <c r="H102" s="243"/>
      <c r="I102" s="243"/>
      <c r="J102" s="243"/>
      <c r="K102" s="243"/>
      <c r="L102" s="243"/>
      <c r="M102" s="243"/>
      <c r="N102" s="243"/>
      <c r="O102" s="243"/>
      <c r="P102" s="243"/>
      <c r="Q102" s="243"/>
      <c r="R102" s="243"/>
      <c r="S102" s="243"/>
      <c r="T102" s="243"/>
      <c r="U102" s="243"/>
      <c r="V102" s="243"/>
      <c r="W102" s="243"/>
      <c r="X102" s="243"/>
      <c r="Y102" s="243"/>
      <c r="Z102" s="243"/>
      <c r="AA102" s="243"/>
      <c r="AB102" s="243"/>
      <c r="AC102" s="243"/>
      <c r="AD102" s="243"/>
    </row>
    <row r="103" ht="33.75" customHeight="1">
      <c r="A103" s="252"/>
      <c r="B103" s="252"/>
      <c r="C103" s="243"/>
      <c r="D103" s="252"/>
      <c r="E103" s="243"/>
      <c r="F103" s="243"/>
      <c r="G103" s="243"/>
      <c r="H103" s="243"/>
      <c r="I103" s="243"/>
      <c r="J103" s="243"/>
      <c r="K103" s="243"/>
      <c r="L103" s="243"/>
      <c r="M103" s="243"/>
      <c r="N103" s="243"/>
      <c r="O103" s="243"/>
      <c r="P103" s="243"/>
      <c r="Q103" s="243"/>
      <c r="R103" s="243"/>
      <c r="S103" s="243"/>
      <c r="T103" s="243"/>
      <c r="U103" s="243"/>
      <c r="V103" s="243"/>
      <c r="W103" s="243"/>
      <c r="X103" s="243"/>
      <c r="Y103" s="243"/>
      <c r="Z103" s="243"/>
      <c r="AA103" s="243"/>
      <c r="AB103" s="243"/>
      <c r="AC103" s="243"/>
      <c r="AD103" s="243"/>
    </row>
    <row r="104" ht="33.75" customHeight="1">
      <c r="A104" s="252"/>
      <c r="B104" s="252"/>
      <c r="C104" s="243"/>
      <c r="D104" s="252"/>
      <c r="E104" s="243"/>
      <c r="F104" s="243"/>
      <c r="G104" s="243"/>
      <c r="H104" s="243"/>
      <c r="I104" s="243"/>
      <c r="J104" s="243"/>
      <c r="K104" s="243"/>
      <c r="L104" s="243"/>
      <c r="M104" s="243"/>
      <c r="N104" s="243"/>
      <c r="O104" s="243"/>
      <c r="P104" s="243"/>
      <c r="Q104" s="243"/>
      <c r="R104" s="243"/>
      <c r="S104" s="243"/>
      <c r="T104" s="243"/>
      <c r="U104" s="243"/>
      <c r="V104" s="243"/>
      <c r="W104" s="243"/>
      <c r="X104" s="243"/>
      <c r="Y104" s="243"/>
      <c r="Z104" s="243"/>
      <c r="AA104" s="243"/>
      <c r="AB104" s="243"/>
      <c r="AC104" s="243"/>
      <c r="AD104" s="243"/>
    </row>
    <row r="105" ht="33.75" customHeight="1">
      <c r="A105" s="252"/>
      <c r="B105" s="252"/>
      <c r="C105" s="243"/>
      <c r="D105" s="252"/>
      <c r="E105" s="243"/>
      <c r="F105" s="243"/>
      <c r="G105" s="243"/>
      <c r="H105" s="243"/>
      <c r="I105" s="243"/>
      <c r="J105" s="243"/>
      <c r="K105" s="243"/>
      <c r="L105" s="243"/>
      <c r="M105" s="243"/>
      <c r="N105" s="243"/>
      <c r="O105" s="243"/>
      <c r="P105" s="243"/>
      <c r="Q105" s="243"/>
      <c r="R105" s="243"/>
      <c r="S105" s="243"/>
      <c r="T105" s="243"/>
      <c r="U105" s="243"/>
      <c r="V105" s="243"/>
      <c r="W105" s="243"/>
      <c r="X105" s="243"/>
      <c r="Y105" s="243"/>
      <c r="Z105" s="243"/>
      <c r="AA105" s="243"/>
      <c r="AB105" s="243"/>
      <c r="AC105" s="243"/>
      <c r="AD105" s="243"/>
    </row>
    <row r="106" ht="33.75" customHeight="1">
      <c r="A106" s="252"/>
      <c r="B106" s="252"/>
      <c r="C106" s="243"/>
      <c r="D106" s="252"/>
      <c r="E106" s="243"/>
      <c r="F106" s="243"/>
      <c r="G106" s="243"/>
      <c r="H106" s="243"/>
      <c r="I106" s="243"/>
      <c r="J106" s="243"/>
      <c r="K106" s="243"/>
      <c r="L106" s="243"/>
      <c r="M106" s="243"/>
      <c r="N106" s="243"/>
      <c r="O106" s="243"/>
      <c r="P106" s="243"/>
      <c r="Q106" s="243"/>
      <c r="R106" s="243"/>
      <c r="S106" s="243"/>
      <c r="T106" s="243"/>
      <c r="U106" s="243"/>
      <c r="V106" s="243"/>
      <c r="W106" s="243"/>
      <c r="X106" s="243"/>
      <c r="Y106" s="243"/>
      <c r="Z106" s="243"/>
      <c r="AA106" s="243"/>
      <c r="AB106" s="243"/>
      <c r="AC106" s="243"/>
      <c r="AD106" s="243"/>
    </row>
    <row r="107" ht="33.75" customHeight="1">
      <c r="A107" s="252"/>
      <c r="B107" s="252"/>
      <c r="C107" s="243"/>
      <c r="D107" s="252"/>
      <c r="E107" s="243"/>
      <c r="F107" s="243"/>
      <c r="G107" s="243"/>
      <c r="H107" s="243"/>
      <c r="I107" s="243"/>
      <c r="J107" s="243"/>
      <c r="K107" s="243"/>
      <c r="L107" s="243"/>
      <c r="M107" s="243"/>
      <c r="N107" s="243"/>
      <c r="O107" s="243"/>
      <c r="P107" s="243"/>
      <c r="Q107" s="243"/>
      <c r="R107" s="243"/>
      <c r="S107" s="243"/>
      <c r="T107" s="243"/>
      <c r="U107" s="243"/>
      <c r="V107" s="243"/>
      <c r="W107" s="243"/>
      <c r="X107" s="243"/>
      <c r="Y107" s="243"/>
      <c r="Z107" s="243"/>
      <c r="AA107" s="243"/>
      <c r="AB107" s="243"/>
      <c r="AC107" s="243"/>
      <c r="AD107" s="243"/>
    </row>
    <row r="108" ht="33.75" customHeight="1">
      <c r="A108" s="252"/>
      <c r="B108" s="252"/>
      <c r="C108" s="243"/>
      <c r="D108" s="252"/>
      <c r="E108" s="243"/>
      <c r="F108" s="243"/>
      <c r="G108" s="243"/>
      <c r="H108" s="243"/>
      <c r="I108" s="243"/>
      <c r="J108" s="243"/>
      <c r="K108" s="243"/>
      <c r="L108" s="243"/>
      <c r="M108" s="243"/>
      <c r="N108" s="243"/>
      <c r="O108" s="243"/>
      <c r="P108" s="243"/>
      <c r="Q108" s="243"/>
      <c r="R108" s="243"/>
      <c r="S108" s="243"/>
      <c r="T108" s="243"/>
      <c r="U108" s="243"/>
      <c r="V108" s="243"/>
      <c r="W108" s="243"/>
      <c r="X108" s="243"/>
      <c r="Y108" s="243"/>
      <c r="Z108" s="243"/>
      <c r="AA108" s="243"/>
      <c r="AB108" s="243"/>
      <c r="AC108" s="243"/>
      <c r="AD108" s="243"/>
    </row>
    <row r="109" ht="33.75" customHeight="1">
      <c r="A109" s="252"/>
      <c r="B109" s="252"/>
      <c r="C109" s="243"/>
      <c r="D109" s="252"/>
      <c r="E109" s="243"/>
      <c r="F109" s="243"/>
      <c r="G109" s="243"/>
      <c r="H109" s="243"/>
      <c r="I109" s="243"/>
      <c r="J109" s="243"/>
      <c r="K109" s="243"/>
      <c r="L109" s="243"/>
      <c r="M109" s="243"/>
      <c r="N109" s="243"/>
      <c r="O109" s="243"/>
      <c r="P109" s="243"/>
      <c r="Q109" s="243"/>
      <c r="R109" s="243"/>
      <c r="S109" s="243"/>
      <c r="T109" s="243"/>
      <c r="U109" s="243"/>
      <c r="V109" s="243"/>
      <c r="W109" s="243"/>
      <c r="X109" s="243"/>
      <c r="Y109" s="243"/>
      <c r="Z109" s="243"/>
      <c r="AA109" s="243"/>
      <c r="AB109" s="243"/>
      <c r="AC109" s="243"/>
      <c r="AD109" s="243"/>
    </row>
    <row r="110" ht="33.75" customHeight="1">
      <c r="A110" s="252"/>
      <c r="B110" s="252"/>
      <c r="C110" s="243"/>
      <c r="D110" s="252"/>
      <c r="E110" s="243"/>
      <c r="F110" s="243"/>
      <c r="G110" s="243"/>
      <c r="H110" s="243"/>
      <c r="I110" s="243"/>
      <c r="J110" s="243"/>
      <c r="K110" s="243"/>
      <c r="L110" s="243"/>
      <c r="M110" s="243"/>
      <c r="N110" s="243"/>
      <c r="O110" s="243"/>
      <c r="P110" s="243"/>
      <c r="Q110" s="243"/>
      <c r="R110" s="243"/>
      <c r="S110" s="243"/>
      <c r="T110" s="243"/>
      <c r="U110" s="243"/>
      <c r="V110" s="243"/>
      <c r="W110" s="243"/>
      <c r="X110" s="243"/>
      <c r="Y110" s="243"/>
      <c r="Z110" s="243"/>
      <c r="AA110" s="243"/>
      <c r="AB110" s="243"/>
      <c r="AC110" s="243"/>
      <c r="AD110" s="243"/>
    </row>
    <row r="111" ht="33.75" customHeight="1">
      <c r="A111" s="252"/>
      <c r="B111" s="252"/>
      <c r="C111" s="243"/>
      <c r="D111" s="252"/>
      <c r="E111" s="243"/>
      <c r="F111" s="243"/>
      <c r="G111" s="243"/>
      <c r="H111" s="243"/>
      <c r="I111" s="243"/>
      <c r="J111" s="243"/>
      <c r="K111" s="243"/>
      <c r="L111" s="243"/>
      <c r="M111" s="243"/>
      <c r="N111" s="243"/>
      <c r="O111" s="243"/>
      <c r="P111" s="243"/>
      <c r="Q111" s="243"/>
      <c r="R111" s="243"/>
      <c r="S111" s="243"/>
      <c r="T111" s="243"/>
      <c r="U111" s="243"/>
      <c r="V111" s="243"/>
      <c r="W111" s="243"/>
      <c r="X111" s="243"/>
      <c r="Y111" s="243"/>
      <c r="Z111" s="243"/>
      <c r="AA111" s="243"/>
      <c r="AB111" s="243"/>
      <c r="AC111" s="243"/>
      <c r="AD111" s="243"/>
    </row>
    <row r="112" ht="33.75" customHeight="1">
      <c r="A112" s="252"/>
      <c r="B112" s="252"/>
      <c r="C112" s="243"/>
      <c r="D112" s="252"/>
      <c r="E112" s="243"/>
      <c r="F112" s="243"/>
      <c r="G112" s="243"/>
      <c r="H112" s="243"/>
      <c r="I112" s="243"/>
      <c r="J112" s="243"/>
      <c r="K112" s="243"/>
      <c r="L112" s="243"/>
      <c r="M112" s="243"/>
      <c r="N112" s="243"/>
      <c r="O112" s="243"/>
      <c r="P112" s="243"/>
      <c r="Q112" s="243"/>
      <c r="R112" s="243"/>
      <c r="S112" s="243"/>
      <c r="T112" s="243"/>
      <c r="U112" s="243"/>
      <c r="V112" s="243"/>
      <c r="W112" s="243"/>
      <c r="X112" s="243"/>
      <c r="Y112" s="243"/>
      <c r="Z112" s="243"/>
      <c r="AA112" s="243"/>
      <c r="AB112" s="243"/>
      <c r="AC112" s="243"/>
      <c r="AD112" s="243"/>
    </row>
    <row r="113" ht="33.75" customHeight="1">
      <c r="A113" s="252"/>
      <c r="B113" s="252"/>
      <c r="C113" s="243"/>
      <c r="D113" s="252"/>
      <c r="E113" s="243"/>
      <c r="F113" s="243"/>
      <c r="G113" s="243"/>
      <c r="H113" s="243"/>
      <c r="I113" s="243"/>
      <c r="J113" s="243"/>
      <c r="K113" s="243"/>
      <c r="L113" s="243"/>
      <c r="M113" s="243"/>
      <c r="N113" s="243"/>
      <c r="O113" s="243"/>
      <c r="P113" s="243"/>
      <c r="Q113" s="243"/>
      <c r="R113" s="243"/>
      <c r="S113" s="243"/>
      <c r="T113" s="243"/>
      <c r="U113" s="243"/>
      <c r="V113" s="243"/>
      <c r="W113" s="243"/>
      <c r="X113" s="243"/>
      <c r="Y113" s="243"/>
      <c r="Z113" s="243"/>
      <c r="AA113" s="243"/>
      <c r="AB113" s="243"/>
      <c r="AC113" s="243"/>
      <c r="AD113" s="243"/>
    </row>
    <row r="114" ht="33.75" customHeight="1">
      <c r="A114" s="252"/>
      <c r="B114" s="252"/>
      <c r="C114" s="243"/>
      <c r="D114" s="252"/>
      <c r="E114" s="243"/>
      <c r="F114" s="243"/>
      <c r="G114" s="243"/>
      <c r="H114" s="243"/>
      <c r="I114" s="243"/>
      <c r="J114" s="243"/>
      <c r="K114" s="243"/>
      <c r="L114" s="243"/>
      <c r="M114" s="243"/>
      <c r="N114" s="243"/>
      <c r="O114" s="243"/>
      <c r="P114" s="243"/>
      <c r="Q114" s="243"/>
      <c r="R114" s="243"/>
      <c r="S114" s="243"/>
      <c r="T114" s="243"/>
      <c r="U114" s="243"/>
      <c r="V114" s="243"/>
      <c r="W114" s="243"/>
      <c r="X114" s="243"/>
      <c r="Y114" s="243"/>
      <c r="Z114" s="243"/>
      <c r="AA114" s="243"/>
      <c r="AB114" s="243"/>
      <c r="AC114" s="243"/>
      <c r="AD114" s="243"/>
    </row>
    <row r="115" ht="33.75" customHeight="1">
      <c r="A115" s="252"/>
      <c r="B115" s="252"/>
      <c r="C115" s="243"/>
      <c r="D115" s="252"/>
      <c r="E115" s="243"/>
      <c r="F115" s="243"/>
      <c r="G115" s="243"/>
      <c r="H115" s="243"/>
      <c r="I115" s="243"/>
      <c r="J115" s="243"/>
      <c r="K115" s="243"/>
      <c r="L115" s="243"/>
      <c r="M115" s="243"/>
      <c r="N115" s="243"/>
      <c r="O115" s="243"/>
      <c r="P115" s="243"/>
      <c r="Q115" s="243"/>
      <c r="R115" s="243"/>
      <c r="S115" s="243"/>
      <c r="T115" s="243"/>
      <c r="U115" s="243"/>
      <c r="V115" s="243"/>
      <c r="W115" s="243"/>
      <c r="X115" s="243"/>
      <c r="Y115" s="243"/>
      <c r="Z115" s="243"/>
      <c r="AA115" s="243"/>
      <c r="AB115" s="243"/>
      <c r="AC115" s="243"/>
      <c r="AD115" s="243"/>
    </row>
    <row r="116" ht="33.75" customHeight="1">
      <c r="A116" s="252"/>
      <c r="B116" s="252"/>
      <c r="C116" s="243"/>
      <c r="D116" s="252"/>
      <c r="E116" s="243"/>
      <c r="F116" s="243"/>
      <c r="G116" s="243"/>
      <c r="H116" s="243"/>
      <c r="I116" s="243"/>
      <c r="J116" s="243"/>
      <c r="K116" s="243"/>
      <c r="L116" s="243"/>
      <c r="M116" s="243"/>
      <c r="N116" s="243"/>
      <c r="O116" s="243"/>
      <c r="P116" s="243"/>
      <c r="Q116" s="243"/>
      <c r="R116" s="243"/>
      <c r="S116" s="243"/>
      <c r="T116" s="243"/>
      <c r="U116" s="243"/>
      <c r="V116" s="243"/>
      <c r="W116" s="243"/>
      <c r="X116" s="243"/>
      <c r="Y116" s="243"/>
      <c r="Z116" s="243"/>
      <c r="AA116" s="243"/>
      <c r="AB116" s="243"/>
      <c r="AC116" s="243"/>
      <c r="AD116" s="243"/>
    </row>
    <row r="117" ht="33.75" customHeight="1">
      <c r="A117" s="252"/>
      <c r="B117" s="252"/>
      <c r="C117" s="247"/>
      <c r="D117" s="249"/>
      <c r="E117" s="247"/>
      <c r="F117" s="247"/>
      <c r="G117" s="243"/>
      <c r="H117" s="243"/>
      <c r="I117" s="243"/>
      <c r="J117" s="243"/>
      <c r="K117" s="243"/>
      <c r="L117" s="243"/>
      <c r="M117" s="243"/>
      <c r="N117" s="243"/>
      <c r="O117" s="243"/>
      <c r="P117" s="243"/>
      <c r="Q117" s="243"/>
      <c r="R117" s="243"/>
      <c r="S117" s="243"/>
      <c r="T117" s="243"/>
      <c r="U117" s="243"/>
      <c r="V117" s="243"/>
      <c r="W117" s="243"/>
      <c r="X117" s="243"/>
      <c r="Y117" s="243"/>
      <c r="Z117" s="243"/>
      <c r="AA117" s="243"/>
      <c r="AB117" s="243"/>
      <c r="AC117" s="243"/>
      <c r="AD117" s="243"/>
    </row>
    <row r="118" ht="33.75" customHeight="1">
      <c r="A118" s="252"/>
      <c r="B118" s="252"/>
      <c r="C118" s="243"/>
      <c r="D118" s="252"/>
      <c r="E118" s="243"/>
      <c r="F118" s="243"/>
      <c r="G118" s="243"/>
      <c r="H118" s="243"/>
      <c r="I118" s="243"/>
      <c r="J118" s="243"/>
      <c r="K118" s="243"/>
      <c r="L118" s="243"/>
      <c r="M118" s="243"/>
      <c r="N118" s="243"/>
      <c r="O118" s="243"/>
      <c r="P118" s="243"/>
      <c r="Q118" s="243"/>
      <c r="R118" s="243"/>
      <c r="S118" s="243"/>
      <c r="T118" s="243"/>
      <c r="U118" s="243"/>
      <c r="V118" s="243"/>
      <c r="W118" s="243"/>
      <c r="X118" s="243"/>
      <c r="Y118" s="243"/>
      <c r="Z118" s="243"/>
      <c r="AA118" s="243"/>
      <c r="AB118" s="243"/>
      <c r="AC118" s="243"/>
      <c r="AD118" s="243"/>
    </row>
    <row r="119" ht="33.75" customHeight="1">
      <c r="A119" s="252"/>
      <c r="B119" s="252"/>
      <c r="C119" s="243"/>
      <c r="D119" s="252"/>
      <c r="E119" s="243"/>
      <c r="F119" s="243"/>
      <c r="G119" s="243"/>
      <c r="H119" s="243"/>
      <c r="I119" s="243"/>
      <c r="J119" s="243"/>
      <c r="K119" s="243"/>
      <c r="L119" s="243"/>
      <c r="M119" s="243"/>
      <c r="N119" s="243"/>
      <c r="O119" s="243"/>
      <c r="P119" s="243"/>
      <c r="Q119" s="243"/>
      <c r="R119" s="243"/>
      <c r="S119" s="243"/>
      <c r="T119" s="243"/>
      <c r="U119" s="243"/>
      <c r="V119" s="243"/>
      <c r="W119" s="243"/>
      <c r="X119" s="243"/>
      <c r="Y119" s="243"/>
      <c r="Z119" s="243"/>
      <c r="AA119" s="243"/>
      <c r="AB119" s="243"/>
      <c r="AC119" s="243"/>
      <c r="AD119" s="243"/>
    </row>
    <row r="120" ht="33.75" customHeight="1">
      <c r="A120" s="252"/>
      <c r="B120" s="252"/>
      <c r="C120" s="243"/>
      <c r="D120" s="252"/>
      <c r="E120" s="243"/>
      <c r="F120" s="243"/>
      <c r="G120" s="243"/>
      <c r="H120" s="243"/>
      <c r="I120" s="243"/>
      <c r="J120" s="243"/>
      <c r="K120" s="243"/>
      <c r="L120" s="243"/>
      <c r="M120" s="243"/>
      <c r="N120" s="243"/>
      <c r="O120" s="243"/>
      <c r="P120" s="243"/>
      <c r="Q120" s="243"/>
      <c r="R120" s="243"/>
      <c r="S120" s="243"/>
      <c r="T120" s="243"/>
      <c r="U120" s="243"/>
      <c r="V120" s="243"/>
      <c r="W120" s="243"/>
      <c r="X120" s="243"/>
      <c r="Y120" s="243"/>
      <c r="Z120" s="243"/>
      <c r="AA120" s="243"/>
      <c r="AB120" s="243"/>
      <c r="AC120" s="243"/>
      <c r="AD120" s="243"/>
    </row>
    <row r="121" ht="33.75" customHeight="1">
      <c r="A121" s="252"/>
      <c r="B121" s="252"/>
      <c r="C121" s="243"/>
      <c r="D121" s="252"/>
      <c r="E121" s="243"/>
      <c r="F121" s="243"/>
      <c r="G121" s="243"/>
      <c r="H121" s="243"/>
      <c r="I121" s="243"/>
      <c r="J121" s="243"/>
      <c r="K121" s="243"/>
      <c r="L121" s="243"/>
      <c r="M121" s="243"/>
      <c r="N121" s="243"/>
      <c r="O121" s="243"/>
      <c r="P121" s="243"/>
      <c r="Q121" s="243"/>
      <c r="R121" s="243"/>
      <c r="S121" s="243"/>
      <c r="T121" s="243"/>
      <c r="U121" s="243"/>
      <c r="V121" s="243"/>
      <c r="W121" s="243"/>
      <c r="X121" s="243"/>
      <c r="Y121" s="243"/>
      <c r="Z121" s="243"/>
      <c r="AA121" s="243"/>
      <c r="AB121" s="243"/>
      <c r="AC121" s="243"/>
      <c r="AD121" s="243"/>
    </row>
    <row r="122" ht="33.75" customHeight="1">
      <c r="A122" s="252"/>
      <c r="B122" s="252"/>
      <c r="C122" s="243"/>
      <c r="D122" s="252"/>
      <c r="E122" s="243"/>
      <c r="F122" s="243"/>
      <c r="G122" s="243"/>
      <c r="H122" s="243"/>
      <c r="I122" s="243"/>
      <c r="J122" s="243"/>
      <c r="K122" s="243"/>
      <c r="L122" s="243"/>
      <c r="M122" s="243"/>
      <c r="N122" s="243"/>
      <c r="O122" s="243"/>
      <c r="P122" s="243"/>
      <c r="Q122" s="243"/>
      <c r="R122" s="243"/>
      <c r="S122" s="243"/>
      <c r="T122" s="243"/>
      <c r="U122" s="243"/>
      <c r="V122" s="243"/>
      <c r="W122" s="243"/>
      <c r="X122" s="243"/>
      <c r="Y122" s="243"/>
      <c r="Z122" s="243"/>
      <c r="AA122" s="243"/>
      <c r="AB122" s="243"/>
      <c r="AC122" s="243"/>
      <c r="AD122" s="243"/>
    </row>
    <row r="123" ht="33.75" customHeight="1">
      <c r="A123" s="252"/>
      <c r="B123" s="252"/>
      <c r="C123" s="243"/>
      <c r="D123" s="252"/>
      <c r="E123" s="243"/>
      <c r="F123" s="243"/>
      <c r="G123" s="243"/>
      <c r="H123" s="243"/>
      <c r="I123" s="243"/>
      <c r="J123" s="243"/>
      <c r="K123" s="243"/>
      <c r="L123" s="243"/>
      <c r="M123" s="243"/>
      <c r="N123" s="243"/>
      <c r="O123" s="243"/>
      <c r="P123" s="243"/>
      <c r="Q123" s="243"/>
      <c r="R123" s="243"/>
      <c r="S123" s="243"/>
      <c r="T123" s="243"/>
      <c r="U123" s="243"/>
      <c r="V123" s="243"/>
      <c r="W123" s="243"/>
      <c r="X123" s="243"/>
      <c r="Y123" s="243"/>
      <c r="Z123" s="243"/>
      <c r="AA123" s="243"/>
      <c r="AB123" s="243"/>
      <c r="AC123" s="243"/>
      <c r="AD123" s="243"/>
    </row>
    <row r="124" ht="33.75" customHeight="1">
      <c r="A124" s="252"/>
      <c r="B124" s="252"/>
      <c r="C124" s="243"/>
      <c r="D124" s="252"/>
      <c r="E124" s="243"/>
      <c r="F124" s="243"/>
      <c r="G124" s="243"/>
      <c r="H124" s="243"/>
      <c r="I124" s="243"/>
      <c r="J124" s="243"/>
      <c r="K124" s="243"/>
      <c r="L124" s="243"/>
      <c r="M124" s="243"/>
      <c r="N124" s="243"/>
      <c r="O124" s="243"/>
      <c r="P124" s="243"/>
      <c r="Q124" s="243"/>
      <c r="R124" s="243"/>
      <c r="S124" s="243"/>
      <c r="T124" s="243"/>
      <c r="U124" s="243"/>
      <c r="V124" s="243"/>
      <c r="W124" s="243"/>
      <c r="X124" s="243"/>
      <c r="Y124" s="243"/>
      <c r="Z124" s="243"/>
      <c r="AA124" s="243"/>
      <c r="AB124" s="243"/>
      <c r="AC124" s="243"/>
      <c r="AD124" s="243"/>
    </row>
    <row r="125" ht="33.75" customHeight="1">
      <c r="A125" s="252"/>
      <c r="B125" s="252"/>
      <c r="C125" s="243"/>
      <c r="D125" s="252"/>
      <c r="E125" s="243"/>
      <c r="F125" s="243"/>
      <c r="G125" s="243"/>
      <c r="H125" s="243"/>
      <c r="I125" s="243"/>
      <c r="J125" s="243"/>
      <c r="K125" s="243"/>
      <c r="L125" s="243"/>
      <c r="M125" s="243"/>
      <c r="N125" s="243"/>
      <c r="O125" s="243"/>
      <c r="P125" s="243"/>
      <c r="Q125" s="243"/>
      <c r="R125" s="243"/>
      <c r="S125" s="243"/>
      <c r="T125" s="243"/>
      <c r="U125" s="243"/>
      <c r="V125" s="243"/>
      <c r="W125" s="243"/>
      <c r="X125" s="243"/>
      <c r="Y125" s="243"/>
      <c r="Z125" s="243"/>
      <c r="AA125" s="243"/>
      <c r="AB125" s="243"/>
      <c r="AC125" s="243"/>
      <c r="AD125" s="243"/>
    </row>
    <row r="126" ht="33.75" customHeight="1">
      <c r="A126" s="252"/>
      <c r="B126" s="252"/>
      <c r="C126" s="243"/>
      <c r="D126" s="252"/>
      <c r="E126" s="243"/>
      <c r="F126" s="243"/>
      <c r="G126" s="243"/>
      <c r="H126" s="243"/>
      <c r="I126" s="243"/>
      <c r="J126" s="243"/>
      <c r="K126" s="243"/>
      <c r="L126" s="243"/>
      <c r="M126" s="243"/>
      <c r="N126" s="243"/>
      <c r="O126" s="243"/>
      <c r="P126" s="243"/>
      <c r="Q126" s="243"/>
      <c r="R126" s="243"/>
      <c r="S126" s="243"/>
      <c r="T126" s="243"/>
      <c r="U126" s="243"/>
      <c r="V126" s="243"/>
      <c r="W126" s="243"/>
      <c r="X126" s="243"/>
      <c r="Y126" s="243"/>
      <c r="Z126" s="243"/>
      <c r="AA126" s="243"/>
      <c r="AB126" s="243"/>
      <c r="AC126" s="243"/>
      <c r="AD126" s="243"/>
    </row>
    <row r="127" ht="33.75" customHeight="1">
      <c r="A127" s="252"/>
      <c r="B127" s="252"/>
      <c r="C127" s="243"/>
      <c r="D127" s="252"/>
      <c r="E127" s="243"/>
      <c r="F127" s="243"/>
      <c r="G127" s="243"/>
      <c r="H127" s="243"/>
      <c r="I127" s="243"/>
      <c r="J127" s="243"/>
      <c r="K127" s="243"/>
      <c r="L127" s="243"/>
      <c r="M127" s="243"/>
      <c r="N127" s="243"/>
      <c r="O127" s="243"/>
      <c r="P127" s="243"/>
      <c r="Q127" s="243"/>
      <c r="R127" s="243"/>
      <c r="S127" s="243"/>
      <c r="T127" s="243"/>
      <c r="U127" s="243"/>
      <c r="V127" s="243"/>
      <c r="W127" s="243"/>
      <c r="X127" s="243"/>
      <c r="Y127" s="243"/>
      <c r="Z127" s="243"/>
      <c r="AA127" s="243"/>
      <c r="AB127" s="243"/>
      <c r="AC127" s="243"/>
      <c r="AD127" s="243"/>
    </row>
    <row r="128" ht="33.75" customHeight="1">
      <c r="A128" s="252"/>
      <c r="B128" s="252"/>
      <c r="C128" s="243"/>
      <c r="D128" s="252"/>
      <c r="E128" s="243"/>
      <c r="F128" s="243"/>
      <c r="G128" s="243"/>
      <c r="H128" s="243"/>
      <c r="I128" s="243"/>
      <c r="J128" s="243"/>
      <c r="K128" s="243"/>
      <c r="L128" s="243"/>
      <c r="M128" s="243"/>
      <c r="N128" s="243"/>
      <c r="O128" s="243"/>
      <c r="P128" s="243"/>
      <c r="Q128" s="243"/>
      <c r="R128" s="243"/>
      <c r="S128" s="243"/>
      <c r="T128" s="243"/>
      <c r="U128" s="243"/>
      <c r="V128" s="243"/>
      <c r="W128" s="243"/>
      <c r="X128" s="243"/>
      <c r="Y128" s="243"/>
      <c r="Z128" s="243"/>
      <c r="AA128" s="243"/>
      <c r="AB128" s="243"/>
      <c r="AC128" s="243"/>
      <c r="AD128" s="243"/>
    </row>
    <row r="129" ht="33.75" customHeight="1">
      <c r="A129" s="252"/>
      <c r="B129" s="252"/>
      <c r="C129" s="243"/>
      <c r="D129" s="252"/>
      <c r="E129" s="243"/>
      <c r="F129" s="243"/>
      <c r="G129" s="243"/>
      <c r="H129" s="243"/>
      <c r="I129" s="243"/>
      <c r="J129" s="243"/>
      <c r="K129" s="243"/>
      <c r="L129" s="243"/>
      <c r="M129" s="243"/>
      <c r="N129" s="243"/>
      <c r="O129" s="243"/>
      <c r="P129" s="243"/>
      <c r="Q129" s="243"/>
      <c r="R129" s="243"/>
      <c r="S129" s="243"/>
      <c r="T129" s="243"/>
      <c r="U129" s="243"/>
      <c r="V129" s="243"/>
      <c r="W129" s="243"/>
      <c r="X129" s="243"/>
      <c r="Y129" s="243"/>
      <c r="Z129" s="243"/>
      <c r="AA129" s="243"/>
      <c r="AB129" s="243"/>
      <c r="AC129" s="243"/>
      <c r="AD129" s="243"/>
    </row>
    <row r="130" ht="33.75" customHeight="1">
      <c r="A130" s="252"/>
      <c r="B130" s="252"/>
      <c r="C130" s="243"/>
      <c r="D130" s="252"/>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c r="AA130" s="243"/>
      <c r="AB130" s="243"/>
      <c r="AC130" s="243"/>
      <c r="AD130" s="243"/>
    </row>
    <row r="131" ht="33.75" customHeight="1">
      <c r="A131" s="252"/>
      <c r="B131" s="252"/>
      <c r="C131" s="243"/>
      <c r="D131" s="252"/>
      <c r="E131" s="243"/>
      <c r="F131" s="243"/>
      <c r="G131" s="243"/>
      <c r="H131" s="243"/>
      <c r="I131" s="243"/>
      <c r="J131" s="243"/>
      <c r="K131" s="243"/>
      <c r="L131" s="243"/>
      <c r="M131" s="243"/>
      <c r="N131" s="243"/>
      <c r="O131" s="243"/>
      <c r="P131" s="243"/>
      <c r="Q131" s="243"/>
      <c r="R131" s="243"/>
      <c r="S131" s="243"/>
      <c r="T131" s="243"/>
      <c r="U131" s="243"/>
      <c r="V131" s="243"/>
      <c r="W131" s="243"/>
      <c r="X131" s="243"/>
      <c r="Y131" s="243"/>
      <c r="Z131" s="243"/>
      <c r="AA131" s="243"/>
      <c r="AB131" s="243"/>
      <c r="AC131" s="243"/>
      <c r="AD131" s="243"/>
    </row>
    <row r="132" ht="33.75" customHeight="1">
      <c r="A132" s="252"/>
      <c r="B132" s="252"/>
      <c r="C132" s="243"/>
      <c r="D132" s="252"/>
      <c r="E132" s="243"/>
      <c r="F132" s="243"/>
      <c r="G132" s="243"/>
      <c r="H132" s="243"/>
      <c r="I132" s="243"/>
      <c r="J132" s="243"/>
      <c r="K132" s="243"/>
      <c r="L132" s="243"/>
      <c r="M132" s="243"/>
      <c r="N132" s="243"/>
      <c r="O132" s="243"/>
      <c r="P132" s="243"/>
      <c r="Q132" s="243"/>
      <c r="R132" s="243"/>
      <c r="S132" s="243"/>
      <c r="T132" s="243"/>
      <c r="U132" s="243"/>
      <c r="V132" s="243"/>
      <c r="W132" s="243"/>
      <c r="X132" s="243"/>
      <c r="Y132" s="243"/>
      <c r="Z132" s="243"/>
      <c r="AA132" s="243"/>
      <c r="AB132" s="243"/>
      <c r="AC132" s="243"/>
      <c r="AD132" s="243"/>
    </row>
    <row r="133" ht="33.75" customHeight="1">
      <c r="A133" s="252"/>
      <c r="B133" s="252"/>
      <c r="C133" s="243"/>
      <c r="D133" s="252"/>
      <c r="E133" s="243"/>
      <c r="F133" s="243"/>
      <c r="G133" s="243"/>
      <c r="H133" s="243"/>
      <c r="I133" s="243"/>
      <c r="J133" s="243"/>
      <c r="K133" s="243"/>
      <c r="L133" s="243"/>
      <c r="M133" s="243"/>
      <c r="N133" s="243"/>
      <c r="O133" s="243"/>
      <c r="P133" s="243"/>
      <c r="Q133" s="243"/>
      <c r="R133" s="243"/>
      <c r="S133" s="243"/>
      <c r="T133" s="243"/>
      <c r="U133" s="243"/>
      <c r="V133" s="243"/>
      <c r="W133" s="243"/>
      <c r="X133" s="243"/>
      <c r="Y133" s="243"/>
      <c r="Z133" s="243"/>
      <c r="AA133" s="243"/>
      <c r="AB133" s="243"/>
      <c r="AC133" s="243"/>
      <c r="AD133" s="243"/>
    </row>
    <row r="134" ht="33.75" customHeight="1">
      <c r="A134" s="252"/>
      <c r="B134" s="252"/>
      <c r="C134" s="243"/>
      <c r="D134" s="252"/>
      <c r="E134" s="243"/>
      <c r="F134" s="243"/>
      <c r="G134" s="243"/>
      <c r="H134" s="243"/>
      <c r="I134" s="243"/>
      <c r="J134" s="243"/>
      <c r="K134" s="243"/>
      <c r="L134" s="243"/>
      <c r="M134" s="243"/>
      <c r="N134" s="243"/>
      <c r="O134" s="243"/>
      <c r="P134" s="243"/>
      <c r="Q134" s="243"/>
      <c r="R134" s="243"/>
      <c r="S134" s="243"/>
      <c r="T134" s="243"/>
      <c r="U134" s="243"/>
      <c r="V134" s="243"/>
      <c r="W134" s="243"/>
      <c r="X134" s="243"/>
      <c r="Y134" s="243"/>
      <c r="Z134" s="243"/>
      <c r="AA134" s="243"/>
      <c r="AB134" s="243"/>
      <c r="AC134" s="243"/>
      <c r="AD134" s="243"/>
    </row>
    <row r="135" ht="33.75" customHeight="1">
      <c r="A135" s="252"/>
      <c r="B135" s="252"/>
      <c r="C135" s="243"/>
      <c r="D135" s="252"/>
      <c r="E135" s="243"/>
      <c r="F135" s="243"/>
      <c r="G135" s="243"/>
      <c r="H135" s="243"/>
      <c r="I135" s="243"/>
      <c r="J135" s="243"/>
      <c r="K135" s="243"/>
      <c r="L135" s="243"/>
      <c r="M135" s="243"/>
      <c r="N135" s="243"/>
      <c r="O135" s="243"/>
      <c r="P135" s="243"/>
      <c r="Q135" s="243"/>
      <c r="R135" s="243"/>
      <c r="S135" s="243"/>
      <c r="T135" s="243"/>
      <c r="U135" s="243"/>
      <c r="V135" s="243"/>
      <c r="W135" s="243"/>
      <c r="X135" s="243"/>
      <c r="Y135" s="243"/>
      <c r="Z135" s="243"/>
      <c r="AA135" s="243"/>
      <c r="AB135" s="243"/>
      <c r="AC135" s="243"/>
      <c r="AD135" s="243"/>
    </row>
    <row r="136" ht="33.75" customHeight="1">
      <c r="A136" s="252"/>
      <c r="B136" s="252"/>
      <c r="C136" s="243"/>
      <c r="D136" s="252"/>
      <c r="E136" s="243"/>
      <c r="F136" s="243"/>
      <c r="G136" s="243"/>
      <c r="H136" s="243"/>
      <c r="I136" s="243"/>
      <c r="J136" s="243"/>
      <c r="K136" s="243"/>
      <c r="L136" s="243"/>
      <c r="M136" s="243"/>
      <c r="N136" s="243"/>
      <c r="O136" s="243"/>
      <c r="P136" s="243"/>
      <c r="Q136" s="243"/>
      <c r="R136" s="243"/>
      <c r="S136" s="243"/>
      <c r="T136" s="243"/>
      <c r="U136" s="243"/>
      <c r="V136" s="243"/>
      <c r="W136" s="243"/>
      <c r="X136" s="243"/>
      <c r="Y136" s="243"/>
      <c r="Z136" s="243"/>
      <c r="AA136" s="243"/>
      <c r="AB136" s="243"/>
      <c r="AC136" s="243"/>
      <c r="AD136" s="243"/>
    </row>
    <row r="137" ht="33.75" customHeight="1">
      <c r="A137" s="252"/>
      <c r="B137" s="252"/>
      <c r="C137" s="243"/>
      <c r="D137" s="252"/>
      <c r="E137" s="243"/>
      <c r="F137" s="243"/>
      <c r="G137" s="243"/>
      <c r="H137" s="243"/>
      <c r="I137" s="243"/>
      <c r="J137" s="243"/>
      <c r="K137" s="243"/>
      <c r="L137" s="243"/>
      <c r="M137" s="243"/>
      <c r="N137" s="243"/>
      <c r="O137" s="243"/>
      <c r="P137" s="243"/>
      <c r="Q137" s="243"/>
      <c r="R137" s="243"/>
      <c r="S137" s="243"/>
      <c r="T137" s="243"/>
      <c r="U137" s="243"/>
      <c r="V137" s="243"/>
      <c r="W137" s="243"/>
      <c r="X137" s="243"/>
      <c r="Y137" s="243"/>
      <c r="Z137" s="243"/>
      <c r="AA137" s="243"/>
      <c r="AB137" s="243"/>
      <c r="AC137" s="243"/>
      <c r="AD137" s="243"/>
    </row>
    <row r="138" ht="33.75" customHeight="1">
      <c r="A138" s="252"/>
      <c r="B138" s="252"/>
      <c r="C138" s="243"/>
      <c r="D138" s="252"/>
      <c r="E138" s="243"/>
      <c r="F138" s="243"/>
      <c r="G138" s="243"/>
      <c r="H138" s="243"/>
      <c r="I138" s="243"/>
      <c r="J138" s="243"/>
      <c r="K138" s="243"/>
      <c r="L138" s="243"/>
      <c r="M138" s="243"/>
      <c r="N138" s="243"/>
      <c r="O138" s="243"/>
      <c r="P138" s="243"/>
      <c r="Q138" s="243"/>
      <c r="R138" s="243"/>
      <c r="S138" s="243"/>
      <c r="T138" s="243"/>
      <c r="U138" s="243"/>
      <c r="V138" s="243"/>
      <c r="W138" s="243"/>
      <c r="X138" s="243"/>
      <c r="Y138" s="243"/>
      <c r="Z138" s="243"/>
      <c r="AA138" s="243"/>
      <c r="AB138" s="243"/>
      <c r="AC138" s="243"/>
      <c r="AD138" s="243"/>
    </row>
    <row r="139" ht="33.75" customHeight="1">
      <c r="A139" s="252"/>
      <c r="B139" s="252"/>
      <c r="C139" s="243"/>
      <c r="D139" s="252"/>
      <c r="E139" s="243"/>
      <c r="F139" s="243"/>
      <c r="G139" s="243"/>
      <c r="H139" s="243"/>
      <c r="I139" s="243"/>
      <c r="J139" s="243"/>
      <c r="K139" s="243"/>
      <c r="L139" s="243"/>
      <c r="M139" s="243"/>
      <c r="N139" s="243"/>
      <c r="O139" s="243"/>
      <c r="P139" s="243"/>
      <c r="Q139" s="243"/>
      <c r="R139" s="243"/>
      <c r="S139" s="243"/>
      <c r="T139" s="243"/>
      <c r="U139" s="243"/>
      <c r="V139" s="243"/>
      <c r="W139" s="243"/>
      <c r="X139" s="243"/>
      <c r="Y139" s="243"/>
      <c r="Z139" s="243"/>
      <c r="AA139" s="243"/>
      <c r="AB139" s="243"/>
      <c r="AC139" s="243"/>
      <c r="AD139" s="243"/>
    </row>
    <row r="140" ht="33.75" customHeight="1">
      <c r="A140" s="252"/>
      <c r="B140" s="252"/>
      <c r="C140" s="243"/>
      <c r="D140" s="252"/>
      <c r="E140" s="243"/>
      <c r="F140" s="243"/>
      <c r="G140" s="243"/>
      <c r="H140" s="243"/>
      <c r="I140" s="243"/>
      <c r="J140" s="243"/>
      <c r="K140" s="243"/>
      <c r="L140" s="243"/>
      <c r="M140" s="243"/>
      <c r="N140" s="243"/>
      <c r="O140" s="243"/>
      <c r="P140" s="243"/>
      <c r="Q140" s="243"/>
      <c r="R140" s="243"/>
      <c r="S140" s="243"/>
      <c r="T140" s="243"/>
      <c r="U140" s="243"/>
      <c r="V140" s="243"/>
      <c r="W140" s="243"/>
      <c r="X140" s="243"/>
      <c r="Y140" s="243"/>
      <c r="Z140" s="243"/>
      <c r="AA140" s="243"/>
      <c r="AB140" s="243"/>
      <c r="AC140" s="243"/>
      <c r="AD140" s="243"/>
    </row>
    <row r="141" ht="33.75" customHeight="1">
      <c r="A141" s="252"/>
      <c r="B141" s="252"/>
      <c r="C141" s="243"/>
      <c r="D141" s="252"/>
      <c r="E141" s="243"/>
      <c r="F141" s="243"/>
      <c r="G141" s="243"/>
      <c r="H141" s="243"/>
      <c r="I141" s="243"/>
      <c r="J141" s="243"/>
      <c r="K141" s="243"/>
      <c r="L141" s="243"/>
      <c r="M141" s="243"/>
      <c r="N141" s="243"/>
      <c r="O141" s="243"/>
      <c r="P141" s="243"/>
      <c r="Q141" s="243"/>
      <c r="R141" s="243"/>
      <c r="S141" s="243"/>
      <c r="T141" s="243"/>
      <c r="U141" s="243"/>
      <c r="V141" s="243"/>
      <c r="W141" s="243"/>
      <c r="X141" s="243"/>
      <c r="Y141" s="243"/>
      <c r="Z141" s="243"/>
      <c r="AA141" s="243"/>
      <c r="AB141" s="243"/>
      <c r="AC141" s="243"/>
      <c r="AD141" s="243"/>
    </row>
    <row r="142" ht="33.75" customHeight="1">
      <c r="A142" s="252"/>
      <c r="B142" s="252"/>
      <c r="C142" s="243"/>
      <c r="D142" s="252"/>
      <c r="E142" s="243"/>
      <c r="F142" s="243"/>
      <c r="G142" s="243"/>
      <c r="H142" s="243"/>
      <c r="I142" s="243"/>
      <c r="J142" s="243"/>
      <c r="K142" s="243"/>
      <c r="L142" s="243"/>
      <c r="M142" s="243"/>
      <c r="N142" s="243"/>
      <c r="O142" s="243"/>
      <c r="P142" s="243"/>
      <c r="Q142" s="243"/>
      <c r="R142" s="243"/>
      <c r="S142" s="243"/>
      <c r="T142" s="243"/>
      <c r="U142" s="243"/>
      <c r="V142" s="243"/>
      <c r="W142" s="243"/>
      <c r="X142" s="243"/>
      <c r="Y142" s="243"/>
      <c r="Z142" s="243"/>
      <c r="AA142" s="243"/>
      <c r="AB142" s="243"/>
      <c r="AC142" s="243"/>
      <c r="AD142" s="243"/>
    </row>
    <row r="143" ht="33.75" customHeight="1">
      <c r="A143" s="252"/>
      <c r="B143" s="252"/>
      <c r="C143" s="243"/>
      <c r="D143" s="252"/>
      <c r="E143" s="243"/>
      <c r="F143" s="243"/>
      <c r="G143" s="243"/>
      <c r="H143" s="243"/>
      <c r="I143" s="243"/>
      <c r="J143" s="243"/>
      <c r="K143" s="243"/>
      <c r="L143" s="243"/>
      <c r="M143" s="243"/>
      <c r="N143" s="243"/>
      <c r="O143" s="243"/>
      <c r="P143" s="243"/>
      <c r="Q143" s="243"/>
      <c r="R143" s="243"/>
      <c r="S143" s="243"/>
      <c r="T143" s="243"/>
      <c r="U143" s="243"/>
      <c r="V143" s="243"/>
      <c r="W143" s="243"/>
      <c r="X143" s="243"/>
      <c r="Y143" s="243"/>
      <c r="Z143" s="243"/>
      <c r="AA143" s="243"/>
      <c r="AB143" s="243"/>
      <c r="AC143" s="243"/>
      <c r="AD143" s="243"/>
    </row>
    <row r="144" ht="33.75" customHeight="1">
      <c r="A144" s="252"/>
      <c r="B144" s="252"/>
      <c r="C144" s="243"/>
      <c r="D144" s="252"/>
      <c r="E144" s="243"/>
      <c r="F144" s="243"/>
      <c r="G144" s="243"/>
      <c r="H144" s="243"/>
      <c r="I144" s="243"/>
      <c r="J144" s="243"/>
      <c r="K144" s="243"/>
      <c r="L144" s="243"/>
      <c r="M144" s="243"/>
      <c r="N144" s="243"/>
      <c r="O144" s="243"/>
      <c r="P144" s="243"/>
      <c r="Q144" s="243"/>
      <c r="R144" s="243"/>
      <c r="S144" s="243"/>
      <c r="T144" s="243"/>
      <c r="U144" s="243"/>
      <c r="V144" s="243"/>
      <c r="W144" s="243"/>
      <c r="X144" s="243"/>
      <c r="Y144" s="243"/>
      <c r="Z144" s="243"/>
      <c r="AA144" s="243"/>
      <c r="AB144" s="243"/>
      <c r="AC144" s="243"/>
      <c r="AD144" s="243"/>
    </row>
    <row r="145" ht="33.75" customHeight="1">
      <c r="A145" s="252"/>
      <c r="B145" s="252"/>
      <c r="C145" s="243"/>
      <c r="D145" s="252"/>
      <c r="E145" s="243"/>
      <c r="F145" s="243"/>
      <c r="G145" s="243"/>
      <c r="H145" s="243"/>
      <c r="I145" s="243"/>
      <c r="J145" s="243"/>
      <c r="K145" s="243"/>
      <c r="L145" s="243"/>
      <c r="M145" s="243"/>
      <c r="N145" s="243"/>
      <c r="O145" s="243"/>
      <c r="P145" s="243"/>
      <c r="Q145" s="243"/>
      <c r="R145" s="243"/>
      <c r="S145" s="243"/>
      <c r="T145" s="243"/>
      <c r="U145" s="243"/>
      <c r="V145" s="243"/>
      <c r="W145" s="243"/>
      <c r="X145" s="243"/>
      <c r="Y145" s="243"/>
      <c r="Z145" s="243"/>
      <c r="AA145" s="243"/>
      <c r="AB145" s="243"/>
      <c r="AC145" s="243"/>
      <c r="AD145" s="243"/>
    </row>
    <row r="146" ht="33.75" customHeight="1">
      <c r="A146" s="252"/>
      <c r="B146" s="252"/>
      <c r="C146" s="243"/>
      <c r="D146" s="252"/>
      <c r="E146" s="243"/>
      <c r="F146" s="243"/>
      <c r="G146" s="243"/>
      <c r="H146" s="243"/>
      <c r="I146" s="243"/>
      <c r="J146" s="243"/>
      <c r="K146" s="243"/>
      <c r="L146" s="243"/>
      <c r="M146" s="243"/>
      <c r="N146" s="243"/>
      <c r="O146" s="243"/>
      <c r="P146" s="243"/>
      <c r="Q146" s="243"/>
      <c r="R146" s="243"/>
      <c r="S146" s="243"/>
      <c r="T146" s="243"/>
      <c r="U146" s="243"/>
      <c r="V146" s="243"/>
      <c r="W146" s="243"/>
      <c r="X146" s="243"/>
      <c r="Y146" s="243"/>
      <c r="Z146" s="243"/>
      <c r="AA146" s="243"/>
      <c r="AB146" s="243"/>
      <c r="AC146" s="243"/>
      <c r="AD146" s="243"/>
    </row>
    <row r="147" ht="33.75" customHeight="1">
      <c r="A147" s="252"/>
      <c r="B147" s="252"/>
      <c r="C147" s="243"/>
      <c r="D147" s="252"/>
      <c r="E147" s="243"/>
      <c r="F147" s="243"/>
      <c r="G147" s="243"/>
      <c r="H147" s="243"/>
      <c r="I147" s="243"/>
      <c r="J147" s="243"/>
      <c r="K147" s="243"/>
      <c r="L147" s="243"/>
      <c r="M147" s="243"/>
      <c r="N147" s="243"/>
      <c r="O147" s="243"/>
      <c r="P147" s="243"/>
      <c r="Q147" s="243"/>
      <c r="R147" s="243"/>
      <c r="S147" s="243"/>
      <c r="T147" s="243"/>
      <c r="U147" s="243"/>
      <c r="V147" s="243"/>
      <c r="W147" s="243"/>
      <c r="X147" s="243"/>
      <c r="Y147" s="243"/>
      <c r="Z147" s="243"/>
      <c r="AA147" s="243"/>
      <c r="AB147" s="243"/>
      <c r="AC147" s="243"/>
      <c r="AD147" s="243"/>
    </row>
    <row r="148" ht="33.75" customHeight="1">
      <c r="A148" s="252"/>
      <c r="B148" s="252"/>
      <c r="C148" s="243"/>
      <c r="D148" s="252"/>
      <c r="E148" s="243"/>
      <c r="F148" s="243"/>
      <c r="G148" s="243"/>
      <c r="H148" s="243"/>
      <c r="I148" s="243"/>
      <c r="J148" s="243"/>
      <c r="K148" s="243"/>
      <c r="L148" s="243"/>
      <c r="M148" s="243"/>
      <c r="N148" s="243"/>
      <c r="O148" s="243"/>
      <c r="P148" s="243"/>
      <c r="Q148" s="243"/>
      <c r="R148" s="243"/>
      <c r="S148" s="243"/>
      <c r="T148" s="243"/>
      <c r="U148" s="243"/>
      <c r="V148" s="243"/>
      <c r="W148" s="243"/>
      <c r="X148" s="243"/>
      <c r="Y148" s="243"/>
      <c r="Z148" s="243"/>
      <c r="AA148" s="243"/>
      <c r="AB148" s="243"/>
      <c r="AC148" s="243"/>
      <c r="AD148" s="243"/>
    </row>
    <row r="149" ht="33.75" customHeight="1">
      <c r="A149" s="252"/>
      <c r="B149" s="252"/>
      <c r="C149" s="243"/>
      <c r="D149" s="252"/>
      <c r="E149" s="243"/>
      <c r="F149" s="243"/>
      <c r="G149" s="243"/>
      <c r="H149" s="243"/>
      <c r="I149" s="243"/>
      <c r="J149" s="243"/>
      <c r="K149" s="243"/>
      <c r="L149" s="243"/>
      <c r="M149" s="243"/>
      <c r="N149" s="243"/>
      <c r="O149" s="243"/>
      <c r="P149" s="243"/>
      <c r="Q149" s="243"/>
      <c r="R149" s="243"/>
      <c r="S149" s="243"/>
      <c r="T149" s="243"/>
      <c r="U149" s="243"/>
      <c r="V149" s="243"/>
      <c r="W149" s="243"/>
      <c r="X149" s="243"/>
      <c r="Y149" s="243"/>
      <c r="Z149" s="243"/>
      <c r="AA149" s="243"/>
      <c r="AB149" s="243"/>
      <c r="AC149" s="243"/>
      <c r="AD149" s="243"/>
    </row>
    <row r="150" ht="33.75" customHeight="1">
      <c r="A150" s="252"/>
      <c r="B150" s="252"/>
      <c r="C150" s="243"/>
      <c r="D150" s="252"/>
      <c r="E150" s="243"/>
      <c r="F150" s="243"/>
      <c r="G150" s="243"/>
      <c r="H150" s="243"/>
      <c r="I150" s="243"/>
      <c r="J150" s="243"/>
      <c r="K150" s="243"/>
      <c r="L150" s="243"/>
      <c r="M150" s="243"/>
      <c r="N150" s="243"/>
      <c r="O150" s="243"/>
      <c r="P150" s="243"/>
      <c r="Q150" s="243"/>
      <c r="R150" s="243"/>
      <c r="S150" s="243"/>
      <c r="T150" s="243"/>
      <c r="U150" s="243"/>
      <c r="V150" s="243"/>
      <c r="W150" s="243"/>
      <c r="X150" s="243"/>
      <c r="Y150" s="243"/>
      <c r="Z150" s="243"/>
      <c r="AA150" s="243"/>
      <c r="AB150" s="243"/>
      <c r="AC150" s="243"/>
      <c r="AD150" s="243"/>
    </row>
    <row r="151" ht="33.75" customHeight="1">
      <c r="A151" s="252"/>
      <c r="B151" s="252"/>
      <c r="C151" s="243"/>
      <c r="D151" s="252"/>
      <c r="E151" s="243"/>
      <c r="F151" s="243"/>
      <c r="G151" s="243"/>
      <c r="H151" s="243"/>
      <c r="I151" s="243"/>
      <c r="J151" s="243"/>
      <c r="K151" s="243"/>
      <c r="L151" s="243"/>
      <c r="M151" s="243"/>
      <c r="N151" s="243"/>
      <c r="O151" s="243"/>
      <c r="P151" s="243"/>
      <c r="Q151" s="243"/>
      <c r="R151" s="243"/>
      <c r="S151" s="243"/>
      <c r="T151" s="243"/>
      <c r="U151" s="243"/>
      <c r="V151" s="243"/>
      <c r="W151" s="243"/>
      <c r="X151" s="243"/>
      <c r="Y151" s="243"/>
      <c r="Z151" s="243"/>
      <c r="AA151" s="243"/>
      <c r="AB151" s="243"/>
      <c r="AC151" s="243"/>
      <c r="AD151" s="243"/>
    </row>
    <row r="152" ht="33.75" customHeight="1">
      <c r="A152" s="252"/>
      <c r="B152" s="252"/>
      <c r="C152" s="243"/>
      <c r="D152" s="252"/>
      <c r="E152" s="243"/>
      <c r="F152" s="243"/>
      <c r="G152" s="243"/>
      <c r="H152" s="243"/>
      <c r="I152" s="243"/>
      <c r="J152" s="243"/>
      <c r="K152" s="243"/>
      <c r="L152" s="243"/>
      <c r="M152" s="243"/>
      <c r="N152" s="243"/>
      <c r="O152" s="243"/>
      <c r="P152" s="243"/>
      <c r="Q152" s="243"/>
      <c r="R152" s="243"/>
      <c r="S152" s="243"/>
      <c r="T152" s="243"/>
      <c r="U152" s="243"/>
      <c r="V152" s="243"/>
      <c r="W152" s="243"/>
      <c r="X152" s="243"/>
      <c r="Y152" s="243"/>
      <c r="Z152" s="243"/>
      <c r="AA152" s="243"/>
      <c r="AB152" s="243"/>
      <c r="AC152" s="243"/>
      <c r="AD152" s="243"/>
    </row>
    <row r="153" ht="33.75" customHeight="1">
      <c r="A153" s="252"/>
      <c r="B153" s="252"/>
      <c r="C153" s="243"/>
      <c r="D153" s="252"/>
      <c r="E153" s="243"/>
      <c r="F153" s="243"/>
      <c r="G153" s="243"/>
      <c r="H153" s="243"/>
      <c r="I153" s="243"/>
      <c r="J153" s="243"/>
      <c r="K153" s="243"/>
      <c r="L153" s="243"/>
      <c r="M153" s="243"/>
      <c r="N153" s="243"/>
      <c r="O153" s="243"/>
      <c r="P153" s="243"/>
      <c r="Q153" s="243"/>
      <c r="R153" s="243"/>
      <c r="S153" s="243"/>
      <c r="T153" s="243"/>
      <c r="U153" s="243"/>
      <c r="V153" s="243"/>
      <c r="W153" s="243"/>
      <c r="X153" s="243"/>
      <c r="Y153" s="243"/>
      <c r="Z153" s="243"/>
      <c r="AA153" s="243"/>
      <c r="AB153" s="243"/>
      <c r="AC153" s="243"/>
      <c r="AD153" s="243"/>
    </row>
    <row r="154" ht="33.75" customHeight="1">
      <c r="A154" s="252"/>
      <c r="B154" s="252"/>
      <c r="C154" s="243"/>
      <c r="D154" s="252"/>
      <c r="E154" s="243"/>
      <c r="F154" s="243"/>
      <c r="G154" s="243"/>
      <c r="H154" s="243"/>
      <c r="I154" s="243"/>
      <c r="J154" s="243"/>
      <c r="K154" s="243"/>
      <c r="L154" s="243"/>
      <c r="M154" s="243"/>
      <c r="N154" s="243"/>
      <c r="O154" s="243"/>
      <c r="P154" s="243"/>
      <c r="Q154" s="243"/>
      <c r="R154" s="243"/>
      <c r="S154" s="243"/>
      <c r="T154" s="243"/>
      <c r="U154" s="243"/>
      <c r="V154" s="243"/>
      <c r="W154" s="243"/>
      <c r="X154" s="243"/>
      <c r="Y154" s="243"/>
      <c r="Z154" s="243"/>
      <c r="AA154" s="243"/>
      <c r="AB154" s="243"/>
      <c r="AC154" s="243"/>
      <c r="AD154" s="243"/>
    </row>
    <row r="155" ht="33.75" customHeight="1">
      <c r="A155" s="252"/>
      <c r="B155" s="252"/>
      <c r="C155" s="243"/>
      <c r="D155" s="252"/>
      <c r="E155" s="243"/>
      <c r="F155" s="243"/>
      <c r="G155" s="243"/>
      <c r="H155" s="243"/>
      <c r="I155" s="243"/>
      <c r="J155" s="243"/>
      <c r="K155" s="243"/>
      <c r="L155" s="243"/>
      <c r="M155" s="243"/>
      <c r="N155" s="243"/>
      <c r="O155" s="243"/>
      <c r="P155" s="243"/>
      <c r="Q155" s="243"/>
      <c r="R155" s="243"/>
      <c r="S155" s="243"/>
      <c r="T155" s="243"/>
      <c r="U155" s="243"/>
      <c r="V155" s="243"/>
      <c r="W155" s="243"/>
      <c r="X155" s="243"/>
      <c r="Y155" s="243"/>
      <c r="Z155" s="243"/>
      <c r="AA155" s="243"/>
      <c r="AB155" s="243"/>
      <c r="AC155" s="243"/>
      <c r="AD155" s="243"/>
    </row>
    <row r="156" ht="33.75" customHeight="1">
      <c r="A156" s="252"/>
      <c r="B156" s="252"/>
      <c r="C156" s="243"/>
      <c r="D156" s="252"/>
      <c r="E156" s="243"/>
      <c r="F156" s="243"/>
      <c r="G156" s="243"/>
      <c r="H156" s="243"/>
      <c r="I156" s="243"/>
      <c r="J156" s="243"/>
      <c r="K156" s="243"/>
      <c r="L156" s="243"/>
      <c r="M156" s="243"/>
      <c r="N156" s="243"/>
      <c r="O156" s="243"/>
      <c r="P156" s="243"/>
      <c r="Q156" s="243"/>
      <c r="R156" s="243"/>
      <c r="S156" s="243"/>
      <c r="T156" s="243"/>
      <c r="U156" s="243"/>
      <c r="V156" s="243"/>
      <c r="W156" s="243"/>
      <c r="X156" s="243"/>
      <c r="Y156" s="243"/>
      <c r="Z156" s="243"/>
      <c r="AA156" s="243"/>
      <c r="AB156" s="243"/>
      <c r="AC156" s="243"/>
      <c r="AD156" s="243"/>
    </row>
    <row r="157" ht="33.75" customHeight="1">
      <c r="A157" s="252"/>
      <c r="B157" s="252"/>
      <c r="C157" s="243"/>
      <c r="D157" s="252"/>
      <c r="E157" s="243"/>
      <c r="F157" s="243"/>
      <c r="G157" s="243"/>
      <c r="H157" s="243"/>
      <c r="I157" s="243"/>
      <c r="J157" s="243"/>
      <c r="K157" s="243"/>
      <c r="L157" s="243"/>
      <c r="M157" s="243"/>
      <c r="N157" s="243"/>
      <c r="O157" s="243"/>
      <c r="P157" s="243"/>
      <c r="Q157" s="243"/>
      <c r="R157" s="243"/>
      <c r="S157" s="243"/>
      <c r="T157" s="243"/>
      <c r="U157" s="243"/>
      <c r="V157" s="243"/>
      <c r="W157" s="243"/>
      <c r="X157" s="243"/>
      <c r="Y157" s="243"/>
      <c r="Z157" s="243"/>
      <c r="AA157" s="243"/>
      <c r="AB157" s="243"/>
      <c r="AC157" s="243"/>
      <c r="AD157" s="243"/>
    </row>
    <row r="158" ht="33.75" customHeight="1">
      <c r="A158" s="252"/>
      <c r="B158" s="252"/>
      <c r="C158" s="243"/>
      <c r="D158" s="252"/>
      <c r="E158" s="243"/>
      <c r="F158" s="243"/>
      <c r="G158" s="243"/>
      <c r="H158" s="243"/>
      <c r="I158" s="243"/>
      <c r="J158" s="243"/>
      <c r="K158" s="243"/>
      <c r="L158" s="243"/>
      <c r="M158" s="243"/>
      <c r="N158" s="243"/>
      <c r="O158" s="243"/>
      <c r="P158" s="243"/>
      <c r="Q158" s="243"/>
      <c r="R158" s="243"/>
      <c r="S158" s="243"/>
      <c r="T158" s="243"/>
      <c r="U158" s="243"/>
      <c r="V158" s="243"/>
      <c r="W158" s="243"/>
      <c r="X158" s="243"/>
      <c r="Y158" s="243"/>
      <c r="Z158" s="243"/>
      <c r="AA158" s="243"/>
      <c r="AB158" s="243"/>
      <c r="AC158" s="243"/>
      <c r="AD158" s="243"/>
    </row>
    <row r="159" ht="33.75" customHeight="1">
      <c r="A159" s="252"/>
      <c r="B159" s="252"/>
      <c r="C159" s="243"/>
      <c r="D159" s="252"/>
      <c r="E159" s="243"/>
      <c r="F159" s="243"/>
      <c r="G159" s="243"/>
      <c r="H159" s="243"/>
      <c r="I159" s="243"/>
      <c r="J159" s="243"/>
      <c r="K159" s="243"/>
      <c r="L159" s="243"/>
      <c r="M159" s="243"/>
      <c r="N159" s="243"/>
      <c r="O159" s="243"/>
      <c r="P159" s="243"/>
      <c r="Q159" s="243"/>
      <c r="R159" s="243"/>
      <c r="S159" s="243"/>
      <c r="T159" s="243"/>
      <c r="U159" s="243"/>
      <c r="V159" s="243"/>
      <c r="W159" s="243"/>
      <c r="X159" s="243"/>
      <c r="Y159" s="243"/>
      <c r="Z159" s="243"/>
      <c r="AA159" s="243"/>
      <c r="AB159" s="243"/>
      <c r="AC159" s="243"/>
      <c r="AD159" s="243"/>
    </row>
    <row r="160" ht="33.75" customHeight="1">
      <c r="A160" s="252"/>
      <c r="B160" s="252"/>
      <c r="C160" s="243"/>
      <c r="D160" s="252"/>
      <c r="E160" s="243"/>
      <c r="F160" s="243"/>
      <c r="G160" s="243"/>
      <c r="H160" s="243"/>
      <c r="I160" s="243"/>
      <c r="J160" s="243"/>
      <c r="K160" s="243"/>
      <c r="L160" s="243"/>
      <c r="M160" s="243"/>
      <c r="N160" s="243"/>
      <c r="O160" s="243"/>
      <c r="P160" s="243"/>
      <c r="Q160" s="243"/>
      <c r="R160" s="243"/>
      <c r="S160" s="243"/>
      <c r="T160" s="243"/>
      <c r="U160" s="243"/>
      <c r="V160" s="243"/>
      <c r="W160" s="243"/>
      <c r="X160" s="243"/>
      <c r="Y160" s="243"/>
      <c r="Z160" s="243"/>
      <c r="AA160" s="243"/>
      <c r="AB160" s="243"/>
      <c r="AC160" s="243"/>
      <c r="AD160" s="243"/>
    </row>
    <row r="161" ht="33.75" customHeight="1">
      <c r="A161" s="252"/>
      <c r="B161" s="252"/>
      <c r="C161" s="243"/>
      <c r="D161" s="252"/>
      <c r="E161" s="243"/>
      <c r="F161" s="243"/>
      <c r="G161" s="243"/>
      <c r="H161" s="243"/>
      <c r="I161" s="243"/>
      <c r="J161" s="243"/>
      <c r="K161" s="243"/>
      <c r="L161" s="243"/>
      <c r="M161" s="243"/>
      <c r="N161" s="243"/>
      <c r="O161" s="243"/>
      <c r="P161" s="243"/>
      <c r="Q161" s="243"/>
      <c r="R161" s="243"/>
      <c r="S161" s="243"/>
      <c r="T161" s="243"/>
      <c r="U161" s="243"/>
      <c r="V161" s="243"/>
      <c r="W161" s="243"/>
      <c r="X161" s="243"/>
      <c r="Y161" s="243"/>
      <c r="Z161" s="243"/>
      <c r="AA161" s="243"/>
      <c r="AB161" s="243"/>
      <c r="AC161" s="243"/>
      <c r="AD161" s="243"/>
    </row>
    <row r="162" ht="33.75" customHeight="1">
      <c r="A162" s="252"/>
      <c r="B162" s="252"/>
      <c r="C162" s="243"/>
      <c r="D162" s="252"/>
      <c r="E162" s="243"/>
      <c r="F162" s="243"/>
      <c r="G162" s="243"/>
      <c r="H162" s="243"/>
      <c r="I162" s="243"/>
      <c r="J162" s="243"/>
      <c r="K162" s="243"/>
      <c r="L162" s="243"/>
      <c r="M162" s="243"/>
      <c r="N162" s="243"/>
      <c r="O162" s="243"/>
      <c r="P162" s="243"/>
      <c r="Q162" s="243"/>
      <c r="R162" s="243"/>
      <c r="S162" s="243"/>
      <c r="T162" s="243"/>
      <c r="U162" s="243"/>
      <c r="V162" s="243"/>
      <c r="W162" s="243"/>
      <c r="X162" s="243"/>
      <c r="Y162" s="243"/>
      <c r="Z162" s="243"/>
      <c r="AA162" s="243"/>
      <c r="AB162" s="243"/>
      <c r="AC162" s="243"/>
      <c r="AD162" s="243"/>
    </row>
    <row r="163" ht="33.75" customHeight="1">
      <c r="A163" s="252"/>
      <c r="B163" s="252"/>
      <c r="C163" s="243"/>
      <c r="D163" s="252"/>
      <c r="E163" s="243"/>
      <c r="F163" s="243"/>
      <c r="G163" s="243"/>
      <c r="H163" s="243"/>
      <c r="I163" s="243"/>
      <c r="J163" s="243"/>
      <c r="K163" s="243"/>
      <c r="L163" s="243"/>
      <c r="M163" s="243"/>
      <c r="N163" s="243"/>
      <c r="O163" s="243"/>
      <c r="P163" s="243"/>
      <c r="Q163" s="243"/>
      <c r="R163" s="243"/>
      <c r="S163" s="243"/>
      <c r="T163" s="243"/>
      <c r="U163" s="243"/>
      <c r="V163" s="243"/>
      <c r="W163" s="243"/>
      <c r="X163" s="243"/>
      <c r="Y163" s="243"/>
      <c r="Z163" s="243"/>
      <c r="AA163" s="243"/>
      <c r="AB163" s="243"/>
      <c r="AC163" s="243"/>
      <c r="AD163" s="243"/>
    </row>
    <row r="164" ht="33.75" customHeight="1">
      <c r="A164" s="252"/>
      <c r="B164" s="252"/>
      <c r="C164" s="243"/>
      <c r="D164" s="252"/>
      <c r="E164" s="243"/>
      <c r="F164" s="243"/>
      <c r="G164" s="243"/>
      <c r="H164" s="243"/>
      <c r="I164" s="243"/>
      <c r="J164" s="243"/>
      <c r="K164" s="243"/>
      <c r="L164" s="243"/>
      <c r="M164" s="243"/>
      <c r="N164" s="243"/>
      <c r="O164" s="243"/>
      <c r="P164" s="243"/>
      <c r="Q164" s="243"/>
      <c r="R164" s="243"/>
      <c r="S164" s="243"/>
      <c r="T164" s="243"/>
      <c r="U164" s="243"/>
      <c r="V164" s="243"/>
      <c r="W164" s="243"/>
      <c r="X164" s="243"/>
      <c r="Y164" s="243"/>
      <c r="Z164" s="243"/>
      <c r="AA164" s="243"/>
      <c r="AB164" s="243"/>
      <c r="AC164" s="243"/>
      <c r="AD164" s="243"/>
    </row>
    <row r="165" ht="33.75" customHeight="1">
      <c r="A165" s="252"/>
      <c r="B165" s="252"/>
      <c r="C165" s="243"/>
      <c r="D165" s="252"/>
      <c r="E165" s="243"/>
      <c r="F165" s="243"/>
      <c r="G165" s="243"/>
      <c r="H165" s="243"/>
      <c r="I165" s="243"/>
      <c r="J165" s="243"/>
      <c r="K165" s="243"/>
      <c r="L165" s="243"/>
      <c r="M165" s="243"/>
      <c r="N165" s="243"/>
      <c r="O165" s="243"/>
      <c r="P165" s="243"/>
      <c r="Q165" s="243"/>
      <c r="R165" s="243"/>
      <c r="S165" s="243"/>
      <c r="T165" s="243"/>
      <c r="U165" s="243"/>
      <c r="V165" s="243"/>
      <c r="W165" s="243"/>
      <c r="X165" s="243"/>
      <c r="Y165" s="243"/>
      <c r="Z165" s="243"/>
      <c r="AA165" s="243"/>
      <c r="AB165" s="243"/>
      <c r="AC165" s="243"/>
      <c r="AD165" s="243"/>
    </row>
    <row r="166" ht="33.75" customHeight="1">
      <c r="A166" s="252"/>
      <c r="B166" s="252"/>
      <c r="C166" s="243"/>
      <c r="D166" s="252"/>
      <c r="E166" s="243"/>
      <c r="F166" s="243"/>
      <c r="G166" s="243"/>
      <c r="H166" s="243"/>
      <c r="I166" s="243"/>
      <c r="J166" s="243"/>
      <c r="K166" s="243"/>
      <c r="L166" s="243"/>
      <c r="M166" s="243"/>
      <c r="N166" s="243"/>
      <c r="O166" s="243"/>
      <c r="P166" s="243"/>
      <c r="Q166" s="243"/>
      <c r="R166" s="243"/>
      <c r="S166" s="243"/>
      <c r="T166" s="243"/>
      <c r="U166" s="243"/>
      <c r="V166" s="243"/>
      <c r="W166" s="243"/>
      <c r="X166" s="243"/>
      <c r="Y166" s="243"/>
      <c r="Z166" s="243"/>
      <c r="AA166" s="243"/>
      <c r="AB166" s="243"/>
      <c r="AC166" s="243"/>
      <c r="AD166" s="243"/>
    </row>
    <row r="167" ht="33.75" customHeight="1">
      <c r="A167" s="252"/>
      <c r="B167" s="252"/>
      <c r="C167" s="243"/>
      <c r="D167" s="252"/>
      <c r="E167" s="243"/>
      <c r="F167" s="243"/>
      <c r="G167" s="243"/>
      <c r="H167" s="243"/>
      <c r="I167" s="243"/>
      <c r="J167" s="243"/>
      <c r="K167" s="243"/>
      <c r="L167" s="243"/>
      <c r="M167" s="243"/>
      <c r="N167" s="243"/>
      <c r="O167" s="243"/>
      <c r="P167" s="243"/>
      <c r="Q167" s="243"/>
      <c r="R167" s="243"/>
      <c r="S167" s="243"/>
      <c r="T167" s="243"/>
      <c r="U167" s="243"/>
      <c r="V167" s="243"/>
      <c r="W167" s="243"/>
      <c r="X167" s="243"/>
      <c r="Y167" s="243"/>
      <c r="Z167" s="243"/>
      <c r="AA167" s="243"/>
      <c r="AB167" s="243"/>
      <c r="AC167" s="243"/>
      <c r="AD167" s="243"/>
    </row>
    <row r="168" ht="33.75" customHeight="1">
      <c r="A168" s="252"/>
      <c r="B168" s="252"/>
      <c r="C168" s="243"/>
      <c r="D168" s="252"/>
      <c r="E168" s="243"/>
      <c r="F168" s="243"/>
      <c r="G168" s="243"/>
      <c r="H168" s="243"/>
      <c r="I168" s="243"/>
      <c r="J168" s="243"/>
      <c r="K168" s="243"/>
      <c r="L168" s="243"/>
      <c r="M168" s="243"/>
      <c r="N168" s="243"/>
      <c r="O168" s="243"/>
      <c r="P168" s="243"/>
      <c r="Q168" s="243"/>
      <c r="R168" s="243"/>
      <c r="S168" s="243"/>
      <c r="T168" s="243"/>
      <c r="U168" s="243"/>
      <c r="V168" s="243"/>
      <c r="W168" s="243"/>
      <c r="X168" s="243"/>
      <c r="Y168" s="243"/>
      <c r="Z168" s="243"/>
      <c r="AA168" s="243"/>
      <c r="AB168" s="243"/>
      <c r="AC168" s="243"/>
      <c r="AD168" s="243"/>
    </row>
    <row r="169" ht="33.75" customHeight="1">
      <c r="A169" s="252"/>
      <c r="B169" s="252"/>
      <c r="C169" s="243"/>
      <c r="D169" s="252"/>
      <c r="E169" s="243"/>
      <c r="F169" s="243"/>
      <c r="G169" s="243"/>
      <c r="H169" s="243"/>
      <c r="I169" s="243"/>
      <c r="J169" s="243"/>
      <c r="K169" s="243"/>
      <c r="L169" s="243"/>
      <c r="M169" s="243"/>
      <c r="N169" s="243"/>
      <c r="O169" s="243"/>
      <c r="P169" s="243"/>
      <c r="Q169" s="243"/>
      <c r="R169" s="243"/>
      <c r="S169" s="243"/>
      <c r="T169" s="243"/>
      <c r="U169" s="243"/>
      <c r="V169" s="243"/>
      <c r="W169" s="243"/>
      <c r="X169" s="243"/>
      <c r="Y169" s="243"/>
      <c r="Z169" s="243"/>
      <c r="AA169" s="243"/>
      <c r="AB169" s="243"/>
      <c r="AC169" s="243"/>
      <c r="AD169" s="243"/>
    </row>
    <row r="170" ht="33.75" customHeight="1">
      <c r="A170" s="252"/>
      <c r="B170" s="252"/>
      <c r="C170" s="243"/>
      <c r="D170" s="252"/>
      <c r="E170" s="243"/>
      <c r="F170" s="243"/>
      <c r="G170" s="243"/>
      <c r="H170" s="243"/>
      <c r="I170" s="243"/>
      <c r="J170" s="243"/>
      <c r="K170" s="243"/>
      <c r="L170" s="243"/>
      <c r="M170" s="243"/>
      <c r="N170" s="243"/>
      <c r="O170" s="243"/>
      <c r="P170" s="243"/>
      <c r="Q170" s="243"/>
      <c r="R170" s="243"/>
      <c r="S170" s="243"/>
      <c r="T170" s="243"/>
      <c r="U170" s="243"/>
      <c r="V170" s="243"/>
      <c r="W170" s="243"/>
      <c r="X170" s="243"/>
      <c r="Y170" s="243"/>
      <c r="Z170" s="243"/>
      <c r="AA170" s="243"/>
      <c r="AB170" s="243"/>
      <c r="AC170" s="243"/>
      <c r="AD170" s="243"/>
    </row>
    <row r="171" ht="33.75" customHeight="1">
      <c r="A171" s="252"/>
      <c r="B171" s="252"/>
      <c r="C171" s="243"/>
      <c r="D171" s="252"/>
      <c r="E171" s="243"/>
      <c r="F171" s="243"/>
      <c r="G171" s="243"/>
      <c r="H171" s="243"/>
      <c r="I171" s="243"/>
      <c r="J171" s="243"/>
      <c r="K171" s="243"/>
      <c r="L171" s="243"/>
      <c r="M171" s="243"/>
      <c r="N171" s="243"/>
      <c r="O171" s="243"/>
      <c r="P171" s="243"/>
      <c r="Q171" s="243"/>
      <c r="R171" s="243"/>
      <c r="S171" s="243"/>
      <c r="T171" s="243"/>
      <c r="U171" s="243"/>
      <c r="V171" s="243"/>
      <c r="W171" s="243"/>
      <c r="X171" s="243"/>
      <c r="Y171" s="243"/>
      <c r="Z171" s="243"/>
      <c r="AA171" s="243"/>
      <c r="AB171" s="243"/>
      <c r="AC171" s="243"/>
      <c r="AD171" s="243"/>
    </row>
    <row r="172" ht="33.75" customHeight="1">
      <c r="A172" s="252"/>
      <c r="B172" s="252"/>
      <c r="C172" s="243"/>
      <c r="D172" s="252"/>
      <c r="E172" s="243"/>
      <c r="F172" s="243"/>
      <c r="G172" s="243"/>
      <c r="H172" s="243"/>
      <c r="I172" s="243"/>
      <c r="J172" s="243"/>
      <c r="K172" s="243"/>
      <c r="L172" s="243"/>
      <c r="M172" s="243"/>
      <c r="N172" s="243"/>
      <c r="O172" s="243"/>
      <c r="P172" s="243"/>
      <c r="Q172" s="243"/>
      <c r="R172" s="243"/>
      <c r="S172" s="243"/>
      <c r="T172" s="243"/>
      <c r="U172" s="243"/>
      <c r="V172" s="243"/>
      <c r="W172" s="243"/>
      <c r="X172" s="243"/>
      <c r="Y172" s="243"/>
      <c r="Z172" s="243"/>
      <c r="AA172" s="243"/>
      <c r="AB172" s="243"/>
      <c r="AC172" s="243"/>
      <c r="AD172" s="243"/>
    </row>
    <row r="173" ht="33.75" customHeight="1">
      <c r="A173" s="252"/>
      <c r="B173" s="252"/>
      <c r="C173" s="243"/>
      <c r="D173" s="252"/>
      <c r="E173" s="243"/>
      <c r="F173" s="243"/>
      <c r="G173" s="243"/>
      <c r="H173" s="243"/>
      <c r="I173" s="243"/>
      <c r="J173" s="243"/>
      <c r="K173" s="243"/>
      <c r="L173" s="243"/>
      <c r="M173" s="243"/>
      <c r="N173" s="243"/>
      <c r="O173" s="243"/>
      <c r="P173" s="243"/>
      <c r="Q173" s="243"/>
      <c r="R173" s="243"/>
      <c r="S173" s="243"/>
      <c r="T173" s="243"/>
      <c r="U173" s="243"/>
      <c r="V173" s="243"/>
      <c r="W173" s="243"/>
      <c r="X173" s="243"/>
      <c r="Y173" s="243"/>
      <c r="Z173" s="243"/>
      <c r="AA173" s="243"/>
      <c r="AB173" s="243"/>
      <c r="AC173" s="243"/>
      <c r="AD173" s="243"/>
    </row>
    <row r="174" ht="33.75" customHeight="1">
      <c r="A174" s="252"/>
      <c r="B174" s="252"/>
      <c r="C174" s="243"/>
      <c r="D174" s="252"/>
      <c r="E174" s="243"/>
      <c r="F174" s="243"/>
      <c r="G174" s="243"/>
      <c r="H174" s="243"/>
      <c r="I174" s="243"/>
      <c r="J174" s="243"/>
      <c r="K174" s="243"/>
      <c r="L174" s="243"/>
      <c r="M174" s="243"/>
      <c r="N174" s="243"/>
      <c r="O174" s="243"/>
      <c r="P174" s="243"/>
      <c r="Q174" s="243"/>
      <c r="R174" s="243"/>
      <c r="S174" s="243"/>
      <c r="T174" s="243"/>
      <c r="U174" s="243"/>
      <c r="V174" s="243"/>
      <c r="W174" s="243"/>
      <c r="X174" s="243"/>
      <c r="Y174" s="243"/>
      <c r="Z174" s="243"/>
      <c r="AA174" s="243"/>
      <c r="AB174" s="243"/>
      <c r="AC174" s="243"/>
      <c r="AD174" s="243"/>
    </row>
    <row r="175" ht="33.75" customHeight="1">
      <c r="A175" s="252"/>
      <c r="B175" s="252"/>
      <c r="C175" s="243"/>
      <c r="D175" s="252"/>
      <c r="E175" s="243"/>
      <c r="F175" s="243"/>
      <c r="G175" s="243"/>
      <c r="H175" s="243"/>
      <c r="I175" s="243"/>
      <c r="J175" s="243"/>
      <c r="K175" s="243"/>
      <c r="L175" s="243"/>
      <c r="M175" s="243"/>
      <c r="N175" s="243"/>
      <c r="O175" s="243"/>
      <c r="P175" s="243"/>
      <c r="Q175" s="243"/>
      <c r="R175" s="243"/>
      <c r="S175" s="243"/>
      <c r="T175" s="243"/>
      <c r="U175" s="243"/>
      <c r="V175" s="243"/>
      <c r="W175" s="243"/>
      <c r="X175" s="243"/>
      <c r="Y175" s="243"/>
      <c r="Z175" s="243"/>
      <c r="AA175" s="243"/>
      <c r="AB175" s="243"/>
      <c r="AC175" s="243"/>
      <c r="AD175" s="243"/>
    </row>
    <row r="176" ht="33.75" customHeight="1">
      <c r="A176" s="252"/>
      <c r="B176" s="252"/>
      <c r="C176" s="243"/>
      <c r="D176" s="252"/>
      <c r="E176" s="243"/>
      <c r="F176" s="243"/>
      <c r="G176" s="243"/>
      <c r="H176" s="243"/>
      <c r="I176" s="243"/>
      <c r="J176" s="243"/>
      <c r="K176" s="243"/>
      <c r="L176" s="243"/>
      <c r="M176" s="243"/>
      <c r="N176" s="243"/>
      <c r="O176" s="243"/>
      <c r="P176" s="243"/>
      <c r="Q176" s="243"/>
      <c r="R176" s="243"/>
      <c r="S176" s="243"/>
      <c r="T176" s="243"/>
      <c r="U176" s="243"/>
      <c r="V176" s="243"/>
      <c r="W176" s="243"/>
      <c r="X176" s="243"/>
      <c r="Y176" s="243"/>
      <c r="Z176" s="243"/>
      <c r="AA176" s="243"/>
      <c r="AB176" s="243"/>
      <c r="AC176" s="243"/>
      <c r="AD176" s="243"/>
    </row>
    <row r="177" ht="33.75" customHeight="1">
      <c r="A177" s="252"/>
      <c r="B177" s="252"/>
      <c r="C177" s="243"/>
      <c r="D177" s="252"/>
      <c r="E177" s="243"/>
      <c r="F177" s="243"/>
      <c r="G177" s="243"/>
      <c r="H177" s="243"/>
      <c r="I177" s="243"/>
      <c r="J177" s="243"/>
      <c r="K177" s="243"/>
      <c r="L177" s="243"/>
      <c r="M177" s="243"/>
      <c r="N177" s="243"/>
      <c r="O177" s="243"/>
      <c r="P177" s="243"/>
      <c r="Q177" s="243"/>
      <c r="R177" s="243"/>
      <c r="S177" s="243"/>
      <c r="T177" s="243"/>
      <c r="U177" s="243"/>
      <c r="V177" s="243"/>
      <c r="W177" s="243"/>
      <c r="X177" s="243"/>
      <c r="Y177" s="243"/>
      <c r="Z177" s="243"/>
      <c r="AA177" s="243"/>
      <c r="AB177" s="243"/>
      <c r="AC177" s="243"/>
      <c r="AD177" s="243"/>
    </row>
    <row r="178" ht="33.75" customHeight="1">
      <c r="A178" s="252"/>
      <c r="B178" s="252"/>
      <c r="C178" s="243"/>
      <c r="D178" s="252"/>
      <c r="E178" s="243"/>
      <c r="F178" s="243"/>
      <c r="G178" s="243"/>
      <c r="H178" s="243"/>
      <c r="I178" s="243"/>
      <c r="J178" s="243"/>
      <c r="K178" s="243"/>
      <c r="L178" s="243"/>
      <c r="M178" s="243"/>
      <c r="N178" s="243"/>
      <c r="O178" s="243"/>
      <c r="P178" s="243"/>
      <c r="Q178" s="243"/>
      <c r="R178" s="243"/>
      <c r="S178" s="243"/>
      <c r="T178" s="243"/>
      <c r="U178" s="243"/>
      <c r="V178" s="243"/>
      <c r="W178" s="243"/>
      <c r="X178" s="243"/>
      <c r="Y178" s="243"/>
      <c r="Z178" s="243"/>
      <c r="AA178" s="243"/>
      <c r="AB178" s="243"/>
      <c r="AC178" s="243"/>
      <c r="AD178" s="243"/>
    </row>
    <row r="179" ht="33.75" customHeight="1">
      <c r="A179" s="252"/>
      <c r="B179" s="252"/>
      <c r="C179" s="243"/>
      <c r="D179" s="252"/>
      <c r="E179" s="243"/>
      <c r="F179" s="243"/>
      <c r="G179" s="243"/>
      <c r="H179" s="243"/>
      <c r="I179" s="243"/>
      <c r="J179" s="243"/>
      <c r="K179" s="243"/>
      <c r="L179" s="243"/>
      <c r="M179" s="243"/>
      <c r="N179" s="243"/>
      <c r="O179" s="243"/>
      <c r="P179" s="243"/>
      <c r="Q179" s="243"/>
      <c r="R179" s="243"/>
      <c r="S179" s="243"/>
      <c r="T179" s="243"/>
      <c r="U179" s="243"/>
      <c r="V179" s="243"/>
      <c r="W179" s="243"/>
      <c r="X179" s="243"/>
      <c r="Y179" s="243"/>
      <c r="Z179" s="243"/>
      <c r="AA179" s="243"/>
      <c r="AB179" s="243"/>
      <c r="AC179" s="243"/>
      <c r="AD179" s="243"/>
    </row>
    <row r="180" ht="33.75" customHeight="1">
      <c r="A180" s="252"/>
      <c r="B180" s="252"/>
      <c r="C180" s="243"/>
      <c r="D180" s="252"/>
      <c r="E180" s="243"/>
      <c r="F180" s="243"/>
      <c r="G180" s="243"/>
      <c r="H180" s="243"/>
      <c r="I180" s="243"/>
      <c r="J180" s="243"/>
      <c r="K180" s="243"/>
      <c r="L180" s="243"/>
      <c r="M180" s="243"/>
      <c r="N180" s="243"/>
      <c r="O180" s="243"/>
      <c r="P180" s="243"/>
      <c r="Q180" s="243"/>
      <c r="R180" s="243"/>
      <c r="S180" s="243"/>
      <c r="T180" s="243"/>
      <c r="U180" s="243"/>
      <c r="V180" s="243"/>
      <c r="W180" s="243"/>
      <c r="X180" s="243"/>
      <c r="Y180" s="243"/>
      <c r="Z180" s="243"/>
      <c r="AA180" s="243"/>
      <c r="AB180" s="243"/>
      <c r="AC180" s="243"/>
      <c r="AD180" s="243"/>
    </row>
    <row r="181" ht="33.75" customHeight="1">
      <c r="A181" s="252"/>
      <c r="B181" s="252"/>
      <c r="C181" s="243"/>
      <c r="D181" s="252"/>
      <c r="E181" s="243"/>
      <c r="F181" s="243"/>
      <c r="G181" s="243"/>
      <c r="H181" s="243"/>
      <c r="I181" s="243"/>
      <c r="J181" s="243"/>
      <c r="K181" s="243"/>
      <c r="L181" s="243"/>
      <c r="M181" s="243"/>
      <c r="N181" s="243"/>
      <c r="O181" s="243"/>
      <c r="P181" s="243"/>
      <c r="Q181" s="243"/>
      <c r="R181" s="243"/>
      <c r="S181" s="243"/>
      <c r="T181" s="243"/>
      <c r="U181" s="243"/>
      <c r="V181" s="243"/>
      <c r="W181" s="243"/>
      <c r="X181" s="243"/>
      <c r="Y181" s="243"/>
      <c r="Z181" s="243"/>
      <c r="AA181" s="243"/>
      <c r="AB181" s="243"/>
      <c r="AC181" s="243"/>
      <c r="AD181" s="243"/>
    </row>
    <row r="182" ht="33.75" customHeight="1">
      <c r="A182" s="252"/>
      <c r="B182" s="252"/>
      <c r="C182" s="243"/>
      <c r="D182" s="252"/>
      <c r="E182" s="243"/>
      <c r="F182" s="243"/>
      <c r="G182" s="243"/>
      <c r="H182" s="243"/>
      <c r="I182" s="243"/>
      <c r="J182" s="243"/>
      <c r="K182" s="243"/>
      <c r="L182" s="243"/>
      <c r="M182" s="243"/>
      <c r="N182" s="243"/>
      <c r="O182" s="243"/>
      <c r="P182" s="243"/>
      <c r="Q182" s="243"/>
      <c r="R182" s="243"/>
      <c r="S182" s="243"/>
      <c r="T182" s="243"/>
      <c r="U182" s="243"/>
      <c r="V182" s="243"/>
      <c r="W182" s="243"/>
      <c r="X182" s="243"/>
      <c r="Y182" s="243"/>
      <c r="Z182" s="243"/>
      <c r="AA182" s="243"/>
      <c r="AB182" s="243"/>
      <c r="AC182" s="243"/>
      <c r="AD182" s="243"/>
    </row>
    <row r="183" ht="33.75" customHeight="1">
      <c r="A183" s="252"/>
      <c r="B183" s="252"/>
      <c r="C183" s="243"/>
      <c r="D183" s="252"/>
      <c r="E183" s="243"/>
      <c r="F183" s="243"/>
      <c r="G183" s="243"/>
      <c r="H183" s="243"/>
      <c r="I183" s="243"/>
      <c r="J183" s="243"/>
      <c r="K183" s="243"/>
      <c r="L183" s="243"/>
      <c r="M183" s="243"/>
      <c r="N183" s="243"/>
      <c r="O183" s="243"/>
      <c r="P183" s="243"/>
      <c r="Q183" s="243"/>
      <c r="R183" s="243"/>
      <c r="S183" s="243"/>
      <c r="T183" s="243"/>
      <c r="U183" s="243"/>
      <c r="V183" s="243"/>
      <c r="W183" s="243"/>
      <c r="X183" s="243"/>
      <c r="Y183" s="243"/>
      <c r="Z183" s="243"/>
      <c r="AA183" s="243"/>
      <c r="AB183" s="243"/>
      <c r="AC183" s="243"/>
      <c r="AD183" s="243"/>
    </row>
    <row r="184" ht="33.75" customHeight="1">
      <c r="A184" s="252"/>
      <c r="B184" s="252"/>
      <c r="C184" s="243"/>
      <c r="D184" s="252"/>
      <c r="E184" s="243"/>
      <c r="F184" s="243"/>
      <c r="G184" s="243"/>
      <c r="H184" s="243"/>
      <c r="I184" s="243"/>
      <c r="J184" s="243"/>
      <c r="K184" s="243"/>
      <c r="L184" s="243"/>
      <c r="M184" s="243"/>
      <c r="N184" s="243"/>
      <c r="O184" s="243"/>
      <c r="P184" s="243"/>
      <c r="Q184" s="243"/>
      <c r="R184" s="243"/>
      <c r="S184" s="243"/>
      <c r="T184" s="243"/>
      <c r="U184" s="243"/>
      <c r="V184" s="243"/>
      <c r="W184" s="243"/>
      <c r="X184" s="243"/>
      <c r="Y184" s="243"/>
      <c r="Z184" s="243"/>
      <c r="AA184" s="243"/>
      <c r="AB184" s="243"/>
      <c r="AC184" s="243"/>
      <c r="AD184" s="243"/>
    </row>
    <row r="185" ht="33.75" customHeight="1">
      <c r="A185" s="252"/>
      <c r="B185" s="252"/>
      <c r="C185" s="243"/>
      <c r="D185" s="252"/>
      <c r="E185" s="243"/>
      <c r="F185" s="243"/>
      <c r="G185" s="243"/>
      <c r="H185" s="243"/>
      <c r="I185" s="243"/>
      <c r="J185" s="243"/>
      <c r="K185" s="243"/>
      <c r="L185" s="243"/>
      <c r="M185" s="243"/>
      <c r="N185" s="243"/>
      <c r="O185" s="243"/>
      <c r="P185" s="243"/>
      <c r="Q185" s="243"/>
      <c r="R185" s="243"/>
      <c r="S185" s="243"/>
      <c r="T185" s="243"/>
      <c r="U185" s="243"/>
      <c r="V185" s="243"/>
      <c r="W185" s="243"/>
      <c r="X185" s="243"/>
      <c r="Y185" s="243"/>
      <c r="Z185" s="243"/>
      <c r="AA185" s="243"/>
      <c r="AB185" s="243"/>
      <c r="AC185" s="243"/>
      <c r="AD185" s="243"/>
    </row>
    <row r="186" ht="33.75" customHeight="1">
      <c r="A186" s="252"/>
      <c r="B186" s="252"/>
      <c r="C186" s="243"/>
      <c r="D186" s="252"/>
      <c r="E186" s="243"/>
      <c r="F186" s="243"/>
      <c r="G186" s="243"/>
      <c r="H186" s="243"/>
      <c r="I186" s="243"/>
      <c r="J186" s="243"/>
      <c r="K186" s="243"/>
      <c r="L186" s="243"/>
      <c r="M186" s="243"/>
      <c r="N186" s="243"/>
      <c r="O186" s="243"/>
      <c r="P186" s="243"/>
      <c r="Q186" s="243"/>
      <c r="R186" s="243"/>
      <c r="S186" s="243"/>
      <c r="T186" s="243"/>
      <c r="U186" s="243"/>
      <c r="V186" s="243"/>
      <c r="W186" s="243"/>
      <c r="X186" s="243"/>
      <c r="Y186" s="243"/>
      <c r="Z186" s="243"/>
      <c r="AA186" s="243"/>
      <c r="AB186" s="243"/>
      <c r="AC186" s="243"/>
      <c r="AD186" s="243"/>
    </row>
    <row r="187" ht="33.75" customHeight="1">
      <c r="A187" s="252"/>
      <c r="B187" s="252"/>
      <c r="C187" s="243"/>
      <c r="D187" s="252"/>
      <c r="E187" s="243"/>
      <c r="F187" s="243"/>
      <c r="G187" s="243"/>
      <c r="H187" s="243"/>
      <c r="I187" s="243"/>
      <c r="J187" s="243"/>
      <c r="K187" s="243"/>
      <c r="L187" s="243"/>
      <c r="M187" s="243"/>
      <c r="N187" s="243"/>
      <c r="O187" s="243"/>
      <c r="P187" s="243"/>
      <c r="Q187" s="243"/>
      <c r="R187" s="243"/>
      <c r="S187" s="243"/>
      <c r="T187" s="243"/>
      <c r="U187" s="243"/>
      <c r="V187" s="243"/>
      <c r="W187" s="243"/>
      <c r="X187" s="243"/>
      <c r="Y187" s="243"/>
      <c r="Z187" s="243"/>
      <c r="AA187" s="243"/>
      <c r="AB187" s="243"/>
      <c r="AC187" s="243"/>
      <c r="AD187" s="243"/>
    </row>
    <row r="188" ht="33.75" customHeight="1">
      <c r="A188" s="252"/>
      <c r="B188" s="252"/>
      <c r="C188" s="243"/>
      <c r="D188" s="252"/>
      <c r="E188" s="243"/>
      <c r="F188" s="243"/>
      <c r="G188" s="243"/>
      <c r="H188" s="243"/>
      <c r="I188" s="243"/>
      <c r="J188" s="243"/>
      <c r="K188" s="243"/>
      <c r="L188" s="243"/>
      <c r="M188" s="243"/>
      <c r="N188" s="243"/>
      <c r="O188" s="243"/>
      <c r="P188" s="243"/>
      <c r="Q188" s="243"/>
      <c r="R188" s="243"/>
      <c r="S188" s="243"/>
      <c r="T188" s="243"/>
      <c r="U188" s="243"/>
      <c r="V188" s="243"/>
      <c r="W188" s="243"/>
      <c r="X188" s="243"/>
      <c r="Y188" s="243"/>
      <c r="Z188" s="243"/>
      <c r="AA188" s="243"/>
      <c r="AB188" s="243"/>
      <c r="AC188" s="243"/>
      <c r="AD188" s="243"/>
    </row>
    <row r="189" ht="33.75" customHeight="1">
      <c r="A189" s="252"/>
      <c r="B189" s="252"/>
      <c r="C189" s="243"/>
      <c r="D189" s="252"/>
      <c r="E189" s="243"/>
      <c r="F189" s="243"/>
      <c r="G189" s="243"/>
      <c r="H189" s="243"/>
      <c r="I189" s="243"/>
      <c r="J189" s="243"/>
      <c r="K189" s="243"/>
      <c r="L189" s="243"/>
      <c r="M189" s="243"/>
      <c r="N189" s="243"/>
      <c r="O189" s="243"/>
      <c r="P189" s="243"/>
      <c r="Q189" s="243"/>
      <c r="R189" s="243"/>
      <c r="S189" s="243"/>
      <c r="T189" s="243"/>
      <c r="U189" s="243"/>
      <c r="V189" s="243"/>
      <c r="W189" s="243"/>
      <c r="X189" s="243"/>
      <c r="Y189" s="243"/>
      <c r="Z189" s="243"/>
      <c r="AA189" s="243"/>
      <c r="AB189" s="243"/>
      <c r="AC189" s="243"/>
      <c r="AD189" s="243"/>
    </row>
    <row r="190" ht="33.75" customHeight="1">
      <c r="A190" s="252"/>
      <c r="B190" s="252"/>
      <c r="C190" s="243"/>
      <c r="D190" s="252"/>
      <c r="E190" s="243"/>
      <c r="F190" s="243"/>
      <c r="G190" s="243"/>
      <c r="H190" s="243"/>
      <c r="I190" s="243"/>
      <c r="J190" s="243"/>
      <c r="K190" s="243"/>
      <c r="L190" s="243"/>
      <c r="M190" s="243"/>
      <c r="N190" s="243"/>
      <c r="O190" s="243"/>
      <c r="P190" s="243"/>
      <c r="Q190" s="243"/>
      <c r="R190" s="243"/>
      <c r="S190" s="243"/>
      <c r="T190" s="243"/>
      <c r="U190" s="243"/>
      <c r="V190" s="243"/>
      <c r="W190" s="243"/>
      <c r="X190" s="243"/>
      <c r="Y190" s="243"/>
      <c r="Z190" s="243"/>
      <c r="AA190" s="243"/>
      <c r="AB190" s="243"/>
      <c r="AC190" s="243"/>
      <c r="AD190" s="243"/>
    </row>
    <row r="191" ht="33.75" customHeight="1">
      <c r="A191" s="252"/>
      <c r="B191" s="252"/>
      <c r="C191" s="243"/>
      <c r="D191" s="252"/>
      <c r="E191" s="243"/>
      <c r="F191" s="243"/>
      <c r="G191" s="243"/>
      <c r="H191" s="243"/>
      <c r="I191" s="243"/>
      <c r="J191" s="243"/>
      <c r="K191" s="243"/>
      <c r="L191" s="243"/>
      <c r="M191" s="243"/>
      <c r="N191" s="243"/>
      <c r="O191" s="243"/>
      <c r="P191" s="243"/>
      <c r="Q191" s="243"/>
      <c r="R191" s="243"/>
      <c r="S191" s="243"/>
      <c r="T191" s="243"/>
      <c r="U191" s="243"/>
      <c r="V191" s="243"/>
      <c r="W191" s="243"/>
      <c r="X191" s="243"/>
      <c r="Y191" s="243"/>
      <c r="Z191" s="243"/>
      <c r="AA191" s="243"/>
      <c r="AB191" s="243"/>
      <c r="AC191" s="243"/>
      <c r="AD191" s="243"/>
    </row>
    <row r="192" ht="33.75" customHeight="1">
      <c r="A192" s="252"/>
      <c r="B192" s="252"/>
      <c r="C192" s="243"/>
      <c r="D192" s="252"/>
      <c r="E192" s="243"/>
      <c r="F192" s="243"/>
      <c r="G192" s="243"/>
      <c r="H192" s="243"/>
      <c r="I192" s="243"/>
      <c r="J192" s="243"/>
      <c r="K192" s="243"/>
      <c r="L192" s="243"/>
      <c r="M192" s="243"/>
      <c r="N192" s="243"/>
      <c r="O192" s="243"/>
      <c r="P192" s="243"/>
      <c r="Q192" s="243"/>
      <c r="R192" s="243"/>
      <c r="S192" s="243"/>
      <c r="T192" s="243"/>
      <c r="U192" s="243"/>
      <c r="V192" s="243"/>
      <c r="W192" s="243"/>
      <c r="X192" s="243"/>
      <c r="Y192" s="243"/>
      <c r="Z192" s="243"/>
      <c r="AA192" s="243"/>
      <c r="AB192" s="243"/>
      <c r="AC192" s="243"/>
      <c r="AD192" s="243"/>
    </row>
    <row r="193" ht="33.75" customHeight="1">
      <c r="A193" s="252"/>
      <c r="B193" s="252"/>
      <c r="C193" s="243"/>
      <c r="D193" s="252"/>
      <c r="E193" s="243"/>
      <c r="F193" s="243"/>
      <c r="G193" s="243"/>
      <c r="H193" s="243"/>
      <c r="I193" s="243"/>
      <c r="J193" s="243"/>
      <c r="K193" s="243"/>
      <c r="L193" s="243"/>
      <c r="M193" s="243"/>
      <c r="N193" s="243"/>
      <c r="O193" s="243"/>
      <c r="P193" s="243"/>
      <c r="Q193" s="243"/>
      <c r="R193" s="243"/>
      <c r="S193" s="243"/>
      <c r="T193" s="243"/>
      <c r="U193" s="243"/>
      <c r="V193" s="243"/>
      <c r="W193" s="243"/>
      <c r="X193" s="243"/>
      <c r="Y193" s="243"/>
      <c r="Z193" s="243"/>
      <c r="AA193" s="243"/>
      <c r="AB193" s="243"/>
      <c r="AC193" s="243"/>
      <c r="AD193" s="243"/>
    </row>
    <row r="194" ht="33.75" customHeight="1">
      <c r="A194" s="252"/>
      <c r="B194" s="252"/>
      <c r="C194" s="243"/>
      <c r="D194" s="252"/>
      <c r="E194" s="243"/>
      <c r="F194" s="243"/>
      <c r="G194" s="243"/>
      <c r="H194" s="243"/>
      <c r="I194" s="243"/>
      <c r="J194" s="243"/>
      <c r="K194" s="243"/>
      <c r="L194" s="243"/>
      <c r="M194" s="243"/>
      <c r="N194" s="243"/>
      <c r="O194" s="243"/>
      <c r="P194" s="243"/>
      <c r="Q194" s="243"/>
      <c r="R194" s="243"/>
      <c r="S194" s="243"/>
      <c r="T194" s="243"/>
      <c r="U194" s="243"/>
      <c r="V194" s="243"/>
      <c r="W194" s="243"/>
      <c r="X194" s="243"/>
      <c r="Y194" s="243"/>
      <c r="Z194" s="243"/>
      <c r="AA194" s="243"/>
      <c r="AB194" s="243"/>
      <c r="AC194" s="243"/>
      <c r="AD194" s="243"/>
    </row>
    <row r="195" ht="33.75" customHeight="1">
      <c r="A195" s="252"/>
      <c r="B195" s="252"/>
      <c r="C195" s="243"/>
      <c r="D195" s="252"/>
      <c r="E195" s="243"/>
      <c r="F195" s="243"/>
      <c r="G195" s="243"/>
      <c r="H195" s="243"/>
      <c r="I195" s="243"/>
      <c r="J195" s="243"/>
      <c r="K195" s="243"/>
      <c r="L195" s="243"/>
      <c r="M195" s="243"/>
      <c r="N195" s="243"/>
      <c r="O195" s="243"/>
      <c r="P195" s="243"/>
      <c r="Q195" s="243"/>
      <c r="R195" s="243"/>
      <c r="S195" s="243"/>
      <c r="T195" s="243"/>
      <c r="U195" s="243"/>
      <c r="V195" s="243"/>
      <c r="W195" s="243"/>
      <c r="X195" s="243"/>
      <c r="Y195" s="243"/>
      <c r="Z195" s="243"/>
      <c r="AA195" s="243"/>
      <c r="AB195" s="243"/>
      <c r="AC195" s="243"/>
      <c r="AD195" s="243"/>
    </row>
    <row r="196" ht="33.75" customHeight="1">
      <c r="A196" s="252"/>
      <c r="B196" s="252"/>
      <c r="C196" s="243"/>
      <c r="D196" s="252"/>
      <c r="E196" s="243"/>
      <c r="F196" s="243"/>
      <c r="G196" s="243"/>
      <c r="H196" s="243"/>
      <c r="I196" s="243"/>
      <c r="J196" s="243"/>
      <c r="K196" s="243"/>
      <c r="L196" s="243"/>
      <c r="M196" s="243"/>
      <c r="N196" s="243"/>
      <c r="O196" s="243"/>
      <c r="P196" s="243"/>
      <c r="Q196" s="243"/>
      <c r="R196" s="243"/>
      <c r="S196" s="243"/>
      <c r="T196" s="243"/>
      <c r="U196" s="243"/>
      <c r="V196" s="243"/>
      <c r="W196" s="243"/>
      <c r="X196" s="243"/>
      <c r="Y196" s="243"/>
      <c r="Z196" s="243"/>
      <c r="AA196" s="243"/>
      <c r="AB196" s="243"/>
      <c r="AC196" s="243"/>
      <c r="AD196" s="243"/>
    </row>
    <row r="197" ht="33.75" customHeight="1">
      <c r="A197" s="252"/>
      <c r="B197" s="252"/>
      <c r="C197" s="243"/>
      <c r="D197" s="252"/>
      <c r="E197" s="243"/>
      <c r="F197" s="243"/>
      <c r="G197" s="243"/>
      <c r="H197" s="243"/>
      <c r="I197" s="243"/>
      <c r="J197" s="243"/>
      <c r="K197" s="243"/>
      <c r="L197" s="243"/>
      <c r="M197" s="243"/>
      <c r="N197" s="243"/>
      <c r="O197" s="243"/>
      <c r="P197" s="243"/>
      <c r="Q197" s="243"/>
      <c r="R197" s="243"/>
      <c r="S197" s="243"/>
      <c r="T197" s="243"/>
      <c r="U197" s="243"/>
      <c r="V197" s="243"/>
      <c r="W197" s="243"/>
      <c r="X197" s="243"/>
      <c r="Y197" s="243"/>
      <c r="Z197" s="243"/>
      <c r="AA197" s="243"/>
      <c r="AB197" s="243"/>
      <c r="AC197" s="243"/>
      <c r="AD197" s="243"/>
    </row>
    <row r="198" ht="33.75" customHeight="1">
      <c r="A198" s="252"/>
      <c r="B198" s="252"/>
      <c r="C198" s="243"/>
      <c r="D198" s="252"/>
      <c r="E198" s="243"/>
      <c r="F198" s="243"/>
      <c r="G198" s="243"/>
      <c r="H198" s="243"/>
      <c r="I198" s="243"/>
      <c r="J198" s="243"/>
      <c r="K198" s="243"/>
      <c r="L198" s="243"/>
      <c r="M198" s="243"/>
      <c r="N198" s="243"/>
      <c r="O198" s="243"/>
      <c r="P198" s="243"/>
      <c r="Q198" s="243"/>
      <c r="R198" s="243"/>
      <c r="S198" s="243"/>
      <c r="T198" s="243"/>
      <c r="U198" s="243"/>
      <c r="V198" s="243"/>
      <c r="W198" s="243"/>
      <c r="X198" s="243"/>
      <c r="Y198" s="243"/>
      <c r="Z198" s="243"/>
      <c r="AA198" s="243"/>
      <c r="AB198" s="243"/>
      <c r="AC198" s="243"/>
      <c r="AD198" s="243"/>
    </row>
    <row r="199" ht="33.75" customHeight="1">
      <c r="A199" s="252"/>
      <c r="B199" s="252"/>
      <c r="C199" s="243"/>
      <c r="D199" s="252"/>
      <c r="E199" s="243"/>
      <c r="F199" s="243"/>
      <c r="G199" s="243"/>
      <c r="H199" s="243"/>
      <c r="I199" s="243"/>
      <c r="J199" s="243"/>
      <c r="K199" s="243"/>
      <c r="L199" s="243"/>
      <c r="M199" s="243"/>
      <c r="N199" s="243"/>
      <c r="O199" s="243"/>
      <c r="P199" s="243"/>
      <c r="Q199" s="243"/>
      <c r="R199" s="243"/>
      <c r="S199" s="243"/>
      <c r="T199" s="243"/>
      <c r="U199" s="243"/>
      <c r="V199" s="243"/>
      <c r="W199" s="243"/>
      <c r="X199" s="243"/>
      <c r="Y199" s="243"/>
      <c r="Z199" s="243"/>
      <c r="AA199" s="243"/>
      <c r="AB199" s="243"/>
      <c r="AC199" s="243"/>
      <c r="AD199" s="243"/>
    </row>
    <row r="200" ht="33.75" customHeight="1">
      <c r="A200" s="252"/>
      <c r="B200" s="252"/>
      <c r="C200" s="243"/>
      <c r="D200" s="252"/>
      <c r="E200" s="243"/>
      <c r="F200" s="243"/>
      <c r="G200" s="243"/>
      <c r="H200" s="243"/>
      <c r="I200" s="243"/>
      <c r="J200" s="243"/>
      <c r="K200" s="243"/>
      <c r="L200" s="243"/>
      <c r="M200" s="243"/>
      <c r="N200" s="243"/>
      <c r="O200" s="243"/>
      <c r="P200" s="243"/>
      <c r="Q200" s="243"/>
      <c r="R200" s="243"/>
      <c r="S200" s="243"/>
      <c r="T200" s="243"/>
      <c r="U200" s="243"/>
      <c r="V200" s="243"/>
      <c r="W200" s="243"/>
      <c r="X200" s="243"/>
      <c r="Y200" s="243"/>
      <c r="Z200" s="243"/>
      <c r="AA200" s="243"/>
      <c r="AB200" s="243"/>
      <c r="AC200" s="243"/>
      <c r="AD200" s="243"/>
    </row>
    <row r="201" ht="33.75" customHeight="1">
      <c r="A201" s="252"/>
      <c r="B201" s="252"/>
      <c r="C201" s="243"/>
      <c r="D201" s="252"/>
      <c r="E201" s="243"/>
      <c r="F201" s="243"/>
      <c r="G201" s="243"/>
      <c r="H201" s="243"/>
      <c r="I201" s="243"/>
      <c r="J201" s="243"/>
      <c r="K201" s="243"/>
      <c r="L201" s="243"/>
      <c r="M201" s="243"/>
      <c r="N201" s="243"/>
      <c r="O201" s="243"/>
      <c r="P201" s="243"/>
      <c r="Q201" s="243"/>
      <c r="R201" s="243"/>
      <c r="S201" s="243"/>
      <c r="T201" s="243"/>
      <c r="U201" s="243"/>
      <c r="V201" s="243"/>
      <c r="W201" s="243"/>
      <c r="X201" s="243"/>
      <c r="Y201" s="243"/>
      <c r="Z201" s="243"/>
      <c r="AA201" s="243"/>
      <c r="AB201" s="243"/>
      <c r="AC201" s="243"/>
      <c r="AD201" s="243"/>
    </row>
    <row r="202" ht="33.75" customHeight="1">
      <c r="A202" s="252"/>
      <c r="B202" s="252"/>
      <c r="C202" s="243"/>
      <c r="D202" s="252"/>
      <c r="E202" s="243"/>
      <c r="F202" s="243"/>
      <c r="G202" s="243"/>
      <c r="H202" s="243"/>
      <c r="I202" s="243"/>
      <c r="J202" s="243"/>
      <c r="K202" s="243"/>
      <c r="L202" s="243"/>
      <c r="M202" s="243"/>
      <c r="N202" s="243"/>
      <c r="O202" s="243"/>
      <c r="P202" s="243"/>
      <c r="Q202" s="243"/>
      <c r="R202" s="243"/>
      <c r="S202" s="243"/>
      <c r="T202" s="243"/>
      <c r="U202" s="243"/>
      <c r="V202" s="243"/>
      <c r="W202" s="243"/>
      <c r="X202" s="243"/>
      <c r="Y202" s="243"/>
      <c r="Z202" s="243"/>
      <c r="AA202" s="243"/>
      <c r="AB202" s="243"/>
      <c r="AC202" s="243"/>
      <c r="AD202" s="243"/>
    </row>
    <row r="203" ht="33.75" customHeight="1">
      <c r="A203" s="252"/>
      <c r="B203" s="252"/>
      <c r="C203" s="243"/>
      <c r="D203" s="252"/>
      <c r="E203" s="243"/>
      <c r="F203" s="243"/>
      <c r="G203" s="243"/>
      <c r="H203" s="243"/>
      <c r="I203" s="243"/>
      <c r="J203" s="243"/>
      <c r="K203" s="243"/>
      <c r="L203" s="243"/>
      <c r="M203" s="243"/>
      <c r="N203" s="243"/>
      <c r="O203" s="243"/>
      <c r="P203" s="243"/>
      <c r="Q203" s="243"/>
      <c r="R203" s="243"/>
      <c r="S203" s="243"/>
      <c r="T203" s="243"/>
      <c r="U203" s="243"/>
      <c r="V203" s="243"/>
      <c r="W203" s="243"/>
      <c r="X203" s="243"/>
      <c r="Y203" s="243"/>
      <c r="Z203" s="243"/>
      <c r="AA203" s="243"/>
      <c r="AB203" s="243"/>
      <c r="AC203" s="243"/>
      <c r="AD203" s="243"/>
    </row>
    <row r="204" ht="33.75" customHeight="1">
      <c r="A204" s="252"/>
      <c r="B204" s="252"/>
      <c r="C204" s="243"/>
      <c r="D204" s="252"/>
      <c r="E204" s="243"/>
      <c r="F204" s="243"/>
      <c r="G204" s="243"/>
      <c r="H204" s="243"/>
      <c r="I204" s="243"/>
      <c r="J204" s="243"/>
      <c r="K204" s="243"/>
      <c r="L204" s="243"/>
      <c r="M204" s="243"/>
      <c r="N204" s="243"/>
      <c r="O204" s="243"/>
      <c r="P204" s="243"/>
      <c r="Q204" s="243"/>
      <c r="R204" s="243"/>
      <c r="S204" s="243"/>
      <c r="T204" s="243"/>
      <c r="U204" s="243"/>
      <c r="V204" s="243"/>
      <c r="W204" s="243"/>
      <c r="X204" s="243"/>
      <c r="Y204" s="243"/>
      <c r="Z204" s="243"/>
      <c r="AA204" s="243"/>
      <c r="AB204" s="243"/>
      <c r="AC204" s="243"/>
      <c r="AD204" s="243"/>
    </row>
    <row r="205" ht="33.75" customHeight="1">
      <c r="A205" s="252"/>
      <c r="B205" s="252"/>
      <c r="C205" s="243"/>
      <c r="D205" s="252"/>
      <c r="E205" s="243"/>
      <c r="F205" s="243"/>
      <c r="G205" s="243"/>
      <c r="H205" s="243"/>
      <c r="I205" s="243"/>
      <c r="J205" s="243"/>
      <c r="K205" s="243"/>
      <c r="L205" s="243"/>
      <c r="M205" s="243"/>
      <c r="N205" s="243"/>
      <c r="O205" s="243"/>
      <c r="P205" s="243"/>
      <c r="Q205" s="243"/>
      <c r="R205" s="243"/>
      <c r="S205" s="243"/>
      <c r="T205" s="243"/>
      <c r="U205" s="243"/>
      <c r="V205" s="243"/>
      <c r="W205" s="243"/>
      <c r="X205" s="243"/>
      <c r="Y205" s="243"/>
      <c r="Z205" s="243"/>
      <c r="AA205" s="243"/>
      <c r="AB205" s="243"/>
      <c r="AC205" s="243"/>
      <c r="AD205" s="243"/>
    </row>
    <row r="206" ht="33.75" customHeight="1">
      <c r="A206" s="252"/>
      <c r="B206" s="252"/>
      <c r="C206" s="243"/>
      <c r="D206" s="252"/>
      <c r="E206" s="243"/>
      <c r="F206" s="243"/>
      <c r="G206" s="243"/>
      <c r="H206" s="243"/>
      <c r="I206" s="243"/>
      <c r="J206" s="243"/>
      <c r="K206" s="243"/>
      <c r="L206" s="243"/>
      <c r="M206" s="243"/>
      <c r="N206" s="243"/>
      <c r="O206" s="243"/>
      <c r="P206" s="243"/>
      <c r="Q206" s="243"/>
      <c r="R206" s="243"/>
      <c r="S206" s="243"/>
      <c r="T206" s="243"/>
      <c r="U206" s="243"/>
      <c r="V206" s="243"/>
      <c r="W206" s="243"/>
      <c r="X206" s="243"/>
      <c r="Y206" s="243"/>
      <c r="Z206" s="243"/>
      <c r="AA206" s="243"/>
      <c r="AB206" s="243"/>
      <c r="AC206" s="243"/>
      <c r="AD206" s="243"/>
    </row>
    <row r="207" ht="33.75" customHeight="1">
      <c r="A207" s="252"/>
      <c r="B207" s="252"/>
      <c r="C207" s="243"/>
      <c r="D207" s="252"/>
      <c r="E207" s="243"/>
      <c r="F207" s="243"/>
      <c r="G207" s="243"/>
      <c r="H207" s="243"/>
      <c r="I207" s="243"/>
      <c r="J207" s="243"/>
      <c r="K207" s="243"/>
      <c r="L207" s="243"/>
      <c r="M207" s="243"/>
      <c r="N207" s="243"/>
      <c r="O207" s="243"/>
      <c r="P207" s="243"/>
      <c r="Q207" s="243"/>
      <c r="R207" s="243"/>
      <c r="S207" s="243"/>
      <c r="T207" s="243"/>
      <c r="U207" s="243"/>
      <c r="V207" s="243"/>
      <c r="W207" s="243"/>
      <c r="X207" s="243"/>
      <c r="Y207" s="243"/>
      <c r="Z207" s="243"/>
      <c r="AA207" s="243"/>
      <c r="AB207" s="243"/>
      <c r="AC207" s="243"/>
      <c r="AD207" s="243"/>
    </row>
    <row r="208" ht="33.75" customHeight="1">
      <c r="A208" s="252"/>
      <c r="B208" s="252"/>
      <c r="C208" s="243"/>
      <c r="D208" s="252"/>
      <c r="E208" s="243"/>
      <c r="F208" s="243"/>
      <c r="G208" s="243"/>
      <c r="H208" s="243"/>
      <c r="I208" s="243"/>
      <c r="J208" s="243"/>
      <c r="K208" s="243"/>
      <c r="L208" s="243"/>
      <c r="M208" s="243"/>
      <c r="N208" s="243"/>
      <c r="O208" s="243"/>
      <c r="P208" s="243"/>
      <c r="Q208" s="243"/>
      <c r="R208" s="243"/>
      <c r="S208" s="243"/>
      <c r="T208" s="243"/>
      <c r="U208" s="243"/>
      <c r="V208" s="243"/>
      <c r="W208" s="243"/>
      <c r="X208" s="243"/>
      <c r="Y208" s="243"/>
      <c r="Z208" s="243"/>
      <c r="AA208" s="243"/>
      <c r="AB208" s="243"/>
      <c r="AC208" s="243"/>
      <c r="AD208" s="243"/>
    </row>
    <row r="209" ht="33.75" customHeight="1">
      <c r="A209" s="252"/>
      <c r="B209" s="252"/>
      <c r="C209" s="243"/>
      <c r="D209" s="252"/>
      <c r="E209" s="243"/>
      <c r="F209" s="243"/>
      <c r="G209" s="243"/>
      <c r="H209" s="243"/>
      <c r="I209" s="243"/>
      <c r="J209" s="243"/>
      <c r="K209" s="243"/>
      <c r="L209" s="243"/>
      <c r="M209" s="243"/>
      <c r="N209" s="243"/>
      <c r="O209" s="243"/>
      <c r="P209" s="243"/>
      <c r="Q209" s="243"/>
      <c r="R209" s="243"/>
      <c r="S209" s="243"/>
      <c r="T209" s="243"/>
      <c r="U209" s="243"/>
      <c r="V209" s="243"/>
      <c r="W209" s="243"/>
      <c r="X209" s="243"/>
      <c r="Y209" s="243"/>
      <c r="Z209" s="243"/>
      <c r="AA209" s="243"/>
      <c r="AB209" s="243"/>
      <c r="AC209" s="243"/>
      <c r="AD209" s="243"/>
    </row>
    <row r="210" ht="33.75" customHeight="1">
      <c r="A210" s="252"/>
      <c r="B210" s="252"/>
      <c r="C210" s="243"/>
      <c r="D210" s="252"/>
      <c r="E210" s="243"/>
      <c r="F210" s="243"/>
      <c r="G210" s="243"/>
      <c r="H210" s="243"/>
      <c r="I210" s="243"/>
      <c r="J210" s="243"/>
      <c r="K210" s="243"/>
      <c r="L210" s="243"/>
      <c r="M210" s="243"/>
      <c r="N210" s="243"/>
      <c r="O210" s="243"/>
      <c r="P210" s="243"/>
      <c r="Q210" s="243"/>
      <c r="R210" s="243"/>
      <c r="S210" s="243"/>
      <c r="T210" s="243"/>
      <c r="U210" s="243"/>
      <c r="V210" s="243"/>
      <c r="W210" s="243"/>
      <c r="X210" s="243"/>
      <c r="Y210" s="243"/>
      <c r="Z210" s="243"/>
      <c r="AA210" s="243"/>
      <c r="AB210" s="243"/>
      <c r="AC210" s="243"/>
      <c r="AD210" s="243"/>
    </row>
    <row r="211" ht="33.75" customHeight="1">
      <c r="A211" s="252"/>
      <c r="B211" s="252"/>
      <c r="C211" s="243"/>
      <c r="D211" s="252"/>
      <c r="E211" s="243"/>
      <c r="F211" s="243"/>
      <c r="G211" s="243"/>
      <c r="H211" s="243"/>
      <c r="I211" s="243"/>
      <c r="J211" s="243"/>
      <c r="K211" s="243"/>
      <c r="L211" s="243"/>
      <c r="M211" s="243"/>
      <c r="N211" s="243"/>
      <c r="O211" s="243"/>
      <c r="P211" s="243"/>
      <c r="Q211" s="243"/>
      <c r="R211" s="243"/>
      <c r="S211" s="243"/>
      <c r="T211" s="243"/>
      <c r="U211" s="243"/>
      <c r="V211" s="243"/>
      <c r="W211" s="243"/>
      <c r="X211" s="243"/>
      <c r="Y211" s="243"/>
      <c r="Z211" s="243"/>
      <c r="AA211" s="243"/>
      <c r="AB211" s="243"/>
      <c r="AC211" s="243"/>
      <c r="AD211" s="243"/>
    </row>
    <row r="212" ht="33.75" customHeight="1">
      <c r="A212" s="252"/>
      <c r="B212" s="252"/>
      <c r="C212" s="243"/>
      <c r="D212" s="252"/>
      <c r="E212" s="243"/>
      <c r="F212" s="243"/>
      <c r="G212" s="243"/>
      <c r="H212" s="243"/>
      <c r="I212" s="243"/>
      <c r="J212" s="243"/>
      <c r="K212" s="243"/>
      <c r="L212" s="243"/>
      <c r="M212" s="243"/>
      <c r="N212" s="243"/>
      <c r="O212" s="243"/>
      <c r="P212" s="243"/>
      <c r="Q212" s="243"/>
      <c r="R212" s="243"/>
      <c r="S212" s="243"/>
      <c r="T212" s="243"/>
      <c r="U212" s="243"/>
      <c r="V212" s="243"/>
      <c r="W212" s="243"/>
      <c r="X212" s="243"/>
      <c r="Y212" s="243"/>
      <c r="Z212" s="243"/>
      <c r="AA212" s="243"/>
      <c r="AB212" s="243"/>
      <c r="AC212" s="243"/>
      <c r="AD212" s="243"/>
    </row>
    <row r="213" ht="33.75" customHeight="1">
      <c r="A213" s="252"/>
      <c r="B213" s="252"/>
      <c r="C213" s="243"/>
      <c r="D213" s="252"/>
      <c r="E213" s="243"/>
      <c r="F213" s="243"/>
      <c r="G213" s="243"/>
      <c r="H213" s="243"/>
      <c r="I213" s="243"/>
      <c r="J213" s="243"/>
      <c r="K213" s="243"/>
      <c r="L213" s="243"/>
      <c r="M213" s="243"/>
      <c r="N213" s="243"/>
      <c r="O213" s="243"/>
      <c r="P213" s="243"/>
      <c r="Q213" s="243"/>
      <c r="R213" s="243"/>
      <c r="S213" s="243"/>
      <c r="T213" s="243"/>
      <c r="U213" s="243"/>
      <c r="V213" s="243"/>
      <c r="W213" s="243"/>
      <c r="X213" s="243"/>
      <c r="Y213" s="243"/>
      <c r="Z213" s="243"/>
      <c r="AA213" s="243"/>
      <c r="AB213" s="243"/>
      <c r="AC213" s="243"/>
      <c r="AD213" s="243"/>
    </row>
    <row r="214" ht="33.75" customHeight="1">
      <c r="A214" s="252"/>
      <c r="B214" s="252"/>
      <c r="C214" s="243"/>
      <c r="D214" s="252"/>
      <c r="E214" s="243"/>
      <c r="F214" s="243"/>
      <c r="G214" s="243"/>
      <c r="H214" s="243"/>
      <c r="I214" s="243"/>
      <c r="J214" s="243"/>
      <c r="K214" s="243"/>
      <c r="L214" s="243"/>
      <c r="M214" s="243"/>
      <c r="N214" s="243"/>
      <c r="O214" s="243"/>
      <c r="P214" s="243"/>
      <c r="Q214" s="243"/>
      <c r="R214" s="243"/>
      <c r="S214" s="243"/>
      <c r="T214" s="243"/>
      <c r="U214" s="243"/>
      <c r="V214" s="243"/>
      <c r="W214" s="243"/>
      <c r="X214" s="243"/>
      <c r="Y214" s="243"/>
      <c r="Z214" s="243"/>
      <c r="AA214" s="243"/>
      <c r="AB214" s="243"/>
      <c r="AC214" s="243"/>
      <c r="AD214" s="243"/>
    </row>
    <row r="215" ht="33.75" customHeight="1">
      <c r="A215" s="252"/>
      <c r="B215" s="252"/>
      <c r="C215" s="243"/>
      <c r="D215" s="252"/>
      <c r="E215" s="243"/>
      <c r="F215" s="243"/>
      <c r="G215" s="243"/>
      <c r="H215" s="243"/>
      <c r="I215" s="243"/>
      <c r="J215" s="243"/>
      <c r="K215" s="243"/>
      <c r="L215" s="243"/>
      <c r="M215" s="243"/>
      <c r="N215" s="243"/>
      <c r="O215" s="243"/>
      <c r="P215" s="243"/>
      <c r="Q215" s="243"/>
      <c r="R215" s="243"/>
      <c r="S215" s="243"/>
      <c r="T215" s="243"/>
      <c r="U215" s="243"/>
      <c r="V215" s="243"/>
      <c r="W215" s="243"/>
      <c r="X215" s="243"/>
      <c r="Y215" s="243"/>
      <c r="Z215" s="243"/>
      <c r="AA215" s="243"/>
      <c r="AB215" s="243"/>
      <c r="AC215" s="243"/>
      <c r="AD215" s="243"/>
    </row>
    <row r="216" ht="33.75" customHeight="1">
      <c r="A216" s="252"/>
      <c r="B216" s="252"/>
      <c r="C216" s="243"/>
      <c r="D216" s="252"/>
      <c r="E216" s="243"/>
      <c r="F216" s="243"/>
      <c r="G216" s="243"/>
      <c r="H216" s="243"/>
      <c r="I216" s="243"/>
      <c r="J216" s="243"/>
      <c r="K216" s="243"/>
      <c r="L216" s="243"/>
      <c r="M216" s="243"/>
      <c r="N216" s="243"/>
      <c r="O216" s="243"/>
      <c r="P216" s="243"/>
      <c r="Q216" s="243"/>
      <c r="R216" s="243"/>
      <c r="S216" s="243"/>
      <c r="T216" s="243"/>
      <c r="U216" s="243"/>
      <c r="V216" s="243"/>
      <c r="W216" s="243"/>
      <c r="X216" s="243"/>
      <c r="Y216" s="243"/>
      <c r="Z216" s="243"/>
      <c r="AA216" s="243"/>
      <c r="AB216" s="243"/>
      <c r="AC216" s="243"/>
      <c r="AD216" s="243"/>
    </row>
    <row r="217" ht="33.75" customHeight="1">
      <c r="A217" s="252"/>
      <c r="B217" s="252"/>
      <c r="C217" s="243"/>
      <c r="D217" s="252"/>
      <c r="E217" s="243"/>
      <c r="F217" s="243"/>
      <c r="G217" s="243"/>
      <c r="H217" s="243"/>
      <c r="I217" s="243"/>
      <c r="J217" s="243"/>
      <c r="K217" s="243"/>
      <c r="L217" s="243"/>
      <c r="M217" s="243"/>
      <c r="N217" s="243"/>
      <c r="O217" s="243"/>
      <c r="P217" s="243"/>
      <c r="Q217" s="243"/>
      <c r="R217" s="243"/>
      <c r="S217" s="243"/>
      <c r="T217" s="243"/>
      <c r="U217" s="243"/>
      <c r="V217" s="243"/>
      <c r="W217" s="243"/>
      <c r="X217" s="243"/>
      <c r="Y217" s="243"/>
      <c r="Z217" s="243"/>
      <c r="AA217" s="243"/>
      <c r="AB217" s="243"/>
      <c r="AC217" s="243"/>
      <c r="AD217" s="243"/>
    </row>
    <row r="218" ht="33.75" customHeight="1">
      <c r="A218" s="252"/>
      <c r="B218" s="252"/>
      <c r="C218" s="243"/>
      <c r="D218" s="252"/>
      <c r="E218" s="243"/>
      <c r="F218" s="243"/>
      <c r="G218" s="243"/>
      <c r="H218" s="243"/>
      <c r="I218" s="243"/>
      <c r="J218" s="243"/>
      <c r="K218" s="243"/>
      <c r="L218" s="243"/>
      <c r="M218" s="243"/>
      <c r="N218" s="243"/>
      <c r="O218" s="243"/>
      <c r="P218" s="243"/>
      <c r="Q218" s="243"/>
      <c r="R218" s="243"/>
      <c r="S218" s="243"/>
      <c r="T218" s="243"/>
      <c r="U218" s="243"/>
      <c r="V218" s="243"/>
      <c r="W218" s="243"/>
      <c r="X218" s="243"/>
      <c r="Y218" s="243"/>
      <c r="Z218" s="243"/>
      <c r="AA218" s="243"/>
      <c r="AB218" s="243"/>
      <c r="AC218" s="243"/>
      <c r="AD218" s="243"/>
    </row>
    <row r="219" ht="33.75" customHeight="1">
      <c r="A219" s="252"/>
      <c r="B219" s="252"/>
      <c r="C219" s="243"/>
      <c r="D219" s="252"/>
      <c r="E219" s="243"/>
      <c r="F219" s="243"/>
      <c r="G219" s="243"/>
      <c r="H219" s="243"/>
      <c r="I219" s="243"/>
      <c r="J219" s="243"/>
      <c r="K219" s="243"/>
      <c r="L219" s="243"/>
      <c r="M219" s="243"/>
      <c r="N219" s="243"/>
      <c r="O219" s="243"/>
      <c r="P219" s="243"/>
      <c r="Q219" s="243"/>
      <c r="R219" s="243"/>
      <c r="S219" s="243"/>
      <c r="T219" s="243"/>
      <c r="U219" s="243"/>
      <c r="V219" s="243"/>
      <c r="W219" s="243"/>
      <c r="X219" s="243"/>
      <c r="Y219" s="243"/>
      <c r="Z219" s="243"/>
      <c r="AA219" s="243"/>
      <c r="AB219" s="243"/>
      <c r="AC219" s="243"/>
      <c r="AD219" s="243"/>
    </row>
    <row r="220" ht="33.75" customHeight="1">
      <c r="A220" s="252"/>
      <c r="B220" s="252"/>
      <c r="C220" s="243"/>
      <c r="D220" s="252"/>
      <c r="E220" s="243"/>
      <c r="F220" s="243"/>
      <c r="G220" s="243"/>
      <c r="H220" s="243"/>
      <c r="I220" s="243"/>
      <c r="J220" s="243"/>
      <c r="K220" s="243"/>
      <c r="L220" s="243"/>
      <c r="M220" s="243"/>
      <c r="N220" s="243"/>
      <c r="O220" s="243"/>
      <c r="P220" s="243"/>
      <c r="Q220" s="243"/>
      <c r="R220" s="243"/>
      <c r="S220" s="243"/>
      <c r="T220" s="243"/>
      <c r="U220" s="243"/>
      <c r="V220" s="243"/>
      <c r="W220" s="243"/>
      <c r="X220" s="243"/>
      <c r="Y220" s="243"/>
      <c r="Z220" s="243"/>
      <c r="AA220" s="243"/>
      <c r="AB220" s="243"/>
      <c r="AC220" s="243"/>
      <c r="AD220" s="243"/>
    </row>
    <row r="221" ht="33.75" customHeight="1">
      <c r="A221" s="252"/>
      <c r="B221" s="252"/>
      <c r="C221" s="243"/>
      <c r="D221" s="252"/>
      <c r="E221" s="243"/>
      <c r="F221" s="243"/>
      <c r="G221" s="243"/>
      <c r="H221" s="243"/>
      <c r="I221" s="243"/>
      <c r="J221" s="243"/>
      <c r="K221" s="243"/>
      <c r="L221" s="243"/>
      <c r="M221" s="243"/>
      <c r="N221" s="243"/>
      <c r="O221" s="243"/>
      <c r="P221" s="243"/>
      <c r="Q221" s="243"/>
      <c r="R221" s="243"/>
      <c r="S221" s="243"/>
      <c r="T221" s="243"/>
      <c r="U221" s="243"/>
      <c r="V221" s="243"/>
      <c r="W221" s="243"/>
      <c r="X221" s="243"/>
      <c r="Y221" s="243"/>
      <c r="Z221" s="243"/>
      <c r="AA221" s="243"/>
      <c r="AB221" s="243"/>
      <c r="AC221" s="243"/>
      <c r="AD221" s="243"/>
    </row>
    <row r="222" ht="33.75" customHeight="1">
      <c r="A222" s="252"/>
      <c r="B222" s="252"/>
      <c r="C222" s="243"/>
      <c r="D222" s="252"/>
      <c r="E222" s="243"/>
      <c r="F222" s="243"/>
      <c r="G222" s="243"/>
      <c r="H222" s="243"/>
      <c r="I222" s="243"/>
      <c r="J222" s="243"/>
      <c r="K222" s="243"/>
      <c r="L222" s="243"/>
      <c r="M222" s="243"/>
      <c r="N222" s="243"/>
      <c r="O222" s="243"/>
      <c r="P222" s="243"/>
      <c r="Q222" s="243"/>
      <c r="R222" s="243"/>
      <c r="S222" s="243"/>
      <c r="T222" s="243"/>
      <c r="U222" s="243"/>
      <c r="V222" s="243"/>
      <c r="W222" s="243"/>
      <c r="X222" s="243"/>
      <c r="Y222" s="243"/>
      <c r="Z222" s="243"/>
      <c r="AA222" s="243"/>
      <c r="AB222" s="243"/>
      <c r="AC222" s="243"/>
      <c r="AD222" s="243"/>
    </row>
    <row r="223" ht="33.75" customHeight="1">
      <c r="A223" s="252"/>
      <c r="B223" s="252"/>
      <c r="C223" s="243"/>
      <c r="D223" s="252"/>
      <c r="E223" s="243"/>
      <c r="F223" s="243"/>
      <c r="G223" s="243"/>
      <c r="H223" s="243"/>
      <c r="I223" s="243"/>
      <c r="J223" s="243"/>
      <c r="K223" s="243"/>
      <c r="L223" s="243"/>
      <c r="M223" s="243"/>
      <c r="N223" s="243"/>
      <c r="O223" s="243"/>
      <c r="P223" s="243"/>
      <c r="Q223" s="243"/>
      <c r="R223" s="243"/>
      <c r="S223" s="243"/>
      <c r="T223" s="243"/>
      <c r="U223" s="243"/>
      <c r="V223" s="243"/>
      <c r="W223" s="243"/>
      <c r="X223" s="243"/>
      <c r="Y223" s="243"/>
      <c r="Z223" s="243"/>
      <c r="AA223" s="243"/>
      <c r="AB223" s="243"/>
      <c r="AC223" s="243"/>
      <c r="AD223" s="243"/>
    </row>
    <row r="224" ht="33.75" customHeight="1">
      <c r="A224" s="252"/>
      <c r="B224" s="252"/>
      <c r="C224" s="243"/>
      <c r="D224" s="252"/>
      <c r="E224" s="243"/>
      <c r="F224" s="243"/>
      <c r="G224" s="243"/>
      <c r="H224" s="243"/>
      <c r="I224" s="243"/>
      <c r="J224" s="243"/>
      <c r="K224" s="243"/>
      <c r="L224" s="243"/>
      <c r="M224" s="243"/>
      <c r="N224" s="243"/>
      <c r="O224" s="243"/>
      <c r="P224" s="243"/>
      <c r="Q224" s="243"/>
      <c r="R224" s="243"/>
      <c r="S224" s="243"/>
      <c r="T224" s="243"/>
      <c r="U224" s="243"/>
      <c r="V224" s="243"/>
      <c r="W224" s="243"/>
      <c r="X224" s="243"/>
      <c r="Y224" s="243"/>
      <c r="Z224" s="243"/>
      <c r="AA224" s="243"/>
      <c r="AB224" s="243"/>
      <c r="AC224" s="243"/>
      <c r="AD224" s="243"/>
    </row>
    <row r="225" ht="33.75" customHeight="1">
      <c r="A225" s="252"/>
      <c r="B225" s="252"/>
      <c r="C225" s="243"/>
      <c r="D225" s="252"/>
      <c r="E225" s="243"/>
      <c r="F225" s="243"/>
      <c r="G225" s="243"/>
      <c r="H225" s="243"/>
      <c r="I225" s="243"/>
      <c r="J225" s="243"/>
      <c r="K225" s="243"/>
      <c r="L225" s="243"/>
      <c r="M225" s="243"/>
      <c r="N225" s="243"/>
      <c r="O225" s="243"/>
      <c r="P225" s="243"/>
      <c r="Q225" s="243"/>
      <c r="R225" s="243"/>
      <c r="S225" s="243"/>
      <c r="T225" s="243"/>
      <c r="U225" s="243"/>
      <c r="V225" s="243"/>
      <c r="W225" s="243"/>
      <c r="X225" s="243"/>
      <c r="Y225" s="243"/>
      <c r="Z225" s="243"/>
      <c r="AA225" s="243"/>
      <c r="AB225" s="243"/>
      <c r="AC225" s="243"/>
      <c r="AD225" s="243"/>
    </row>
    <row r="226" ht="33.75" customHeight="1">
      <c r="A226" s="252"/>
      <c r="B226" s="252"/>
      <c r="C226" s="243"/>
      <c r="D226" s="252"/>
      <c r="E226" s="243"/>
      <c r="F226" s="243"/>
      <c r="G226" s="243"/>
      <c r="H226" s="243"/>
      <c r="I226" s="243"/>
      <c r="J226" s="243"/>
      <c r="K226" s="243"/>
      <c r="L226" s="243"/>
      <c r="M226" s="243"/>
      <c r="N226" s="243"/>
      <c r="O226" s="243"/>
      <c r="P226" s="243"/>
      <c r="Q226" s="243"/>
      <c r="R226" s="243"/>
      <c r="S226" s="243"/>
      <c r="T226" s="243"/>
      <c r="U226" s="243"/>
      <c r="V226" s="243"/>
      <c r="W226" s="243"/>
      <c r="X226" s="243"/>
      <c r="Y226" s="243"/>
      <c r="Z226" s="243"/>
      <c r="AA226" s="243"/>
      <c r="AB226" s="243"/>
      <c r="AC226" s="243"/>
      <c r="AD226" s="243"/>
    </row>
    <row r="227" ht="33.75" customHeight="1">
      <c r="A227" s="252"/>
      <c r="B227" s="252"/>
      <c r="C227" s="243"/>
      <c r="D227" s="252"/>
      <c r="E227" s="243"/>
      <c r="F227" s="243"/>
      <c r="G227" s="243"/>
      <c r="H227" s="243"/>
      <c r="I227" s="243"/>
      <c r="J227" s="243"/>
      <c r="K227" s="243"/>
      <c r="L227" s="243"/>
      <c r="M227" s="243"/>
      <c r="N227" s="243"/>
      <c r="O227" s="243"/>
      <c r="P227" s="243"/>
      <c r="Q227" s="243"/>
      <c r="R227" s="243"/>
      <c r="S227" s="243"/>
      <c r="T227" s="243"/>
      <c r="U227" s="243"/>
      <c r="V227" s="243"/>
      <c r="W227" s="243"/>
      <c r="X227" s="243"/>
      <c r="Y227" s="243"/>
      <c r="Z227" s="243"/>
      <c r="AA227" s="243"/>
      <c r="AB227" s="243"/>
      <c r="AC227" s="243"/>
      <c r="AD227" s="243"/>
    </row>
    <row r="228" ht="33.75" customHeight="1">
      <c r="A228" s="252"/>
      <c r="B228" s="252"/>
      <c r="C228" s="243"/>
      <c r="D228" s="252"/>
      <c r="E228" s="243"/>
      <c r="F228" s="243"/>
      <c r="G228" s="243"/>
      <c r="H228" s="243"/>
      <c r="I228" s="243"/>
      <c r="J228" s="243"/>
      <c r="K228" s="243"/>
      <c r="L228" s="243"/>
      <c r="M228" s="243"/>
      <c r="N228" s="243"/>
      <c r="O228" s="243"/>
      <c r="P228" s="243"/>
      <c r="Q228" s="243"/>
      <c r="R228" s="243"/>
      <c r="S228" s="243"/>
      <c r="T228" s="243"/>
      <c r="U228" s="243"/>
      <c r="V228" s="243"/>
      <c r="W228" s="243"/>
      <c r="X228" s="243"/>
      <c r="Y228" s="243"/>
      <c r="Z228" s="243"/>
      <c r="AA228" s="243"/>
      <c r="AB228" s="243"/>
      <c r="AC228" s="243"/>
      <c r="AD228" s="243"/>
    </row>
    <row r="229" ht="33.75" customHeight="1">
      <c r="A229" s="252"/>
      <c r="B229" s="252"/>
      <c r="C229" s="243"/>
      <c r="D229" s="252"/>
      <c r="E229" s="243"/>
      <c r="F229" s="243"/>
      <c r="G229" s="243"/>
      <c r="H229" s="243"/>
      <c r="I229" s="243"/>
      <c r="J229" s="243"/>
      <c r="K229" s="243"/>
      <c r="L229" s="243"/>
      <c r="M229" s="243"/>
      <c r="N229" s="243"/>
      <c r="O229" s="243"/>
      <c r="P229" s="243"/>
      <c r="Q229" s="243"/>
      <c r="R229" s="243"/>
      <c r="S229" s="243"/>
      <c r="T229" s="243"/>
      <c r="U229" s="243"/>
      <c r="V229" s="243"/>
      <c r="W229" s="243"/>
      <c r="X229" s="243"/>
      <c r="Y229" s="243"/>
      <c r="Z229" s="243"/>
      <c r="AA229" s="243"/>
      <c r="AB229" s="243"/>
      <c r="AC229" s="243"/>
      <c r="AD229" s="243"/>
    </row>
    <row r="230" ht="33.75" customHeight="1">
      <c r="A230" s="252"/>
      <c r="B230" s="252"/>
      <c r="C230" s="243"/>
      <c r="D230" s="252"/>
      <c r="E230" s="243"/>
      <c r="F230" s="243"/>
      <c r="G230" s="243"/>
      <c r="H230" s="243"/>
      <c r="I230" s="243"/>
      <c r="J230" s="243"/>
      <c r="K230" s="243"/>
      <c r="L230" s="243"/>
      <c r="M230" s="243"/>
      <c r="N230" s="243"/>
      <c r="O230" s="243"/>
      <c r="P230" s="243"/>
      <c r="Q230" s="243"/>
      <c r="R230" s="243"/>
      <c r="S230" s="243"/>
      <c r="T230" s="243"/>
      <c r="U230" s="243"/>
      <c r="V230" s="243"/>
      <c r="W230" s="243"/>
      <c r="X230" s="243"/>
      <c r="Y230" s="243"/>
      <c r="Z230" s="243"/>
      <c r="AA230" s="243"/>
      <c r="AB230" s="243"/>
      <c r="AC230" s="243"/>
      <c r="AD230" s="243"/>
    </row>
    <row r="231" ht="33.75" customHeight="1">
      <c r="A231" s="252"/>
      <c r="B231" s="252"/>
      <c r="C231" s="243"/>
      <c r="D231" s="252"/>
      <c r="E231" s="243"/>
      <c r="F231" s="243"/>
      <c r="G231" s="243"/>
      <c r="H231" s="243"/>
      <c r="I231" s="243"/>
      <c r="J231" s="243"/>
      <c r="K231" s="243"/>
      <c r="L231" s="243"/>
      <c r="M231" s="243"/>
      <c r="N231" s="243"/>
      <c r="O231" s="243"/>
      <c r="P231" s="243"/>
      <c r="Q231" s="243"/>
      <c r="R231" s="243"/>
      <c r="S231" s="243"/>
      <c r="T231" s="243"/>
      <c r="U231" s="243"/>
      <c r="V231" s="243"/>
      <c r="W231" s="243"/>
      <c r="X231" s="243"/>
      <c r="Y231" s="243"/>
      <c r="Z231" s="243"/>
      <c r="AA231" s="243"/>
      <c r="AB231" s="243"/>
      <c r="AC231" s="243"/>
      <c r="AD231" s="243"/>
    </row>
    <row r="232" ht="33.75" customHeight="1">
      <c r="A232" s="252"/>
      <c r="B232" s="252"/>
      <c r="C232" s="243"/>
      <c r="D232" s="252"/>
      <c r="E232" s="243"/>
      <c r="F232" s="243"/>
      <c r="G232" s="243"/>
      <c r="H232" s="243"/>
      <c r="I232" s="243"/>
      <c r="J232" s="243"/>
      <c r="K232" s="243"/>
      <c r="L232" s="243"/>
      <c r="M232" s="243"/>
      <c r="N232" s="243"/>
      <c r="O232" s="243"/>
      <c r="P232" s="243"/>
      <c r="Q232" s="243"/>
      <c r="R232" s="243"/>
      <c r="S232" s="243"/>
      <c r="T232" s="243"/>
      <c r="U232" s="243"/>
      <c r="V232" s="243"/>
      <c r="W232" s="243"/>
      <c r="X232" s="243"/>
      <c r="Y232" s="243"/>
      <c r="Z232" s="243"/>
      <c r="AA232" s="243"/>
      <c r="AB232" s="243"/>
      <c r="AC232" s="243"/>
      <c r="AD232" s="243"/>
    </row>
    <row r="233" ht="33.75" customHeight="1">
      <c r="A233" s="252"/>
      <c r="B233" s="252"/>
      <c r="C233" s="243"/>
      <c r="D233" s="252"/>
      <c r="E233" s="243"/>
      <c r="F233" s="243"/>
      <c r="G233" s="243"/>
      <c r="H233" s="243"/>
      <c r="I233" s="243"/>
      <c r="J233" s="243"/>
      <c r="K233" s="243"/>
      <c r="L233" s="243"/>
      <c r="M233" s="243"/>
      <c r="N233" s="243"/>
      <c r="O233" s="243"/>
      <c r="P233" s="243"/>
      <c r="Q233" s="243"/>
      <c r="R233" s="243"/>
      <c r="S233" s="243"/>
      <c r="T233" s="243"/>
      <c r="U233" s="243"/>
      <c r="V233" s="243"/>
      <c r="W233" s="243"/>
      <c r="X233" s="243"/>
      <c r="Y233" s="243"/>
      <c r="Z233" s="243"/>
      <c r="AA233" s="243"/>
      <c r="AB233" s="243"/>
      <c r="AC233" s="243"/>
      <c r="AD233" s="243"/>
    </row>
    <row r="234" ht="33.75" customHeight="1">
      <c r="A234" s="252"/>
      <c r="B234" s="252"/>
      <c r="C234" s="243"/>
      <c r="D234" s="252"/>
      <c r="E234" s="243"/>
      <c r="F234" s="243"/>
      <c r="G234" s="243"/>
      <c r="H234" s="243"/>
      <c r="I234" s="243"/>
      <c r="J234" s="243"/>
      <c r="K234" s="243"/>
      <c r="L234" s="243"/>
      <c r="M234" s="243"/>
      <c r="N234" s="243"/>
      <c r="O234" s="243"/>
      <c r="P234" s="243"/>
      <c r="Q234" s="243"/>
      <c r="R234" s="243"/>
      <c r="S234" s="243"/>
      <c r="T234" s="243"/>
      <c r="U234" s="243"/>
      <c r="V234" s="243"/>
      <c r="W234" s="243"/>
      <c r="X234" s="243"/>
      <c r="Y234" s="243"/>
      <c r="Z234" s="243"/>
      <c r="AA234" s="243"/>
      <c r="AB234" s="243"/>
      <c r="AC234" s="243"/>
      <c r="AD234" s="243"/>
    </row>
    <row r="235" ht="33.75" customHeight="1">
      <c r="A235" s="252"/>
      <c r="B235" s="252"/>
      <c r="C235" s="243"/>
      <c r="D235" s="252"/>
      <c r="E235" s="243"/>
      <c r="F235" s="243"/>
      <c r="G235" s="243"/>
      <c r="H235" s="243"/>
      <c r="I235" s="243"/>
      <c r="J235" s="243"/>
      <c r="K235" s="243"/>
      <c r="L235" s="243"/>
      <c r="M235" s="243"/>
      <c r="N235" s="243"/>
      <c r="O235" s="243"/>
      <c r="P235" s="243"/>
      <c r="Q235" s="243"/>
      <c r="R235" s="243"/>
      <c r="S235" s="243"/>
      <c r="T235" s="243"/>
      <c r="U235" s="243"/>
      <c r="V235" s="243"/>
      <c r="W235" s="243"/>
      <c r="X235" s="243"/>
      <c r="Y235" s="243"/>
      <c r="Z235" s="243"/>
      <c r="AA235" s="243"/>
      <c r="AB235" s="243"/>
      <c r="AC235" s="243"/>
      <c r="AD235" s="243"/>
    </row>
    <row r="236" ht="33.75" customHeight="1">
      <c r="A236" s="252"/>
      <c r="B236" s="252"/>
      <c r="C236" s="243"/>
      <c r="D236" s="252"/>
      <c r="E236" s="243"/>
      <c r="F236" s="243"/>
      <c r="G236" s="243"/>
      <c r="H236" s="243"/>
      <c r="I236" s="243"/>
      <c r="J236" s="243"/>
      <c r="K236" s="243"/>
      <c r="L236" s="243"/>
      <c r="M236" s="243"/>
      <c r="N236" s="243"/>
      <c r="O236" s="243"/>
      <c r="P236" s="243"/>
      <c r="Q236" s="243"/>
      <c r="R236" s="243"/>
      <c r="S236" s="243"/>
      <c r="T236" s="243"/>
      <c r="U236" s="243"/>
      <c r="V236" s="243"/>
      <c r="W236" s="243"/>
      <c r="X236" s="243"/>
      <c r="Y236" s="243"/>
      <c r="Z236" s="243"/>
      <c r="AA236" s="243"/>
      <c r="AB236" s="243"/>
      <c r="AC236" s="243"/>
      <c r="AD236" s="243"/>
    </row>
    <row r="237" ht="33.75" customHeight="1">
      <c r="A237" s="252"/>
      <c r="B237" s="252"/>
      <c r="C237" s="243"/>
      <c r="D237" s="252"/>
      <c r="E237" s="243"/>
      <c r="F237" s="243"/>
      <c r="G237" s="243"/>
      <c r="H237" s="243"/>
      <c r="I237" s="243"/>
      <c r="J237" s="243"/>
      <c r="K237" s="243"/>
      <c r="L237" s="243"/>
      <c r="M237" s="243"/>
      <c r="N237" s="243"/>
      <c r="O237" s="243"/>
      <c r="P237" s="243"/>
      <c r="Q237" s="243"/>
      <c r="R237" s="243"/>
      <c r="S237" s="243"/>
      <c r="T237" s="243"/>
      <c r="U237" s="243"/>
      <c r="V237" s="243"/>
      <c r="W237" s="243"/>
      <c r="X237" s="243"/>
      <c r="Y237" s="243"/>
      <c r="Z237" s="243"/>
      <c r="AA237" s="243"/>
      <c r="AB237" s="243"/>
      <c r="AC237" s="243"/>
      <c r="AD237" s="243"/>
    </row>
    <row r="238" ht="33.75" customHeight="1">
      <c r="A238" s="252"/>
      <c r="B238" s="252"/>
      <c r="C238" s="243"/>
      <c r="D238" s="252"/>
      <c r="E238" s="243"/>
      <c r="F238" s="243"/>
      <c r="G238" s="243"/>
      <c r="H238" s="243"/>
      <c r="I238" s="243"/>
      <c r="J238" s="243"/>
      <c r="K238" s="243"/>
      <c r="L238" s="243"/>
      <c r="M238" s="243"/>
      <c r="N238" s="243"/>
      <c r="O238" s="243"/>
      <c r="P238" s="243"/>
      <c r="Q238" s="243"/>
      <c r="R238" s="243"/>
      <c r="S238" s="243"/>
      <c r="T238" s="243"/>
      <c r="U238" s="243"/>
      <c r="V238" s="243"/>
      <c r="W238" s="243"/>
      <c r="X238" s="243"/>
      <c r="Y238" s="243"/>
      <c r="Z238" s="243"/>
      <c r="AA238" s="243"/>
      <c r="AB238" s="243"/>
      <c r="AC238" s="243"/>
      <c r="AD238" s="243"/>
    </row>
    <row r="239" ht="33.75" customHeight="1">
      <c r="A239" s="252"/>
      <c r="B239" s="252"/>
      <c r="C239" s="243"/>
      <c r="D239" s="252"/>
      <c r="E239" s="243"/>
      <c r="F239" s="243"/>
      <c r="G239" s="243"/>
      <c r="H239" s="243"/>
      <c r="I239" s="243"/>
      <c r="J239" s="243"/>
      <c r="K239" s="243"/>
      <c r="L239" s="243"/>
      <c r="M239" s="243"/>
      <c r="N239" s="243"/>
      <c r="O239" s="243"/>
      <c r="P239" s="243"/>
      <c r="Q239" s="243"/>
      <c r="R239" s="243"/>
      <c r="S239" s="243"/>
      <c r="T239" s="243"/>
      <c r="U239" s="243"/>
      <c r="V239" s="243"/>
      <c r="W239" s="243"/>
      <c r="X239" s="243"/>
      <c r="Y239" s="243"/>
      <c r="Z239" s="243"/>
      <c r="AA239" s="243"/>
      <c r="AB239" s="243"/>
      <c r="AC239" s="243"/>
      <c r="AD239" s="243"/>
    </row>
    <row r="240" ht="33.75" customHeight="1">
      <c r="A240" s="252"/>
      <c r="B240" s="252"/>
      <c r="C240" s="243"/>
      <c r="D240" s="252"/>
      <c r="E240" s="243"/>
      <c r="F240" s="243"/>
      <c r="G240" s="243"/>
      <c r="H240" s="243"/>
      <c r="I240" s="243"/>
      <c r="J240" s="243"/>
      <c r="K240" s="243"/>
      <c r="L240" s="243"/>
      <c r="M240" s="243"/>
      <c r="N240" s="243"/>
      <c r="O240" s="243"/>
      <c r="P240" s="243"/>
      <c r="Q240" s="243"/>
      <c r="R240" s="243"/>
      <c r="S240" s="243"/>
      <c r="T240" s="243"/>
      <c r="U240" s="243"/>
      <c r="V240" s="243"/>
      <c r="W240" s="243"/>
      <c r="X240" s="243"/>
      <c r="Y240" s="243"/>
      <c r="Z240" s="243"/>
      <c r="AA240" s="243"/>
      <c r="AB240" s="243"/>
      <c r="AC240" s="243"/>
      <c r="AD240" s="243"/>
    </row>
    <row r="241" ht="33.75" customHeight="1">
      <c r="A241" s="252"/>
      <c r="B241" s="252"/>
      <c r="C241" s="243"/>
      <c r="D241" s="252"/>
      <c r="E241" s="243"/>
      <c r="F241" s="243"/>
      <c r="G241" s="243"/>
      <c r="H241" s="243"/>
      <c r="I241" s="243"/>
      <c r="J241" s="243"/>
      <c r="K241" s="243"/>
      <c r="L241" s="243"/>
      <c r="M241" s="243"/>
      <c r="N241" s="243"/>
      <c r="O241" s="243"/>
      <c r="P241" s="243"/>
      <c r="Q241" s="243"/>
      <c r="R241" s="243"/>
      <c r="S241" s="243"/>
      <c r="T241" s="243"/>
      <c r="U241" s="243"/>
      <c r="V241" s="243"/>
      <c r="W241" s="243"/>
      <c r="X241" s="243"/>
      <c r="Y241" s="243"/>
      <c r="Z241" s="243"/>
      <c r="AA241" s="243"/>
      <c r="AB241" s="243"/>
      <c r="AC241" s="243"/>
      <c r="AD241" s="243"/>
    </row>
    <row r="242" ht="33.75" customHeight="1">
      <c r="A242" s="252"/>
      <c r="B242" s="252"/>
      <c r="C242" s="243"/>
      <c r="D242" s="252"/>
      <c r="E242" s="243"/>
      <c r="F242" s="243"/>
      <c r="G242" s="243"/>
      <c r="H242" s="243"/>
      <c r="I242" s="243"/>
      <c r="J242" s="243"/>
      <c r="K242" s="243"/>
      <c r="L242" s="243"/>
      <c r="M242" s="243"/>
      <c r="N242" s="243"/>
      <c r="O242" s="243"/>
      <c r="P242" s="243"/>
      <c r="Q242" s="243"/>
      <c r="R242" s="243"/>
      <c r="S242" s="243"/>
      <c r="T242" s="243"/>
      <c r="U242" s="243"/>
      <c r="V242" s="243"/>
      <c r="W242" s="243"/>
      <c r="X242" s="243"/>
      <c r="Y242" s="243"/>
      <c r="Z242" s="243"/>
      <c r="AA242" s="243"/>
      <c r="AB242" s="243"/>
      <c r="AC242" s="243"/>
      <c r="AD242" s="243"/>
    </row>
    <row r="243" ht="33.75" customHeight="1">
      <c r="A243" s="252"/>
      <c r="B243" s="252"/>
      <c r="C243" s="243"/>
      <c r="D243" s="252"/>
      <c r="E243" s="243"/>
      <c r="F243" s="243"/>
      <c r="G243" s="243"/>
      <c r="H243" s="243"/>
      <c r="I243" s="243"/>
      <c r="J243" s="243"/>
      <c r="K243" s="243"/>
      <c r="L243" s="243"/>
      <c r="M243" s="243"/>
      <c r="N243" s="243"/>
      <c r="O243" s="243"/>
      <c r="P243" s="243"/>
      <c r="Q243" s="243"/>
      <c r="R243" s="243"/>
      <c r="S243" s="243"/>
      <c r="T243" s="243"/>
      <c r="U243" s="243"/>
      <c r="V243" s="243"/>
      <c r="W243" s="243"/>
      <c r="X243" s="243"/>
      <c r="Y243" s="243"/>
      <c r="Z243" s="243"/>
      <c r="AA243" s="243"/>
      <c r="AB243" s="243"/>
      <c r="AC243" s="243"/>
      <c r="AD243" s="243"/>
    </row>
    <row r="244" ht="33.75" customHeight="1">
      <c r="A244" s="252"/>
      <c r="B244" s="252"/>
      <c r="C244" s="243"/>
      <c r="D244" s="252"/>
      <c r="E244" s="243"/>
      <c r="F244" s="243"/>
      <c r="G244" s="243"/>
      <c r="H244" s="243"/>
      <c r="I244" s="243"/>
      <c r="J244" s="243"/>
      <c r="K244" s="243"/>
      <c r="L244" s="243"/>
      <c r="M244" s="243"/>
      <c r="N244" s="243"/>
      <c r="O244" s="243"/>
      <c r="P244" s="243"/>
      <c r="Q244" s="243"/>
      <c r="R244" s="243"/>
      <c r="S244" s="243"/>
      <c r="T244" s="243"/>
      <c r="U244" s="243"/>
      <c r="V244" s="243"/>
      <c r="W244" s="243"/>
      <c r="X244" s="243"/>
      <c r="Y244" s="243"/>
      <c r="Z244" s="243"/>
      <c r="AA244" s="243"/>
      <c r="AB244" s="243"/>
      <c r="AC244" s="243"/>
      <c r="AD244" s="243"/>
    </row>
    <row r="245" ht="33.75" customHeight="1">
      <c r="A245" s="252"/>
      <c r="B245" s="252"/>
      <c r="C245" s="243"/>
      <c r="D245" s="252"/>
      <c r="E245" s="243"/>
      <c r="F245" s="243"/>
      <c r="G245" s="243"/>
      <c r="H245" s="243"/>
      <c r="I245" s="243"/>
      <c r="J245" s="243"/>
      <c r="K245" s="243"/>
      <c r="L245" s="243"/>
      <c r="M245" s="243"/>
      <c r="N245" s="243"/>
      <c r="O245" s="243"/>
      <c r="P245" s="243"/>
      <c r="Q245" s="243"/>
      <c r="R245" s="243"/>
      <c r="S245" s="243"/>
      <c r="T245" s="243"/>
      <c r="U245" s="243"/>
      <c r="V245" s="243"/>
      <c r="W245" s="243"/>
      <c r="X245" s="243"/>
      <c r="Y245" s="243"/>
      <c r="Z245" s="243"/>
      <c r="AA245" s="243"/>
      <c r="AB245" s="243"/>
      <c r="AC245" s="243"/>
      <c r="AD245" s="243"/>
    </row>
    <row r="246" ht="33.75" customHeight="1">
      <c r="A246" s="252"/>
      <c r="B246" s="252"/>
      <c r="C246" s="243"/>
      <c r="D246" s="252"/>
      <c r="E246" s="243"/>
      <c r="F246" s="243"/>
      <c r="G246" s="243"/>
      <c r="H246" s="243"/>
      <c r="I246" s="243"/>
      <c r="J246" s="243"/>
      <c r="K246" s="243"/>
      <c r="L246" s="243"/>
      <c r="M246" s="243"/>
      <c r="N246" s="243"/>
      <c r="O246" s="243"/>
      <c r="P246" s="243"/>
      <c r="Q246" s="243"/>
      <c r="R246" s="243"/>
      <c r="S246" s="243"/>
      <c r="T246" s="243"/>
      <c r="U246" s="243"/>
      <c r="V246" s="243"/>
      <c r="W246" s="243"/>
      <c r="X246" s="243"/>
      <c r="Y246" s="243"/>
      <c r="Z246" s="243"/>
      <c r="AA246" s="243"/>
      <c r="AB246" s="243"/>
      <c r="AC246" s="243"/>
      <c r="AD246" s="243"/>
    </row>
    <row r="247" ht="33.75" customHeight="1">
      <c r="A247" s="252"/>
      <c r="B247" s="252"/>
      <c r="C247" s="243"/>
      <c r="D247" s="252"/>
      <c r="E247" s="243"/>
      <c r="F247" s="243"/>
      <c r="G247" s="243"/>
      <c r="H247" s="243"/>
      <c r="I247" s="243"/>
      <c r="J247" s="243"/>
      <c r="K247" s="243"/>
      <c r="L247" s="243"/>
      <c r="M247" s="243"/>
      <c r="N247" s="243"/>
      <c r="O247" s="243"/>
      <c r="P247" s="243"/>
      <c r="Q247" s="243"/>
      <c r="R247" s="243"/>
      <c r="S247" s="243"/>
      <c r="T247" s="243"/>
      <c r="U247" s="243"/>
      <c r="V247" s="243"/>
      <c r="W247" s="243"/>
      <c r="X247" s="243"/>
      <c r="Y247" s="243"/>
      <c r="Z247" s="243"/>
      <c r="AA247" s="243"/>
      <c r="AB247" s="243"/>
      <c r="AC247" s="243"/>
      <c r="AD247" s="243"/>
    </row>
    <row r="248" ht="33.75" customHeight="1">
      <c r="A248" s="252"/>
      <c r="B248" s="252"/>
      <c r="C248" s="243"/>
      <c r="D248" s="252"/>
      <c r="E248" s="243"/>
      <c r="F248" s="243"/>
      <c r="G248" s="243"/>
      <c r="H248" s="243"/>
      <c r="I248" s="243"/>
      <c r="J248" s="243"/>
      <c r="K248" s="243"/>
      <c r="L248" s="243"/>
      <c r="M248" s="243"/>
      <c r="N248" s="243"/>
      <c r="O248" s="243"/>
      <c r="P248" s="243"/>
      <c r="Q248" s="243"/>
      <c r="R248" s="243"/>
      <c r="S248" s="243"/>
      <c r="T248" s="243"/>
      <c r="U248" s="243"/>
      <c r="V248" s="243"/>
      <c r="W248" s="243"/>
      <c r="X248" s="243"/>
      <c r="Y248" s="243"/>
      <c r="Z248" s="243"/>
      <c r="AA248" s="243"/>
      <c r="AB248" s="243"/>
      <c r="AC248" s="243"/>
      <c r="AD248" s="243"/>
    </row>
    <row r="249" ht="33.75" customHeight="1">
      <c r="A249" s="252"/>
      <c r="B249" s="252"/>
      <c r="C249" s="243"/>
      <c r="D249" s="252"/>
      <c r="E249" s="243"/>
      <c r="F249" s="243"/>
      <c r="G249" s="243"/>
      <c r="H249" s="243"/>
      <c r="I249" s="243"/>
      <c r="J249" s="243"/>
      <c r="K249" s="243"/>
      <c r="L249" s="243"/>
      <c r="M249" s="243"/>
      <c r="N249" s="243"/>
      <c r="O249" s="243"/>
      <c r="P249" s="243"/>
      <c r="Q249" s="243"/>
      <c r="R249" s="243"/>
      <c r="S249" s="243"/>
      <c r="T249" s="243"/>
      <c r="U249" s="243"/>
      <c r="V249" s="243"/>
      <c r="W249" s="243"/>
      <c r="X249" s="243"/>
      <c r="Y249" s="243"/>
      <c r="Z249" s="243"/>
      <c r="AA249" s="243"/>
      <c r="AB249" s="243"/>
      <c r="AC249" s="243"/>
      <c r="AD249" s="243"/>
    </row>
    <row r="250" ht="33.75" customHeight="1">
      <c r="A250" s="252"/>
      <c r="B250" s="252"/>
      <c r="C250" s="243"/>
      <c r="D250" s="252"/>
      <c r="E250" s="243"/>
      <c r="F250" s="243"/>
      <c r="G250" s="243"/>
      <c r="H250" s="243"/>
      <c r="I250" s="243"/>
      <c r="J250" s="243"/>
      <c r="K250" s="243"/>
      <c r="L250" s="243"/>
      <c r="M250" s="243"/>
      <c r="N250" s="243"/>
      <c r="O250" s="243"/>
      <c r="P250" s="243"/>
      <c r="Q250" s="243"/>
      <c r="R250" s="243"/>
      <c r="S250" s="243"/>
      <c r="T250" s="243"/>
      <c r="U250" s="243"/>
      <c r="V250" s="243"/>
      <c r="W250" s="243"/>
      <c r="X250" s="243"/>
      <c r="Y250" s="243"/>
      <c r="Z250" s="243"/>
      <c r="AA250" s="243"/>
      <c r="AB250" s="243"/>
      <c r="AC250" s="243"/>
      <c r="AD250" s="243"/>
    </row>
    <row r="251" ht="33.75" customHeight="1">
      <c r="A251" s="252"/>
      <c r="B251" s="252"/>
      <c r="C251" s="243"/>
      <c r="D251" s="252"/>
      <c r="E251" s="243"/>
      <c r="F251" s="243"/>
      <c r="G251" s="243"/>
      <c r="H251" s="243"/>
      <c r="I251" s="243"/>
      <c r="J251" s="243"/>
      <c r="K251" s="243"/>
      <c r="L251" s="243"/>
      <c r="M251" s="243"/>
      <c r="N251" s="243"/>
      <c r="O251" s="243"/>
      <c r="P251" s="243"/>
      <c r="Q251" s="243"/>
      <c r="R251" s="243"/>
      <c r="S251" s="243"/>
      <c r="T251" s="243"/>
      <c r="U251" s="243"/>
      <c r="V251" s="243"/>
      <c r="W251" s="243"/>
      <c r="X251" s="243"/>
      <c r="Y251" s="243"/>
      <c r="Z251" s="243"/>
      <c r="AA251" s="243"/>
      <c r="AB251" s="243"/>
      <c r="AC251" s="243"/>
      <c r="AD251" s="243"/>
    </row>
    <row r="252" ht="33.75" customHeight="1">
      <c r="A252" s="252"/>
      <c r="B252" s="252"/>
      <c r="C252" s="243"/>
      <c r="D252" s="252"/>
      <c r="E252" s="243"/>
      <c r="F252" s="243"/>
      <c r="G252" s="243"/>
      <c r="H252" s="243"/>
      <c r="I252" s="243"/>
      <c r="J252" s="243"/>
      <c r="K252" s="243"/>
      <c r="L252" s="243"/>
      <c r="M252" s="243"/>
      <c r="N252" s="243"/>
      <c r="O252" s="243"/>
      <c r="P252" s="243"/>
      <c r="Q252" s="243"/>
      <c r="R252" s="243"/>
      <c r="S252" s="243"/>
      <c r="T252" s="243"/>
      <c r="U252" s="243"/>
      <c r="V252" s="243"/>
      <c r="W252" s="243"/>
      <c r="X252" s="243"/>
      <c r="Y252" s="243"/>
      <c r="Z252" s="243"/>
      <c r="AA252" s="243"/>
      <c r="AB252" s="243"/>
      <c r="AC252" s="243"/>
      <c r="AD252" s="243"/>
    </row>
    <row r="253" ht="33.75" customHeight="1">
      <c r="A253" s="252"/>
      <c r="B253" s="252"/>
      <c r="C253" s="243"/>
      <c r="D253" s="252"/>
      <c r="E253" s="243"/>
      <c r="F253" s="243"/>
      <c r="G253" s="243"/>
      <c r="H253" s="243"/>
      <c r="I253" s="243"/>
      <c r="J253" s="243"/>
      <c r="K253" s="243"/>
      <c r="L253" s="243"/>
      <c r="M253" s="243"/>
      <c r="N253" s="243"/>
      <c r="O253" s="243"/>
      <c r="P253" s="243"/>
      <c r="Q253" s="243"/>
      <c r="R253" s="243"/>
      <c r="S253" s="243"/>
      <c r="T253" s="243"/>
      <c r="U253" s="243"/>
      <c r="V253" s="243"/>
      <c r="W253" s="243"/>
      <c r="X253" s="243"/>
      <c r="Y253" s="243"/>
      <c r="Z253" s="243"/>
      <c r="AA253" s="243"/>
      <c r="AB253" s="243"/>
      <c r="AC253" s="243"/>
      <c r="AD253" s="243"/>
    </row>
    <row r="254" ht="33.75" customHeight="1">
      <c r="A254" s="252"/>
      <c r="B254" s="252"/>
      <c r="C254" s="243"/>
      <c r="D254" s="252"/>
      <c r="E254" s="243"/>
      <c r="F254" s="243"/>
      <c r="G254" s="243"/>
      <c r="H254" s="243"/>
      <c r="I254" s="243"/>
      <c r="J254" s="243"/>
      <c r="K254" s="243"/>
      <c r="L254" s="243"/>
      <c r="M254" s="243"/>
      <c r="N254" s="243"/>
      <c r="O254" s="243"/>
      <c r="P254" s="243"/>
      <c r="Q254" s="243"/>
      <c r="R254" s="243"/>
      <c r="S254" s="243"/>
      <c r="T254" s="243"/>
      <c r="U254" s="243"/>
      <c r="V254" s="243"/>
      <c r="W254" s="243"/>
      <c r="X254" s="243"/>
      <c r="Y254" s="243"/>
      <c r="Z254" s="243"/>
      <c r="AA254" s="243"/>
      <c r="AB254" s="243"/>
      <c r="AC254" s="243"/>
      <c r="AD254" s="243"/>
    </row>
    <row r="255" ht="33.75" customHeight="1">
      <c r="A255" s="252"/>
      <c r="B255" s="252"/>
      <c r="C255" s="243"/>
      <c r="D255" s="252"/>
      <c r="E255" s="243"/>
      <c r="F255" s="243"/>
      <c r="G255" s="243"/>
      <c r="H255" s="243"/>
      <c r="I255" s="243"/>
      <c r="J255" s="243"/>
      <c r="K255" s="243"/>
      <c r="L255" s="243"/>
      <c r="M255" s="243"/>
      <c r="N255" s="243"/>
      <c r="O255" s="243"/>
      <c r="P255" s="243"/>
      <c r="Q255" s="243"/>
      <c r="R255" s="243"/>
      <c r="S255" s="243"/>
      <c r="T255" s="243"/>
      <c r="U255" s="243"/>
      <c r="V255" s="243"/>
      <c r="W255" s="243"/>
      <c r="X255" s="243"/>
      <c r="Y255" s="243"/>
      <c r="Z255" s="243"/>
      <c r="AA255" s="243"/>
      <c r="AB255" s="243"/>
      <c r="AC255" s="243"/>
      <c r="AD255" s="243"/>
    </row>
    <row r="256" ht="33.75" customHeight="1">
      <c r="A256" s="252"/>
      <c r="B256" s="252"/>
      <c r="C256" s="243"/>
      <c r="D256" s="252"/>
      <c r="E256" s="243"/>
      <c r="F256" s="243"/>
      <c r="G256" s="243"/>
      <c r="H256" s="243"/>
      <c r="I256" s="243"/>
      <c r="J256" s="243"/>
      <c r="K256" s="243"/>
      <c r="L256" s="243"/>
      <c r="M256" s="243"/>
      <c r="N256" s="243"/>
      <c r="O256" s="243"/>
      <c r="P256" s="243"/>
      <c r="Q256" s="243"/>
      <c r="R256" s="243"/>
      <c r="S256" s="243"/>
      <c r="T256" s="243"/>
      <c r="U256" s="243"/>
      <c r="V256" s="243"/>
      <c r="W256" s="243"/>
      <c r="X256" s="243"/>
      <c r="Y256" s="243"/>
      <c r="Z256" s="243"/>
      <c r="AA256" s="243"/>
      <c r="AB256" s="243"/>
      <c r="AC256" s="243"/>
      <c r="AD256" s="243"/>
    </row>
    <row r="257" ht="33.75" customHeight="1">
      <c r="A257" s="252"/>
      <c r="B257" s="252"/>
      <c r="C257" s="243"/>
      <c r="D257" s="252"/>
      <c r="E257" s="243"/>
      <c r="F257" s="243"/>
      <c r="G257" s="243"/>
      <c r="H257" s="243"/>
      <c r="I257" s="243"/>
      <c r="J257" s="243"/>
      <c r="K257" s="243"/>
      <c r="L257" s="243"/>
      <c r="M257" s="243"/>
      <c r="N257" s="243"/>
      <c r="O257" s="243"/>
      <c r="P257" s="243"/>
      <c r="Q257" s="243"/>
      <c r="R257" s="243"/>
      <c r="S257" s="243"/>
      <c r="T257" s="243"/>
      <c r="U257" s="243"/>
      <c r="V257" s="243"/>
      <c r="W257" s="243"/>
      <c r="X257" s="243"/>
      <c r="Y257" s="243"/>
      <c r="Z257" s="243"/>
      <c r="AA257" s="243"/>
      <c r="AB257" s="243"/>
      <c r="AC257" s="243"/>
      <c r="AD257" s="243"/>
    </row>
    <row r="258" ht="33.75" customHeight="1">
      <c r="A258" s="252"/>
      <c r="B258" s="252"/>
      <c r="C258" s="243"/>
      <c r="D258" s="252"/>
      <c r="E258" s="243"/>
      <c r="F258" s="243"/>
      <c r="G258" s="243"/>
      <c r="H258" s="243"/>
      <c r="I258" s="243"/>
      <c r="J258" s="243"/>
      <c r="K258" s="243"/>
      <c r="L258" s="243"/>
      <c r="M258" s="243"/>
      <c r="N258" s="243"/>
      <c r="O258" s="243"/>
      <c r="P258" s="243"/>
      <c r="Q258" s="243"/>
      <c r="R258" s="243"/>
      <c r="S258" s="243"/>
      <c r="T258" s="243"/>
      <c r="U258" s="243"/>
      <c r="V258" s="243"/>
      <c r="W258" s="243"/>
      <c r="X258" s="243"/>
      <c r="Y258" s="243"/>
      <c r="Z258" s="243"/>
      <c r="AA258" s="243"/>
      <c r="AB258" s="243"/>
      <c r="AC258" s="243"/>
      <c r="AD258" s="243"/>
    </row>
    <row r="259" ht="33.75" customHeight="1">
      <c r="A259" s="252"/>
      <c r="B259" s="252"/>
      <c r="C259" s="243"/>
      <c r="D259" s="252"/>
      <c r="E259" s="243"/>
      <c r="F259" s="243"/>
      <c r="G259" s="243"/>
      <c r="H259" s="243"/>
      <c r="I259" s="243"/>
      <c r="J259" s="243"/>
      <c r="K259" s="243"/>
      <c r="L259" s="243"/>
      <c r="M259" s="243"/>
      <c r="N259" s="243"/>
      <c r="O259" s="243"/>
      <c r="P259" s="243"/>
      <c r="Q259" s="243"/>
      <c r="R259" s="243"/>
      <c r="S259" s="243"/>
      <c r="T259" s="243"/>
      <c r="U259" s="243"/>
      <c r="V259" s="243"/>
      <c r="W259" s="243"/>
      <c r="X259" s="243"/>
      <c r="Y259" s="243"/>
      <c r="Z259" s="243"/>
      <c r="AA259" s="243"/>
      <c r="AB259" s="243"/>
      <c r="AC259" s="243"/>
      <c r="AD259" s="243"/>
    </row>
    <row r="260" ht="33.75" customHeight="1">
      <c r="A260" s="252"/>
      <c r="B260" s="252"/>
      <c r="C260" s="243"/>
      <c r="D260" s="252"/>
      <c r="E260" s="243"/>
      <c r="F260" s="243"/>
      <c r="G260" s="243"/>
      <c r="H260" s="243"/>
      <c r="I260" s="243"/>
      <c r="J260" s="243"/>
      <c r="K260" s="243"/>
      <c r="L260" s="243"/>
      <c r="M260" s="243"/>
      <c r="N260" s="243"/>
      <c r="O260" s="243"/>
      <c r="P260" s="243"/>
      <c r="Q260" s="243"/>
      <c r="R260" s="243"/>
      <c r="S260" s="243"/>
      <c r="T260" s="243"/>
      <c r="U260" s="243"/>
      <c r="V260" s="243"/>
      <c r="W260" s="243"/>
      <c r="X260" s="243"/>
      <c r="Y260" s="243"/>
      <c r="Z260" s="243"/>
      <c r="AA260" s="243"/>
      <c r="AB260" s="243"/>
      <c r="AC260" s="243"/>
      <c r="AD260" s="243"/>
    </row>
    <row r="261" ht="33.75" customHeight="1">
      <c r="A261" s="252"/>
      <c r="B261" s="252"/>
      <c r="C261" s="243"/>
      <c r="D261" s="252"/>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243"/>
      <c r="AA261" s="243"/>
      <c r="AB261" s="243"/>
      <c r="AC261" s="243"/>
      <c r="AD261" s="243"/>
    </row>
    <row r="262" ht="33.75" customHeight="1">
      <c r="A262" s="252"/>
      <c r="B262" s="252"/>
      <c r="C262" s="243"/>
      <c r="D262" s="252"/>
      <c r="E262" s="243"/>
      <c r="F262" s="243"/>
      <c r="G262" s="243"/>
      <c r="H262" s="243"/>
      <c r="I262" s="243"/>
      <c r="J262" s="243"/>
      <c r="K262" s="243"/>
      <c r="L262" s="243"/>
      <c r="M262" s="243"/>
      <c r="N262" s="243"/>
      <c r="O262" s="243"/>
      <c r="P262" s="243"/>
      <c r="Q262" s="243"/>
      <c r="R262" s="243"/>
      <c r="S262" s="243"/>
      <c r="T262" s="243"/>
      <c r="U262" s="243"/>
      <c r="V262" s="243"/>
      <c r="W262" s="243"/>
      <c r="X262" s="243"/>
      <c r="Y262" s="243"/>
      <c r="Z262" s="243"/>
      <c r="AA262" s="243"/>
      <c r="AB262" s="243"/>
      <c r="AC262" s="243"/>
      <c r="AD262" s="243"/>
    </row>
    <row r="263" ht="33.75" customHeight="1">
      <c r="A263" s="252"/>
      <c r="B263" s="252"/>
      <c r="C263" s="243"/>
      <c r="D263" s="252"/>
      <c r="E263" s="243"/>
      <c r="F263" s="243"/>
      <c r="G263" s="243"/>
      <c r="H263" s="243"/>
      <c r="I263" s="243"/>
      <c r="J263" s="243"/>
      <c r="K263" s="243"/>
      <c r="L263" s="243"/>
      <c r="M263" s="243"/>
      <c r="N263" s="243"/>
      <c r="O263" s="243"/>
      <c r="P263" s="243"/>
      <c r="Q263" s="243"/>
      <c r="R263" s="243"/>
      <c r="S263" s="243"/>
      <c r="T263" s="243"/>
      <c r="U263" s="243"/>
      <c r="V263" s="243"/>
      <c r="W263" s="243"/>
      <c r="X263" s="243"/>
      <c r="Y263" s="243"/>
      <c r="Z263" s="243"/>
      <c r="AA263" s="243"/>
      <c r="AB263" s="243"/>
      <c r="AC263" s="243"/>
      <c r="AD263" s="243"/>
    </row>
    <row r="264" ht="33.75" customHeight="1">
      <c r="A264" s="252"/>
      <c r="B264" s="252"/>
      <c r="C264" s="243"/>
      <c r="D264" s="252"/>
      <c r="E264" s="243"/>
      <c r="F264" s="243"/>
      <c r="G264" s="243"/>
      <c r="H264" s="243"/>
      <c r="I264" s="243"/>
      <c r="J264" s="243"/>
      <c r="K264" s="243"/>
      <c r="L264" s="243"/>
      <c r="M264" s="243"/>
      <c r="N264" s="243"/>
      <c r="O264" s="243"/>
      <c r="P264" s="243"/>
      <c r="Q264" s="243"/>
      <c r="R264" s="243"/>
      <c r="S264" s="243"/>
      <c r="T264" s="243"/>
      <c r="U264" s="243"/>
      <c r="V264" s="243"/>
      <c r="W264" s="243"/>
      <c r="X264" s="243"/>
      <c r="Y264" s="243"/>
      <c r="Z264" s="243"/>
      <c r="AA264" s="243"/>
      <c r="AB264" s="243"/>
      <c r="AC264" s="243"/>
      <c r="AD264" s="243"/>
    </row>
    <row r="265" ht="33.75" customHeight="1">
      <c r="A265" s="252"/>
      <c r="B265" s="252"/>
      <c r="C265" s="243"/>
      <c r="D265" s="252"/>
      <c r="E265" s="243"/>
      <c r="F265" s="243"/>
      <c r="G265" s="243"/>
      <c r="H265" s="243"/>
      <c r="I265" s="243"/>
      <c r="J265" s="243"/>
      <c r="K265" s="243"/>
      <c r="L265" s="243"/>
      <c r="M265" s="243"/>
      <c r="N265" s="243"/>
      <c r="O265" s="243"/>
      <c r="P265" s="243"/>
      <c r="Q265" s="243"/>
      <c r="R265" s="243"/>
      <c r="S265" s="243"/>
      <c r="T265" s="243"/>
      <c r="U265" s="243"/>
      <c r="V265" s="243"/>
      <c r="W265" s="243"/>
      <c r="X265" s="243"/>
      <c r="Y265" s="243"/>
      <c r="Z265" s="243"/>
      <c r="AA265" s="243"/>
      <c r="AB265" s="243"/>
      <c r="AC265" s="243"/>
      <c r="AD265" s="243"/>
    </row>
    <row r="266" ht="33.75" customHeight="1">
      <c r="A266" s="252"/>
      <c r="B266" s="252"/>
      <c r="C266" s="243"/>
      <c r="D266" s="252"/>
      <c r="E266" s="243"/>
      <c r="F266" s="243"/>
      <c r="G266" s="243"/>
      <c r="H266" s="243"/>
      <c r="I266" s="243"/>
      <c r="J266" s="243"/>
      <c r="K266" s="243"/>
      <c r="L266" s="243"/>
      <c r="M266" s="243"/>
      <c r="N266" s="243"/>
      <c r="O266" s="243"/>
      <c r="P266" s="243"/>
      <c r="Q266" s="243"/>
      <c r="R266" s="243"/>
      <c r="S266" s="243"/>
      <c r="T266" s="243"/>
      <c r="U266" s="243"/>
      <c r="V266" s="243"/>
      <c r="W266" s="243"/>
      <c r="X266" s="243"/>
      <c r="Y266" s="243"/>
      <c r="Z266" s="243"/>
      <c r="AA266" s="243"/>
      <c r="AB266" s="243"/>
      <c r="AC266" s="243"/>
      <c r="AD266" s="243"/>
    </row>
    <row r="267" ht="33.75" customHeight="1">
      <c r="A267" s="252"/>
      <c r="B267" s="252"/>
      <c r="C267" s="243"/>
      <c r="D267" s="252"/>
      <c r="E267" s="243"/>
      <c r="F267" s="243"/>
      <c r="G267" s="243"/>
      <c r="H267" s="243"/>
      <c r="I267" s="243"/>
      <c r="J267" s="243"/>
      <c r="K267" s="243"/>
      <c r="L267" s="243"/>
      <c r="M267" s="243"/>
      <c r="N267" s="243"/>
      <c r="O267" s="243"/>
      <c r="P267" s="243"/>
      <c r="Q267" s="243"/>
      <c r="R267" s="243"/>
      <c r="S267" s="243"/>
      <c r="T267" s="243"/>
      <c r="U267" s="243"/>
      <c r="V267" s="243"/>
      <c r="W267" s="243"/>
      <c r="X267" s="243"/>
      <c r="Y267" s="243"/>
      <c r="Z267" s="243"/>
      <c r="AA267" s="243"/>
      <c r="AB267" s="243"/>
      <c r="AC267" s="243"/>
      <c r="AD267" s="243"/>
    </row>
    <row r="268" ht="33.75" customHeight="1">
      <c r="A268" s="252"/>
      <c r="B268" s="252"/>
      <c r="C268" s="243"/>
      <c r="D268" s="252"/>
      <c r="E268" s="243"/>
      <c r="F268" s="243"/>
      <c r="G268" s="243"/>
      <c r="H268" s="243"/>
      <c r="I268" s="243"/>
      <c r="J268" s="243"/>
      <c r="K268" s="243"/>
      <c r="L268" s="243"/>
      <c r="M268" s="243"/>
      <c r="N268" s="243"/>
      <c r="O268" s="243"/>
      <c r="P268" s="243"/>
      <c r="Q268" s="243"/>
      <c r="R268" s="243"/>
      <c r="S268" s="243"/>
      <c r="T268" s="243"/>
      <c r="U268" s="243"/>
      <c r="V268" s="243"/>
      <c r="W268" s="243"/>
      <c r="X268" s="243"/>
      <c r="Y268" s="243"/>
      <c r="Z268" s="243"/>
      <c r="AA268" s="243"/>
      <c r="AB268" s="243"/>
      <c r="AC268" s="243"/>
      <c r="AD268" s="243"/>
    </row>
    <row r="269" ht="33.75" customHeight="1">
      <c r="A269" s="252"/>
      <c r="B269" s="252"/>
      <c r="C269" s="243"/>
      <c r="D269" s="252"/>
      <c r="E269" s="243"/>
      <c r="F269" s="243"/>
      <c r="G269" s="243"/>
      <c r="H269" s="243"/>
      <c r="I269" s="243"/>
      <c r="J269" s="243"/>
      <c r="K269" s="243"/>
      <c r="L269" s="243"/>
      <c r="M269" s="243"/>
      <c r="N269" s="243"/>
      <c r="O269" s="243"/>
      <c r="P269" s="243"/>
      <c r="Q269" s="243"/>
      <c r="R269" s="243"/>
      <c r="S269" s="243"/>
      <c r="T269" s="243"/>
      <c r="U269" s="243"/>
      <c r="V269" s="243"/>
      <c r="W269" s="243"/>
      <c r="X269" s="243"/>
      <c r="Y269" s="243"/>
      <c r="Z269" s="243"/>
      <c r="AA269" s="243"/>
      <c r="AB269" s="243"/>
      <c r="AC269" s="243"/>
      <c r="AD269" s="243"/>
    </row>
    <row r="270" ht="33.75" customHeight="1">
      <c r="A270" s="252"/>
      <c r="B270" s="252"/>
      <c r="C270" s="243"/>
      <c r="D270" s="252"/>
      <c r="E270" s="243"/>
      <c r="F270" s="243"/>
      <c r="G270" s="243"/>
      <c r="H270" s="243"/>
      <c r="I270" s="243"/>
      <c r="J270" s="243"/>
      <c r="K270" s="243"/>
      <c r="L270" s="243"/>
      <c r="M270" s="243"/>
      <c r="N270" s="243"/>
      <c r="O270" s="243"/>
      <c r="P270" s="243"/>
      <c r="Q270" s="243"/>
      <c r="R270" s="243"/>
      <c r="S270" s="243"/>
      <c r="T270" s="243"/>
      <c r="U270" s="243"/>
      <c r="V270" s="243"/>
      <c r="W270" s="243"/>
      <c r="X270" s="243"/>
      <c r="Y270" s="243"/>
      <c r="Z270" s="243"/>
      <c r="AA270" s="243"/>
      <c r="AB270" s="243"/>
      <c r="AC270" s="243"/>
      <c r="AD270" s="243"/>
    </row>
    <row r="271" ht="33.75" customHeight="1">
      <c r="A271" s="252"/>
      <c r="B271" s="252"/>
      <c r="C271" s="243"/>
      <c r="D271" s="252"/>
      <c r="E271" s="243"/>
      <c r="F271" s="243"/>
      <c r="G271" s="243"/>
      <c r="H271" s="243"/>
      <c r="I271" s="243"/>
      <c r="J271" s="243"/>
      <c r="K271" s="243"/>
      <c r="L271" s="243"/>
      <c r="M271" s="243"/>
      <c r="N271" s="243"/>
      <c r="O271" s="243"/>
      <c r="P271" s="243"/>
      <c r="Q271" s="243"/>
      <c r="R271" s="243"/>
      <c r="S271" s="243"/>
      <c r="T271" s="243"/>
      <c r="U271" s="243"/>
      <c r="V271" s="243"/>
      <c r="W271" s="243"/>
      <c r="X271" s="243"/>
      <c r="Y271" s="243"/>
      <c r="Z271" s="243"/>
      <c r="AA271" s="243"/>
      <c r="AB271" s="243"/>
      <c r="AC271" s="243"/>
      <c r="AD271" s="243"/>
    </row>
    <row r="272" ht="33.75" customHeight="1">
      <c r="A272" s="252"/>
      <c r="B272" s="252"/>
      <c r="C272" s="243"/>
      <c r="D272" s="252"/>
      <c r="E272" s="243"/>
      <c r="F272" s="243"/>
      <c r="G272" s="243"/>
      <c r="H272" s="243"/>
      <c r="I272" s="243"/>
      <c r="J272" s="243"/>
      <c r="K272" s="243"/>
      <c r="L272" s="243"/>
      <c r="M272" s="243"/>
      <c r="N272" s="243"/>
      <c r="O272" s="243"/>
      <c r="P272" s="243"/>
      <c r="Q272" s="243"/>
      <c r="R272" s="243"/>
      <c r="S272" s="243"/>
      <c r="T272" s="243"/>
      <c r="U272" s="243"/>
      <c r="V272" s="243"/>
      <c r="W272" s="243"/>
      <c r="X272" s="243"/>
      <c r="Y272" s="243"/>
      <c r="Z272" s="243"/>
      <c r="AA272" s="243"/>
      <c r="AB272" s="243"/>
      <c r="AC272" s="243"/>
      <c r="AD272" s="243"/>
    </row>
    <row r="273" ht="33.75" customHeight="1">
      <c r="A273" s="252"/>
      <c r="B273" s="252"/>
      <c r="C273" s="243"/>
      <c r="D273" s="252"/>
      <c r="E273" s="243"/>
      <c r="F273" s="243"/>
      <c r="G273" s="243"/>
      <c r="H273" s="243"/>
      <c r="I273" s="243"/>
      <c r="J273" s="243"/>
      <c r="K273" s="243"/>
      <c r="L273" s="243"/>
      <c r="M273" s="243"/>
      <c r="N273" s="243"/>
      <c r="O273" s="243"/>
      <c r="P273" s="243"/>
      <c r="Q273" s="243"/>
      <c r="R273" s="243"/>
      <c r="S273" s="243"/>
      <c r="T273" s="243"/>
      <c r="U273" s="243"/>
      <c r="V273" s="243"/>
      <c r="W273" s="243"/>
      <c r="X273" s="243"/>
      <c r="Y273" s="243"/>
      <c r="Z273" s="243"/>
      <c r="AA273" s="243"/>
      <c r="AB273" s="243"/>
      <c r="AC273" s="243"/>
      <c r="AD273" s="243"/>
    </row>
    <row r="274" ht="33.75" customHeight="1">
      <c r="A274" s="252"/>
      <c r="B274" s="252"/>
      <c r="C274" s="243"/>
      <c r="D274" s="252"/>
      <c r="E274" s="243"/>
      <c r="F274" s="243"/>
      <c r="G274" s="243"/>
      <c r="H274" s="243"/>
      <c r="I274" s="243"/>
      <c r="J274" s="243"/>
      <c r="K274" s="243"/>
      <c r="L274" s="243"/>
      <c r="M274" s="243"/>
      <c r="N274" s="243"/>
      <c r="O274" s="243"/>
      <c r="P274" s="243"/>
      <c r="Q274" s="243"/>
      <c r="R274" s="243"/>
      <c r="S274" s="243"/>
      <c r="T274" s="243"/>
      <c r="U274" s="243"/>
      <c r="V274" s="243"/>
      <c r="W274" s="243"/>
      <c r="X274" s="243"/>
      <c r="Y274" s="243"/>
      <c r="Z274" s="243"/>
      <c r="AA274" s="243"/>
      <c r="AB274" s="243"/>
      <c r="AC274" s="243"/>
      <c r="AD274" s="243"/>
    </row>
    <row r="275" ht="33.75" customHeight="1">
      <c r="A275" s="252"/>
      <c r="B275" s="252"/>
      <c r="C275" s="243"/>
      <c r="D275" s="252"/>
      <c r="E275" s="243"/>
      <c r="F275" s="243"/>
      <c r="G275" s="243"/>
      <c r="H275" s="243"/>
      <c r="I275" s="243"/>
      <c r="J275" s="243"/>
      <c r="K275" s="243"/>
      <c r="L275" s="243"/>
      <c r="M275" s="243"/>
      <c r="N275" s="243"/>
      <c r="O275" s="243"/>
      <c r="P275" s="243"/>
      <c r="Q275" s="243"/>
      <c r="R275" s="243"/>
      <c r="S275" s="243"/>
      <c r="T275" s="243"/>
      <c r="U275" s="243"/>
      <c r="V275" s="243"/>
      <c r="W275" s="243"/>
      <c r="X275" s="243"/>
      <c r="Y275" s="243"/>
      <c r="Z275" s="243"/>
      <c r="AA275" s="243"/>
      <c r="AB275" s="243"/>
      <c r="AC275" s="243"/>
      <c r="AD275" s="243"/>
    </row>
    <row r="276" ht="33.75" customHeight="1">
      <c r="A276" s="252"/>
      <c r="B276" s="252"/>
      <c r="C276" s="243"/>
      <c r="D276" s="252"/>
      <c r="E276" s="243"/>
      <c r="F276" s="243"/>
      <c r="G276" s="243"/>
      <c r="H276" s="243"/>
      <c r="I276" s="243"/>
      <c r="J276" s="243"/>
      <c r="K276" s="243"/>
      <c r="L276" s="243"/>
      <c r="M276" s="243"/>
      <c r="N276" s="243"/>
      <c r="O276" s="243"/>
      <c r="P276" s="243"/>
      <c r="Q276" s="243"/>
      <c r="R276" s="243"/>
      <c r="S276" s="243"/>
      <c r="T276" s="243"/>
      <c r="U276" s="243"/>
      <c r="V276" s="243"/>
      <c r="W276" s="243"/>
      <c r="X276" s="243"/>
      <c r="Y276" s="243"/>
      <c r="Z276" s="243"/>
      <c r="AA276" s="243"/>
      <c r="AB276" s="243"/>
      <c r="AC276" s="243"/>
      <c r="AD276" s="243"/>
    </row>
    <row r="277" ht="33.75" customHeight="1">
      <c r="A277" s="252"/>
      <c r="B277" s="252"/>
      <c r="C277" s="243"/>
      <c r="D277" s="252"/>
      <c r="E277" s="243"/>
      <c r="F277" s="243"/>
      <c r="G277" s="243"/>
      <c r="H277" s="243"/>
      <c r="I277" s="243"/>
      <c r="J277" s="243"/>
      <c r="K277" s="243"/>
      <c r="L277" s="243"/>
      <c r="M277" s="243"/>
      <c r="N277" s="243"/>
      <c r="O277" s="243"/>
      <c r="P277" s="243"/>
      <c r="Q277" s="243"/>
      <c r="R277" s="243"/>
      <c r="S277" s="243"/>
      <c r="T277" s="243"/>
      <c r="U277" s="243"/>
      <c r="V277" s="243"/>
      <c r="W277" s="243"/>
      <c r="X277" s="243"/>
      <c r="Y277" s="243"/>
      <c r="Z277" s="243"/>
      <c r="AA277" s="243"/>
      <c r="AB277" s="243"/>
      <c r="AC277" s="243"/>
      <c r="AD277" s="243"/>
    </row>
    <row r="278" ht="33.75" customHeight="1">
      <c r="A278" s="252"/>
      <c r="B278" s="252"/>
      <c r="C278" s="243"/>
      <c r="D278" s="252"/>
      <c r="E278" s="243"/>
      <c r="F278" s="243"/>
      <c r="G278" s="243"/>
      <c r="H278" s="243"/>
      <c r="I278" s="243"/>
      <c r="J278" s="243"/>
      <c r="K278" s="243"/>
      <c r="L278" s="243"/>
      <c r="M278" s="243"/>
      <c r="N278" s="243"/>
      <c r="O278" s="243"/>
      <c r="P278" s="243"/>
      <c r="Q278" s="243"/>
      <c r="R278" s="243"/>
      <c r="S278" s="243"/>
      <c r="T278" s="243"/>
      <c r="U278" s="243"/>
      <c r="V278" s="243"/>
      <c r="W278" s="243"/>
      <c r="X278" s="243"/>
      <c r="Y278" s="243"/>
      <c r="Z278" s="243"/>
      <c r="AA278" s="243"/>
      <c r="AB278" s="243"/>
      <c r="AC278" s="243"/>
      <c r="AD278" s="243"/>
    </row>
    <row r="279" ht="33.75" customHeight="1">
      <c r="A279" s="252"/>
      <c r="B279" s="252"/>
      <c r="C279" s="243"/>
      <c r="D279" s="252"/>
      <c r="E279" s="243"/>
      <c r="F279" s="243"/>
      <c r="G279" s="243"/>
      <c r="H279" s="243"/>
      <c r="I279" s="243"/>
      <c r="J279" s="243"/>
      <c r="K279" s="243"/>
      <c r="L279" s="243"/>
      <c r="M279" s="243"/>
      <c r="N279" s="243"/>
      <c r="O279" s="243"/>
      <c r="P279" s="243"/>
      <c r="Q279" s="243"/>
      <c r="R279" s="243"/>
      <c r="S279" s="243"/>
      <c r="T279" s="243"/>
      <c r="U279" s="243"/>
      <c r="V279" s="243"/>
      <c r="W279" s="243"/>
      <c r="X279" s="243"/>
      <c r="Y279" s="243"/>
      <c r="Z279" s="243"/>
      <c r="AA279" s="243"/>
      <c r="AB279" s="243"/>
      <c r="AC279" s="243"/>
      <c r="AD279" s="243"/>
    </row>
    <row r="280" ht="33.75" customHeight="1">
      <c r="A280" s="252"/>
      <c r="B280" s="252"/>
      <c r="C280" s="243"/>
      <c r="D280" s="252"/>
      <c r="E280" s="243"/>
      <c r="F280" s="243"/>
      <c r="G280" s="243"/>
      <c r="H280" s="243"/>
      <c r="I280" s="243"/>
      <c r="J280" s="243"/>
      <c r="K280" s="243"/>
      <c r="L280" s="243"/>
      <c r="M280" s="243"/>
      <c r="N280" s="243"/>
      <c r="O280" s="243"/>
      <c r="P280" s="243"/>
      <c r="Q280" s="243"/>
      <c r="R280" s="243"/>
      <c r="S280" s="243"/>
      <c r="T280" s="243"/>
      <c r="U280" s="243"/>
      <c r="V280" s="243"/>
      <c r="W280" s="243"/>
      <c r="X280" s="243"/>
      <c r="Y280" s="243"/>
      <c r="Z280" s="243"/>
      <c r="AA280" s="243"/>
      <c r="AB280" s="243"/>
      <c r="AC280" s="243"/>
      <c r="AD280" s="243"/>
    </row>
    <row r="281" ht="33.75" customHeight="1">
      <c r="A281" s="252"/>
      <c r="B281" s="252"/>
      <c r="C281" s="243"/>
      <c r="D281" s="252"/>
      <c r="E281" s="243"/>
      <c r="F281" s="243"/>
      <c r="G281" s="243"/>
      <c r="H281" s="243"/>
      <c r="I281" s="243"/>
      <c r="J281" s="243"/>
      <c r="K281" s="243"/>
      <c r="L281" s="243"/>
      <c r="M281" s="243"/>
      <c r="N281" s="243"/>
      <c r="O281" s="243"/>
      <c r="P281" s="243"/>
      <c r="Q281" s="243"/>
      <c r="R281" s="243"/>
      <c r="S281" s="243"/>
      <c r="T281" s="243"/>
      <c r="U281" s="243"/>
      <c r="V281" s="243"/>
      <c r="W281" s="243"/>
      <c r="X281" s="243"/>
      <c r="Y281" s="243"/>
      <c r="Z281" s="243"/>
      <c r="AA281" s="243"/>
      <c r="AB281" s="243"/>
      <c r="AC281" s="243"/>
      <c r="AD281" s="243"/>
    </row>
    <row r="282" ht="33.75" customHeight="1">
      <c r="A282" s="252"/>
      <c r="B282" s="252"/>
      <c r="C282" s="243"/>
      <c r="D282" s="252"/>
      <c r="E282" s="243"/>
      <c r="F282" s="243"/>
      <c r="G282" s="243"/>
      <c r="H282" s="243"/>
      <c r="I282" s="243"/>
      <c r="J282" s="243"/>
      <c r="K282" s="243"/>
      <c r="L282" s="243"/>
      <c r="M282" s="243"/>
      <c r="N282" s="243"/>
      <c r="O282" s="243"/>
      <c r="P282" s="243"/>
      <c r="Q282" s="243"/>
      <c r="R282" s="243"/>
      <c r="S282" s="243"/>
      <c r="T282" s="243"/>
      <c r="U282" s="243"/>
      <c r="V282" s="243"/>
      <c r="W282" s="243"/>
      <c r="X282" s="243"/>
      <c r="Y282" s="243"/>
      <c r="Z282" s="243"/>
      <c r="AA282" s="243"/>
      <c r="AB282" s="243"/>
      <c r="AC282" s="243"/>
      <c r="AD282" s="243"/>
    </row>
    <row r="283" ht="33.75" customHeight="1">
      <c r="A283" s="252"/>
      <c r="B283" s="252"/>
      <c r="C283" s="243"/>
      <c r="D283" s="252"/>
      <c r="E283" s="243"/>
      <c r="F283" s="243"/>
      <c r="G283" s="243"/>
      <c r="H283" s="243"/>
      <c r="I283" s="243"/>
      <c r="J283" s="243"/>
      <c r="K283" s="243"/>
      <c r="L283" s="243"/>
      <c r="M283" s="243"/>
      <c r="N283" s="243"/>
      <c r="O283" s="243"/>
      <c r="P283" s="243"/>
      <c r="Q283" s="243"/>
      <c r="R283" s="243"/>
      <c r="S283" s="243"/>
      <c r="T283" s="243"/>
      <c r="U283" s="243"/>
      <c r="V283" s="243"/>
      <c r="W283" s="243"/>
      <c r="X283" s="243"/>
      <c r="Y283" s="243"/>
      <c r="Z283" s="243"/>
      <c r="AA283" s="243"/>
      <c r="AB283" s="243"/>
      <c r="AC283" s="243"/>
      <c r="AD283" s="243"/>
    </row>
    <row r="284" ht="33.75" customHeight="1">
      <c r="A284" s="252"/>
      <c r="B284" s="252"/>
      <c r="C284" s="243"/>
      <c r="D284" s="252"/>
      <c r="E284" s="243"/>
      <c r="F284" s="243"/>
      <c r="G284" s="243"/>
      <c r="H284" s="243"/>
      <c r="I284" s="243"/>
      <c r="J284" s="243"/>
      <c r="K284" s="243"/>
      <c r="L284" s="243"/>
      <c r="M284" s="243"/>
      <c r="N284" s="243"/>
      <c r="O284" s="243"/>
      <c r="P284" s="243"/>
      <c r="Q284" s="243"/>
      <c r="R284" s="243"/>
      <c r="S284" s="243"/>
      <c r="T284" s="243"/>
      <c r="U284" s="243"/>
      <c r="V284" s="243"/>
      <c r="W284" s="243"/>
      <c r="X284" s="243"/>
      <c r="Y284" s="243"/>
      <c r="Z284" s="243"/>
      <c r="AA284" s="243"/>
      <c r="AB284" s="243"/>
      <c r="AC284" s="243"/>
      <c r="AD284" s="243"/>
    </row>
    <row r="285" ht="33.75" customHeight="1">
      <c r="A285" s="252"/>
      <c r="B285" s="252"/>
      <c r="C285" s="243"/>
      <c r="D285" s="252"/>
      <c r="E285" s="243"/>
      <c r="F285" s="243"/>
      <c r="G285" s="243"/>
      <c r="H285" s="243"/>
      <c r="I285" s="243"/>
      <c r="J285" s="243"/>
      <c r="K285" s="243"/>
      <c r="L285" s="243"/>
      <c r="M285" s="243"/>
      <c r="N285" s="243"/>
      <c r="O285" s="243"/>
      <c r="P285" s="243"/>
      <c r="Q285" s="243"/>
      <c r="R285" s="243"/>
      <c r="S285" s="243"/>
      <c r="T285" s="243"/>
      <c r="U285" s="243"/>
      <c r="V285" s="243"/>
      <c r="W285" s="243"/>
      <c r="X285" s="243"/>
      <c r="Y285" s="243"/>
      <c r="Z285" s="243"/>
      <c r="AA285" s="243"/>
      <c r="AB285" s="243"/>
      <c r="AC285" s="243"/>
      <c r="AD285" s="243"/>
    </row>
    <row r="286" ht="33.75" customHeight="1">
      <c r="A286" s="252"/>
      <c r="B286" s="252"/>
      <c r="C286" s="243"/>
      <c r="D286" s="252"/>
      <c r="E286" s="243"/>
      <c r="F286" s="243"/>
      <c r="G286" s="243"/>
      <c r="H286" s="243"/>
      <c r="I286" s="243"/>
      <c r="J286" s="243"/>
      <c r="K286" s="243"/>
      <c r="L286" s="243"/>
      <c r="M286" s="243"/>
      <c r="N286" s="243"/>
      <c r="O286" s="243"/>
      <c r="P286" s="243"/>
      <c r="Q286" s="243"/>
      <c r="R286" s="243"/>
      <c r="S286" s="243"/>
      <c r="T286" s="243"/>
      <c r="U286" s="243"/>
      <c r="V286" s="243"/>
      <c r="W286" s="243"/>
      <c r="X286" s="243"/>
      <c r="Y286" s="243"/>
      <c r="Z286" s="243"/>
      <c r="AA286" s="243"/>
      <c r="AB286" s="243"/>
      <c r="AC286" s="243"/>
      <c r="AD286" s="243"/>
    </row>
    <row r="287" ht="33.75" customHeight="1">
      <c r="A287" s="252"/>
      <c r="B287" s="252"/>
      <c r="C287" s="243"/>
      <c r="D287" s="252"/>
      <c r="E287" s="243"/>
      <c r="F287" s="243"/>
      <c r="G287" s="243"/>
      <c r="H287" s="243"/>
      <c r="I287" s="243"/>
      <c r="J287" s="243"/>
      <c r="K287" s="243"/>
      <c r="L287" s="243"/>
      <c r="M287" s="243"/>
      <c r="N287" s="243"/>
      <c r="O287" s="243"/>
      <c r="P287" s="243"/>
      <c r="Q287" s="243"/>
      <c r="R287" s="243"/>
      <c r="S287" s="243"/>
      <c r="T287" s="243"/>
      <c r="U287" s="243"/>
      <c r="V287" s="243"/>
      <c r="W287" s="243"/>
      <c r="X287" s="243"/>
      <c r="Y287" s="243"/>
      <c r="Z287" s="243"/>
      <c r="AA287" s="243"/>
      <c r="AB287" s="243"/>
      <c r="AC287" s="243"/>
      <c r="AD287" s="243"/>
    </row>
    <row r="288" ht="33.75" customHeight="1">
      <c r="A288" s="252"/>
      <c r="B288" s="252"/>
      <c r="C288" s="243"/>
      <c r="D288" s="252"/>
      <c r="E288" s="243"/>
      <c r="F288" s="243"/>
      <c r="G288" s="243"/>
      <c r="H288" s="243"/>
      <c r="I288" s="243"/>
      <c r="J288" s="243"/>
      <c r="K288" s="243"/>
      <c r="L288" s="243"/>
      <c r="M288" s="243"/>
      <c r="N288" s="243"/>
      <c r="O288" s="243"/>
      <c r="P288" s="243"/>
      <c r="Q288" s="243"/>
      <c r="R288" s="243"/>
      <c r="S288" s="243"/>
      <c r="T288" s="243"/>
      <c r="U288" s="243"/>
      <c r="V288" s="243"/>
      <c r="W288" s="243"/>
      <c r="X288" s="243"/>
      <c r="Y288" s="243"/>
      <c r="Z288" s="243"/>
      <c r="AA288" s="243"/>
      <c r="AB288" s="243"/>
      <c r="AC288" s="243"/>
      <c r="AD288" s="243"/>
    </row>
    <row r="289" ht="33.75" customHeight="1">
      <c r="A289" s="252"/>
      <c r="B289" s="252"/>
      <c r="C289" s="243"/>
      <c r="D289" s="252"/>
      <c r="E289" s="243"/>
      <c r="F289" s="243"/>
      <c r="G289" s="243"/>
      <c r="H289" s="243"/>
      <c r="I289" s="243"/>
      <c r="J289" s="243"/>
      <c r="K289" s="243"/>
      <c r="L289" s="243"/>
      <c r="M289" s="243"/>
      <c r="N289" s="243"/>
      <c r="O289" s="243"/>
      <c r="P289" s="243"/>
      <c r="Q289" s="243"/>
      <c r="R289" s="243"/>
      <c r="S289" s="243"/>
      <c r="T289" s="243"/>
      <c r="U289" s="243"/>
      <c r="V289" s="243"/>
      <c r="W289" s="243"/>
      <c r="X289" s="243"/>
      <c r="Y289" s="243"/>
      <c r="Z289" s="243"/>
      <c r="AA289" s="243"/>
      <c r="AB289" s="243"/>
      <c r="AC289" s="243"/>
      <c r="AD289" s="243"/>
    </row>
    <row r="290" ht="33.75" customHeight="1">
      <c r="A290" s="252"/>
      <c r="B290" s="252"/>
      <c r="C290" s="243"/>
      <c r="D290" s="252"/>
      <c r="E290" s="243"/>
      <c r="F290" s="243"/>
      <c r="G290" s="243"/>
      <c r="H290" s="243"/>
      <c r="I290" s="243"/>
      <c r="J290" s="243"/>
      <c r="K290" s="243"/>
      <c r="L290" s="243"/>
      <c r="M290" s="243"/>
      <c r="N290" s="243"/>
      <c r="O290" s="243"/>
      <c r="P290" s="243"/>
      <c r="Q290" s="243"/>
      <c r="R290" s="243"/>
      <c r="S290" s="243"/>
      <c r="T290" s="243"/>
      <c r="U290" s="243"/>
      <c r="V290" s="243"/>
      <c r="W290" s="243"/>
      <c r="X290" s="243"/>
      <c r="Y290" s="243"/>
      <c r="Z290" s="243"/>
      <c r="AA290" s="243"/>
      <c r="AB290" s="243"/>
      <c r="AC290" s="243"/>
      <c r="AD290" s="243"/>
    </row>
    <row r="291" ht="33.75" customHeight="1">
      <c r="A291" s="252"/>
      <c r="B291" s="252"/>
      <c r="C291" s="243"/>
      <c r="D291" s="252"/>
      <c r="E291" s="243"/>
      <c r="F291" s="243"/>
      <c r="G291" s="243"/>
      <c r="H291" s="243"/>
      <c r="I291" s="243"/>
      <c r="J291" s="243"/>
      <c r="K291" s="243"/>
      <c r="L291" s="243"/>
      <c r="M291" s="243"/>
      <c r="N291" s="243"/>
      <c r="O291" s="243"/>
      <c r="P291" s="243"/>
      <c r="Q291" s="243"/>
      <c r="R291" s="243"/>
      <c r="S291" s="243"/>
      <c r="T291" s="243"/>
      <c r="U291" s="243"/>
      <c r="V291" s="243"/>
      <c r="W291" s="243"/>
      <c r="X291" s="243"/>
      <c r="Y291" s="243"/>
      <c r="Z291" s="243"/>
      <c r="AA291" s="243"/>
      <c r="AB291" s="243"/>
      <c r="AC291" s="243"/>
      <c r="AD291" s="243"/>
    </row>
    <row r="292" ht="33.75" customHeight="1">
      <c r="A292" s="252"/>
      <c r="B292" s="252"/>
      <c r="C292" s="243"/>
      <c r="D292" s="252"/>
      <c r="E292" s="243"/>
      <c r="F292" s="243"/>
      <c r="G292" s="243"/>
      <c r="H292" s="243"/>
      <c r="I292" s="243"/>
      <c r="J292" s="243"/>
      <c r="K292" s="243"/>
      <c r="L292" s="243"/>
      <c r="M292" s="243"/>
      <c r="N292" s="243"/>
      <c r="O292" s="243"/>
      <c r="P292" s="243"/>
      <c r="Q292" s="243"/>
      <c r="R292" s="243"/>
      <c r="S292" s="243"/>
      <c r="T292" s="243"/>
      <c r="U292" s="243"/>
      <c r="V292" s="243"/>
      <c r="W292" s="243"/>
      <c r="X292" s="243"/>
      <c r="Y292" s="243"/>
      <c r="Z292" s="243"/>
      <c r="AA292" s="243"/>
      <c r="AB292" s="243"/>
      <c r="AC292" s="243"/>
      <c r="AD292" s="243"/>
    </row>
    <row r="293" ht="33.75" customHeight="1">
      <c r="A293" s="252"/>
      <c r="B293" s="252"/>
      <c r="C293" s="243"/>
      <c r="D293" s="252"/>
      <c r="E293" s="243"/>
      <c r="F293" s="243"/>
      <c r="G293" s="243"/>
      <c r="H293" s="243"/>
      <c r="I293" s="243"/>
      <c r="J293" s="243"/>
      <c r="K293" s="243"/>
      <c r="L293" s="243"/>
      <c r="M293" s="243"/>
      <c r="N293" s="243"/>
      <c r="O293" s="243"/>
      <c r="P293" s="243"/>
      <c r="Q293" s="243"/>
      <c r="R293" s="243"/>
      <c r="S293" s="243"/>
      <c r="T293" s="243"/>
      <c r="U293" s="243"/>
      <c r="V293" s="243"/>
      <c r="W293" s="243"/>
      <c r="X293" s="243"/>
      <c r="Y293" s="243"/>
      <c r="Z293" s="243"/>
      <c r="AA293" s="243"/>
      <c r="AB293" s="243"/>
      <c r="AC293" s="243"/>
      <c r="AD293" s="243"/>
    </row>
    <row r="294" ht="33.75" customHeight="1">
      <c r="A294" s="252"/>
      <c r="B294" s="252"/>
      <c r="C294" s="243"/>
      <c r="D294" s="252"/>
      <c r="E294" s="243"/>
      <c r="F294" s="243"/>
      <c r="G294" s="243"/>
      <c r="H294" s="243"/>
      <c r="I294" s="243"/>
      <c r="J294" s="243"/>
      <c r="K294" s="243"/>
      <c r="L294" s="243"/>
      <c r="M294" s="243"/>
      <c r="N294" s="243"/>
      <c r="O294" s="243"/>
      <c r="P294" s="243"/>
      <c r="Q294" s="243"/>
      <c r="R294" s="243"/>
      <c r="S294" s="243"/>
      <c r="T294" s="243"/>
      <c r="U294" s="243"/>
      <c r="V294" s="243"/>
      <c r="W294" s="243"/>
      <c r="X294" s="243"/>
      <c r="Y294" s="243"/>
      <c r="Z294" s="243"/>
      <c r="AA294" s="243"/>
      <c r="AB294" s="243"/>
      <c r="AC294" s="243"/>
      <c r="AD294" s="243"/>
    </row>
    <row r="295" ht="33.75" customHeight="1">
      <c r="A295" s="252"/>
      <c r="B295" s="252"/>
      <c r="C295" s="243"/>
      <c r="D295" s="252"/>
      <c r="E295" s="243"/>
      <c r="F295" s="243"/>
      <c r="G295" s="243"/>
      <c r="H295" s="243"/>
      <c r="I295" s="243"/>
      <c r="J295" s="243"/>
      <c r="K295" s="243"/>
      <c r="L295" s="243"/>
      <c r="M295" s="243"/>
      <c r="N295" s="243"/>
      <c r="O295" s="243"/>
      <c r="P295" s="243"/>
      <c r="Q295" s="243"/>
      <c r="R295" s="243"/>
      <c r="S295" s="243"/>
      <c r="T295" s="243"/>
      <c r="U295" s="243"/>
      <c r="V295" s="243"/>
      <c r="W295" s="243"/>
      <c r="X295" s="243"/>
      <c r="Y295" s="243"/>
      <c r="Z295" s="243"/>
      <c r="AA295" s="243"/>
      <c r="AB295" s="243"/>
      <c r="AC295" s="243"/>
      <c r="AD295" s="243"/>
    </row>
    <row r="296" ht="33.75" customHeight="1">
      <c r="A296" s="252"/>
      <c r="B296" s="252"/>
      <c r="C296" s="243"/>
      <c r="D296" s="252"/>
      <c r="E296" s="243"/>
      <c r="F296" s="243"/>
      <c r="G296" s="243"/>
      <c r="H296" s="243"/>
      <c r="I296" s="243"/>
      <c r="J296" s="243"/>
      <c r="K296" s="243"/>
      <c r="L296" s="243"/>
      <c r="M296" s="243"/>
      <c r="N296" s="243"/>
      <c r="O296" s="243"/>
      <c r="P296" s="243"/>
      <c r="Q296" s="243"/>
      <c r="R296" s="243"/>
      <c r="S296" s="243"/>
      <c r="T296" s="243"/>
      <c r="U296" s="243"/>
      <c r="V296" s="243"/>
      <c r="W296" s="243"/>
      <c r="X296" s="243"/>
      <c r="Y296" s="243"/>
      <c r="Z296" s="243"/>
      <c r="AA296" s="243"/>
      <c r="AB296" s="243"/>
      <c r="AC296" s="243"/>
      <c r="AD296" s="243"/>
    </row>
    <row r="297" ht="33.75" customHeight="1">
      <c r="A297" s="252"/>
      <c r="B297" s="252"/>
      <c r="C297" s="243"/>
      <c r="D297" s="252"/>
      <c r="E297" s="243"/>
      <c r="F297" s="243"/>
      <c r="G297" s="243"/>
      <c r="H297" s="243"/>
      <c r="I297" s="243"/>
      <c r="J297" s="243"/>
      <c r="K297" s="243"/>
      <c r="L297" s="243"/>
      <c r="M297" s="243"/>
      <c r="N297" s="243"/>
      <c r="O297" s="243"/>
      <c r="P297" s="243"/>
      <c r="Q297" s="243"/>
      <c r="R297" s="243"/>
      <c r="S297" s="243"/>
      <c r="T297" s="243"/>
      <c r="U297" s="243"/>
      <c r="V297" s="243"/>
      <c r="W297" s="243"/>
      <c r="X297" s="243"/>
      <c r="Y297" s="243"/>
      <c r="Z297" s="243"/>
      <c r="AA297" s="243"/>
      <c r="AB297" s="243"/>
      <c r="AC297" s="243"/>
      <c r="AD297" s="243"/>
    </row>
    <row r="298" ht="33.75" customHeight="1">
      <c r="A298" s="252"/>
      <c r="B298" s="252"/>
      <c r="C298" s="243"/>
      <c r="D298" s="252"/>
      <c r="E298" s="243"/>
      <c r="F298" s="243"/>
      <c r="G298" s="243"/>
      <c r="H298" s="243"/>
      <c r="I298" s="243"/>
      <c r="J298" s="243"/>
      <c r="K298" s="243"/>
      <c r="L298" s="243"/>
      <c r="M298" s="243"/>
      <c r="N298" s="243"/>
      <c r="O298" s="243"/>
      <c r="P298" s="243"/>
      <c r="Q298" s="243"/>
      <c r="R298" s="243"/>
      <c r="S298" s="243"/>
      <c r="T298" s="243"/>
      <c r="U298" s="243"/>
      <c r="V298" s="243"/>
      <c r="W298" s="243"/>
      <c r="X298" s="243"/>
      <c r="Y298" s="243"/>
      <c r="Z298" s="243"/>
      <c r="AA298" s="243"/>
      <c r="AB298" s="243"/>
      <c r="AC298" s="243"/>
      <c r="AD298" s="243"/>
    </row>
    <row r="299" ht="33.75" customHeight="1">
      <c r="A299" s="252"/>
      <c r="B299" s="252"/>
      <c r="C299" s="243"/>
      <c r="D299" s="252"/>
      <c r="E299" s="243"/>
      <c r="F299" s="243"/>
      <c r="G299" s="243"/>
      <c r="H299" s="243"/>
      <c r="I299" s="243"/>
      <c r="J299" s="243"/>
      <c r="K299" s="243"/>
      <c r="L299" s="243"/>
      <c r="M299" s="243"/>
      <c r="N299" s="243"/>
      <c r="O299" s="243"/>
      <c r="P299" s="243"/>
      <c r="Q299" s="243"/>
      <c r="R299" s="243"/>
      <c r="S299" s="243"/>
      <c r="T299" s="243"/>
      <c r="U299" s="243"/>
      <c r="V299" s="243"/>
      <c r="W299" s="243"/>
      <c r="X299" s="243"/>
      <c r="Y299" s="243"/>
      <c r="Z299" s="243"/>
      <c r="AA299" s="243"/>
      <c r="AB299" s="243"/>
      <c r="AC299" s="243"/>
      <c r="AD299" s="243"/>
    </row>
    <row r="300" ht="33.75" customHeight="1">
      <c r="A300" s="252"/>
      <c r="B300" s="252"/>
      <c r="C300" s="243"/>
      <c r="D300" s="252"/>
      <c r="E300" s="243"/>
      <c r="F300" s="243"/>
      <c r="G300" s="243"/>
      <c r="H300" s="243"/>
      <c r="I300" s="243"/>
      <c r="J300" s="243"/>
      <c r="K300" s="243"/>
      <c r="L300" s="243"/>
      <c r="M300" s="243"/>
      <c r="N300" s="243"/>
      <c r="O300" s="243"/>
      <c r="P300" s="243"/>
      <c r="Q300" s="243"/>
      <c r="R300" s="243"/>
      <c r="S300" s="243"/>
      <c r="T300" s="243"/>
      <c r="U300" s="243"/>
      <c r="V300" s="243"/>
      <c r="W300" s="243"/>
      <c r="X300" s="243"/>
      <c r="Y300" s="243"/>
      <c r="Z300" s="243"/>
      <c r="AA300" s="243"/>
      <c r="AB300" s="243"/>
      <c r="AC300" s="243"/>
      <c r="AD300" s="243"/>
    </row>
    <row r="301" ht="33.75" customHeight="1">
      <c r="A301" s="252"/>
      <c r="B301" s="252"/>
      <c r="C301" s="243"/>
      <c r="D301" s="252"/>
      <c r="E301" s="243"/>
      <c r="F301" s="243"/>
      <c r="G301" s="243"/>
      <c r="H301" s="243"/>
      <c r="I301" s="243"/>
      <c r="J301" s="243"/>
      <c r="K301" s="243"/>
      <c r="L301" s="243"/>
      <c r="M301" s="243"/>
      <c r="N301" s="243"/>
      <c r="O301" s="243"/>
      <c r="P301" s="243"/>
      <c r="Q301" s="243"/>
      <c r="R301" s="243"/>
      <c r="S301" s="243"/>
      <c r="T301" s="243"/>
      <c r="U301" s="243"/>
      <c r="V301" s="243"/>
      <c r="W301" s="243"/>
      <c r="X301" s="243"/>
      <c r="Y301" s="243"/>
      <c r="Z301" s="243"/>
      <c r="AA301" s="243"/>
      <c r="AB301" s="243"/>
      <c r="AC301" s="243"/>
      <c r="AD301" s="243"/>
    </row>
    <row r="302" ht="33.75" customHeight="1">
      <c r="A302" s="252"/>
      <c r="B302" s="252"/>
      <c r="C302" s="243"/>
      <c r="D302" s="252"/>
      <c r="E302" s="243"/>
      <c r="F302" s="243"/>
      <c r="G302" s="243"/>
      <c r="H302" s="243"/>
      <c r="I302" s="243"/>
      <c r="J302" s="243"/>
      <c r="K302" s="243"/>
      <c r="L302" s="243"/>
      <c r="M302" s="243"/>
      <c r="N302" s="243"/>
      <c r="O302" s="243"/>
      <c r="P302" s="243"/>
      <c r="Q302" s="243"/>
      <c r="R302" s="243"/>
      <c r="S302" s="243"/>
      <c r="T302" s="243"/>
      <c r="U302" s="243"/>
      <c r="V302" s="243"/>
      <c r="W302" s="243"/>
      <c r="X302" s="243"/>
      <c r="Y302" s="243"/>
      <c r="Z302" s="243"/>
      <c r="AA302" s="243"/>
      <c r="AB302" s="243"/>
      <c r="AC302" s="243"/>
      <c r="AD302" s="243"/>
    </row>
    <row r="303" ht="33.75" customHeight="1">
      <c r="A303" s="252"/>
      <c r="B303" s="252"/>
      <c r="C303" s="243"/>
      <c r="D303" s="252"/>
      <c r="E303" s="243"/>
      <c r="F303" s="243"/>
      <c r="G303" s="243"/>
      <c r="H303" s="243"/>
      <c r="I303" s="243"/>
      <c r="J303" s="243"/>
      <c r="K303" s="243"/>
      <c r="L303" s="243"/>
      <c r="M303" s="243"/>
      <c r="N303" s="243"/>
      <c r="O303" s="243"/>
      <c r="P303" s="243"/>
      <c r="Q303" s="243"/>
      <c r="R303" s="243"/>
      <c r="S303" s="243"/>
      <c r="T303" s="243"/>
      <c r="U303" s="243"/>
      <c r="V303" s="243"/>
      <c r="W303" s="243"/>
      <c r="X303" s="243"/>
      <c r="Y303" s="243"/>
      <c r="Z303" s="243"/>
      <c r="AA303" s="243"/>
      <c r="AB303" s="243"/>
      <c r="AC303" s="243"/>
      <c r="AD303" s="243"/>
    </row>
    <row r="304" ht="33.75" customHeight="1">
      <c r="A304" s="252"/>
      <c r="B304" s="252"/>
      <c r="C304" s="243"/>
      <c r="D304" s="252"/>
      <c r="E304" s="243"/>
      <c r="F304" s="243"/>
      <c r="G304" s="243"/>
      <c r="H304" s="243"/>
      <c r="I304" s="243"/>
      <c r="J304" s="243"/>
      <c r="K304" s="243"/>
      <c r="L304" s="243"/>
      <c r="M304" s="243"/>
      <c r="N304" s="243"/>
      <c r="O304" s="243"/>
      <c r="P304" s="243"/>
      <c r="Q304" s="243"/>
      <c r="R304" s="243"/>
      <c r="S304" s="243"/>
      <c r="T304" s="243"/>
      <c r="U304" s="243"/>
      <c r="V304" s="243"/>
      <c r="W304" s="243"/>
      <c r="X304" s="243"/>
      <c r="Y304" s="243"/>
      <c r="Z304" s="243"/>
      <c r="AA304" s="243"/>
      <c r="AB304" s="243"/>
      <c r="AC304" s="243"/>
      <c r="AD304" s="243"/>
    </row>
    <row r="305" ht="33.75" customHeight="1">
      <c r="A305" s="252"/>
      <c r="B305" s="252"/>
      <c r="C305" s="243"/>
      <c r="D305" s="252"/>
      <c r="E305" s="243"/>
      <c r="F305" s="243"/>
      <c r="G305" s="243"/>
      <c r="H305" s="243"/>
      <c r="I305" s="243"/>
      <c r="J305" s="243"/>
      <c r="K305" s="243"/>
      <c r="L305" s="243"/>
      <c r="M305" s="243"/>
      <c r="N305" s="243"/>
      <c r="O305" s="243"/>
      <c r="P305" s="243"/>
      <c r="Q305" s="243"/>
      <c r="R305" s="243"/>
      <c r="S305" s="243"/>
      <c r="T305" s="243"/>
      <c r="U305" s="243"/>
      <c r="V305" s="243"/>
      <c r="W305" s="243"/>
      <c r="X305" s="243"/>
      <c r="Y305" s="243"/>
      <c r="Z305" s="243"/>
      <c r="AA305" s="243"/>
      <c r="AB305" s="243"/>
      <c r="AC305" s="243"/>
      <c r="AD305" s="243"/>
    </row>
    <row r="306" ht="33.75" customHeight="1">
      <c r="A306" s="252"/>
      <c r="B306" s="252"/>
      <c r="C306" s="243"/>
      <c r="D306" s="252"/>
      <c r="E306" s="243"/>
      <c r="F306" s="243"/>
      <c r="G306" s="243"/>
      <c r="H306" s="243"/>
      <c r="I306" s="243"/>
      <c r="J306" s="243"/>
      <c r="K306" s="243"/>
      <c r="L306" s="243"/>
      <c r="M306" s="243"/>
      <c r="N306" s="243"/>
      <c r="O306" s="243"/>
      <c r="P306" s="243"/>
      <c r="Q306" s="243"/>
      <c r="R306" s="243"/>
      <c r="S306" s="243"/>
      <c r="T306" s="243"/>
      <c r="U306" s="243"/>
      <c r="V306" s="243"/>
      <c r="W306" s="243"/>
      <c r="X306" s="243"/>
      <c r="Y306" s="243"/>
      <c r="Z306" s="243"/>
      <c r="AA306" s="243"/>
      <c r="AB306" s="243"/>
      <c r="AC306" s="243"/>
      <c r="AD306" s="243"/>
    </row>
    <row r="307" ht="33.75" customHeight="1">
      <c r="A307" s="252"/>
      <c r="B307" s="252"/>
      <c r="C307" s="243"/>
      <c r="D307" s="252"/>
      <c r="E307" s="243"/>
      <c r="F307" s="243"/>
      <c r="G307" s="243"/>
      <c r="H307" s="243"/>
      <c r="I307" s="243"/>
      <c r="J307" s="243"/>
      <c r="K307" s="243"/>
      <c r="L307" s="243"/>
      <c r="M307" s="243"/>
      <c r="N307" s="243"/>
      <c r="O307" s="243"/>
      <c r="P307" s="243"/>
      <c r="Q307" s="243"/>
      <c r="R307" s="243"/>
      <c r="S307" s="243"/>
      <c r="T307" s="243"/>
      <c r="U307" s="243"/>
      <c r="V307" s="243"/>
      <c r="W307" s="243"/>
      <c r="X307" s="243"/>
      <c r="Y307" s="243"/>
      <c r="Z307" s="243"/>
      <c r="AA307" s="243"/>
      <c r="AB307" s="243"/>
      <c r="AC307" s="243"/>
      <c r="AD307" s="243"/>
    </row>
    <row r="308" ht="33.75" customHeight="1">
      <c r="A308" s="252"/>
      <c r="B308" s="252"/>
      <c r="C308" s="243"/>
      <c r="D308" s="252"/>
      <c r="E308" s="243"/>
      <c r="F308" s="243"/>
      <c r="G308" s="243"/>
      <c r="H308" s="243"/>
      <c r="I308" s="243"/>
      <c r="J308" s="243"/>
      <c r="K308" s="243"/>
      <c r="L308" s="243"/>
      <c r="M308" s="243"/>
      <c r="N308" s="243"/>
      <c r="O308" s="243"/>
      <c r="P308" s="243"/>
      <c r="Q308" s="243"/>
      <c r="R308" s="243"/>
      <c r="S308" s="243"/>
      <c r="T308" s="243"/>
      <c r="U308" s="243"/>
      <c r="V308" s="243"/>
      <c r="W308" s="243"/>
      <c r="X308" s="243"/>
      <c r="Y308" s="243"/>
      <c r="Z308" s="243"/>
      <c r="AA308" s="243"/>
      <c r="AB308" s="243"/>
      <c r="AC308" s="243"/>
      <c r="AD308" s="243"/>
    </row>
    <row r="309" ht="33.75" customHeight="1">
      <c r="A309" s="252"/>
      <c r="B309" s="252"/>
      <c r="C309" s="243"/>
      <c r="D309" s="252"/>
      <c r="E309" s="243"/>
      <c r="F309" s="243"/>
      <c r="G309" s="243"/>
      <c r="H309" s="243"/>
      <c r="I309" s="243"/>
      <c r="J309" s="243"/>
      <c r="K309" s="243"/>
      <c r="L309" s="243"/>
      <c r="M309" s="243"/>
      <c r="N309" s="243"/>
      <c r="O309" s="243"/>
      <c r="P309" s="243"/>
      <c r="Q309" s="243"/>
      <c r="R309" s="243"/>
      <c r="S309" s="243"/>
      <c r="T309" s="243"/>
      <c r="U309" s="243"/>
      <c r="V309" s="243"/>
      <c r="W309" s="243"/>
      <c r="X309" s="243"/>
      <c r="Y309" s="243"/>
      <c r="Z309" s="243"/>
      <c r="AA309" s="243"/>
      <c r="AB309" s="243"/>
      <c r="AC309" s="243"/>
      <c r="AD309" s="243"/>
    </row>
    <row r="310" ht="33.75" customHeight="1">
      <c r="A310" s="252"/>
      <c r="B310" s="252"/>
      <c r="C310" s="243"/>
      <c r="D310" s="252"/>
      <c r="E310" s="243"/>
      <c r="F310" s="243"/>
      <c r="G310" s="243"/>
      <c r="H310" s="243"/>
      <c r="I310" s="243"/>
      <c r="J310" s="243"/>
      <c r="K310" s="243"/>
      <c r="L310" s="243"/>
      <c r="M310" s="243"/>
      <c r="N310" s="243"/>
      <c r="O310" s="243"/>
      <c r="P310" s="243"/>
      <c r="Q310" s="243"/>
      <c r="R310" s="243"/>
      <c r="S310" s="243"/>
      <c r="T310" s="243"/>
      <c r="U310" s="243"/>
      <c r="V310" s="243"/>
      <c r="W310" s="243"/>
      <c r="X310" s="243"/>
      <c r="Y310" s="243"/>
      <c r="Z310" s="243"/>
      <c r="AA310" s="243"/>
      <c r="AB310" s="243"/>
      <c r="AC310" s="243"/>
      <c r="AD310" s="243"/>
    </row>
    <row r="311" ht="33.75" customHeight="1">
      <c r="A311" s="252"/>
      <c r="B311" s="252"/>
      <c r="C311" s="243"/>
      <c r="D311" s="252"/>
      <c r="E311" s="243"/>
      <c r="F311" s="243"/>
      <c r="G311" s="243"/>
      <c r="H311" s="243"/>
      <c r="I311" s="243"/>
      <c r="J311" s="243"/>
      <c r="K311" s="243"/>
      <c r="L311" s="243"/>
      <c r="M311" s="243"/>
      <c r="N311" s="243"/>
      <c r="O311" s="243"/>
      <c r="P311" s="243"/>
      <c r="Q311" s="243"/>
      <c r="R311" s="243"/>
      <c r="S311" s="243"/>
      <c r="T311" s="243"/>
      <c r="U311" s="243"/>
      <c r="V311" s="243"/>
      <c r="W311" s="243"/>
      <c r="X311" s="243"/>
      <c r="Y311" s="243"/>
      <c r="Z311" s="243"/>
      <c r="AA311" s="243"/>
      <c r="AB311" s="243"/>
      <c r="AC311" s="243"/>
      <c r="AD311" s="243"/>
    </row>
    <row r="312" ht="33.75" customHeight="1">
      <c r="A312" s="252"/>
      <c r="B312" s="252"/>
      <c r="C312" s="243"/>
      <c r="D312" s="252"/>
      <c r="E312" s="243"/>
      <c r="F312" s="243"/>
      <c r="G312" s="243"/>
      <c r="H312" s="243"/>
      <c r="I312" s="243"/>
      <c r="J312" s="243"/>
      <c r="K312" s="243"/>
      <c r="L312" s="243"/>
      <c r="M312" s="243"/>
      <c r="N312" s="243"/>
      <c r="O312" s="243"/>
      <c r="P312" s="243"/>
      <c r="Q312" s="243"/>
      <c r="R312" s="243"/>
      <c r="S312" s="243"/>
      <c r="T312" s="243"/>
      <c r="U312" s="243"/>
      <c r="V312" s="243"/>
      <c r="W312" s="243"/>
      <c r="X312" s="243"/>
      <c r="Y312" s="243"/>
      <c r="Z312" s="243"/>
      <c r="AA312" s="243"/>
      <c r="AB312" s="243"/>
      <c r="AC312" s="243"/>
      <c r="AD312" s="243"/>
    </row>
    <row r="313" ht="33.75" customHeight="1">
      <c r="A313" s="252"/>
      <c r="B313" s="252"/>
      <c r="C313" s="243"/>
      <c r="D313" s="252"/>
      <c r="E313" s="243"/>
      <c r="F313" s="243"/>
      <c r="G313" s="243"/>
      <c r="H313" s="243"/>
      <c r="I313" s="243"/>
      <c r="J313" s="243"/>
      <c r="K313" s="243"/>
      <c r="L313" s="243"/>
      <c r="M313" s="243"/>
      <c r="N313" s="243"/>
      <c r="O313" s="243"/>
      <c r="P313" s="243"/>
      <c r="Q313" s="243"/>
      <c r="R313" s="243"/>
      <c r="S313" s="243"/>
      <c r="T313" s="243"/>
      <c r="U313" s="243"/>
      <c r="V313" s="243"/>
      <c r="W313" s="243"/>
      <c r="X313" s="243"/>
      <c r="Y313" s="243"/>
      <c r="Z313" s="243"/>
      <c r="AA313" s="243"/>
      <c r="AB313" s="243"/>
      <c r="AC313" s="243"/>
      <c r="AD313" s="243"/>
    </row>
    <row r="314" ht="33.75" customHeight="1">
      <c r="A314" s="252"/>
      <c r="B314" s="252"/>
      <c r="C314" s="243"/>
      <c r="D314" s="252"/>
      <c r="E314" s="243"/>
      <c r="F314" s="243"/>
      <c r="G314" s="243"/>
      <c r="H314" s="243"/>
      <c r="I314" s="243"/>
      <c r="J314" s="243"/>
      <c r="K314" s="243"/>
      <c r="L314" s="243"/>
      <c r="M314" s="243"/>
      <c r="N314" s="243"/>
      <c r="O314" s="243"/>
      <c r="P314" s="243"/>
      <c r="Q314" s="243"/>
      <c r="R314" s="243"/>
      <c r="S314" s="243"/>
      <c r="T314" s="243"/>
      <c r="U314" s="243"/>
      <c r="V314" s="243"/>
      <c r="W314" s="243"/>
      <c r="X314" s="243"/>
      <c r="Y314" s="243"/>
      <c r="Z314" s="243"/>
      <c r="AA314" s="243"/>
      <c r="AB314" s="243"/>
      <c r="AC314" s="243"/>
      <c r="AD314" s="243"/>
    </row>
    <row r="315" ht="33.75" customHeight="1">
      <c r="A315" s="252"/>
      <c r="B315" s="252"/>
      <c r="C315" s="243"/>
      <c r="D315" s="252"/>
      <c r="E315" s="243"/>
      <c r="F315" s="243"/>
      <c r="G315" s="243"/>
      <c r="H315" s="243"/>
      <c r="I315" s="243"/>
      <c r="J315" s="243"/>
      <c r="K315" s="243"/>
      <c r="L315" s="243"/>
      <c r="M315" s="243"/>
      <c r="N315" s="243"/>
      <c r="O315" s="243"/>
      <c r="P315" s="243"/>
      <c r="Q315" s="243"/>
      <c r="R315" s="243"/>
      <c r="S315" s="243"/>
      <c r="T315" s="243"/>
      <c r="U315" s="243"/>
      <c r="V315" s="243"/>
      <c r="W315" s="243"/>
      <c r="X315" s="243"/>
      <c r="Y315" s="243"/>
      <c r="Z315" s="243"/>
      <c r="AA315" s="243"/>
      <c r="AB315" s="243"/>
      <c r="AC315" s="243"/>
      <c r="AD315" s="243"/>
    </row>
    <row r="316" ht="33.75" customHeight="1">
      <c r="A316" s="252"/>
      <c r="B316" s="252"/>
      <c r="C316" s="243"/>
      <c r="D316" s="252"/>
      <c r="E316" s="243"/>
      <c r="F316" s="243"/>
      <c r="G316" s="243"/>
      <c r="H316" s="243"/>
      <c r="I316" s="243"/>
      <c r="J316" s="243"/>
      <c r="K316" s="243"/>
      <c r="L316" s="243"/>
      <c r="M316" s="243"/>
      <c r="N316" s="243"/>
      <c r="O316" s="243"/>
      <c r="P316" s="243"/>
      <c r="Q316" s="243"/>
      <c r="R316" s="243"/>
      <c r="S316" s="243"/>
      <c r="T316" s="243"/>
      <c r="U316" s="243"/>
      <c r="V316" s="243"/>
      <c r="W316" s="243"/>
      <c r="X316" s="243"/>
      <c r="Y316" s="243"/>
      <c r="Z316" s="243"/>
      <c r="AA316" s="243"/>
      <c r="AB316" s="243"/>
      <c r="AC316" s="243"/>
      <c r="AD316" s="243"/>
    </row>
    <row r="317" ht="33.75" customHeight="1">
      <c r="A317" s="252"/>
      <c r="B317" s="252"/>
      <c r="C317" s="243"/>
      <c r="D317" s="252"/>
      <c r="E317" s="243"/>
      <c r="F317" s="243"/>
      <c r="G317" s="243"/>
      <c r="H317" s="243"/>
      <c r="I317" s="243"/>
      <c r="J317" s="243"/>
      <c r="K317" s="243"/>
      <c r="L317" s="243"/>
      <c r="M317" s="243"/>
      <c r="N317" s="243"/>
      <c r="O317" s="243"/>
      <c r="P317" s="243"/>
      <c r="Q317" s="243"/>
      <c r="R317" s="243"/>
      <c r="S317" s="243"/>
      <c r="T317" s="243"/>
      <c r="U317" s="243"/>
      <c r="V317" s="243"/>
      <c r="W317" s="243"/>
      <c r="X317" s="243"/>
      <c r="Y317" s="243"/>
      <c r="Z317" s="243"/>
      <c r="AA317" s="243"/>
      <c r="AB317" s="243"/>
      <c r="AC317" s="243"/>
      <c r="AD317" s="243"/>
    </row>
    <row r="318" ht="33.75" customHeight="1">
      <c r="A318" s="252"/>
      <c r="B318" s="252"/>
      <c r="C318" s="243"/>
      <c r="D318" s="252"/>
      <c r="E318" s="243"/>
      <c r="F318" s="243"/>
      <c r="G318" s="243"/>
      <c r="H318" s="243"/>
      <c r="I318" s="243"/>
      <c r="J318" s="243"/>
      <c r="K318" s="243"/>
      <c r="L318" s="243"/>
      <c r="M318" s="243"/>
      <c r="N318" s="243"/>
      <c r="O318" s="243"/>
      <c r="P318" s="243"/>
      <c r="Q318" s="243"/>
      <c r="R318" s="243"/>
      <c r="S318" s="243"/>
      <c r="T318" s="243"/>
      <c r="U318" s="243"/>
      <c r="V318" s="243"/>
      <c r="W318" s="243"/>
      <c r="X318" s="243"/>
      <c r="Y318" s="243"/>
      <c r="Z318" s="243"/>
      <c r="AA318" s="243"/>
      <c r="AB318" s="243"/>
      <c r="AC318" s="243"/>
      <c r="AD318" s="243"/>
    </row>
    <row r="319" ht="33.75" customHeight="1">
      <c r="A319" s="252"/>
      <c r="B319" s="252"/>
      <c r="C319" s="243"/>
      <c r="D319" s="252"/>
      <c r="E319" s="243"/>
      <c r="F319" s="243"/>
      <c r="G319" s="243"/>
      <c r="H319" s="243"/>
      <c r="I319" s="243"/>
      <c r="J319" s="243"/>
      <c r="K319" s="243"/>
      <c r="L319" s="243"/>
      <c r="M319" s="243"/>
      <c r="N319" s="243"/>
      <c r="O319" s="243"/>
      <c r="P319" s="243"/>
      <c r="Q319" s="243"/>
      <c r="R319" s="243"/>
      <c r="S319" s="243"/>
      <c r="T319" s="243"/>
      <c r="U319" s="243"/>
      <c r="V319" s="243"/>
      <c r="W319" s="243"/>
      <c r="X319" s="243"/>
      <c r="Y319" s="243"/>
      <c r="Z319" s="243"/>
      <c r="AA319" s="243"/>
      <c r="AB319" s="243"/>
      <c r="AC319" s="243"/>
      <c r="AD319" s="243"/>
    </row>
    <row r="320" ht="33.75" customHeight="1">
      <c r="A320" s="252"/>
      <c r="B320" s="252"/>
      <c r="C320" s="243"/>
      <c r="D320" s="252"/>
      <c r="E320" s="243"/>
      <c r="F320" s="243"/>
      <c r="G320" s="243"/>
      <c r="H320" s="243"/>
      <c r="I320" s="243"/>
      <c r="J320" s="243"/>
      <c r="K320" s="243"/>
      <c r="L320" s="243"/>
      <c r="M320" s="243"/>
      <c r="N320" s="243"/>
      <c r="O320" s="243"/>
      <c r="P320" s="243"/>
      <c r="Q320" s="243"/>
      <c r="R320" s="243"/>
      <c r="S320" s="243"/>
      <c r="T320" s="243"/>
      <c r="U320" s="243"/>
      <c r="V320" s="243"/>
      <c r="W320" s="243"/>
      <c r="X320" s="243"/>
      <c r="Y320" s="243"/>
      <c r="Z320" s="243"/>
      <c r="AA320" s="243"/>
      <c r="AB320" s="243"/>
      <c r="AC320" s="243"/>
      <c r="AD320" s="243"/>
    </row>
    <row r="321" ht="33.75" customHeight="1">
      <c r="A321" s="252"/>
      <c r="B321" s="252"/>
      <c r="C321" s="243"/>
      <c r="D321" s="252"/>
      <c r="E321" s="243"/>
      <c r="F321" s="243"/>
      <c r="G321" s="243"/>
      <c r="H321" s="243"/>
      <c r="I321" s="243"/>
      <c r="J321" s="243"/>
      <c r="K321" s="243"/>
      <c r="L321" s="243"/>
      <c r="M321" s="243"/>
      <c r="N321" s="243"/>
      <c r="O321" s="243"/>
      <c r="P321" s="243"/>
      <c r="Q321" s="243"/>
      <c r="R321" s="243"/>
      <c r="S321" s="243"/>
      <c r="T321" s="243"/>
      <c r="U321" s="243"/>
      <c r="V321" s="243"/>
      <c r="W321" s="243"/>
      <c r="X321" s="243"/>
      <c r="Y321" s="243"/>
      <c r="Z321" s="243"/>
      <c r="AA321" s="243"/>
      <c r="AB321" s="243"/>
      <c r="AC321" s="243"/>
      <c r="AD321" s="243"/>
    </row>
    <row r="322" ht="33.75" customHeight="1">
      <c r="A322" s="252"/>
      <c r="B322" s="252"/>
      <c r="C322" s="243"/>
      <c r="D322" s="252"/>
      <c r="E322" s="243"/>
      <c r="F322" s="243"/>
      <c r="G322" s="243"/>
      <c r="H322" s="243"/>
      <c r="I322" s="243"/>
      <c r="J322" s="243"/>
      <c r="K322" s="243"/>
      <c r="L322" s="243"/>
      <c r="M322" s="243"/>
      <c r="N322" s="243"/>
      <c r="O322" s="243"/>
      <c r="P322" s="243"/>
      <c r="Q322" s="243"/>
      <c r="R322" s="243"/>
      <c r="S322" s="243"/>
      <c r="T322" s="243"/>
      <c r="U322" s="243"/>
      <c r="V322" s="243"/>
      <c r="W322" s="243"/>
      <c r="X322" s="243"/>
      <c r="Y322" s="243"/>
      <c r="Z322" s="243"/>
      <c r="AA322" s="243"/>
      <c r="AB322" s="243"/>
      <c r="AC322" s="243"/>
      <c r="AD322" s="243"/>
    </row>
    <row r="323" ht="33.75" customHeight="1">
      <c r="A323" s="252"/>
      <c r="B323" s="252"/>
      <c r="C323" s="243"/>
      <c r="D323" s="252"/>
      <c r="E323" s="243"/>
      <c r="F323" s="243"/>
      <c r="G323" s="243"/>
      <c r="H323" s="243"/>
      <c r="I323" s="243"/>
      <c r="J323" s="243"/>
      <c r="K323" s="243"/>
      <c r="L323" s="243"/>
      <c r="M323" s="243"/>
      <c r="N323" s="243"/>
      <c r="O323" s="243"/>
      <c r="P323" s="243"/>
      <c r="Q323" s="243"/>
      <c r="R323" s="243"/>
      <c r="S323" s="243"/>
      <c r="T323" s="243"/>
      <c r="U323" s="243"/>
      <c r="V323" s="243"/>
      <c r="W323" s="243"/>
      <c r="X323" s="243"/>
      <c r="Y323" s="243"/>
      <c r="Z323" s="243"/>
      <c r="AA323" s="243"/>
      <c r="AB323" s="243"/>
      <c r="AC323" s="243"/>
      <c r="AD323" s="243"/>
    </row>
    <row r="324" ht="33.75" customHeight="1">
      <c r="A324" s="252"/>
      <c r="B324" s="252"/>
      <c r="C324" s="243"/>
      <c r="D324" s="252"/>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243"/>
      <c r="AA324" s="243"/>
      <c r="AB324" s="243"/>
      <c r="AC324" s="243"/>
      <c r="AD324" s="243"/>
    </row>
    <row r="325" ht="33.75" customHeight="1">
      <c r="A325" s="252"/>
      <c r="B325" s="252"/>
      <c r="C325" s="243"/>
      <c r="D325" s="252"/>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243"/>
      <c r="AA325" s="243"/>
      <c r="AB325" s="243"/>
      <c r="AC325" s="243"/>
      <c r="AD325" s="243"/>
    </row>
    <row r="326" ht="33.75" customHeight="1">
      <c r="A326" s="252"/>
      <c r="B326" s="252"/>
      <c r="C326" s="243"/>
      <c r="D326" s="252"/>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243"/>
      <c r="AA326" s="243"/>
      <c r="AB326" s="243"/>
      <c r="AC326" s="243"/>
      <c r="AD326" s="243"/>
    </row>
    <row r="327" ht="33.75" customHeight="1">
      <c r="A327" s="252"/>
      <c r="B327" s="252"/>
      <c r="C327" s="243"/>
      <c r="D327" s="252"/>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243"/>
      <c r="AA327" s="243"/>
      <c r="AB327" s="243"/>
      <c r="AC327" s="243"/>
      <c r="AD327" s="243"/>
    </row>
    <row r="328" ht="33.75" customHeight="1">
      <c r="A328" s="252"/>
      <c r="B328" s="252"/>
      <c r="C328" s="243"/>
      <c r="D328" s="252"/>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243"/>
      <c r="AA328" s="243"/>
      <c r="AB328" s="243"/>
      <c r="AC328" s="243"/>
      <c r="AD328" s="243"/>
    </row>
    <row r="329" ht="33.75" customHeight="1">
      <c r="A329" s="252"/>
      <c r="B329" s="252"/>
      <c r="C329" s="243"/>
      <c r="D329" s="252"/>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243"/>
      <c r="AA329" s="243"/>
      <c r="AB329" s="243"/>
      <c r="AC329" s="243"/>
      <c r="AD329" s="243"/>
    </row>
    <row r="330" ht="33.75" customHeight="1">
      <c r="A330" s="252"/>
      <c r="B330" s="252"/>
      <c r="C330" s="243"/>
      <c r="D330" s="252"/>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243"/>
      <c r="AA330" s="243"/>
      <c r="AB330" s="243"/>
      <c r="AC330" s="243"/>
      <c r="AD330" s="243"/>
    </row>
    <row r="331" ht="33.75" customHeight="1">
      <c r="A331" s="252"/>
      <c r="B331" s="252"/>
      <c r="C331" s="243"/>
      <c r="D331" s="252"/>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243"/>
      <c r="AA331" s="243"/>
      <c r="AB331" s="243"/>
      <c r="AC331" s="243"/>
      <c r="AD331" s="243"/>
    </row>
    <row r="332" ht="33.75" customHeight="1">
      <c r="A332" s="252"/>
      <c r="B332" s="252"/>
      <c r="C332" s="243"/>
      <c r="D332" s="252"/>
      <c r="E332" s="243"/>
      <c r="F332" s="243"/>
      <c r="G332" s="243"/>
      <c r="H332" s="243"/>
      <c r="I332" s="243"/>
      <c r="J332" s="243"/>
      <c r="K332" s="243"/>
      <c r="L332" s="243"/>
      <c r="M332" s="243"/>
      <c r="N332" s="243"/>
      <c r="O332" s="243"/>
      <c r="P332" s="243"/>
      <c r="Q332" s="243"/>
      <c r="R332" s="243"/>
      <c r="S332" s="243"/>
      <c r="T332" s="243"/>
      <c r="U332" s="243"/>
      <c r="V332" s="243"/>
      <c r="W332" s="243"/>
      <c r="X332" s="243"/>
      <c r="Y332" s="243"/>
      <c r="Z332" s="243"/>
      <c r="AA332" s="243"/>
      <c r="AB332" s="243"/>
      <c r="AC332" s="243"/>
      <c r="AD332" s="243"/>
    </row>
    <row r="333" ht="33.75" customHeight="1">
      <c r="A333" s="252"/>
      <c r="B333" s="252"/>
      <c r="C333" s="243"/>
      <c r="D333" s="252"/>
      <c r="E333" s="243"/>
      <c r="F333" s="243"/>
      <c r="G333" s="243"/>
      <c r="H333" s="243"/>
      <c r="I333" s="243"/>
      <c r="J333" s="243"/>
      <c r="K333" s="243"/>
      <c r="L333" s="243"/>
      <c r="M333" s="243"/>
      <c r="N333" s="243"/>
      <c r="O333" s="243"/>
      <c r="P333" s="243"/>
      <c r="Q333" s="243"/>
      <c r="R333" s="243"/>
      <c r="S333" s="243"/>
      <c r="T333" s="243"/>
      <c r="U333" s="243"/>
      <c r="V333" s="243"/>
      <c r="W333" s="243"/>
      <c r="X333" s="243"/>
      <c r="Y333" s="243"/>
      <c r="Z333" s="243"/>
      <c r="AA333" s="243"/>
      <c r="AB333" s="243"/>
      <c r="AC333" s="243"/>
      <c r="AD333" s="243"/>
    </row>
    <row r="334" ht="33.75" customHeight="1">
      <c r="A334" s="252"/>
      <c r="B334" s="252"/>
      <c r="C334" s="243"/>
      <c r="D334" s="252"/>
      <c r="E334" s="243"/>
      <c r="F334" s="243"/>
      <c r="G334" s="243"/>
      <c r="H334" s="243"/>
      <c r="I334" s="243"/>
      <c r="J334" s="243"/>
      <c r="K334" s="243"/>
      <c r="L334" s="243"/>
      <c r="M334" s="243"/>
      <c r="N334" s="243"/>
      <c r="O334" s="243"/>
      <c r="P334" s="243"/>
      <c r="Q334" s="243"/>
      <c r="R334" s="243"/>
      <c r="S334" s="243"/>
      <c r="T334" s="243"/>
      <c r="U334" s="243"/>
      <c r="V334" s="243"/>
      <c r="W334" s="243"/>
      <c r="X334" s="243"/>
      <c r="Y334" s="243"/>
      <c r="Z334" s="243"/>
      <c r="AA334" s="243"/>
      <c r="AB334" s="243"/>
      <c r="AC334" s="243"/>
      <c r="AD334" s="243"/>
    </row>
    <row r="335" ht="33.75" customHeight="1">
      <c r="A335" s="252"/>
      <c r="B335" s="252"/>
      <c r="C335" s="243"/>
      <c r="D335" s="252"/>
      <c r="E335" s="243"/>
      <c r="F335" s="243"/>
      <c r="G335" s="243"/>
      <c r="H335" s="243"/>
      <c r="I335" s="243"/>
      <c r="J335" s="243"/>
      <c r="K335" s="243"/>
      <c r="L335" s="243"/>
      <c r="M335" s="243"/>
      <c r="N335" s="243"/>
      <c r="O335" s="243"/>
      <c r="P335" s="243"/>
      <c r="Q335" s="243"/>
      <c r="R335" s="243"/>
      <c r="S335" s="243"/>
      <c r="T335" s="243"/>
      <c r="U335" s="243"/>
      <c r="V335" s="243"/>
      <c r="W335" s="243"/>
      <c r="X335" s="243"/>
      <c r="Y335" s="243"/>
      <c r="Z335" s="243"/>
      <c r="AA335" s="243"/>
      <c r="AB335" s="243"/>
      <c r="AC335" s="243"/>
      <c r="AD335" s="243"/>
    </row>
    <row r="336" ht="33.75" customHeight="1">
      <c r="A336" s="252"/>
      <c r="B336" s="252"/>
      <c r="C336" s="243"/>
      <c r="D336" s="252"/>
      <c r="E336" s="243"/>
      <c r="F336" s="243"/>
      <c r="G336" s="243"/>
      <c r="H336" s="243"/>
      <c r="I336" s="243"/>
      <c r="J336" s="243"/>
      <c r="K336" s="243"/>
      <c r="L336" s="243"/>
      <c r="M336" s="243"/>
      <c r="N336" s="243"/>
      <c r="O336" s="243"/>
      <c r="P336" s="243"/>
      <c r="Q336" s="243"/>
      <c r="R336" s="243"/>
      <c r="S336" s="243"/>
      <c r="T336" s="243"/>
      <c r="U336" s="243"/>
      <c r="V336" s="243"/>
      <c r="W336" s="243"/>
      <c r="X336" s="243"/>
      <c r="Y336" s="243"/>
      <c r="Z336" s="243"/>
      <c r="AA336" s="243"/>
      <c r="AB336" s="243"/>
      <c r="AC336" s="243"/>
      <c r="AD336" s="243"/>
    </row>
    <row r="337" ht="33.75" customHeight="1">
      <c r="A337" s="252"/>
      <c r="B337" s="252"/>
      <c r="C337" s="243"/>
      <c r="D337" s="252"/>
      <c r="E337" s="243"/>
      <c r="F337" s="243"/>
      <c r="G337" s="243"/>
      <c r="H337" s="243"/>
      <c r="I337" s="243"/>
      <c r="J337" s="243"/>
      <c r="K337" s="243"/>
      <c r="L337" s="243"/>
      <c r="M337" s="243"/>
      <c r="N337" s="243"/>
      <c r="O337" s="243"/>
      <c r="P337" s="243"/>
      <c r="Q337" s="243"/>
      <c r="R337" s="243"/>
      <c r="S337" s="243"/>
      <c r="T337" s="243"/>
      <c r="U337" s="243"/>
      <c r="V337" s="243"/>
      <c r="W337" s="243"/>
      <c r="X337" s="243"/>
      <c r="Y337" s="243"/>
      <c r="Z337" s="243"/>
      <c r="AA337" s="243"/>
      <c r="AB337" s="243"/>
      <c r="AC337" s="243"/>
      <c r="AD337" s="243"/>
    </row>
    <row r="338" ht="33.75" customHeight="1">
      <c r="A338" s="252"/>
      <c r="B338" s="252"/>
      <c r="C338" s="243"/>
      <c r="D338" s="252"/>
      <c r="E338" s="243"/>
      <c r="F338" s="243"/>
      <c r="G338" s="243"/>
      <c r="H338" s="243"/>
      <c r="I338" s="243"/>
      <c r="J338" s="243"/>
      <c r="K338" s="243"/>
      <c r="L338" s="243"/>
      <c r="M338" s="243"/>
      <c r="N338" s="243"/>
      <c r="O338" s="243"/>
      <c r="P338" s="243"/>
      <c r="Q338" s="243"/>
      <c r="R338" s="243"/>
      <c r="S338" s="243"/>
      <c r="T338" s="243"/>
      <c r="U338" s="243"/>
      <c r="V338" s="243"/>
      <c r="W338" s="243"/>
      <c r="X338" s="243"/>
      <c r="Y338" s="243"/>
      <c r="Z338" s="243"/>
      <c r="AA338" s="243"/>
      <c r="AB338" s="243"/>
      <c r="AC338" s="243"/>
      <c r="AD338" s="243"/>
    </row>
    <row r="339" ht="33.75" customHeight="1">
      <c r="A339" s="252"/>
      <c r="B339" s="252"/>
      <c r="C339" s="243"/>
      <c r="D339" s="252"/>
      <c r="E339" s="243"/>
      <c r="F339" s="243"/>
      <c r="G339" s="243"/>
      <c r="H339" s="243"/>
      <c r="I339" s="243"/>
      <c r="J339" s="243"/>
      <c r="K339" s="243"/>
      <c r="L339" s="243"/>
      <c r="M339" s="243"/>
      <c r="N339" s="243"/>
      <c r="O339" s="243"/>
      <c r="P339" s="243"/>
      <c r="Q339" s="243"/>
      <c r="R339" s="243"/>
      <c r="S339" s="243"/>
      <c r="T339" s="243"/>
      <c r="U339" s="243"/>
      <c r="V339" s="243"/>
      <c r="W339" s="243"/>
      <c r="X339" s="243"/>
      <c r="Y339" s="243"/>
      <c r="Z339" s="243"/>
      <c r="AA339" s="243"/>
      <c r="AB339" s="243"/>
      <c r="AC339" s="243"/>
      <c r="AD339" s="243"/>
    </row>
    <row r="340" ht="33.75" customHeight="1">
      <c r="A340" s="252"/>
      <c r="B340" s="252"/>
      <c r="C340" s="243"/>
      <c r="D340" s="252"/>
      <c r="E340" s="243"/>
      <c r="F340" s="243"/>
      <c r="G340" s="243"/>
      <c r="H340" s="243"/>
      <c r="I340" s="243"/>
      <c r="J340" s="243"/>
      <c r="K340" s="243"/>
      <c r="L340" s="243"/>
      <c r="M340" s="243"/>
      <c r="N340" s="243"/>
      <c r="O340" s="243"/>
      <c r="P340" s="243"/>
      <c r="Q340" s="243"/>
      <c r="R340" s="243"/>
      <c r="S340" s="243"/>
      <c r="T340" s="243"/>
      <c r="U340" s="243"/>
      <c r="V340" s="243"/>
      <c r="W340" s="243"/>
      <c r="X340" s="243"/>
      <c r="Y340" s="243"/>
      <c r="Z340" s="243"/>
      <c r="AA340" s="243"/>
      <c r="AB340" s="243"/>
      <c r="AC340" s="243"/>
      <c r="AD340" s="243"/>
    </row>
    <row r="341" ht="33.75" customHeight="1">
      <c r="A341" s="252"/>
      <c r="B341" s="252"/>
      <c r="C341" s="243"/>
      <c r="D341" s="252"/>
      <c r="E341" s="243"/>
      <c r="F341" s="243"/>
      <c r="G341" s="243"/>
      <c r="H341" s="243"/>
      <c r="I341" s="243"/>
      <c r="J341" s="243"/>
      <c r="K341" s="243"/>
      <c r="L341" s="243"/>
      <c r="M341" s="243"/>
      <c r="N341" s="243"/>
      <c r="O341" s="243"/>
      <c r="P341" s="243"/>
      <c r="Q341" s="243"/>
      <c r="R341" s="243"/>
      <c r="S341" s="243"/>
      <c r="T341" s="243"/>
      <c r="U341" s="243"/>
      <c r="V341" s="243"/>
      <c r="W341" s="243"/>
      <c r="X341" s="243"/>
      <c r="Y341" s="243"/>
      <c r="Z341" s="243"/>
      <c r="AA341" s="243"/>
      <c r="AB341" s="243"/>
      <c r="AC341" s="243"/>
      <c r="AD341" s="243"/>
    </row>
    <row r="342" ht="33.75" customHeight="1">
      <c r="A342" s="252"/>
      <c r="B342" s="252"/>
      <c r="C342" s="243"/>
      <c r="D342" s="252"/>
      <c r="E342" s="243"/>
      <c r="F342" s="243"/>
      <c r="G342" s="243"/>
      <c r="H342" s="243"/>
      <c r="I342" s="243"/>
      <c r="J342" s="243"/>
      <c r="K342" s="243"/>
      <c r="L342" s="243"/>
      <c r="M342" s="243"/>
      <c r="N342" s="243"/>
      <c r="O342" s="243"/>
      <c r="P342" s="243"/>
      <c r="Q342" s="243"/>
      <c r="R342" s="243"/>
      <c r="S342" s="243"/>
      <c r="T342" s="243"/>
      <c r="U342" s="243"/>
      <c r="V342" s="243"/>
      <c r="W342" s="243"/>
      <c r="X342" s="243"/>
      <c r="Y342" s="243"/>
      <c r="Z342" s="243"/>
      <c r="AA342" s="243"/>
      <c r="AB342" s="243"/>
      <c r="AC342" s="243"/>
      <c r="AD342" s="243"/>
    </row>
    <row r="343" ht="33.75" customHeight="1">
      <c r="A343" s="252"/>
      <c r="B343" s="252"/>
      <c r="C343" s="243"/>
      <c r="D343" s="252"/>
      <c r="E343" s="243"/>
      <c r="F343" s="243"/>
      <c r="G343" s="243"/>
      <c r="H343" s="243"/>
      <c r="I343" s="243"/>
      <c r="J343" s="243"/>
      <c r="K343" s="243"/>
      <c r="L343" s="243"/>
      <c r="M343" s="243"/>
      <c r="N343" s="243"/>
      <c r="O343" s="243"/>
      <c r="P343" s="243"/>
      <c r="Q343" s="243"/>
      <c r="R343" s="243"/>
      <c r="S343" s="243"/>
      <c r="T343" s="243"/>
      <c r="U343" s="243"/>
      <c r="V343" s="243"/>
      <c r="W343" s="243"/>
      <c r="X343" s="243"/>
      <c r="Y343" s="243"/>
      <c r="Z343" s="243"/>
      <c r="AA343" s="243"/>
      <c r="AB343" s="243"/>
      <c r="AC343" s="243"/>
      <c r="AD343" s="243"/>
    </row>
    <row r="344" ht="33.75" customHeight="1">
      <c r="A344" s="252"/>
      <c r="B344" s="252"/>
      <c r="C344" s="243"/>
      <c r="D344" s="252"/>
      <c r="E344" s="243"/>
      <c r="F344" s="243"/>
      <c r="G344" s="243"/>
      <c r="H344" s="243"/>
      <c r="I344" s="243"/>
      <c r="J344" s="243"/>
      <c r="K344" s="243"/>
      <c r="L344" s="243"/>
      <c r="M344" s="243"/>
      <c r="N344" s="243"/>
      <c r="O344" s="243"/>
      <c r="P344" s="243"/>
      <c r="Q344" s="243"/>
      <c r="R344" s="243"/>
      <c r="S344" s="243"/>
      <c r="T344" s="243"/>
      <c r="U344" s="243"/>
      <c r="V344" s="243"/>
      <c r="W344" s="243"/>
      <c r="X344" s="243"/>
      <c r="Y344" s="243"/>
      <c r="Z344" s="243"/>
      <c r="AA344" s="243"/>
      <c r="AB344" s="243"/>
      <c r="AC344" s="243"/>
      <c r="AD344" s="243"/>
    </row>
    <row r="345" ht="33.75" customHeight="1">
      <c r="A345" s="252"/>
      <c r="B345" s="252"/>
      <c r="C345" s="243"/>
      <c r="D345" s="252"/>
      <c r="E345" s="243"/>
      <c r="F345" s="243"/>
      <c r="G345" s="243"/>
      <c r="H345" s="243"/>
      <c r="I345" s="243"/>
      <c r="J345" s="243"/>
      <c r="K345" s="243"/>
      <c r="L345" s="243"/>
      <c r="M345" s="243"/>
      <c r="N345" s="243"/>
      <c r="O345" s="243"/>
      <c r="P345" s="243"/>
      <c r="Q345" s="243"/>
      <c r="R345" s="243"/>
      <c r="S345" s="243"/>
      <c r="T345" s="243"/>
      <c r="U345" s="243"/>
      <c r="V345" s="243"/>
      <c r="W345" s="243"/>
      <c r="X345" s="243"/>
      <c r="Y345" s="243"/>
      <c r="Z345" s="243"/>
      <c r="AA345" s="243"/>
      <c r="AB345" s="243"/>
      <c r="AC345" s="243"/>
      <c r="AD345" s="243"/>
    </row>
    <row r="346" ht="33.75" customHeight="1">
      <c r="A346" s="252"/>
      <c r="B346" s="252"/>
      <c r="C346" s="243"/>
      <c r="D346" s="252"/>
      <c r="E346" s="243"/>
      <c r="F346" s="243"/>
      <c r="G346" s="243"/>
      <c r="H346" s="243"/>
      <c r="I346" s="243"/>
      <c r="J346" s="243"/>
      <c r="K346" s="243"/>
      <c r="L346" s="243"/>
      <c r="M346" s="243"/>
      <c r="N346" s="243"/>
      <c r="O346" s="243"/>
      <c r="P346" s="243"/>
      <c r="Q346" s="243"/>
      <c r="R346" s="243"/>
      <c r="S346" s="243"/>
      <c r="T346" s="243"/>
      <c r="U346" s="243"/>
      <c r="V346" s="243"/>
      <c r="W346" s="243"/>
      <c r="X346" s="243"/>
      <c r="Y346" s="243"/>
      <c r="Z346" s="243"/>
      <c r="AA346" s="243"/>
      <c r="AB346" s="243"/>
      <c r="AC346" s="243"/>
      <c r="AD346" s="243"/>
    </row>
    <row r="347" ht="33.75" customHeight="1">
      <c r="A347" s="252"/>
      <c r="B347" s="252"/>
      <c r="C347" s="243"/>
      <c r="D347" s="252"/>
      <c r="E347" s="243"/>
      <c r="F347" s="243"/>
      <c r="G347" s="243"/>
      <c r="H347" s="243"/>
      <c r="I347" s="243"/>
      <c r="J347" s="243"/>
      <c r="K347" s="243"/>
      <c r="L347" s="243"/>
      <c r="M347" s="243"/>
      <c r="N347" s="243"/>
      <c r="O347" s="243"/>
      <c r="P347" s="243"/>
      <c r="Q347" s="243"/>
      <c r="R347" s="243"/>
      <c r="S347" s="243"/>
      <c r="T347" s="243"/>
      <c r="U347" s="243"/>
      <c r="V347" s="243"/>
      <c r="W347" s="243"/>
      <c r="X347" s="243"/>
      <c r="Y347" s="243"/>
      <c r="Z347" s="243"/>
      <c r="AA347" s="243"/>
      <c r="AB347" s="243"/>
      <c r="AC347" s="243"/>
      <c r="AD347" s="243"/>
    </row>
    <row r="348" ht="33.75" customHeight="1">
      <c r="A348" s="252"/>
      <c r="B348" s="252"/>
      <c r="C348" s="243"/>
      <c r="D348" s="252"/>
      <c r="E348" s="243"/>
      <c r="F348" s="243"/>
      <c r="G348" s="243"/>
      <c r="H348" s="243"/>
      <c r="I348" s="243"/>
      <c r="J348" s="243"/>
      <c r="K348" s="243"/>
      <c r="L348" s="243"/>
      <c r="M348" s="243"/>
      <c r="N348" s="243"/>
      <c r="O348" s="243"/>
      <c r="P348" s="243"/>
      <c r="Q348" s="243"/>
      <c r="R348" s="243"/>
      <c r="S348" s="243"/>
      <c r="T348" s="243"/>
      <c r="U348" s="243"/>
      <c r="V348" s="243"/>
      <c r="W348" s="243"/>
      <c r="X348" s="243"/>
      <c r="Y348" s="243"/>
      <c r="Z348" s="243"/>
      <c r="AA348" s="243"/>
      <c r="AB348" s="243"/>
      <c r="AC348" s="243"/>
      <c r="AD348" s="243"/>
    </row>
    <row r="349" ht="33.75" customHeight="1">
      <c r="A349" s="252"/>
      <c r="B349" s="252"/>
      <c r="C349" s="243"/>
      <c r="D349" s="252"/>
      <c r="E349" s="243"/>
      <c r="F349" s="243"/>
      <c r="G349" s="243"/>
      <c r="H349" s="243"/>
      <c r="I349" s="243"/>
      <c r="J349" s="243"/>
      <c r="K349" s="243"/>
      <c r="L349" s="243"/>
      <c r="M349" s="243"/>
      <c r="N349" s="243"/>
      <c r="O349" s="243"/>
      <c r="P349" s="243"/>
      <c r="Q349" s="243"/>
      <c r="R349" s="243"/>
      <c r="S349" s="243"/>
      <c r="T349" s="243"/>
      <c r="U349" s="243"/>
      <c r="V349" s="243"/>
      <c r="W349" s="243"/>
      <c r="X349" s="243"/>
      <c r="Y349" s="243"/>
      <c r="Z349" s="243"/>
      <c r="AA349" s="243"/>
      <c r="AB349" s="243"/>
      <c r="AC349" s="243"/>
      <c r="AD349" s="243"/>
    </row>
    <row r="350" ht="33.75" customHeight="1">
      <c r="A350" s="252"/>
      <c r="B350" s="252"/>
      <c r="C350" s="243"/>
      <c r="D350" s="252"/>
      <c r="E350" s="243"/>
      <c r="F350" s="243"/>
      <c r="G350" s="243"/>
      <c r="H350" s="243"/>
      <c r="I350" s="243"/>
      <c r="J350" s="243"/>
      <c r="K350" s="243"/>
      <c r="L350" s="243"/>
      <c r="M350" s="243"/>
      <c r="N350" s="243"/>
      <c r="O350" s="243"/>
      <c r="P350" s="243"/>
      <c r="Q350" s="243"/>
      <c r="R350" s="243"/>
      <c r="S350" s="243"/>
      <c r="T350" s="243"/>
      <c r="U350" s="243"/>
      <c r="V350" s="243"/>
      <c r="W350" s="243"/>
      <c r="X350" s="243"/>
      <c r="Y350" s="243"/>
      <c r="Z350" s="243"/>
      <c r="AA350" s="243"/>
      <c r="AB350" s="243"/>
      <c r="AC350" s="243"/>
      <c r="AD350" s="243"/>
    </row>
    <row r="351" ht="33.75" customHeight="1">
      <c r="A351" s="252"/>
      <c r="B351" s="252"/>
      <c r="C351" s="243"/>
      <c r="D351" s="252"/>
      <c r="E351" s="243"/>
      <c r="F351" s="243"/>
      <c r="G351" s="243"/>
      <c r="H351" s="243"/>
      <c r="I351" s="243"/>
      <c r="J351" s="243"/>
      <c r="K351" s="243"/>
      <c r="L351" s="243"/>
      <c r="M351" s="243"/>
      <c r="N351" s="243"/>
      <c r="O351" s="243"/>
      <c r="P351" s="243"/>
      <c r="Q351" s="243"/>
      <c r="R351" s="243"/>
      <c r="S351" s="243"/>
      <c r="T351" s="243"/>
      <c r="U351" s="243"/>
      <c r="V351" s="243"/>
      <c r="W351" s="243"/>
      <c r="X351" s="243"/>
      <c r="Y351" s="243"/>
      <c r="Z351" s="243"/>
      <c r="AA351" s="243"/>
      <c r="AB351" s="243"/>
      <c r="AC351" s="243"/>
      <c r="AD351" s="243"/>
    </row>
    <row r="352" ht="33.75" customHeight="1">
      <c r="A352" s="252"/>
      <c r="B352" s="252"/>
      <c r="C352" s="243"/>
      <c r="D352" s="252"/>
      <c r="E352" s="243"/>
      <c r="F352" s="243"/>
      <c r="G352" s="243"/>
      <c r="H352" s="243"/>
      <c r="I352" s="243"/>
      <c r="J352" s="243"/>
      <c r="K352" s="243"/>
      <c r="L352" s="243"/>
      <c r="M352" s="243"/>
      <c r="N352" s="243"/>
      <c r="O352" s="243"/>
      <c r="P352" s="243"/>
      <c r="Q352" s="243"/>
      <c r="R352" s="243"/>
      <c r="S352" s="243"/>
      <c r="T352" s="243"/>
      <c r="U352" s="243"/>
      <c r="V352" s="243"/>
      <c r="W352" s="243"/>
      <c r="X352" s="243"/>
      <c r="Y352" s="243"/>
      <c r="Z352" s="243"/>
      <c r="AA352" s="243"/>
      <c r="AB352" s="243"/>
      <c r="AC352" s="243"/>
      <c r="AD352" s="243"/>
    </row>
    <row r="353" ht="33.75" customHeight="1">
      <c r="A353" s="252"/>
      <c r="B353" s="252"/>
      <c r="C353" s="243"/>
      <c r="D353" s="252"/>
      <c r="E353" s="243"/>
      <c r="F353" s="243"/>
      <c r="G353" s="243"/>
      <c r="H353" s="243"/>
      <c r="I353" s="243"/>
      <c r="J353" s="243"/>
      <c r="K353" s="243"/>
      <c r="L353" s="243"/>
      <c r="M353" s="243"/>
      <c r="N353" s="243"/>
      <c r="O353" s="243"/>
      <c r="P353" s="243"/>
      <c r="Q353" s="243"/>
      <c r="R353" s="243"/>
      <c r="S353" s="243"/>
      <c r="T353" s="243"/>
      <c r="U353" s="243"/>
      <c r="V353" s="243"/>
      <c r="W353" s="243"/>
      <c r="X353" s="243"/>
      <c r="Y353" s="243"/>
      <c r="Z353" s="243"/>
      <c r="AA353" s="243"/>
      <c r="AB353" s="243"/>
      <c r="AC353" s="243"/>
      <c r="AD353" s="243"/>
    </row>
    <row r="354" ht="33.75" customHeight="1">
      <c r="A354" s="252"/>
      <c r="B354" s="252"/>
      <c r="C354" s="243"/>
      <c r="D354" s="252"/>
      <c r="E354" s="243"/>
      <c r="F354" s="243"/>
      <c r="G354" s="243"/>
      <c r="H354" s="243"/>
      <c r="I354" s="243"/>
      <c r="J354" s="243"/>
      <c r="K354" s="243"/>
      <c r="L354" s="243"/>
      <c r="M354" s="243"/>
      <c r="N354" s="243"/>
      <c r="O354" s="243"/>
      <c r="P354" s="243"/>
      <c r="Q354" s="243"/>
      <c r="R354" s="243"/>
      <c r="S354" s="243"/>
      <c r="T354" s="243"/>
      <c r="U354" s="243"/>
      <c r="V354" s="243"/>
      <c r="W354" s="243"/>
      <c r="X354" s="243"/>
      <c r="Y354" s="243"/>
      <c r="Z354" s="243"/>
      <c r="AA354" s="243"/>
      <c r="AB354" s="243"/>
      <c r="AC354" s="243"/>
      <c r="AD354" s="243"/>
    </row>
    <row r="355" ht="33.75" customHeight="1">
      <c r="A355" s="252"/>
      <c r="B355" s="252"/>
      <c r="C355" s="243"/>
      <c r="D355" s="252"/>
      <c r="E355" s="243"/>
      <c r="F355" s="243"/>
      <c r="G355" s="243"/>
      <c r="H355" s="243"/>
      <c r="I355" s="243"/>
      <c r="J355" s="243"/>
      <c r="K355" s="243"/>
      <c r="L355" s="243"/>
      <c r="M355" s="243"/>
      <c r="N355" s="243"/>
      <c r="O355" s="243"/>
      <c r="P355" s="243"/>
      <c r="Q355" s="243"/>
      <c r="R355" s="243"/>
      <c r="S355" s="243"/>
      <c r="T355" s="243"/>
      <c r="U355" s="243"/>
      <c r="V355" s="243"/>
      <c r="W355" s="243"/>
      <c r="X355" s="243"/>
      <c r="Y355" s="243"/>
      <c r="Z355" s="243"/>
      <c r="AA355" s="243"/>
      <c r="AB355" s="243"/>
      <c r="AC355" s="243"/>
      <c r="AD355" s="243"/>
    </row>
    <row r="356" ht="33.75" customHeight="1">
      <c r="A356" s="252"/>
      <c r="B356" s="252"/>
      <c r="C356" s="243"/>
      <c r="D356" s="252"/>
      <c r="E356" s="243"/>
      <c r="F356" s="243"/>
      <c r="G356" s="243"/>
      <c r="H356" s="243"/>
      <c r="I356" s="243"/>
      <c r="J356" s="243"/>
      <c r="K356" s="243"/>
      <c r="L356" s="243"/>
      <c r="M356" s="243"/>
      <c r="N356" s="243"/>
      <c r="O356" s="243"/>
      <c r="P356" s="243"/>
      <c r="Q356" s="243"/>
      <c r="R356" s="243"/>
      <c r="S356" s="243"/>
      <c r="T356" s="243"/>
      <c r="U356" s="243"/>
      <c r="V356" s="243"/>
      <c r="W356" s="243"/>
      <c r="X356" s="243"/>
      <c r="Y356" s="243"/>
      <c r="Z356" s="243"/>
      <c r="AA356" s="243"/>
      <c r="AB356" s="243"/>
      <c r="AC356" s="243"/>
      <c r="AD356" s="243"/>
    </row>
    <row r="357" ht="33.75" customHeight="1">
      <c r="A357" s="252"/>
      <c r="B357" s="252"/>
      <c r="C357" s="243"/>
      <c r="D357" s="252"/>
      <c r="E357" s="243"/>
      <c r="F357" s="243"/>
      <c r="G357" s="243"/>
      <c r="H357" s="243"/>
      <c r="I357" s="243"/>
      <c r="J357" s="243"/>
      <c r="K357" s="243"/>
      <c r="L357" s="243"/>
      <c r="M357" s="243"/>
      <c r="N357" s="243"/>
      <c r="O357" s="243"/>
      <c r="P357" s="243"/>
      <c r="Q357" s="243"/>
      <c r="R357" s="243"/>
      <c r="S357" s="243"/>
      <c r="T357" s="243"/>
      <c r="U357" s="243"/>
      <c r="V357" s="243"/>
      <c r="W357" s="243"/>
      <c r="X357" s="243"/>
      <c r="Y357" s="243"/>
      <c r="Z357" s="243"/>
      <c r="AA357" s="243"/>
      <c r="AB357" s="243"/>
      <c r="AC357" s="243"/>
      <c r="AD357" s="243"/>
    </row>
    <row r="358" ht="33.75" customHeight="1">
      <c r="A358" s="252"/>
      <c r="B358" s="252"/>
      <c r="C358" s="243"/>
      <c r="D358" s="252"/>
      <c r="E358" s="243"/>
      <c r="F358" s="243"/>
      <c r="G358" s="243"/>
      <c r="H358" s="243"/>
      <c r="I358" s="243"/>
      <c r="J358" s="243"/>
      <c r="K358" s="243"/>
      <c r="L358" s="243"/>
      <c r="M358" s="243"/>
      <c r="N358" s="243"/>
      <c r="O358" s="243"/>
      <c r="P358" s="243"/>
      <c r="Q358" s="243"/>
      <c r="R358" s="243"/>
      <c r="S358" s="243"/>
      <c r="T358" s="243"/>
      <c r="U358" s="243"/>
      <c r="V358" s="243"/>
      <c r="W358" s="243"/>
      <c r="X358" s="243"/>
      <c r="Y358" s="243"/>
      <c r="Z358" s="243"/>
      <c r="AA358" s="243"/>
      <c r="AB358" s="243"/>
      <c r="AC358" s="243"/>
      <c r="AD358" s="243"/>
    </row>
    <row r="359" ht="33.75" customHeight="1">
      <c r="A359" s="252"/>
      <c r="B359" s="252"/>
      <c r="C359" s="243"/>
      <c r="D359" s="252"/>
      <c r="E359" s="243"/>
      <c r="F359" s="243"/>
      <c r="G359" s="243"/>
      <c r="H359" s="243"/>
      <c r="I359" s="243"/>
      <c r="J359" s="243"/>
      <c r="K359" s="243"/>
      <c r="L359" s="243"/>
      <c r="M359" s="243"/>
      <c r="N359" s="243"/>
      <c r="O359" s="243"/>
      <c r="P359" s="243"/>
      <c r="Q359" s="243"/>
      <c r="R359" s="243"/>
      <c r="S359" s="243"/>
      <c r="T359" s="243"/>
      <c r="U359" s="243"/>
      <c r="V359" s="243"/>
      <c r="W359" s="243"/>
      <c r="X359" s="243"/>
      <c r="Y359" s="243"/>
      <c r="Z359" s="243"/>
      <c r="AA359" s="243"/>
      <c r="AB359" s="243"/>
      <c r="AC359" s="243"/>
      <c r="AD359" s="243"/>
    </row>
    <row r="360" ht="33.75" customHeight="1">
      <c r="A360" s="252"/>
      <c r="B360" s="252"/>
      <c r="C360" s="243"/>
      <c r="D360" s="252"/>
      <c r="E360" s="243"/>
      <c r="F360" s="243"/>
      <c r="G360" s="243"/>
      <c r="H360" s="243"/>
      <c r="I360" s="243"/>
      <c r="J360" s="243"/>
      <c r="K360" s="243"/>
      <c r="L360" s="243"/>
      <c r="M360" s="243"/>
      <c r="N360" s="243"/>
      <c r="O360" s="243"/>
      <c r="P360" s="243"/>
      <c r="Q360" s="243"/>
      <c r="R360" s="243"/>
      <c r="S360" s="243"/>
      <c r="T360" s="243"/>
      <c r="U360" s="243"/>
      <c r="V360" s="243"/>
      <c r="W360" s="243"/>
      <c r="X360" s="243"/>
      <c r="Y360" s="243"/>
      <c r="Z360" s="243"/>
      <c r="AA360" s="243"/>
      <c r="AB360" s="243"/>
      <c r="AC360" s="243"/>
      <c r="AD360" s="243"/>
    </row>
    <row r="361" ht="33.75" customHeight="1">
      <c r="A361" s="252"/>
      <c r="B361" s="252"/>
      <c r="C361" s="243"/>
      <c r="D361" s="252"/>
      <c r="E361" s="243"/>
      <c r="F361" s="243"/>
      <c r="G361" s="243"/>
      <c r="H361" s="243"/>
      <c r="I361" s="243"/>
      <c r="J361" s="243"/>
      <c r="K361" s="243"/>
      <c r="L361" s="243"/>
      <c r="M361" s="243"/>
      <c r="N361" s="243"/>
      <c r="O361" s="243"/>
      <c r="P361" s="243"/>
      <c r="Q361" s="243"/>
      <c r="R361" s="243"/>
      <c r="S361" s="243"/>
      <c r="T361" s="243"/>
      <c r="U361" s="243"/>
      <c r="V361" s="243"/>
      <c r="W361" s="243"/>
      <c r="X361" s="243"/>
      <c r="Y361" s="243"/>
      <c r="Z361" s="243"/>
      <c r="AA361" s="243"/>
      <c r="AB361" s="243"/>
      <c r="AC361" s="243"/>
      <c r="AD361" s="243"/>
    </row>
    <row r="362" ht="33.75" customHeight="1">
      <c r="A362" s="252"/>
      <c r="B362" s="252"/>
      <c r="C362" s="243"/>
      <c r="D362" s="252"/>
      <c r="E362" s="243"/>
      <c r="F362" s="243"/>
      <c r="G362" s="243"/>
      <c r="H362" s="243"/>
      <c r="I362" s="243"/>
      <c r="J362" s="243"/>
      <c r="K362" s="243"/>
      <c r="L362" s="243"/>
      <c r="M362" s="243"/>
      <c r="N362" s="243"/>
      <c r="O362" s="243"/>
      <c r="P362" s="243"/>
      <c r="Q362" s="243"/>
      <c r="R362" s="243"/>
      <c r="S362" s="243"/>
      <c r="T362" s="243"/>
      <c r="U362" s="243"/>
      <c r="V362" s="243"/>
      <c r="W362" s="243"/>
      <c r="X362" s="243"/>
      <c r="Y362" s="243"/>
      <c r="Z362" s="243"/>
      <c r="AA362" s="243"/>
      <c r="AB362" s="243"/>
      <c r="AC362" s="243"/>
      <c r="AD362" s="243"/>
    </row>
    <row r="363" ht="33.75" customHeight="1">
      <c r="A363" s="252"/>
      <c r="B363" s="252"/>
      <c r="C363" s="243"/>
      <c r="D363" s="252"/>
      <c r="E363" s="243"/>
      <c r="F363" s="243"/>
      <c r="G363" s="243"/>
      <c r="H363" s="243"/>
      <c r="I363" s="243"/>
      <c r="J363" s="243"/>
      <c r="K363" s="243"/>
      <c r="L363" s="243"/>
      <c r="M363" s="243"/>
      <c r="N363" s="243"/>
      <c r="O363" s="243"/>
      <c r="P363" s="243"/>
      <c r="Q363" s="243"/>
      <c r="R363" s="243"/>
      <c r="S363" s="243"/>
      <c r="T363" s="243"/>
      <c r="U363" s="243"/>
      <c r="V363" s="243"/>
      <c r="W363" s="243"/>
      <c r="X363" s="243"/>
      <c r="Y363" s="243"/>
      <c r="Z363" s="243"/>
      <c r="AA363" s="243"/>
      <c r="AB363" s="243"/>
      <c r="AC363" s="243"/>
      <c r="AD363" s="243"/>
    </row>
    <row r="364" ht="33.75" customHeight="1">
      <c r="A364" s="252"/>
      <c r="B364" s="252"/>
      <c r="C364" s="243"/>
      <c r="D364" s="252"/>
      <c r="E364" s="243"/>
      <c r="F364" s="243"/>
      <c r="G364" s="243"/>
      <c r="H364" s="243"/>
      <c r="I364" s="243"/>
      <c r="J364" s="243"/>
      <c r="K364" s="243"/>
      <c r="L364" s="243"/>
      <c r="M364" s="243"/>
      <c r="N364" s="243"/>
      <c r="O364" s="243"/>
      <c r="P364" s="243"/>
      <c r="Q364" s="243"/>
      <c r="R364" s="243"/>
      <c r="S364" s="243"/>
      <c r="T364" s="243"/>
      <c r="U364" s="243"/>
      <c r="V364" s="243"/>
      <c r="W364" s="243"/>
      <c r="X364" s="243"/>
      <c r="Y364" s="243"/>
      <c r="Z364" s="243"/>
      <c r="AA364" s="243"/>
      <c r="AB364" s="243"/>
      <c r="AC364" s="243"/>
      <c r="AD364" s="243"/>
    </row>
    <row r="365" ht="33.75" customHeight="1">
      <c r="A365" s="252"/>
      <c r="B365" s="252"/>
      <c r="C365" s="243"/>
      <c r="D365" s="252"/>
      <c r="E365" s="243"/>
      <c r="F365" s="243"/>
      <c r="G365" s="243"/>
      <c r="H365" s="243"/>
      <c r="I365" s="243"/>
      <c r="J365" s="243"/>
      <c r="K365" s="243"/>
      <c r="L365" s="243"/>
      <c r="M365" s="243"/>
      <c r="N365" s="243"/>
      <c r="O365" s="243"/>
      <c r="P365" s="243"/>
      <c r="Q365" s="243"/>
      <c r="R365" s="243"/>
      <c r="S365" s="243"/>
      <c r="T365" s="243"/>
      <c r="U365" s="243"/>
      <c r="V365" s="243"/>
      <c r="W365" s="243"/>
      <c r="X365" s="243"/>
      <c r="Y365" s="243"/>
      <c r="Z365" s="243"/>
      <c r="AA365" s="243"/>
      <c r="AB365" s="243"/>
      <c r="AC365" s="243"/>
      <c r="AD365" s="243"/>
    </row>
    <row r="366" ht="33.75" customHeight="1">
      <c r="A366" s="252"/>
      <c r="B366" s="252"/>
      <c r="C366" s="243"/>
      <c r="D366" s="252"/>
      <c r="E366" s="243"/>
      <c r="F366" s="243"/>
      <c r="G366" s="243"/>
      <c r="H366" s="243"/>
      <c r="I366" s="243"/>
      <c r="J366" s="243"/>
      <c r="K366" s="243"/>
      <c r="L366" s="243"/>
      <c r="M366" s="243"/>
      <c r="N366" s="243"/>
      <c r="O366" s="243"/>
      <c r="P366" s="243"/>
      <c r="Q366" s="243"/>
      <c r="R366" s="243"/>
      <c r="S366" s="243"/>
      <c r="T366" s="243"/>
      <c r="U366" s="243"/>
      <c r="V366" s="243"/>
      <c r="W366" s="243"/>
      <c r="X366" s="243"/>
      <c r="Y366" s="243"/>
      <c r="Z366" s="243"/>
      <c r="AA366" s="243"/>
      <c r="AB366" s="243"/>
      <c r="AC366" s="243"/>
      <c r="AD366" s="243"/>
    </row>
    <row r="367" ht="33.75" customHeight="1">
      <c r="A367" s="252"/>
      <c r="B367" s="252"/>
      <c r="C367" s="243"/>
      <c r="D367" s="252"/>
      <c r="E367" s="243"/>
      <c r="F367" s="243"/>
      <c r="G367" s="243"/>
      <c r="H367" s="243"/>
      <c r="I367" s="243"/>
      <c r="J367" s="243"/>
      <c r="K367" s="243"/>
      <c r="L367" s="243"/>
      <c r="M367" s="243"/>
      <c r="N367" s="243"/>
      <c r="O367" s="243"/>
      <c r="P367" s="243"/>
      <c r="Q367" s="243"/>
      <c r="R367" s="243"/>
      <c r="S367" s="243"/>
      <c r="T367" s="243"/>
      <c r="U367" s="243"/>
      <c r="V367" s="243"/>
      <c r="W367" s="243"/>
      <c r="X367" s="243"/>
      <c r="Y367" s="243"/>
      <c r="Z367" s="243"/>
      <c r="AA367" s="243"/>
      <c r="AB367" s="243"/>
      <c r="AC367" s="243"/>
      <c r="AD367" s="243"/>
    </row>
    <row r="368" ht="33.75" customHeight="1">
      <c r="A368" s="252"/>
      <c r="B368" s="252"/>
      <c r="C368" s="243"/>
      <c r="D368" s="252"/>
      <c r="E368" s="243"/>
      <c r="F368" s="243"/>
      <c r="G368" s="243"/>
      <c r="H368" s="243"/>
      <c r="I368" s="243"/>
      <c r="J368" s="243"/>
      <c r="K368" s="243"/>
      <c r="L368" s="243"/>
      <c r="M368" s="243"/>
      <c r="N368" s="243"/>
      <c r="O368" s="243"/>
      <c r="P368" s="243"/>
      <c r="Q368" s="243"/>
      <c r="R368" s="243"/>
      <c r="S368" s="243"/>
      <c r="T368" s="243"/>
      <c r="U368" s="243"/>
      <c r="V368" s="243"/>
      <c r="W368" s="243"/>
      <c r="X368" s="243"/>
      <c r="Y368" s="243"/>
      <c r="Z368" s="243"/>
      <c r="AA368" s="243"/>
      <c r="AB368" s="243"/>
      <c r="AC368" s="243"/>
      <c r="AD368" s="243"/>
    </row>
    <row r="369" ht="33.75" customHeight="1">
      <c r="A369" s="252"/>
      <c r="B369" s="252"/>
      <c r="C369" s="243"/>
      <c r="D369" s="252"/>
      <c r="E369" s="243"/>
      <c r="F369" s="243"/>
      <c r="G369" s="243"/>
      <c r="H369" s="243"/>
      <c r="I369" s="243"/>
      <c r="J369" s="243"/>
      <c r="K369" s="243"/>
      <c r="L369" s="243"/>
      <c r="M369" s="243"/>
      <c r="N369" s="243"/>
      <c r="O369" s="243"/>
      <c r="P369" s="243"/>
      <c r="Q369" s="243"/>
      <c r="R369" s="243"/>
      <c r="S369" s="243"/>
      <c r="T369" s="243"/>
      <c r="U369" s="243"/>
      <c r="V369" s="243"/>
      <c r="W369" s="243"/>
      <c r="X369" s="243"/>
      <c r="Y369" s="243"/>
      <c r="Z369" s="243"/>
      <c r="AA369" s="243"/>
      <c r="AB369" s="243"/>
      <c r="AC369" s="243"/>
      <c r="AD369" s="243"/>
    </row>
    <row r="370" ht="33.75" customHeight="1">
      <c r="A370" s="252"/>
      <c r="B370" s="252"/>
      <c r="C370" s="243"/>
      <c r="D370" s="252"/>
      <c r="E370" s="243"/>
      <c r="F370" s="243"/>
      <c r="G370" s="243"/>
      <c r="H370" s="243"/>
      <c r="I370" s="243"/>
      <c r="J370" s="243"/>
      <c r="K370" s="243"/>
      <c r="L370" s="243"/>
      <c r="M370" s="243"/>
      <c r="N370" s="243"/>
      <c r="O370" s="243"/>
      <c r="P370" s="243"/>
      <c r="Q370" s="243"/>
      <c r="R370" s="243"/>
      <c r="S370" s="243"/>
      <c r="T370" s="243"/>
      <c r="U370" s="243"/>
      <c r="V370" s="243"/>
      <c r="W370" s="243"/>
      <c r="X370" s="243"/>
      <c r="Y370" s="243"/>
      <c r="Z370" s="243"/>
      <c r="AA370" s="243"/>
      <c r="AB370" s="243"/>
      <c r="AC370" s="243"/>
      <c r="AD370" s="243"/>
    </row>
    <row r="371" ht="33.75" customHeight="1">
      <c r="A371" s="252"/>
      <c r="B371" s="252"/>
      <c r="C371" s="243"/>
      <c r="D371" s="252"/>
      <c r="E371" s="243"/>
      <c r="F371" s="243"/>
      <c r="G371" s="243"/>
      <c r="H371" s="243"/>
      <c r="I371" s="243"/>
      <c r="J371" s="243"/>
      <c r="K371" s="243"/>
      <c r="L371" s="243"/>
      <c r="M371" s="243"/>
      <c r="N371" s="243"/>
      <c r="O371" s="243"/>
      <c r="P371" s="243"/>
      <c r="Q371" s="243"/>
      <c r="R371" s="243"/>
      <c r="S371" s="243"/>
      <c r="T371" s="243"/>
      <c r="U371" s="243"/>
      <c r="V371" s="243"/>
      <c r="W371" s="243"/>
      <c r="X371" s="243"/>
      <c r="Y371" s="243"/>
      <c r="Z371" s="243"/>
      <c r="AA371" s="243"/>
      <c r="AB371" s="243"/>
      <c r="AC371" s="243"/>
      <c r="AD371" s="243"/>
    </row>
    <row r="372" ht="33.75" customHeight="1">
      <c r="A372" s="252"/>
      <c r="B372" s="252"/>
      <c r="C372" s="243"/>
      <c r="D372" s="252"/>
      <c r="E372" s="243"/>
      <c r="F372" s="243"/>
      <c r="G372" s="243"/>
      <c r="H372" s="243"/>
      <c r="I372" s="243"/>
      <c r="J372" s="243"/>
      <c r="K372" s="243"/>
      <c r="L372" s="243"/>
      <c r="M372" s="243"/>
      <c r="N372" s="243"/>
      <c r="O372" s="243"/>
      <c r="P372" s="243"/>
      <c r="Q372" s="243"/>
      <c r="R372" s="243"/>
      <c r="S372" s="243"/>
      <c r="T372" s="243"/>
      <c r="U372" s="243"/>
      <c r="V372" s="243"/>
      <c r="W372" s="243"/>
      <c r="X372" s="243"/>
      <c r="Y372" s="243"/>
      <c r="Z372" s="243"/>
      <c r="AA372" s="243"/>
      <c r="AB372" s="243"/>
      <c r="AC372" s="243"/>
      <c r="AD372" s="243"/>
    </row>
    <row r="373" ht="33.75" customHeight="1">
      <c r="A373" s="252"/>
      <c r="B373" s="252"/>
      <c r="C373" s="243"/>
      <c r="D373" s="252"/>
      <c r="E373" s="243"/>
      <c r="F373" s="243"/>
      <c r="G373" s="243"/>
      <c r="H373" s="243"/>
      <c r="I373" s="243"/>
      <c r="J373" s="243"/>
      <c r="K373" s="243"/>
      <c r="L373" s="243"/>
      <c r="M373" s="243"/>
      <c r="N373" s="243"/>
      <c r="O373" s="243"/>
      <c r="P373" s="243"/>
      <c r="Q373" s="243"/>
      <c r="R373" s="243"/>
      <c r="S373" s="243"/>
      <c r="T373" s="243"/>
      <c r="U373" s="243"/>
      <c r="V373" s="243"/>
      <c r="W373" s="243"/>
      <c r="X373" s="243"/>
      <c r="Y373" s="243"/>
      <c r="Z373" s="243"/>
      <c r="AA373" s="243"/>
      <c r="AB373" s="243"/>
      <c r="AC373" s="243"/>
      <c r="AD373" s="243"/>
    </row>
    <row r="374" ht="33.75" customHeight="1">
      <c r="A374" s="252"/>
      <c r="B374" s="252"/>
      <c r="C374" s="243"/>
      <c r="D374" s="252"/>
      <c r="E374" s="243"/>
      <c r="F374" s="243"/>
      <c r="G374" s="243"/>
      <c r="H374" s="243"/>
      <c r="I374" s="243"/>
      <c r="J374" s="243"/>
      <c r="K374" s="243"/>
      <c r="L374" s="243"/>
      <c r="M374" s="243"/>
      <c r="N374" s="243"/>
      <c r="O374" s="243"/>
      <c r="P374" s="243"/>
      <c r="Q374" s="243"/>
      <c r="R374" s="243"/>
      <c r="S374" s="243"/>
      <c r="T374" s="243"/>
      <c r="U374" s="243"/>
      <c r="V374" s="243"/>
      <c r="W374" s="243"/>
      <c r="X374" s="243"/>
      <c r="Y374" s="243"/>
      <c r="Z374" s="243"/>
      <c r="AA374" s="243"/>
      <c r="AB374" s="243"/>
      <c r="AC374" s="243"/>
      <c r="AD374" s="243"/>
    </row>
    <row r="375" ht="33.75" customHeight="1">
      <c r="A375" s="252"/>
      <c r="B375" s="252"/>
      <c r="C375" s="243"/>
      <c r="D375" s="252"/>
      <c r="E375" s="243"/>
      <c r="F375" s="243"/>
      <c r="G375" s="243"/>
      <c r="H375" s="243"/>
      <c r="I375" s="243"/>
      <c r="J375" s="243"/>
      <c r="K375" s="243"/>
      <c r="L375" s="243"/>
      <c r="M375" s="243"/>
      <c r="N375" s="243"/>
      <c r="O375" s="243"/>
      <c r="P375" s="243"/>
      <c r="Q375" s="243"/>
      <c r="R375" s="243"/>
      <c r="S375" s="243"/>
      <c r="T375" s="243"/>
      <c r="U375" s="243"/>
      <c r="V375" s="243"/>
      <c r="W375" s="243"/>
      <c r="X375" s="243"/>
      <c r="Y375" s="243"/>
      <c r="Z375" s="243"/>
      <c r="AA375" s="243"/>
      <c r="AB375" s="243"/>
      <c r="AC375" s="243"/>
      <c r="AD375" s="243"/>
    </row>
    <row r="376" ht="33.75" customHeight="1">
      <c r="A376" s="252"/>
      <c r="B376" s="252"/>
      <c r="C376" s="243"/>
      <c r="D376" s="252"/>
      <c r="E376" s="243"/>
      <c r="F376" s="243"/>
      <c r="G376" s="243"/>
      <c r="H376" s="243"/>
      <c r="I376" s="243"/>
      <c r="J376" s="243"/>
      <c r="K376" s="243"/>
      <c r="L376" s="243"/>
      <c r="M376" s="243"/>
      <c r="N376" s="243"/>
      <c r="O376" s="243"/>
      <c r="P376" s="243"/>
      <c r="Q376" s="243"/>
      <c r="R376" s="243"/>
      <c r="S376" s="243"/>
      <c r="T376" s="243"/>
      <c r="U376" s="243"/>
      <c r="V376" s="243"/>
      <c r="W376" s="243"/>
      <c r="X376" s="243"/>
      <c r="Y376" s="243"/>
      <c r="Z376" s="243"/>
      <c r="AA376" s="243"/>
      <c r="AB376" s="243"/>
      <c r="AC376" s="243"/>
      <c r="AD376" s="243"/>
    </row>
    <row r="377" ht="33.75" customHeight="1">
      <c r="A377" s="252"/>
      <c r="B377" s="252"/>
      <c r="C377" s="243"/>
      <c r="D377" s="252"/>
      <c r="E377" s="243"/>
      <c r="F377" s="243"/>
      <c r="G377" s="243"/>
      <c r="H377" s="243"/>
      <c r="I377" s="243"/>
      <c r="J377" s="243"/>
      <c r="K377" s="243"/>
      <c r="L377" s="243"/>
      <c r="M377" s="243"/>
      <c r="N377" s="243"/>
      <c r="O377" s="243"/>
      <c r="P377" s="243"/>
      <c r="Q377" s="243"/>
      <c r="R377" s="243"/>
      <c r="S377" s="243"/>
      <c r="T377" s="243"/>
      <c r="U377" s="243"/>
      <c r="V377" s="243"/>
      <c r="W377" s="243"/>
      <c r="X377" s="243"/>
      <c r="Y377" s="243"/>
      <c r="Z377" s="243"/>
      <c r="AA377" s="243"/>
      <c r="AB377" s="243"/>
      <c r="AC377" s="243"/>
      <c r="AD377" s="243"/>
    </row>
    <row r="378" ht="33.75" customHeight="1">
      <c r="A378" s="252"/>
      <c r="B378" s="252"/>
      <c r="C378" s="243"/>
      <c r="D378" s="252"/>
      <c r="E378" s="243"/>
      <c r="F378" s="243"/>
      <c r="G378" s="243"/>
      <c r="H378" s="243"/>
      <c r="I378" s="243"/>
      <c r="J378" s="243"/>
      <c r="K378" s="243"/>
      <c r="L378" s="243"/>
      <c r="M378" s="243"/>
      <c r="N378" s="243"/>
      <c r="O378" s="243"/>
      <c r="P378" s="243"/>
      <c r="Q378" s="243"/>
      <c r="R378" s="243"/>
      <c r="S378" s="243"/>
      <c r="T378" s="243"/>
      <c r="U378" s="243"/>
      <c r="V378" s="243"/>
      <c r="W378" s="243"/>
      <c r="X378" s="243"/>
      <c r="Y378" s="243"/>
      <c r="Z378" s="243"/>
      <c r="AA378" s="243"/>
      <c r="AB378" s="243"/>
      <c r="AC378" s="243"/>
      <c r="AD378" s="243"/>
    </row>
    <row r="379" ht="33.75" customHeight="1">
      <c r="A379" s="252"/>
      <c r="B379" s="252"/>
      <c r="C379" s="243"/>
      <c r="D379" s="252"/>
      <c r="E379" s="243"/>
      <c r="F379" s="243"/>
      <c r="G379" s="243"/>
      <c r="H379" s="243"/>
      <c r="I379" s="243"/>
      <c r="J379" s="243"/>
      <c r="K379" s="243"/>
      <c r="L379" s="243"/>
      <c r="M379" s="243"/>
      <c r="N379" s="243"/>
      <c r="O379" s="243"/>
      <c r="P379" s="243"/>
      <c r="Q379" s="243"/>
      <c r="R379" s="243"/>
      <c r="S379" s="243"/>
      <c r="T379" s="243"/>
      <c r="U379" s="243"/>
      <c r="V379" s="243"/>
      <c r="W379" s="243"/>
      <c r="X379" s="243"/>
      <c r="Y379" s="243"/>
      <c r="Z379" s="243"/>
      <c r="AA379" s="243"/>
      <c r="AB379" s="243"/>
      <c r="AC379" s="243"/>
      <c r="AD379" s="243"/>
    </row>
    <row r="380" ht="33.75" customHeight="1">
      <c r="A380" s="252"/>
      <c r="B380" s="252"/>
      <c r="C380" s="243"/>
      <c r="D380" s="252"/>
      <c r="E380" s="243"/>
      <c r="F380" s="243"/>
      <c r="G380" s="243"/>
      <c r="H380" s="243"/>
      <c r="I380" s="243"/>
      <c r="J380" s="243"/>
      <c r="K380" s="243"/>
      <c r="L380" s="243"/>
      <c r="M380" s="243"/>
      <c r="N380" s="243"/>
      <c r="O380" s="243"/>
      <c r="P380" s="243"/>
      <c r="Q380" s="243"/>
      <c r="R380" s="243"/>
      <c r="S380" s="243"/>
      <c r="T380" s="243"/>
      <c r="U380" s="243"/>
      <c r="V380" s="243"/>
      <c r="W380" s="243"/>
      <c r="X380" s="243"/>
      <c r="Y380" s="243"/>
      <c r="Z380" s="243"/>
      <c r="AA380" s="243"/>
      <c r="AB380" s="243"/>
      <c r="AC380" s="243"/>
      <c r="AD380" s="243"/>
    </row>
    <row r="381" ht="33.75" customHeight="1">
      <c r="A381" s="252"/>
      <c r="B381" s="252"/>
      <c r="C381" s="243"/>
      <c r="D381" s="252"/>
      <c r="E381" s="243"/>
      <c r="F381" s="243"/>
      <c r="G381" s="243"/>
      <c r="H381" s="243"/>
      <c r="I381" s="243"/>
      <c r="J381" s="243"/>
      <c r="K381" s="243"/>
      <c r="L381" s="243"/>
      <c r="M381" s="243"/>
      <c r="N381" s="243"/>
      <c r="O381" s="243"/>
      <c r="P381" s="243"/>
      <c r="Q381" s="243"/>
      <c r="R381" s="243"/>
      <c r="S381" s="243"/>
      <c r="T381" s="243"/>
      <c r="U381" s="243"/>
      <c r="V381" s="243"/>
      <c r="W381" s="243"/>
      <c r="X381" s="243"/>
      <c r="Y381" s="243"/>
      <c r="Z381" s="243"/>
      <c r="AA381" s="243"/>
      <c r="AB381" s="243"/>
      <c r="AC381" s="243"/>
      <c r="AD381" s="243"/>
    </row>
    <row r="382" ht="33.75" customHeight="1">
      <c r="A382" s="252"/>
      <c r="B382" s="252"/>
      <c r="C382" s="243"/>
      <c r="D382" s="252"/>
      <c r="E382" s="243"/>
      <c r="F382" s="243"/>
      <c r="G382" s="243"/>
      <c r="H382" s="243"/>
      <c r="I382" s="243"/>
      <c r="J382" s="243"/>
      <c r="K382" s="243"/>
      <c r="L382" s="243"/>
      <c r="M382" s="243"/>
      <c r="N382" s="243"/>
      <c r="O382" s="243"/>
      <c r="P382" s="243"/>
      <c r="Q382" s="243"/>
      <c r="R382" s="243"/>
      <c r="S382" s="243"/>
      <c r="T382" s="243"/>
      <c r="U382" s="243"/>
      <c r="V382" s="243"/>
      <c r="W382" s="243"/>
      <c r="X382" s="243"/>
      <c r="Y382" s="243"/>
      <c r="Z382" s="243"/>
      <c r="AA382" s="243"/>
      <c r="AB382" s="243"/>
      <c r="AC382" s="243"/>
      <c r="AD382" s="243"/>
    </row>
    <row r="383" ht="33.75" customHeight="1">
      <c r="A383" s="252"/>
      <c r="B383" s="252"/>
      <c r="C383" s="243"/>
      <c r="D383" s="252"/>
      <c r="E383" s="243"/>
      <c r="F383" s="243"/>
      <c r="G383" s="243"/>
      <c r="H383" s="243"/>
      <c r="I383" s="243"/>
      <c r="J383" s="243"/>
      <c r="K383" s="243"/>
      <c r="L383" s="243"/>
      <c r="M383" s="243"/>
      <c r="N383" s="243"/>
      <c r="O383" s="243"/>
      <c r="P383" s="243"/>
      <c r="Q383" s="243"/>
      <c r="R383" s="243"/>
      <c r="S383" s="243"/>
      <c r="T383" s="243"/>
      <c r="U383" s="243"/>
      <c r="V383" s="243"/>
      <c r="W383" s="243"/>
      <c r="X383" s="243"/>
      <c r="Y383" s="243"/>
      <c r="Z383" s="243"/>
      <c r="AA383" s="243"/>
      <c r="AB383" s="243"/>
      <c r="AC383" s="243"/>
      <c r="AD383" s="243"/>
    </row>
    <row r="384" ht="33.75" customHeight="1">
      <c r="A384" s="252"/>
      <c r="B384" s="252"/>
      <c r="C384" s="243"/>
      <c r="D384" s="252"/>
      <c r="E384" s="243"/>
      <c r="F384" s="243"/>
      <c r="G384" s="243"/>
      <c r="H384" s="243"/>
      <c r="I384" s="243"/>
      <c r="J384" s="243"/>
      <c r="K384" s="243"/>
      <c r="L384" s="243"/>
      <c r="M384" s="243"/>
      <c r="N384" s="243"/>
      <c r="O384" s="243"/>
      <c r="P384" s="243"/>
      <c r="Q384" s="243"/>
      <c r="R384" s="243"/>
      <c r="S384" s="243"/>
      <c r="T384" s="243"/>
      <c r="U384" s="243"/>
      <c r="V384" s="243"/>
      <c r="W384" s="243"/>
      <c r="X384" s="243"/>
      <c r="Y384" s="243"/>
      <c r="Z384" s="243"/>
      <c r="AA384" s="243"/>
      <c r="AB384" s="243"/>
      <c r="AC384" s="243"/>
      <c r="AD384" s="243"/>
    </row>
    <row r="385" ht="33.75" customHeight="1">
      <c r="A385" s="252"/>
      <c r="B385" s="252"/>
      <c r="C385" s="243"/>
      <c r="D385" s="252"/>
      <c r="E385" s="243"/>
      <c r="F385" s="243"/>
      <c r="G385" s="243"/>
      <c r="H385" s="243"/>
      <c r="I385" s="243"/>
      <c r="J385" s="243"/>
      <c r="K385" s="243"/>
      <c r="L385" s="243"/>
      <c r="M385" s="243"/>
      <c r="N385" s="243"/>
      <c r="O385" s="243"/>
      <c r="P385" s="243"/>
      <c r="Q385" s="243"/>
      <c r="R385" s="243"/>
      <c r="S385" s="243"/>
      <c r="T385" s="243"/>
      <c r="U385" s="243"/>
      <c r="V385" s="243"/>
      <c r="W385" s="243"/>
      <c r="X385" s="243"/>
      <c r="Y385" s="243"/>
      <c r="Z385" s="243"/>
      <c r="AA385" s="243"/>
      <c r="AB385" s="243"/>
      <c r="AC385" s="243"/>
      <c r="AD385" s="243"/>
    </row>
    <row r="386" ht="33.75" customHeight="1">
      <c r="A386" s="252"/>
      <c r="B386" s="252"/>
      <c r="C386" s="243"/>
      <c r="D386" s="252"/>
      <c r="E386" s="243"/>
      <c r="F386" s="243"/>
      <c r="G386" s="243"/>
      <c r="H386" s="243"/>
      <c r="I386" s="243"/>
      <c r="J386" s="243"/>
      <c r="K386" s="243"/>
      <c r="L386" s="243"/>
      <c r="M386" s="243"/>
      <c r="N386" s="243"/>
      <c r="O386" s="243"/>
      <c r="P386" s="243"/>
      <c r="Q386" s="243"/>
      <c r="R386" s="243"/>
      <c r="S386" s="243"/>
      <c r="T386" s="243"/>
      <c r="U386" s="243"/>
      <c r="V386" s="243"/>
      <c r="W386" s="243"/>
      <c r="X386" s="243"/>
      <c r="Y386" s="243"/>
      <c r="Z386" s="243"/>
      <c r="AA386" s="243"/>
      <c r="AB386" s="243"/>
      <c r="AC386" s="243"/>
      <c r="AD386" s="243"/>
    </row>
    <row r="387" ht="33.75" customHeight="1">
      <c r="A387" s="252"/>
      <c r="B387" s="252"/>
      <c r="C387" s="243"/>
      <c r="D387" s="252"/>
      <c r="E387" s="243"/>
      <c r="F387" s="243"/>
      <c r="G387" s="243"/>
      <c r="H387" s="243"/>
      <c r="I387" s="243"/>
      <c r="J387" s="243"/>
      <c r="K387" s="243"/>
      <c r="L387" s="243"/>
      <c r="M387" s="243"/>
      <c r="N387" s="243"/>
      <c r="O387" s="243"/>
      <c r="P387" s="243"/>
      <c r="Q387" s="243"/>
      <c r="R387" s="243"/>
      <c r="S387" s="243"/>
      <c r="T387" s="243"/>
      <c r="U387" s="243"/>
      <c r="V387" s="243"/>
      <c r="W387" s="243"/>
      <c r="X387" s="243"/>
      <c r="Y387" s="243"/>
      <c r="Z387" s="243"/>
      <c r="AA387" s="243"/>
      <c r="AB387" s="243"/>
      <c r="AC387" s="243"/>
      <c r="AD387" s="243"/>
    </row>
    <row r="388" ht="33.75" customHeight="1">
      <c r="A388" s="252"/>
      <c r="B388" s="252"/>
      <c r="C388" s="243"/>
      <c r="D388" s="252"/>
      <c r="E388" s="243"/>
      <c r="F388" s="243"/>
      <c r="G388" s="243"/>
      <c r="H388" s="243"/>
      <c r="I388" s="243"/>
      <c r="J388" s="243"/>
      <c r="K388" s="243"/>
      <c r="L388" s="243"/>
      <c r="M388" s="243"/>
      <c r="N388" s="243"/>
      <c r="O388" s="243"/>
      <c r="P388" s="243"/>
      <c r="Q388" s="243"/>
      <c r="R388" s="243"/>
      <c r="S388" s="243"/>
      <c r="T388" s="243"/>
      <c r="U388" s="243"/>
      <c r="V388" s="243"/>
      <c r="W388" s="243"/>
      <c r="X388" s="243"/>
      <c r="Y388" s="243"/>
      <c r="Z388" s="243"/>
      <c r="AA388" s="243"/>
      <c r="AB388" s="243"/>
      <c r="AC388" s="243"/>
      <c r="AD388" s="243"/>
    </row>
    <row r="389" ht="33.75" customHeight="1">
      <c r="A389" s="252"/>
      <c r="B389" s="252"/>
      <c r="C389" s="243"/>
      <c r="D389" s="252"/>
      <c r="E389" s="243"/>
      <c r="F389" s="243"/>
      <c r="G389" s="243"/>
      <c r="H389" s="243"/>
      <c r="I389" s="243"/>
      <c r="J389" s="243"/>
      <c r="K389" s="243"/>
      <c r="L389" s="243"/>
      <c r="M389" s="243"/>
      <c r="N389" s="243"/>
      <c r="O389" s="243"/>
      <c r="P389" s="243"/>
      <c r="Q389" s="243"/>
      <c r="R389" s="243"/>
      <c r="S389" s="243"/>
      <c r="T389" s="243"/>
      <c r="U389" s="243"/>
      <c r="V389" s="243"/>
      <c r="W389" s="243"/>
      <c r="X389" s="243"/>
      <c r="Y389" s="243"/>
      <c r="Z389" s="243"/>
      <c r="AA389" s="243"/>
      <c r="AB389" s="243"/>
      <c r="AC389" s="243"/>
      <c r="AD389" s="243"/>
    </row>
    <row r="390" ht="33.75" customHeight="1">
      <c r="A390" s="252"/>
      <c r="B390" s="252"/>
      <c r="C390" s="243"/>
      <c r="D390" s="252"/>
      <c r="E390" s="243"/>
      <c r="F390" s="243"/>
      <c r="G390" s="243"/>
      <c r="H390" s="243"/>
      <c r="I390" s="243"/>
      <c r="J390" s="243"/>
      <c r="K390" s="243"/>
      <c r="L390" s="243"/>
      <c r="M390" s="243"/>
      <c r="N390" s="243"/>
      <c r="O390" s="243"/>
      <c r="P390" s="243"/>
      <c r="Q390" s="243"/>
      <c r="R390" s="243"/>
      <c r="S390" s="243"/>
      <c r="T390" s="243"/>
      <c r="U390" s="243"/>
      <c r="V390" s="243"/>
      <c r="W390" s="243"/>
      <c r="X390" s="243"/>
      <c r="Y390" s="243"/>
      <c r="Z390" s="243"/>
      <c r="AA390" s="243"/>
      <c r="AB390" s="243"/>
      <c r="AC390" s="243"/>
      <c r="AD390" s="243"/>
    </row>
    <row r="391" ht="33.75" customHeight="1">
      <c r="A391" s="252"/>
      <c r="B391" s="252"/>
      <c r="C391" s="243"/>
      <c r="D391" s="252"/>
      <c r="E391" s="243"/>
      <c r="F391" s="243"/>
      <c r="G391" s="243"/>
      <c r="H391" s="243"/>
      <c r="I391" s="243"/>
      <c r="J391" s="243"/>
      <c r="K391" s="243"/>
      <c r="L391" s="243"/>
      <c r="M391" s="243"/>
      <c r="N391" s="243"/>
      <c r="O391" s="243"/>
      <c r="P391" s="243"/>
      <c r="Q391" s="243"/>
      <c r="R391" s="243"/>
      <c r="S391" s="243"/>
      <c r="T391" s="243"/>
      <c r="U391" s="243"/>
      <c r="V391" s="243"/>
      <c r="W391" s="243"/>
      <c r="X391" s="243"/>
      <c r="Y391" s="243"/>
      <c r="Z391" s="243"/>
      <c r="AA391" s="243"/>
      <c r="AB391" s="243"/>
      <c r="AC391" s="243"/>
      <c r="AD391" s="243"/>
    </row>
    <row r="392" ht="33.75" customHeight="1">
      <c r="A392" s="252"/>
      <c r="B392" s="252"/>
      <c r="C392" s="243"/>
      <c r="D392" s="252"/>
      <c r="E392" s="243"/>
      <c r="F392" s="243"/>
      <c r="G392" s="243"/>
      <c r="H392" s="243"/>
      <c r="I392" s="243"/>
      <c r="J392" s="243"/>
      <c r="K392" s="243"/>
      <c r="L392" s="243"/>
      <c r="M392" s="243"/>
      <c r="N392" s="243"/>
      <c r="O392" s="243"/>
      <c r="P392" s="243"/>
      <c r="Q392" s="243"/>
      <c r="R392" s="243"/>
      <c r="S392" s="243"/>
      <c r="T392" s="243"/>
      <c r="U392" s="243"/>
      <c r="V392" s="243"/>
      <c r="W392" s="243"/>
      <c r="X392" s="243"/>
      <c r="Y392" s="243"/>
      <c r="Z392" s="243"/>
      <c r="AA392" s="243"/>
      <c r="AB392" s="243"/>
      <c r="AC392" s="243"/>
      <c r="AD392" s="243"/>
    </row>
    <row r="393" ht="33.75" customHeight="1">
      <c r="A393" s="252"/>
      <c r="B393" s="252"/>
      <c r="C393" s="243"/>
      <c r="D393" s="252"/>
      <c r="E393" s="243"/>
      <c r="F393" s="243"/>
      <c r="G393" s="243"/>
      <c r="H393" s="243"/>
      <c r="I393" s="243"/>
      <c r="J393" s="243"/>
      <c r="K393" s="243"/>
      <c r="L393" s="243"/>
      <c r="M393" s="243"/>
      <c r="N393" s="243"/>
      <c r="O393" s="243"/>
      <c r="P393" s="243"/>
      <c r="Q393" s="243"/>
      <c r="R393" s="243"/>
      <c r="S393" s="243"/>
      <c r="T393" s="243"/>
      <c r="U393" s="243"/>
      <c r="V393" s="243"/>
      <c r="W393" s="243"/>
      <c r="X393" s="243"/>
      <c r="Y393" s="243"/>
      <c r="Z393" s="243"/>
      <c r="AA393" s="243"/>
      <c r="AB393" s="243"/>
      <c r="AC393" s="243"/>
      <c r="AD393" s="243"/>
    </row>
    <row r="394" ht="33.75" customHeight="1">
      <c r="A394" s="252"/>
      <c r="B394" s="252"/>
      <c r="C394" s="243"/>
      <c r="D394" s="252"/>
      <c r="E394" s="243"/>
      <c r="F394" s="243"/>
      <c r="G394" s="243"/>
      <c r="H394" s="243"/>
      <c r="I394" s="243"/>
      <c r="J394" s="243"/>
      <c r="K394" s="243"/>
      <c r="L394" s="243"/>
      <c r="M394" s="243"/>
      <c r="N394" s="243"/>
      <c r="O394" s="243"/>
      <c r="P394" s="243"/>
      <c r="Q394" s="243"/>
      <c r="R394" s="243"/>
      <c r="S394" s="243"/>
      <c r="T394" s="243"/>
      <c r="U394" s="243"/>
      <c r="V394" s="243"/>
      <c r="W394" s="243"/>
      <c r="X394" s="243"/>
      <c r="Y394" s="243"/>
      <c r="Z394" s="243"/>
      <c r="AA394" s="243"/>
      <c r="AB394" s="243"/>
      <c r="AC394" s="243"/>
      <c r="AD394" s="243"/>
    </row>
    <row r="395" ht="33.75" customHeight="1">
      <c r="A395" s="252"/>
      <c r="B395" s="252"/>
      <c r="C395" s="243"/>
      <c r="D395" s="252"/>
      <c r="E395" s="243"/>
      <c r="F395" s="243"/>
      <c r="G395" s="243"/>
      <c r="H395" s="243"/>
      <c r="I395" s="243"/>
      <c r="J395" s="243"/>
      <c r="K395" s="243"/>
      <c r="L395" s="243"/>
      <c r="M395" s="243"/>
      <c r="N395" s="243"/>
      <c r="O395" s="243"/>
      <c r="P395" s="243"/>
      <c r="Q395" s="243"/>
      <c r="R395" s="243"/>
      <c r="S395" s="243"/>
      <c r="T395" s="243"/>
      <c r="U395" s="243"/>
      <c r="V395" s="243"/>
      <c r="W395" s="243"/>
      <c r="X395" s="243"/>
      <c r="Y395" s="243"/>
      <c r="Z395" s="243"/>
      <c r="AA395" s="243"/>
      <c r="AB395" s="243"/>
      <c r="AC395" s="243"/>
      <c r="AD395" s="243"/>
    </row>
    <row r="396" ht="33.75" customHeight="1">
      <c r="A396" s="252"/>
      <c r="B396" s="252"/>
      <c r="C396" s="243"/>
      <c r="D396" s="252"/>
      <c r="E396" s="243"/>
      <c r="F396" s="243"/>
      <c r="G396" s="243"/>
      <c r="H396" s="243"/>
      <c r="I396" s="243"/>
      <c r="J396" s="243"/>
      <c r="K396" s="243"/>
      <c r="L396" s="243"/>
      <c r="M396" s="243"/>
      <c r="N396" s="243"/>
      <c r="O396" s="243"/>
      <c r="P396" s="243"/>
      <c r="Q396" s="243"/>
      <c r="R396" s="243"/>
      <c r="S396" s="243"/>
      <c r="T396" s="243"/>
      <c r="U396" s="243"/>
      <c r="V396" s="243"/>
      <c r="W396" s="243"/>
      <c r="X396" s="243"/>
      <c r="Y396" s="243"/>
      <c r="Z396" s="243"/>
      <c r="AA396" s="243"/>
      <c r="AB396" s="243"/>
      <c r="AC396" s="243"/>
      <c r="AD396" s="243"/>
    </row>
    <row r="397" ht="33.75" customHeight="1">
      <c r="A397" s="252"/>
      <c r="B397" s="252"/>
      <c r="C397" s="243"/>
      <c r="D397" s="252"/>
      <c r="E397" s="243"/>
      <c r="F397" s="243"/>
      <c r="G397" s="243"/>
      <c r="H397" s="243"/>
      <c r="I397" s="243"/>
      <c r="J397" s="243"/>
      <c r="K397" s="243"/>
      <c r="L397" s="243"/>
      <c r="M397" s="243"/>
      <c r="N397" s="243"/>
      <c r="O397" s="243"/>
      <c r="P397" s="243"/>
      <c r="Q397" s="243"/>
      <c r="R397" s="243"/>
      <c r="S397" s="243"/>
      <c r="T397" s="243"/>
      <c r="U397" s="243"/>
      <c r="V397" s="243"/>
      <c r="W397" s="243"/>
      <c r="X397" s="243"/>
      <c r="Y397" s="243"/>
      <c r="Z397" s="243"/>
      <c r="AA397" s="243"/>
      <c r="AB397" s="243"/>
      <c r="AC397" s="243"/>
      <c r="AD397" s="243"/>
    </row>
    <row r="398" ht="33.75" customHeight="1">
      <c r="A398" s="252"/>
      <c r="B398" s="252"/>
      <c r="C398" s="243"/>
      <c r="D398" s="252"/>
      <c r="E398" s="243"/>
      <c r="F398" s="243"/>
      <c r="G398" s="243"/>
      <c r="H398" s="243"/>
      <c r="I398" s="243"/>
      <c r="J398" s="243"/>
      <c r="K398" s="243"/>
      <c r="L398" s="243"/>
      <c r="M398" s="243"/>
      <c r="N398" s="243"/>
      <c r="O398" s="243"/>
      <c r="P398" s="243"/>
      <c r="Q398" s="243"/>
      <c r="R398" s="243"/>
      <c r="S398" s="243"/>
      <c r="T398" s="243"/>
      <c r="U398" s="243"/>
      <c r="V398" s="243"/>
      <c r="W398" s="243"/>
      <c r="X398" s="243"/>
      <c r="Y398" s="243"/>
      <c r="Z398" s="243"/>
      <c r="AA398" s="243"/>
      <c r="AB398" s="243"/>
      <c r="AC398" s="243"/>
      <c r="AD398" s="243"/>
    </row>
    <row r="399" ht="33.75" customHeight="1">
      <c r="A399" s="252"/>
      <c r="B399" s="252"/>
      <c r="C399" s="243"/>
      <c r="D399" s="252"/>
      <c r="E399" s="243"/>
      <c r="F399" s="243"/>
      <c r="G399" s="243"/>
      <c r="H399" s="243"/>
      <c r="I399" s="243"/>
      <c r="J399" s="243"/>
      <c r="K399" s="243"/>
      <c r="L399" s="243"/>
      <c r="M399" s="243"/>
      <c r="N399" s="243"/>
      <c r="O399" s="243"/>
      <c r="P399" s="243"/>
      <c r="Q399" s="243"/>
      <c r="R399" s="243"/>
      <c r="S399" s="243"/>
      <c r="T399" s="243"/>
      <c r="U399" s="243"/>
      <c r="V399" s="243"/>
      <c r="W399" s="243"/>
      <c r="X399" s="243"/>
      <c r="Y399" s="243"/>
      <c r="Z399" s="243"/>
      <c r="AA399" s="243"/>
      <c r="AB399" s="243"/>
      <c r="AC399" s="243"/>
      <c r="AD399" s="243"/>
    </row>
    <row r="400" ht="33.75" customHeight="1">
      <c r="A400" s="252"/>
      <c r="B400" s="252"/>
      <c r="C400" s="243"/>
      <c r="D400" s="252"/>
      <c r="E400" s="243"/>
      <c r="F400" s="243"/>
      <c r="G400" s="243"/>
      <c r="H400" s="243"/>
      <c r="I400" s="243"/>
      <c r="J400" s="243"/>
      <c r="K400" s="243"/>
      <c r="L400" s="243"/>
      <c r="M400" s="243"/>
      <c r="N400" s="243"/>
      <c r="O400" s="243"/>
      <c r="P400" s="243"/>
      <c r="Q400" s="243"/>
      <c r="R400" s="243"/>
      <c r="S400" s="243"/>
      <c r="T400" s="243"/>
      <c r="U400" s="243"/>
      <c r="V400" s="243"/>
      <c r="W400" s="243"/>
      <c r="X400" s="243"/>
      <c r="Y400" s="243"/>
      <c r="Z400" s="243"/>
      <c r="AA400" s="243"/>
      <c r="AB400" s="243"/>
      <c r="AC400" s="243"/>
      <c r="AD400" s="243"/>
    </row>
    <row r="401" ht="33.75" customHeight="1">
      <c r="A401" s="252"/>
      <c r="B401" s="252"/>
      <c r="C401" s="243"/>
      <c r="D401" s="252"/>
      <c r="E401" s="243"/>
      <c r="F401" s="243"/>
      <c r="G401" s="243"/>
      <c r="H401" s="243"/>
      <c r="I401" s="243"/>
      <c r="J401" s="243"/>
      <c r="K401" s="243"/>
      <c r="L401" s="243"/>
      <c r="M401" s="243"/>
      <c r="N401" s="243"/>
      <c r="O401" s="243"/>
      <c r="P401" s="243"/>
      <c r="Q401" s="243"/>
      <c r="R401" s="243"/>
      <c r="S401" s="243"/>
      <c r="T401" s="243"/>
      <c r="U401" s="243"/>
      <c r="V401" s="243"/>
      <c r="W401" s="243"/>
      <c r="X401" s="243"/>
      <c r="Y401" s="243"/>
      <c r="Z401" s="243"/>
      <c r="AA401" s="243"/>
      <c r="AB401" s="243"/>
      <c r="AC401" s="243"/>
      <c r="AD401" s="243"/>
    </row>
    <row r="402" ht="33.75" customHeight="1">
      <c r="A402" s="252"/>
      <c r="B402" s="252"/>
      <c r="C402" s="243"/>
      <c r="D402" s="252"/>
      <c r="E402" s="243"/>
      <c r="F402" s="243"/>
      <c r="G402" s="243"/>
      <c r="H402" s="243"/>
      <c r="I402" s="243"/>
      <c r="J402" s="243"/>
      <c r="K402" s="243"/>
      <c r="L402" s="243"/>
      <c r="M402" s="243"/>
      <c r="N402" s="243"/>
      <c r="O402" s="243"/>
      <c r="P402" s="243"/>
      <c r="Q402" s="243"/>
      <c r="R402" s="243"/>
      <c r="S402" s="243"/>
      <c r="T402" s="243"/>
      <c r="U402" s="243"/>
      <c r="V402" s="243"/>
      <c r="W402" s="243"/>
      <c r="X402" s="243"/>
      <c r="Y402" s="243"/>
      <c r="Z402" s="243"/>
      <c r="AA402" s="243"/>
      <c r="AB402" s="243"/>
      <c r="AC402" s="243"/>
      <c r="AD402" s="243"/>
    </row>
    <row r="403" ht="33.75" customHeight="1">
      <c r="A403" s="252"/>
      <c r="B403" s="252"/>
      <c r="C403" s="243"/>
      <c r="D403" s="252"/>
      <c r="E403" s="243"/>
      <c r="F403" s="243"/>
      <c r="G403" s="243"/>
      <c r="H403" s="243"/>
      <c r="I403" s="243"/>
      <c r="J403" s="243"/>
      <c r="K403" s="243"/>
      <c r="L403" s="243"/>
      <c r="M403" s="243"/>
      <c r="N403" s="243"/>
      <c r="O403" s="243"/>
      <c r="P403" s="243"/>
      <c r="Q403" s="243"/>
      <c r="R403" s="243"/>
      <c r="S403" s="243"/>
      <c r="T403" s="243"/>
      <c r="U403" s="243"/>
      <c r="V403" s="243"/>
      <c r="W403" s="243"/>
      <c r="X403" s="243"/>
      <c r="Y403" s="243"/>
      <c r="Z403" s="243"/>
      <c r="AA403" s="243"/>
      <c r="AB403" s="243"/>
      <c r="AC403" s="243"/>
      <c r="AD403" s="243"/>
    </row>
    <row r="404" ht="33.75" customHeight="1">
      <c r="A404" s="252"/>
      <c r="B404" s="252"/>
      <c r="C404" s="243"/>
      <c r="D404" s="252"/>
      <c r="E404" s="243"/>
      <c r="F404" s="243"/>
      <c r="G404" s="243"/>
      <c r="H404" s="243"/>
      <c r="I404" s="243"/>
      <c r="J404" s="243"/>
      <c r="K404" s="243"/>
      <c r="L404" s="243"/>
      <c r="M404" s="243"/>
      <c r="N404" s="243"/>
      <c r="O404" s="243"/>
      <c r="P404" s="243"/>
      <c r="Q404" s="243"/>
      <c r="R404" s="243"/>
      <c r="S404" s="243"/>
      <c r="T404" s="243"/>
      <c r="U404" s="243"/>
      <c r="V404" s="243"/>
      <c r="W404" s="243"/>
      <c r="X404" s="243"/>
      <c r="Y404" s="243"/>
      <c r="Z404" s="243"/>
      <c r="AA404" s="243"/>
      <c r="AB404" s="243"/>
      <c r="AC404" s="243"/>
      <c r="AD404" s="243"/>
    </row>
    <row r="405" ht="33.75" customHeight="1">
      <c r="A405" s="252"/>
      <c r="B405" s="252"/>
      <c r="C405" s="243"/>
      <c r="D405" s="252"/>
      <c r="E405" s="243"/>
      <c r="F405" s="243"/>
      <c r="G405" s="243"/>
      <c r="H405" s="243"/>
      <c r="I405" s="243"/>
      <c r="J405" s="243"/>
      <c r="K405" s="243"/>
      <c r="L405" s="243"/>
      <c r="M405" s="243"/>
      <c r="N405" s="243"/>
      <c r="O405" s="243"/>
      <c r="P405" s="243"/>
      <c r="Q405" s="243"/>
      <c r="R405" s="243"/>
      <c r="S405" s="243"/>
      <c r="T405" s="243"/>
      <c r="U405" s="243"/>
      <c r="V405" s="243"/>
      <c r="W405" s="243"/>
      <c r="X405" s="243"/>
      <c r="Y405" s="243"/>
      <c r="Z405" s="243"/>
      <c r="AA405" s="243"/>
      <c r="AB405" s="243"/>
      <c r="AC405" s="243"/>
      <c r="AD405" s="243"/>
    </row>
    <row r="406" ht="33.75" customHeight="1">
      <c r="A406" s="252"/>
      <c r="B406" s="252"/>
      <c r="C406" s="243"/>
      <c r="D406" s="252"/>
      <c r="E406" s="243"/>
      <c r="F406" s="243"/>
      <c r="G406" s="243"/>
      <c r="H406" s="243"/>
      <c r="I406" s="243"/>
      <c r="J406" s="243"/>
      <c r="K406" s="243"/>
      <c r="L406" s="243"/>
      <c r="M406" s="243"/>
      <c r="N406" s="243"/>
      <c r="O406" s="243"/>
      <c r="P406" s="243"/>
      <c r="Q406" s="243"/>
      <c r="R406" s="243"/>
      <c r="S406" s="243"/>
      <c r="T406" s="243"/>
      <c r="U406" s="243"/>
      <c r="V406" s="243"/>
      <c r="W406" s="243"/>
      <c r="X406" s="243"/>
      <c r="Y406" s="243"/>
      <c r="Z406" s="243"/>
      <c r="AA406" s="243"/>
      <c r="AB406" s="243"/>
      <c r="AC406" s="243"/>
      <c r="AD406" s="243"/>
    </row>
    <row r="407" ht="33.75" customHeight="1">
      <c r="A407" s="252"/>
      <c r="B407" s="252"/>
      <c r="C407" s="243"/>
      <c r="D407" s="252"/>
      <c r="E407" s="243"/>
      <c r="F407" s="243"/>
      <c r="G407" s="243"/>
      <c r="H407" s="243"/>
      <c r="I407" s="243"/>
      <c r="J407" s="243"/>
      <c r="K407" s="243"/>
      <c r="L407" s="243"/>
      <c r="M407" s="243"/>
      <c r="N407" s="243"/>
      <c r="O407" s="243"/>
      <c r="P407" s="243"/>
      <c r="Q407" s="243"/>
      <c r="R407" s="243"/>
      <c r="S407" s="243"/>
      <c r="T407" s="243"/>
      <c r="U407" s="243"/>
      <c r="V407" s="243"/>
      <c r="W407" s="243"/>
      <c r="X407" s="243"/>
      <c r="Y407" s="243"/>
      <c r="Z407" s="243"/>
      <c r="AA407" s="243"/>
      <c r="AB407" s="243"/>
      <c r="AC407" s="243"/>
      <c r="AD407" s="243"/>
    </row>
    <row r="408" ht="33.75" customHeight="1">
      <c r="A408" s="252"/>
      <c r="B408" s="252"/>
      <c r="C408" s="243"/>
      <c r="D408" s="252"/>
      <c r="E408" s="243"/>
      <c r="F408" s="243"/>
      <c r="G408" s="243"/>
      <c r="H408" s="243"/>
      <c r="I408" s="243"/>
      <c r="J408" s="243"/>
      <c r="K408" s="243"/>
      <c r="L408" s="243"/>
      <c r="M408" s="243"/>
      <c r="N408" s="243"/>
      <c r="O408" s="243"/>
      <c r="P408" s="243"/>
      <c r="Q408" s="243"/>
      <c r="R408" s="243"/>
      <c r="S408" s="243"/>
      <c r="T408" s="243"/>
      <c r="U408" s="243"/>
      <c r="V408" s="243"/>
      <c r="W408" s="243"/>
      <c r="X408" s="243"/>
      <c r="Y408" s="243"/>
      <c r="Z408" s="243"/>
      <c r="AA408" s="243"/>
      <c r="AB408" s="243"/>
      <c r="AC408" s="243"/>
      <c r="AD408" s="243"/>
    </row>
    <row r="409" ht="33.75" customHeight="1">
      <c r="A409" s="252"/>
      <c r="B409" s="252"/>
      <c r="C409" s="243"/>
      <c r="D409" s="252"/>
      <c r="E409" s="243"/>
      <c r="F409" s="243"/>
      <c r="G409" s="243"/>
      <c r="H409" s="243"/>
      <c r="I409" s="243"/>
      <c r="J409" s="243"/>
      <c r="K409" s="243"/>
      <c r="L409" s="243"/>
      <c r="M409" s="243"/>
      <c r="N409" s="243"/>
      <c r="O409" s="243"/>
      <c r="P409" s="243"/>
      <c r="Q409" s="243"/>
      <c r="R409" s="243"/>
      <c r="S409" s="243"/>
      <c r="T409" s="243"/>
      <c r="U409" s="243"/>
      <c r="V409" s="243"/>
      <c r="W409" s="243"/>
      <c r="X409" s="243"/>
      <c r="Y409" s="243"/>
      <c r="Z409" s="243"/>
      <c r="AA409" s="243"/>
      <c r="AB409" s="243"/>
      <c r="AC409" s="243"/>
      <c r="AD409" s="243"/>
    </row>
    <row r="410" ht="33.75" customHeight="1">
      <c r="A410" s="252"/>
      <c r="B410" s="252"/>
      <c r="C410" s="243"/>
      <c r="D410" s="252"/>
      <c r="E410" s="243"/>
      <c r="F410" s="243"/>
      <c r="G410" s="243"/>
      <c r="H410" s="243"/>
      <c r="I410" s="243"/>
      <c r="J410" s="243"/>
      <c r="K410" s="243"/>
      <c r="L410" s="243"/>
      <c r="M410" s="243"/>
      <c r="N410" s="243"/>
      <c r="O410" s="243"/>
      <c r="P410" s="243"/>
      <c r="Q410" s="243"/>
      <c r="R410" s="243"/>
      <c r="S410" s="243"/>
      <c r="T410" s="243"/>
      <c r="U410" s="243"/>
      <c r="V410" s="243"/>
      <c r="W410" s="243"/>
      <c r="X410" s="243"/>
      <c r="Y410" s="243"/>
      <c r="Z410" s="243"/>
      <c r="AA410" s="243"/>
      <c r="AB410" s="243"/>
      <c r="AC410" s="243"/>
      <c r="AD410" s="243"/>
    </row>
    <row r="411" ht="33.75" customHeight="1">
      <c r="A411" s="252"/>
      <c r="B411" s="252"/>
      <c r="C411" s="243"/>
      <c r="D411" s="252"/>
      <c r="E411" s="243"/>
      <c r="F411" s="243"/>
      <c r="G411" s="243"/>
      <c r="H411" s="243"/>
      <c r="I411" s="243"/>
      <c r="J411" s="243"/>
      <c r="K411" s="243"/>
      <c r="L411" s="243"/>
      <c r="M411" s="243"/>
      <c r="N411" s="243"/>
      <c r="O411" s="243"/>
      <c r="P411" s="243"/>
      <c r="Q411" s="243"/>
      <c r="R411" s="243"/>
      <c r="S411" s="243"/>
      <c r="T411" s="243"/>
      <c r="U411" s="243"/>
      <c r="V411" s="243"/>
      <c r="W411" s="243"/>
      <c r="X411" s="243"/>
      <c r="Y411" s="243"/>
      <c r="Z411" s="243"/>
      <c r="AA411" s="243"/>
      <c r="AB411" s="243"/>
      <c r="AC411" s="243"/>
      <c r="AD411" s="243"/>
    </row>
    <row r="412" ht="33.75" customHeight="1">
      <c r="A412" s="252"/>
      <c r="B412" s="252"/>
      <c r="C412" s="243"/>
      <c r="D412" s="252"/>
      <c r="E412" s="243"/>
      <c r="F412" s="243"/>
      <c r="G412" s="243"/>
      <c r="H412" s="243"/>
      <c r="I412" s="243"/>
      <c r="J412" s="243"/>
      <c r="K412" s="243"/>
      <c r="L412" s="243"/>
      <c r="M412" s="243"/>
      <c r="N412" s="243"/>
      <c r="O412" s="243"/>
      <c r="P412" s="243"/>
      <c r="Q412" s="243"/>
      <c r="R412" s="243"/>
      <c r="S412" s="243"/>
      <c r="T412" s="243"/>
      <c r="U412" s="243"/>
      <c r="V412" s="243"/>
      <c r="W412" s="243"/>
      <c r="X412" s="243"/>
      <c r="Y412" s="243"/>
      <c r="Z412" s="243"/>
      <c r="AA412" s="243"/>
      <c r="AB412" s="243"/>
      <c r="AC412" s="243"/>
      <c r="AD412" s="243"/>
    </row>
    <row r="413" ht="33.75" customHeight="1">
      <c r="A413" s="252"/>
      <c r="B413" s="252"/>
      <c r="C413" s="243"/>
      <c r="D413" s="252"/>
      <c r="E413" s="243"/>
      <c r="F413" s="243"/>
      <c r="G413" s="243"/>
      <c r="H413" s="243"/>
      <c r="I413" s="243"/>
      <c r="J413" s="243"/>
      <c r="K413" s="243"/>
      <c r="L413" s="243"/>
      <c r="M413" s="243"/>
      <c r="N413" s="243"/>
      <c r="O413" s="243"/>
      <c r="P413" s="243"/>
      <c r="Q413" s="243"/>
      <c r="R413" s="243"/>
      <c r="S413" s="243"/>
      <c r="T413" s="243"/>
      <c r="U413" s="243"/>
      <c r="V413" s="243"/>
      <c r="W413" s="243"/>
      <c r="X413" s="243"/>
      <c r="Y413" s="243"/>
      <c r="Z413" s="243"/>
      <c r="AA413" s="243"/>
      <c r="AB413" s="243"/>
      <c r="AC413" s="243"/>
      <c r="AD413" s="243"/>
    </row>
    <row r="414" ht="33.75" customHeight="1">
      <c r="A414" s="252"/>
      <c r="B414" s="252"/>
      <c r="C414" s="243"/>
      <c r="D414" s="252"/>
      <c r="E414" s="243"/>
      <c r="F414" s="243"/>
      <c r="G414" s="243"/>
      <c r="H414" s="243"/>
      <c r="I414" s="243"/>
      <c r="J414" s="243"/>
      <c r="K414" s="243"/>
      <c r="L414" s="243"/>
      <c r="M414" s="243"/>
      <c r="N414" s="243"/>
      <c r="O414" s="243"/>
      <c r="P414" s="243"/>
      <c r="Q414" s="243"/>
      <c r="R414" s="243"/>
      <c r="S414" s="243"/>
      <c r="T414" s="243"/>
      <c r="U414" s="243"/>
      <c r="V414" s="243"/>
      <c r="W414" s="243"/>
      <c r="X414" s="243"/>
      <c r="Y414" s="243"/>
      <c r="Z414" s="243"/>
      <c r="AA414" s="243"/>
      <c r="AB414" s="243"/>
      <c r="AC414" s="243"/>
      <c r="AD414" s="243"/>
    </row>
    <row r="415" ht="33.75" customHeight="1">
      <c r="A415" s="252"/>
      <c r="B415" s="252"/>
      <c r="C415" s="243"/>
      <c r="D415" s="252"/>
      <c r="E415" s="243"/>
      <c r="F415" s="243"/>
      <c r="G415" s="243"/>
      <c r="H415" s="243"/>
      <c r="I415" s="243"/>
      <c r="J415" s="243"/>
      <c r="K415" s="243"/>
      <c r="L415" s="243"/>
      <c r="M415" s="243"/>
      <c r="N415" s="243"/>
      <c r="O415" s="243"/>
      <c r="P415" s="243"/>
      <c r="Q415" s="243"/>
      <c r="R415" s="243"/>
      <c r="S415" s="243"/>
      <c r="T415" s="243"/>
      <c r="U415" s="243"/>
      <c r="V415" s="243"/>
      <c r="W415" s="243"/>
      <c r="X415" s="243"/>
      <c r="Y415" s="243"/>
      <c r="Z415" s="243"/>
      <c r="AA415" s="243"/>
      <c r="AB415" s="243"/>
      <c r="AC415" s="243"/>
      <c r="AD415" s="243"/>
    </row>
    <row r="416" ht="33.75" customHeight="1">
      <c r="A416" s="252"/>
      <c r="B416" s="252"/>
      <c r="C416" s="243"/>
      <c r="D416" s="252"/>
      <c r="E416" s="243"/>
      <c r="F416" s="243"/>
      <c r="G416" s="243"/>
      <c r="H416" s="243"/>
      <c r="I416" s="243"/>
      <c r="J416" s="243"/>
      <c r="K416" s="243"/>
      <c r="L416" s="243"/>
      <c r="M416" s="243"/>
      <c r="N416" s="243"/>
      <c r="O416" s="243"/>
      <c r="P416" s="243"/>
      <c r="Q416" s="243"/>
      <c r="R416" s="243"/>
      <c r="S416" s="243"/>
      <c r="T416" s="243"/>
      <c r="U416" s="243"/>
      <c r="V416" s="243"/>
      <c r="W416" s="243"/>
      <c r="X416" s="243"/>
      <c r="Y416" s="243"/>
      <c r="Z416" s="243"/>
      <c r="AA416" s="243"/>
      <c r="AB416" s="243"/>
      <c r="AC416" s="243"/>
      <c r="AD416" s="243"/>
    </row>
    <row r="417" ht="33.75" customHeight="1">
      <c r="A417" s="252"/>
      <c r="B417" s="252"/>
      <c r="C417" s="243"/>
      <c r="D417" s="252"/>
      <c r="E417" s="243"/>
      <c r="F417" s="243"/>
      <c r="G417" s="243"/>
      <c r="H417" s="243"/>
      <c r="I417" s="243"/>
      <c r="J417" s="243"/>
      <c r="K417" s="243"/>
      <c r="L417" s="243"/>
      <c r="M417" s="243"/>
      <c r="N417" s="243"/>
      <c r="O417" s="243"/>
      <c r="P417" s="243"/>
      <c r="Q417" s="243"/>
      <c r="R417" s="243"/>
      <c r="S417" s="243"/>
      <c r="T417" s="243"/>
      <c r="U417" s="243"/>
      <c r="V417" s="243"/>
      <c r="W417" s="243"/>
      <c r="X417" s="243"/>
      <c r="Y417" s="243"/>
      <c r="Z417" s="243"/>
      <c r="AA417" s="243"/>
      <c r="AB417" s="243"/>
      <c r="AC417" s="243"/>
      <c r="AD417" s="243"/>
    </row>
    <row r="418" ht="33.75" customHeight="1">
      <c r="A418" s="252"/>
      <c r="B418" s="252"/>
      <c r="C418" s="243"/>
      <c r="D418" s="252"/>
      <c r="E418" s="243"/>
      <c r="F418" s="243"/>
      <c r="G418" s="243"/>
      <c r="H418" s="243"/>
      <c r="I418" s="243"/>
      <c r="J418" s="243"/>
      <c r="K418" s="243"/>
      <c r="L418" s="243"/>
      <c r="M418" s="243"/>
      <c r="N418" s="243"/>
      <c r="O418" s="243"/>
      <c r="P418" s="243"/>
      <c r="Q418" s="243"/>
      <c r="R418" s="243"/>
      <c r="S418" s="243"/>
      <c r="T418" s="243"/>
      <c r="U418" s="243"/>
      <c r="V418" s="243"/>
      <c r="W418" s="243"/>
      <c r="X418" s="243"/>
      <c r="Y418" s="243"/>
      <c r="Z418" s="243"/>
      <c r="AA418" s="243"/>
      <c r="AB418" s="243"/>
      <c r="AC418" s="243"/>
      <c r="AD418" s="243"/>
    </row>
    <row r="419" ht="33.75" customHeight="1">
      <c r="A419" s="252"/>
      <c r="B419" s="252"/>
      <c r="C419" s="243"/>
      <c r="D419" s="252"/>
      <c r="E419" s="243"/>
      <c r="F419" s="243"/>
      <c r="G419" s="243"/>
      <c r="H419" s="243"/>
      <c r="I419" s="243"/>
      <c r="J419" s="243"/>
      <c r="K419" s="243"/>
      <c r="L419" s="243"/>
      <c r="M419" s="243"/>
      <c r="N419" s="243"/>
      <c r="O419" s="243"/>
      <c r="P419" s="243"/>
      <c r="Q419" s="243"/>
      <c r="R419" s="243"/>
      <c r="S419" s="243"/>
      <c r="T419" s="243"/>
      <c r="U419" s="243"/>
      <c r="V419" s="243"/>
      <c r="W419" s="243"/>
      <c r="X419" s="243"/>
      <c r="Y419" s="243"/>
      <c r="Z419" s="243"/>
      <c r="AA419" s="243"/>
      <c r="AB419" s="243"/>
      <c r="AC419" s="243"/>
      <c r="AD419" s="243"/>
    </row>
    <row r="420" ht="33.75" customHeight="1">
      <c r="A420" s="252"/>
      <c r="B420" s="252"/>
      <c r="C420" s="243"/>
      <c r="D420" s="252"/>
      <c r="E420" s="243"/>
      <c r="F420" s="243"/>
      <c r="G420" s="243"/>
      <c r="H420" s="243"/>
      <c r="I420" s="243"/>
      <c r="J420" s="243"/>
      <c r="K420" s="243"/>
      <c r="L420" s="243"/>
      <c r="M420" s="243"/>
      <c r="N420" s="243"/>
      <c r="O420" s="243"/>
      <c r="P420" s="243"/>
      <c r="Q420" s="243"/>
      <c r="R420" s="243"/>
      <c r="S420" s="243"/>
      <c r="T420" s="243"/>
      <c r="U420" s="243"/>
      <c r="V420" s="243"/>
      <c r="W420" s="243"/>
      <c r="X420" s="243"/>
      <c r="Y420" s="243"/>
      <c r="Z420" s="243"/>
      <c r="AA420" s="243"/>
      <c r="AB420" s="243"/>
      <c r="AC420" s="243"/>
      <c r="AD420" s="243"/>
    </row>
    <row r="421" ht="33.75" customHeight="1">
      <c r="A421" s="252"/>
      <c r="B421" s="252"/>
      <c r="C421" s="243"/>
      <c r="D421" s="252"/>
      <c r="E421" s="243"/>
      <c r="F421" s="243"/>
      <c r="G421" s="243"/>
      <c r="H421" s="243"/>
      <c r="I421" s="243"/>
      <c r="J421" s="243"/>
      <c r="K421" s="243"/>
      <c r="L421" s="243"/>
      <c r="M421" s="243"/>
      <c r="N421" s="243"/>
      <c r="O421" s="243"/>
      <c r="P421" s="243"/>
      <c r="Q421" s="243"/>
      <c r="R421" s="243"/>
      <c r="S421" s="243"/>
      <c r="T421" s="243"/>
      <c r="U421" s="243"/>
      <c r="V421" s="243"/>
      <c r="W421" s="243"/>
      <c r="X421" s="243"/>
      <c r="Y421" s="243"/>
      <c r="Z421" s="243"/>
      <c r="AA421" s="243"/>
      <c r="AB421" s="243"/>
      <c r="AC421" s="243"/>
      <c r="AD421" s="243"/>
    </row>
    <row r="422" ht="33.75" customHeight="1">
      <c r="A422" s="252"/>
      <c r="B422" s="252"/>
      <c r="C422" s="243"/>
      <c r="D422" s="252"/>
      <c r="E422" s="243"/>
      <c r="F422" s="243"/>
      <c r="G422" s="243"/>
      <c r="H422" s="243"/>
      <c r="I422" s="243"/>
      <c r="J422" s="243"/>
      <c r="K422" s="243"/>
      <c r="L422" s="243"/>
      <c r="M422" s="243"/>
      <c r="N422" s="243"/>
      <c r="O422" s="243"/>
      <c r="P422" s="243"/>
      <c r="Q422" s="243"/>
      <c r="R422" s="243"/>
      <c r="S422" s="243"/>
      <c r="T422" s="243"/>
      <c r="U422" s="243"/>
      <c r="V422" s="243"/>
      <c r="W422" s="243"/>
      <c r="X422" s="243"/>
      <c r="Y422" s="243"/>
      <c r="Z422" s="243"/>
      <c r="AA422" s="243"/>
      <c r="AB422" s="243"/>
      <c r="AC422" s="243"/>
      <c r="AD422" s="243"/>
    </row>
    <row r="423" ht="33.75" customHeight="1">
      <c r="A423" s="252"/>
      <c r="B423" s="252"/>
      <c r="C423" s="243"/>
      <c r="D423" s="252"/>
      <c r="E423" s="243"/>
      <c r="F423" s="243"/>
      <c r="G423" s="243"/>
      <c r="H423" s="243"/>
      <c r="I423" s="243"/>
      <c r="J423" s="243"/>
      <c r="K423" s="243"/>
      <c r="L423" s="243"/>
      <c r="M423" s="243"/>
      <c r="N423" s="243"/>
      <c r="O423" s="243"/>
      <c r="P423" s="243"/>
      <c r="Q423" s="243"/>
      <c r="R423" s="243"/>
      <c r="S423" s="243"/>
      <c r="T423" s="243"/>
      <c r="U423" s="243"/>
      <c r="V423" s="243"/>
      <c r="W423" s="243"/>
      <c r="X423" s="243"/>
      <c r="Y423" s="243"/>
      <c r="Z423" s="243"/>
      <c r="AA423" s="243"/>
      <c r="AB423" s="243"/>
      <c r="AC423" s="243"/>
      <c r="AD423" s="243"/>
    </row>
    <row r="424" ht="33.75" customHeight="1">
      <c r="A424" s="252"/>
      <c r="B424" s="252"/>
      <c r="C424" s="243"/>
      <c r="D424" s="252"/>
      <c r="E424" s="243"/>
      <c r="F424" s="243"/>
      <c r="G424" s="243"/>
      <c r="H424" s="243"/>
      <c r="I424" s="243"/>
      <c r="J424" s="243"/>
      <c r="K424" s="243"/>
      <c r="L424" s="243"/>
      <c r="M424" s="243"/>
      <c r="N424" s="243"/>
      <c r="O424" s="243"/>
      <c r="P424" s="243"/>
      <c r="Q424" s="243"/>
      <c r="R424" s="243"/>
      <c r="S424" s="243"/>
      <c r="T424" s="243"/>
      <c r="U424" s="243"/>
      <c r="V424" s="243"/>
      <c r="W424" s="243"/>
      <c r="X424" s="243"/>
      <c r="Y424" s="243"/>
      <c r="Z424" s="243"/>
      <c r="AA424" s="243"/>
      <c r="AB424" s="243"/>
      <c r="AC424" s="243"/>
      <c r="AD424" s="243"/>
    </row>
    <row r="425" ht="33.75" customHeight="1">
      <c r="A425" s="252"/>
      <c r="B425" s="252"/>
      <c r="C425" s="243"/>
      <c r="D425" s="252"/>
      <c r="E425" s="243"/>
      <c r="F425" s="243"/>
      <c r="G425" s="243"/>
      <c r="H425" s="243"/>
      <c r="I425" s="243"/>
      <c r="J425" s="243"/>
      <c r="K425" s="243"/>
      <c r="L425" s="243"/>
      <c r="M425" s="243"/>
      <c r="N425" s="243"/>
      <c r="O425" s="243"/>
      <c r="P425" s="243"/>
      <c r="Q425" s="243"/>
      <c r="R425" s="243"/>
      <c r="S425" s="243"/>
      <c r="T425" s="243"/>
      <c r="U425" s="243"/>
      <c r="V425" s="243"/>
      <c r="W425" s="243"/>
      <c r="X425" s="243"/>
      <c r="Y425" s="243"/>
      <c r="Z425" s="243"/>
      <c r="AA425" s="243"/>
      <c r="AB425" s="243"/>
      <c r="AC425" s="243"/>
      <c r="AD425" s="243"/>
    </row>
    <row r="426" ht="33.75" customHeight="1">
      <c r="A426" s="252"/>
      <c r="B426" s="252"/>
      <c r="C426" s="243"/>
      <c r="D426" s="252"/>
      <c r="E426" s="243"/>
      <c r="F426" s="243"/>
      <c r="G426" s="243"/>
      <c r="H426" s="243"/>
      <c r="I426" s="243"/>
      <c r="J426" s="243"/>
      <c r="K426" s="243"/>
      <c r="L426" s="243"/>
      <c r="M426" s="243"/>
      <c r="N426" s="243"/>
      <c r="O426" s="243"/>
      <c r="P426" s="243"/>
      <c r="Q426" s="243"/>
      <c r="R426" s="243"/>
      <c r="S426" s="243"/>
      <c r="T426" s="243"/>
      <c r="U426" s="243"/>
      <c r="V426" s="243"/>
      <c r="W426" s="243"/>
      <c r="X426" s="243"/>
      <c r="Y426" s="243"/>
      <c r="Z426" s="243"/>
      <c r="AA426" s="243"/>
      <c r="AB426" s="243"/>
      <c r="AC426" s="243"/>
      <c r="AD426" s="243"/>
    </row>
    <row r="427" ht="33.75" customHeight="1">
      <c r="A427" s="252"/>
      <c r="B427" s="252"/>
      <c r="C427" s="243"/>
      <c r="D427" s="252"/>
      <c r="E427" s="243"/>
      <c r="F427" s="243"/>
      <c r="G427" s="243"/>
      <c r="H427" s="243"/>
      <c r="I427" s="243"/>
      <c r="J427" s="243"/>
      <c r="K427" s="243"/>
      <c r="L427" s="243"/>
      <c r="M427" s="243"/>
      <c r="N427" s="243"/>
      <c r="O427" s="243"/>
      <c r="P427" s="243"/>
      <c r="Q427" s="243"/>
      <c r="R427" s="243"/>
      <c r="S427" s="243"/>
      <c r="T427" s="243"/>
      <c r="U427" s="243"/>
      <c r="V427" s="243"/>
      <c r="W427" s="243"/>
      <c r="X427" s="243"/>
      <c r="Y427" s="243"/>
      <c r="Z427" s="243"/>
      <c r="AA427" s="243"/>
      <c r="AB427" s="243"/>
      <c r="AC427" s="243"/>
      <c r="AD427" s="243"/>
    </row>
    <row r="428" ht="33.75" customHeight="1">
      <c r="A428" s="252"/>
      <c r="B428" s="252"/>
      <c r="C428" s="243"/>
      <c r="D428" s="252"/>
      <c r="E428" s="243"/>
      <c r="F428" s="243"/>
      <c r="G428" s="243"/>
      <c r="H428" s="243"/>
      <c r="I428" s="243"/>
      <c r="J428" s="243"/>
      <c r="K428" s="243"/>
      <c r="L428" s="243"/>
      <c r="M428" s="243"/>
      <c r="N428" s="243"/>
      <c r="O428" s="243"/>
      <c r="P428" s="243"/>
      <c r="Q428" s="243"/>
      <c r="R428" s="243"/>
      <c r="S428" s="243"/>
      <c r="T428" s="243"/>
      <c r="U428" s="243"/>
      <c r="V428" s="243"/>
      <c r="W428" s="243"/>
      <c r="X428" s="243"/>
      <c r="Y428" s="243"/>
      <c r="Z428" s="243"/>
      <c r="AA428" s="243"/>
      <c r="AB428" s="243"/>
      <c r="AC428" s="243"/>
      <c r="AD428" s="243"/>
    </row>
    <row r="429" ht="33.75" customHeight="1">
      <c r="A429" s="252"/>
      <c r="B429" s="252"/>
      <c r="C429" s="243"/>
      <c r="D429" s="252"/>
      <c r="E429" s="243"/>
      <c r="F429" s="243"/>
      <c r="G429" s="243"/>
      <c r="H429" s="243"/>
      <c r="I429" s="243"/>
      <c r="J429" s="243"/>
      <c r="K429" s="243"/>
      <c r="L429" s="243"/>
      <c r="M429" s="243"/>
      <c r="N429" s="243"/>
      <c r="O429" s="243"/>
      <c r="P429" s="243"/>
      <c r="Q429" s="243"/>
      <c r="R429" s="243"/>
      <c r="S429" s="243"/>
      <c r="T429" s="243"/>
      <c r="U429" s="243"/>
      <c r="V429" s="243"/>
      <c r="W429" s="243"/>
      <c r="X429" s="243"/>
      <c r="Y429" s="243"/>
      <c r="Z429" s="243"/>
      <c r="AA429" s="243"/>
      <c r="AB429" s="243"/>
      <c r="AC429" s="243"/>
      <c r="AD429" s="243"/>
    </row>
    <row r="430" ht="33.75" customHeight="1">
      <c r="A430" s="252"/>
      <c r="B430" s="252"/>
      <c r="C430" s="243"/>
      <c r="D430" s="252"/>
      <c r="E430" s="243"/>
      <c r="F430" s="243"/>
      <c r="G430" s="243"/>
      <c r="H430" s="243"/>
      <c r="I430" s="243"/>
      <c r="J430" s="243"/>
      <c r="K430" s="243"/>
      <c r="L430" s="243"/>
      <c r="M430" s="243"/>
      <c r="N430" s="243"/>
      <c r="O430" s="243"/>
      <c r="P430" s="243"/>
      <c r="Q430" s="243"/>
      <c r="R430" s="243"/>
      <c r="S430" s="243"/>
      <c r="T430" s="243"/>
      <c r="U430" s="243"/>
      <c r="V430" s="243"/>
      <c r="W430" s="243"/>
      <c r="X430" s="243"/>
      <c r="Y430" s="243"/>
      <c r="Z430" s="243"/>
      <c r="AA430" s="243"/>
      <c r="AB430" s="243"/>
      <c r="AC430" s="243"/>
      <c r="AD430" s="243"/>
    </row>
    <row r="431" ht="33.75" customHeight="1">
      <c r="A431" s="252"/>
      <c r="B431" s="252"/>
      <c r="C431" s="243"/>
      <c r="D431" s="252"/>
      <c r="E431" s="243"/>
      <c r="F431" s="243"/>
      <c r="G431" s="243"/>
      <c r="H431" s="243"/>
      <c r="I431" s="243"/>
      <c r="J431" s="243"/>
      <c r="K431" s="243"/>
      <c r="L431" s="243"/>
      <c r="M431" s="243"/>
      <c r="N431" s="243"/>
      <c r="O431" s="243"/>
      <c r="P431" s="243"/>
      <c r="Q431" s="243"/>
      <c r="R431" s="243"/>
      <c r="S431" s="243"/>
      <c r="T431" s="243"/>
      <c r="U431" s="243"/>
      <c r="V431" s="243"/>
      <c r="W431" s="243"/>
      <c r="X431" s="243"/>
      <c r="Y431" s="243"/>
      <c r="Z431" s="243"/>
      <c r="AA431" s="243"/>
      <c r="AB431" s="243"/>
      <c r="AC431" s="243"/>
      <c r="AD431" s="243"/>
    </row>
    <row r="432" ht="33.75" customHeight="1">
      <c r="A432" s="252"/>
      <c r="B432" s="252"/>
      <c r="C432" s="243"/>
      <c r="D432" s="252"/>
      <c r="E432" s="243"/>
      <c r="F432" s="243"/>
      <c r="G432" s="243"/>
      <c r="H432" s="243"/>
      <c r="I432" s="243"/>
      <c r="J432" s="243"/>
      <c r="K432" s="243"/>
      <c r="L432" s="243"/>
      <c r="M432" s="243"/>
      <c r="N432" s="243"/>
      <c r="O432" s="243"/>
      <c r="P432" s="243"/>
      <c r="Q432" s="243"/>
      <c r="R432" s="243"/>
      <c r="S432" s="243"/>
      <c r="T432" s="243"/>
      <c r="U432" s="243"/>
      <c r="V432" s="243"/>
      <c r="W432" s="243"/>
      <c r="X432" s="243"/>
      <c r="Y432" s="243"/>
      <c r="Z432" s="243"/>
      <c r="AA432" s="243"/>
      <c r="AB432" s="243"/>
      <c r="AC432" s="243"/>
      <c r="AD432" s="243"/>
    </row>
    <row r="433" ht="33.75" customHeight="1">
      <c r="A433" s="252"/>
      <c r="B433" s="252"/>
      <c r="C433" s="243"/>
      <c r="D433" s="252"/>
      <c r="E433" s="243"/>
      <c r="F433" s="243"/>
      <c r="G433" s="243"/>
      <c r="H433" s="243"/>
      <c r="I433" s="243"/>
      <c r="J433" s="243"/>
      <c r="K433" s="243"/>
      <c r="L433" s="243"/>
      <c r="M433" s="243"/>
      <c r="N433" s="243"/>
      <c r="O433" s="243"/>
      <c r="P433" s="243"/>
      <c r="Q433" s="243"/>
      <c r="R433" s="243"/>
      <c r="S433" s="243"/>
      <c r="T433" s="243"/>
      <c r="U433" s="243"/>
      <c r="V433" s="243"/>
      <c r="W433" s="243"/>
      <c r="X433" s="243"/>
      <c r="Y433" s="243"/>
      <c r="Z433" s="243"/>
      <c r="AA433" s="243"/>
      <c r="AB433" s="243"/>
      <c r="AC433" s="243"/>
      <c r="AD433" s="243"/>
    </row>
    <row r="434" ht="33.75" customHeight="1">
      <c r="A434" s="252"/>
      <c r="B434" s="252"/>
      <c r="C434" s="243"/>
      <c r="D434" s="252"/>
      <c r="E434" s="243"/>
      <c r="F434" s="243"/>
      <c r="G434" s="243"/>
      <c r="H434" s="243"/>
      <c r="I434" s="243"/>
      <c r="J434" s="243"/>
      <c r="K434" s="243"/>
      <c r="L434" s="243"/>
      <c r="M434" s="243"/>
      <c r="N434" s="243"/>
      <c r="O434" s="243"/>
      <c r="P434" s="243"/>
      <c r="Q434" s="243"/>
      <c r="R434" s="243"/>
      <c r="S434" s="243"/>
      <c r="T434" s="243"/>
      <c r="U434" s="243"/>
      <c r="V434" s="243"/>
      <c r="W434" s="243"/>
      <c r="X434" s="243"/>
      <c r="Y434" s="243"/>
      <c r="Z434" s="243"/>
      <c r="AA434" s="243"/>
      <c r="AB434" s="243"/>
      <c r="AC434" s="243"/>
      <c r="AD434" s="243"/>
    </row>
    <row r="435" ht="33.75" customHeight="1">
      <c r="A435" s="252"/>
      <c r="B435" s="252"/>
      <c r="C435" s="243"/>
      <c r="D435" s="252"/>
      <c r="E435" s="243"/>
      <c r="F435" s="243"/>
      <c r="G435" s="243"/>
      <c r="H435" s="243"/>
      <c r="I435" s="243"/>
      <c r="J435" s="243"/>
      <c r="K435" s="243"/>
      <c r="L435" s="243"/>
      <c r="M435" s="243"/>
      <c r="N435" s="243"/>
      <c r="O435" s="243"/>
      <c r="P435" s="243"/>
      <c r="Q435" s="243"/>
      <c r="R435" s="243"/>
      <c r="S435" s="243"/>
      <c r="T435" s="243"/>
      <c r="U435" s="243"/>
      <c r="V435" s="243"/>
      <c r="W435" s="243"/>
      <c r="X435" s="243"/>
      <c r="Y435" s="243"/>
      <c r="Z435" s="243"/>
      <c r="AA435" s="243"/>
      <c r="AB435" s="243"/>
      <c r="AC435" s="243"/>
      <c r="AD435" s="243"/>
    </row>
    <row r="436" ht="33.75" customHeight="1">
      <c r="A436" s="252"/>
      <c r="B436" s="252"/>
      <c r="C436" s="243"/>
      <c r="D436" s="252"/>
      <c r="E436" s="243"/>
      <c r="F436" s="243"/>
      <c r="G436" s="243"/>
      <c r="H436" s="243"/>
      <c r="I436" s="243"/>
      <c r="J436" s="243"/>
      <c r="K436" s="243"/>
      <c r="L436" s="243"/>
      <c r="M436" s="243"/>
      <c r="N436" s="243"/>
      <c r="O436" s="243"/>
      <c r="P436" s="243"/>
      <c r="Q436" s="243"/>
      <c r="R436" s="243"/>
      <c r="S436" s="243"/>
      <c r="T436" s="243"/>
      <c r="U436" s="243"/>
      <c r="V436" s="243"/>
      <c r="W436" s="243"/>
      <c r="X436" s="243"/>
      <c r="Y436" s="243"/>
      <c r="Z436" s="243"/>
      <c r="AA436" s="243"/>
      <c r="AB436" s="243"/>
      <c r="AC436" s="243"/>
      <c r="AD436" s="243"/>
    </row>
    <row r="437" ht="33.75" customHeight="1">
      <c r="A437" s="252"/>
      <c r="B437" s="252"/>
      <c r="C437" s="243"/>
      <c r="D437" s="252"/>
      <c r="E437" s="243"/>
      <c r="F437" s="243"/>
      <c r="G437" s="243"/>
      <c r="H437" s="243"/>
      <c r="I437" s="243"/>
      <c r="J437" s="243"/>
      <c r="K437" s="243"/>
      <c r="L437" s="243"/>
      <c r="M437" s="243"/>
      <c r="N437" s="243"/>
      <c r="O437" s="243"/>
      <c r="P437" s="243"/>
      <c r="Q437" s="243"/>
      <c r="R437" s="243"/>
      <c r="S437" s="243"/>
      <c r="T437" s="243"/>
      <c r="U437" s="243"/>
      <c r="V437" s="243"/>
      <c r="W437" s="243"/>
      <c r="X437" s="243"/>
      <c r="Y437" s="243"/>
      <c r="Z437" s="243"/>
      <c r="AA437" s="243"/>
      <c r="AB437" s="243"/>
      <c r="AC437" s="243"/>
      <c r="AD437" s="243"/>
    </row>
    <row r="438" ht="33.75" customHeight="1">
      <c r="A438" s="252"/>
      <c r="B438" s="252"/>
      <c r="C438" s="243"/>
      <c r="D438" s="252"/>
      <c r="E438" s="243"/>
      <c r="F438" s="243"/>
      <c r="G438" s="243"/>
      <c r="H438" s="243"/>
      <c r="I438" s="243"/>
      <c r="J438" s="243"/>
      <c r="K438" s="243"/>
      <c r="L438" s="243"/>
      <c r="M438" s="243"/>
      <c r="N438" s="243"/>
      <c r="O438" s="243"/>
      <c r="P438" s="243"/>
      <c r="Q438" s="243"/>
      <c r="R438" s="243"/>
      <c r="S438" s="243"/>
      <c r="T438" s="243"/>
      <c r="U438" s="243"/>
      <c r="V438" s="243"/>
      <c r="W438" s="243"/>
      <c r="X438" s="243"/>
      <c r="Y438" s="243"/>
      <c r="Z438" s="243"/>
      <c r="AA438" s="243"/>
      <c r="AB438" s="243"/>
      <c r="AC438" s="243"/>
      <c r="AD438" s="243"/>
    </row>
    <row r="439" ht="33.75" customHeight="1">
      <c r="A439" s="252"/>
      <c r="B439" s="252"/>
      <c r="C439" s="243"/>
      <c r="D439" s="252"/>
      <c r="E439" s="243"/>
      <c r="F439" s="243"/>
      <c r="G439" s="243"/>
      <c r="H439" s="243"/>
      <c r="I439" s="243"/>
      <c r="J439" s="243"/>
      <c r="K439" s="243"/>
      <c r="L439" s="243"/>
      <c r="M439" s="243"/>
      <c r="N439" s="243"/>
      <c r="O439" s="243"/>
      <c r="P439" s="243"/>
      <c r="Q439" s="243"/>
      <c r="R439" s="243"/>
      <c r="S439" s="243"/>
      <c r="T439" s="243"/>
      <c r="U439" s="243"/>
      <c r="V439" s="243"/>
      <c r="W439" s="243"/>
      <c r="X439" s="243"/>
      <c r="Y439" s="243"/>
      <c r="Z439" s="243"/>
      <c r="AA439" s="243"/>
      <c r="AB439" s="243"/>
      <c r="AC439" s="243"/>
      <c r="AD439" s="243"/>
    </row>
    <row r="440" ht="33.75" customHeight="1">
      <c r="A440" s="252"/>
      <c r="B440" s="252"/>
      <c r="C440" s="243"/>
      <c r="D440" s="252"/>
      <c r="E440" s="243"/>
      <c r="F440" s="243"/>
      <c r="G440" s="243"/>
      <c r="H440" s="243"/>
      <c r="I440" s="243"/>
      <c r="J440" s="243"/>
      <c r="K440" s="243"/>
      <c r="L440" s="243"/>
      <c r="M440" s="243"/>
      <c r="N440" s="243"/>
      <c r="O440" s="243"/>
      <c r="P440" s="243"/>
      <c r="Q440" s="243"/>
      <c r="R440" s="243"/>
      <c r="S440" s="243"/>
      <c r="T440" s="243"/>
      <c r="U440" s="243"/>
      <c r="V440" s="243"/>
      <c r="W440" s="243"/>
      <c r="X440" s="243"/>
      <c r="Y440" s="243"/>
      <c r="Z440" s="243"/>
      <c r="AA440" s="243"/>
      <c r="AB440" s="243"/>
      <c r="AC440" s="243"/>
      <c r="AD440" s="243"/>
    </row>
    <row r="441" ht="33.75" customHeight="1">
      <c r="A441" s="252"/>
      <c r="B441" s="252"/>
      <c r="C441" s="243"/>
      <c r="D441" s="252"/>
      <c r="E441" s="243"/>
      <c r="F441" s="243"/>
      <c r="G441" s="243"/>
      <c r="H441" s="243"/>
      <c r="I441" s="243"/>
      <c r="J441" s="243"/>
      <c r="K441" s="243"/>
      <c r="L441" s="243"/>
      <c r="M441" s="243"/>
      <c r="N441" s="243"/>
      <c r="O441" s="243"/>
      <c r="P441" s="243"/>
      <c r="Q441" s="243"/>
      <c r="R441" s="243"/>
      <c r="S441" s="243"/>
      <c r="T441" s="243"/>
      <c r="U441" s="243"/>
      <c r="V441" s="243"/>
      <c r="W441" s="243"/>
      <c r="X441" s="243"/>
      <c r="Y441" s="243"/>
      <c r="Z441" s="243"/>
      <c r="AA441" s="243"/>
      <c r="AB441" s="243"/>
      <c r="AC441" s="243"/>
      <c r="AD441" s="243"/>
    </row>
    <row r="442" ht="33.75" customHeight="1">
      <c r="A442" s="252"/>
      <c r="B442" s="252"/>
      <c r="C442" s="243"/>
      <c r="D442" s="252"/>
      <c r="E442" s="243"/>
      <c r="F442" s="243"/>
      <c r="G442" s="243"/>
      <c r="H442" s="243"/>
      <c r="I442" s="243"/>
      <c r="J442" s="243"/>
      <c r="K442" s="243"/>
      <c r="L442" s="243"/>
      <c r="M442" s="243"/>
      <c r="N442" s="243"/>
      <c r="O442" s="243"/>
      <c r="P442" s="243"/>
      <c r="Q442" s="243"/>
      <c r="R442" s="243"/>
      <c r="S442" s="243"/>
      <c r="T442" s="243"/>
      <c r="U442" s="243"/>
      <c r="V442" s="243"/>
      <c r="W442" s="243"/>
      <c r="X442" s="243"/>
      <c r="Y442" s="243"/>
      <c r="Z442" s="243"/>
      <c r="AA442" s="243"/>
      <c r="AB442" s="243"/>
      <c r="AC442" s="243"/>
      <c r="AD442" s="243"/>
    </row>
    <row r="443" ht="33.75" customHeight="1">
      <c r="A443" s="252"/>
      <c r="B443" s="252"/>
      <c r="C443" s="243"/>
      <c r="D443" s="252"/>
      <c r="E443" s="243"/>
      <c r="F443" s="243"/>
      <c r="G443" s="243"/>
      <c r="H443" s="243"/>
      <c r="I443" s="243"/>
      <c r="J443" s="243"/>
      <c r="K443" s="243"/>
      <c r="L443" s="243"/>
      <c r="M443" s="243"/>
      <c r="N443" s="243"/>
      <c r="O443" s="243"/>
      <c r="P443" s="243"/>
      <c r="Q443" s="243"/>
      <c r="R443" s="243"/>
      <c r="S443" s="243"/>
      <c r="T443" s="243"/>
      <c r="U443" s="243"/>
      <c r="V443" s="243"/>
      <c r="W443" s="243"/>
      <c r="X443" s="243"/>
      <c r="Y443" s="243"/>
      <c r="Z443" s="243"/>
      <c r="AA443" s="243"/>
      <c r="AB443" s="243"/>
      <c r="AC443" s="243"/>
      <c r="AD443" s="243"/>
    </row>
    <row r="444" ht="33.75" customHeight="1">
      <c r="A444" s="252"/>
      <c r="B444" s="252"/>
      <c r="C444" s="243"/>
      <c r="D444" s="252"/>
      <c r="E444" s="243"/>
      <c r="F444" s="243"/>
      <c r="G444" s="243"/>
      <c r="H444" s="243"/>
      <c r="I444" s="243"/>
      <c r="J444" s="243"/>
      <c r="K444" s="243"/>
      <c r="L444" s="243"/>
      <c r="M444" s="243"/>
      <c r="N444" s="243"/>
      <c r="O444" s="243"/>
      <c r="P444" s="243"/>
      <c r="Q444" s="243"/>
      <c r="R444" s="243"/>
      <c r="S444" s="243"/>
      <c r="T444" s="243"/>
      <c r="U444" s="243"/>
      <c r="V444" s="243"/>
      <c r="W444" s="243"/>
      <c r="X444" s="243"/>
      <c r="Y444" s="243"/>
      <c r="Z444" s="243"/>
      <c r="AA444" s="243"/>
      <c r="AB444" s="243"/>
      <c r="AC444" s="243"/>
      <c r="AD444" s="243"/>
    </row>
    <row r="445" ht="33.75" customHeight="1">
      <c r="A445" s="252"/>
      <c r="B445" s="252"/>
      <c r="C445" s="243"/>
      <c r="D445" s="252"/>
      <c r="E445" s="243"/>
      <c r="F445" s="243"/>
      <c r="G445" s="243"/>
      <c r="H445" s="243"/>
      <c r="I445" s="243"/>
      <c r="J445" s="243"/>
      <c r="K445" s="243"/>
      <c r="L445" s="243"/>
      <c r="M445" s="243"/>
      <c r="N445" s="243"/>
      <c r="O445" s="243"/>
      <c r="P445" s="243"/>
      <c r="Q445" s="243"/>
      <c r="R445" s="243"/>
      <c r="S445" s="243"/>
      <c r="T445" s="243"/>
      <c r="U445" s="243"/>
      <c r="V445" s="243"/>
      <c r="W445" s="243"/>
      <c r="X445" s="243"/>
      <c r="Y445" s="243"/>
      <c r="Z445" s="243"/>
      <c r="AA445" s="243"/>
      <c r="AB445" s="243"/>
      <c r="AC445" s="243"/>
      <c r="AD445" s="243"/>
    </row>
    <row r="446" ht="33.75" customHeight="1">
      <c r="A446" s="252"/>
      <c r="B446" s="252"/>
      <c r="C446" s="243"/>
      <c r="D446" s="252"/>
      <c r="E446" s="243"/>
      <c r="F446" s="243"/>
      <c r="G446" s="243"/>
      <c r="H446" s="243"/>
      <c r="I446" s="243"/>
      <c r="J446" s="243"/>
      <c r="K446" s="243"/>
      <c r="L446" s="243"/>
      <c r="M446" s="243"/>
      <c r="N446" s="243"/>
      <c r="O446" s="243"/>
      <c r="P446" s="243"/>
      <c r="Q446" s="243"/>
      <c r="R446" s="243"/>
      <c r="S446" s="243"/>
      <c r="T446" s="243"/>
      <c r="U446" s="243"/>
      <c r="V446" s="243"/>
      <c r="W446" s="243"/>
      <c r="X446" s="243"/>
      <c r="Y446" s="243"/>
      <c r="Z446" s="243"/>
      <c r="AA446" s="243"/>
      <c r="AB446" s="243"/>
      <c r="AC446" s="243"/>
      <c r="AD446" s="243"/>
    </row>
    <row r="447" ht="33.75" customHeight="1">
      <c r="A447" s="252"/>
      <c r="B447" s="252"/>
      <c r="C447" s="243"/>
      <c r="D447" s="252"/>
      <c r="E447" s="243"/>
      <c r="F447" s="243"/>
      <c r="G447" s="243"/>
      <c r="H447" s="243"/>
      <c r="I447" s="243"/>
      <c r="J447" s="243"/>
      <c r="K447" s="243"/>
      <c r="L447" s="243"/>
      <c r="M447" s="243"/>
      <c r="N447" s="243"/>
      <c r="O447" s="243"/>
      <c r="P447" s="243"/>
      <c r="Q447" s="243"/>
      <c r="R447" s="243"/>
      <c r="S447" s="243"/>
      <c r="T447" s="243"/>
      <c r="U447" s="243"/>
      <c r="V447" s="243"/>
      <c r="W447" s="243"/>
      <c r="X447" s="243"/>
      <c r="Y447" s="243"/>
      <c r="Z447" s="243"/>
      <c r="AA447" s="243"/>
      <c r="AB447" s="243"/>
      <c r="AC447" s="243"/>
      <c r="AD447" s="243"/>
    </row>
    <row r="448" ht="33.75" customHeight="1">
      <c r="A448" s="252"/>
      <c r="B448" s="252"/>
      <c r="C448" s="243"/>
      <c r="D448" s="252"/>
      <c r="E448" s="243"/>
      <c r="F448" s="243"/>
      <c r="G448" s="243"/>
      <c r="H448" s="243"/>
      <c r="I448" s="243"/>
      <c r="J448" s="243"/>
      <c r="K448" s="243"/>
      <c r="L448" s="243"/>
      <c r="M448" s="243"/>
      <c r="N448" s="243"/>
      <c r="O448" s="243"/>
      <c r="P448" s="243"/>
      <c r="Q448" s="243"/>
      <c r="R448" s="243"/>
      <c r="S448" s="243"/>
      <c r="T448" s="243"/>
      <c r="U448" s="243"/>
      <c r="V448" s="243"/>
      <c r="W448" s="243"/>
      <c r="X448" s="243"/>
      <c r="Y448" s="243"/>
      <c r="Z448" s="243"/>
      <c r="AA448" s="243"/>
      <c r="AB448" s="243"/>
      <c r="AC448" s="243"/>
      <c r="AD448" s="243"/>
    </row>
    <row r="449" ht="33.75" customHeight="1">
      <c r="A449" s="252"/>
      <c r="B449" s="252"/>
      <c r="C449" s="243"/>
      <c r="D449" s="252"/>
      <c r="E449" s="243"/>
      <c r="F449" s="243"/>
      <c r="G449" s="243"/>
      <c r="H449" s="243"/>
      <c r="I449" s="243"/>
      <c r="J449" s="243"/>
      <c r="K449" s="243"/>
      <c r="L449" s="243"/>
      <c r="M449" s="243"/>
      <c r="N449" s="243"/>
      <c r="O449" s="243"/>
      <c r="P449" s="243"/>
      <c r="Q449" s="243"/>
      <c r="R449" s="243"/>
      <c r="S449" s="243"/>
      <c r="T449" s="243"/>
      <c r="U449" s="243"/>
      <c r="V449" s="243"/>
      <c r="W449" s="243"/>
      <c r="X449" s="243"/>
      <c r="Y449" s="243"/>
      <c r="Z449" s="243"/>
      <c r="AA449" s="243"/>
      <c r="AB449" s="243"/>
      <c r="AC449" s="243"/>
      <c r="AD449" s="243"/>
    </row>
    <row r="450" ht="33.75" customHeight="1">
      <c r="A450" s="252"/>
      <c r="B450" s="252"/>
      <c r="C450" s="243"/>
      <c r="D450" s="252"/>
      <c r="E450" s="243"/>
      <c r="F450" s="243"/>
      <c r="G450" s="243"/>
      <c r="H450" s="243"/>
      <c r="I450" s="243"/>
      <c r="J450" s="243"/>
      <c r="K450" s="243"/>
      <c r="L450" s="243"/>
      <c r="M450" s="243"/>
      <c r="N450" s="243"/>
      <c r="O450" s="243"/>
      <c r="P450" s="243"/>
      <c r="Q450" s="243"/>
      <c r="R450" s="243"/>
      <c r="S450" s="243"/>
      <c r="T450" s="243"/>
      <c r="U450" s="243"/>
      <c r="V450" s="243"/>
      <c r="W450" s="243"/>
      <c r="X450" s="243"/>
      <c r="Y450" s="243"/>
      <c r="Z450" s="243"/>
      <c r="AA450" s="243"/>
      <c r="AB450" s="243"/>
      <c r="AC450" s="243"/>
      <c r="AD450" s="243"/>
    </row>
    <row r="451" ht="33.75" customHeight="1">
      <c r="A451" s="252"/>
      <c r="B451" s="252"/>
      <c r="C451" s="243"/>
      <c r="D451" s="252"/>
      <c r="E451" s="243"/>
      <c r="F451" s="243"/>
      <c r="G451" s="243"/>
      <c r="H451" s="243"/>
      <c r="I451" s="243"/>
      <c r="J451" s="243"/>
      <c r="K451" s="243"/>
      <c r="L451" s="243"/>
      <c r="M451" s="243"/>
      <c r="N451" s="243"/>
      <c r="O451" s="243"/>
      <c r="P451" s="243"/>
      <c r="Q451" s="243"/>
      <c r="R451" s="243"/>
      <c r="S451" s="243"/>
      <c r="T451" s="243"/>
      <c r="U451" s="243"/>
      <c r="V451" s="243"/>
      <c r="W451" s="243"/>
      <c r="X451" s="243"/>
      <c r="Y451" s="243"/>
      <c r="Z451" s="243"/>
      <c r="AA451" s="243"/>
      <c r="AB451" s="243"/>
      <c r="AC451" s="243"/>
      <c r="AD451" s="243"/>
    </row>
    <row r="452" ht="33.75" customHeight="1">
      <c r="A452" s="252"/>
      <c r="B452" s="252"/>
      <c r="C452" s="243"/>
      <c r="D452" s="252"/>
      <c r="E452" s="243"/>
      <c r="F452" s="243"/>
      <c r="G452" s="243"/>
      <c r="H452" s="243"/>
      <c r="I452" s="243"/>
      <c r="J452" s="243"/>
      <c r="K452" s="243"/>
      <c r="L452" s="243"/>
      <c r="M452" s="243"/>
      <c r="N452" s="243"/>
      <c r="O452" s="243"/>
      <c r="P452" s="243"/>
      <c r="Q452" s="243"/>
      <c r="R452" s="243"/>
      <c r="S452" s="243"/>
      <c r="T452" s="243"/>
      <c r="U452" s="243"/>
      <c r="V452" s="243"/>
      <c r="W452" s="243"/>
      <c r="X452" s="243"/>
      <c r="Y452" s="243"/>
      <c r="Z452" s="243"/>
      <c r="AA452" s="243"/>
      <c r="AB452" s="243"/>
      <c r="AC452" s="243"/>
      <c r="AD452" s="243"/>
    </row>
    <row r="453" ht="33.75" customHeight="1">
      <c r="A453" s="252"/>
      <c r="B453" s="252"/>
      <c r="C453" s="243"/>
      <c r="D453" s="252"/>
      <c r="E453" s="243"/>
      <c r="F453" s="243"/>
      <c r="G453" s="243"/>
      <c r="H453" s="243"/>
      <c r="I453" s="243"/>
      <c r="J453" s="243"/>
      <c r="K453" s="243"/>
      <c r="L453" s="243"/>
      <c r="M453" s="243"/>
      <c r="N453" s="243"/>
      <c r="O453" s="243"/>
      <c r="P453" s="243"/>
      <c r="Q453" s="243"/>
      <c r="R453" s="243"/>
      <c r="S453" s="243"/>
      <c r="T453" s="243"/>
      <c r="U453" s="243"/>
      <c r="V453" s="243"/>
      <c r="W453" s="243"/>
      <c r="X453" s="243"/>
      <c r="Y453" s="243"/>
      <c r="Z453" s="243"/>
      <c r="AA453" s="243"/>
      <c r="AB453" s="243"/>
      <c r="AC453" s="243"/>
      <c r="AD453" s="243"/>
    </row>
    <row r="454" ht="33.75" customHeight="1">
      <c r="A454" s="252"/>
      <c r="B454" s="252"/>
      <c r="C454" s="243"/>
      <c r="D454" s="252"/>
      <c r="E454" s="243"/>
      <c r="F454" s="243"/>
      <c r="G454" s="243"/>
      <c r="H454" s="243"/>
      <c r="I454" s="243"/>
      <c r="J454" s="243"/>
      <c r="K454" s="243"/>
      <c r="L454" s="243"/>
      <c r="M454" s="243"/>
      <c r="N454" s="243"/>
      <c r="O454" s="243"/>
      <c r="P454" s="243"/>
      <c r="Q454" s="243"/>
      <c r="R454" s="243"/>
      <c r="S454" s="243"/>
      <c r="T454" s="243"/>
      <c r="U454" s="243"/>
      <c r="V454" s="243"/>
      <c r="W454" s="243"/>
      <c r="X454" s="243"/>
      <c r="Y454" s="243"/>
      <c r="Z454" s="243"/>
      <c r="AA454" s="243"/>
      <c r="AB454" s="243"/>
      <c r="AC454" s="243"/>
      <c r="AD454" s="243"/>
    </row>
    <row r="455" ht="33.75" customHeight="1">
      <c r="A455" s="252"/>
      <c r="B455" s="252"/>
      <c r="C455" s="243"/>
      <c r="D455" s="252"/>
      <c r="E455" s="243"/>
      <c r="F455" s="243"/>
      <c r="G455" s="243"/>
      <c r="H455" s="243"/>
      <c r="I455" s="243"/>
      <c r="J455" s="243"/>
      <c r="K455" s="243"/>
      <c r="L455" s="243"/>
      <c r="M455" s="243"/>
      <c r="N455" s="243"/>
      <c r="O455" s="243"/>
      <c r="P455" s="243"/>
      <c r="Q455" s="243"/>
      <c r="R455" s="243"/>
      <c r="S455" s="243"/>
      <c r="T455" s="243"/>
      <c r="U455" s="243"/>
      <c r="V455" s="243"/>
      <c r="W455" s="243"/>
      <c r="X455" s="243"/>
      <c r="Y455" s="243"/>
      <c r="Z455" s="243"/>
      <c r="AA455" s="243"/>
      <c r="AB455" s="243"/>
      <c r="AC455" s="243"/>
      <c r="AD455" s="243"/>
    </row>
    <row r="456" ht="33.75" customHeight="1">
      <c r="A456" s="252"/>
      <c r="B456" s="252"/>
      <c r="C456" s="243"/>
      <c r="D456" s="252"/>
      <c r="E456" s="243"/>
      <c r="F456" s="243"/>
      <c r="G456" s="243"/>
      <c r="H456" s="243"/>
      <c r="I456" s="243"/>
      <c r="J456" s="243"/>
      <c r="K456" s="243"/>
      <c r="L456" s="243"/>
      <c r="M456" s="243"/>
      <c r="N456" s="243"/>
      <c r="O456" s="243"/>
      <c r="P456" s="243"/>
      <c r="Q456" s="243"/>
      <c r="R456" s="243"/>
      <c r="S456" s="243"/>
      <c r="T456" s="243"/>
      <c r="U456" s="243"/>
      <c r="V456" s="243"/>
      <c r="W456" s="243"/>
      <c r="X456" s="243"/>
      <c r="Y456" s="243"/>
      <c r="Z456" s="243"/>
      <c r="AA456" s="243"/>
      <c r="AB456" s="243"/>
      <c r="AC456" s="243"/>
      <c r="AD456" s="243"/>
    </row>
    <row r="457" ht="33.75" customHeight="1">
      <c r="A457" s="252"/>
      <c r="B457" s="252"/>
      <c r="C457" s="243"/>
      <c r="D457" s="252"/>
      <c r="E457" s="243"/>
      <c r="F457" s="243"/>
      <c r="G457" s="243"/>
      <c r="H457" s="243"/>
      <c r="I457" s="243"/>
      <c r="J457" s="243"/>
      <c r="K457" s="243"/>
      <c r="L457" s="243"/>
      <c r="M457" s="243"/>
      <c r="N457" s="243"/>
      <c r="O457" s="243"/>
      <c r="P457" s="243"/>
      <c r="Q457" s="243"/>
      <c r="R457" s="243"/>
      <c r="S457" s="243"/>
      <c r="T457" s="243"/>
      <c r="U457" s="243"/>
      <c r="V457" s="243"/>
      <c r="W457" s="243"/>
      <c r="X457" s="243"/>
      <c r="Y457" s="243"/>
      <c r="Z457" s="243"/>
      <c r="AA457" s="243"/>
      <c r="AB457" s="243"/>
      <c r="AC457" s="243"/>
      <c r="AD457" s="243"/>
    </row>
    <row r="458" ht="33.75" customHeight="1">
      <c r="A458" s="252"/>
      <c r="B458" s="252"/>
      <c r="C458" s="243"/>
      <c r="D458" s="252"/>
      <c r="E458" s="243"/>
      <c r="F458" s="243"/>
      <c r="G458" s="243"/>
      <c r="H458" s="243"/>
      <c r="I458" s="243"/>
      <c r="J458" s="243"/>
      <c r="K458" s="243"/>
      <c r="L458" s="243"/>
      <c r="M458" s="243"/>
      <c r="N458" s="243"/>
      <c r="O458" s="243"/>
      <c r="P458" s="243"/>
      <c r="Q458" s="243"/>
      <c r="R458" s="243"/>
      <c r="S458" s="243"/>
      <c r="T458" s="243"/>
      <c r="U458" s="243"/>
      <c r="V458" s="243"/>
      <c r="W458" s="243"/>
      <c r="X458" s="243"/>
      <c r="Y458" s="243"/>
      <c r="Z458" s="243"/>
      <c r="AA458" s="243"/>
      <c r="AB458" s="243"/>
      <c r="AC458" s="243"/>
      <c r="AD458" s="243"/>
    </row>
    <row r="459" ht="33.75" customHeight="1">
      <c r="A459" s="252"/>
      <c r="B459" s="252"/>
      <c r="C459" s="243"/>
      <c r="D459" s="252"/>
      <c r="E459" s="243"/>
      <c r="F459" s="243"/>
      <c r="G459" s="243"/>
      <c r="H459" s="243"/>
      <c r="I459" s="243"/>
      <c r="J459" s="243"/>
      <c r="K459" s="243"/>
      <c r="L459" s="243"/>
      <c r="M459" s="243"/>
      <c r="N459" s="243"/>
      <c r="O459" s="243"/>
      <c r="P459" s="243"/>
      <c r="Q459" s="243"/>
      <c r="R459" s="243"/>
      <c r="S459" s="243"/>
      <c r="T459" s="243"/>
      <c r="U459" s="243"/>
      <c r="V459" s="243"/>
      <c r="W459" s="243"/>
      <c r="X459" s="243"/>
      <c r="Y459" s="243"/>
      <c r="Z459" s="243"/>
      <c r="AA459" s="243"/>
      <c r="AB459" s="243"/>
      <c r="AC459" s="243"/>
      <c r="AD459" s="243"/>
    </row>
    <row r="460" ht="33.75" customHeight="1">
      <c r="A460" s="252"/>
      <c r="B460" s="252"/>
      <c r="C460" s="243"/>
      <c r="D460" s="252"/>
      <c r="E460" s="243"/>
      <c r="F460" s="243"/>
      <c r="G460" s="243"/>
      <c r="H460" s="243"/>
      <c r="I460" s="243"/>
      <c r="J460" s="243"/>
      <c r="K460" s="243"/>
      <c r="L460" s="243"/>
      <c r="M460" s="243"/>
      <c r="N460" s="243"/>
      <c r="O460" s="243"/>
      <c r="P460" s="243"/>
      <c r="Q460" s="243"/>
      <c r="R460" s="243"/>
      <c r="S460" s="243"/>
      <c r="T460" s="243"/>
      <c r="U460" s="243"/>
      <c r="V460" s="243"/>
      <c r="W460" s="243"/>
      <c r="X460" s="243"/>
      <c r="Y460" s="243"/>
      <c r="Z460" s="243"/>
      <c r="AA460" s="243"/>
      <c r="AB460" s="243"/>
      <c r="AC460" s="243"/>
      <c r="AD460" s="243"/>
    </row>
    <row r="461" ht="33.75" customHeight="1">
      <c r="A461" s="252"/>
      <c r="B461" s="252"/>
      <c r="C461" s="243"/>
      <c r="D461" s="252"/>
      <c r="E461" s="243"/>
      <c r="F461" s="243"/>
      <c r="G461" s="243"/>
      <c r="H461" s="243"/>
      <c r="I461" s="243"/>
      <c r="J461" s="243"/>
      <c r="K461" s="243"/>
      <c r="L461" s="243"/>
      <c r="M461" s="243"/>
      <c r="N461" s="243"/>
      <c r="O461" s="243"/>
      <c r="P461" s="243"/>
      <c r="Q461" s="243"/>
      <c r="R461" s="243"/>
      <c r="S461" s="243"/>
      <c r="T461" s="243"/>
      <c r="U461" s="243"/>
      <c r="V461" s="243"/>
      <c r="W461" s="243"/>
      <c r="X461" s="243"/>
      <c r="Y461" s="243"/>
      <c r="Z461" s="243"/>
      <c r="AA461" s="243"/>
      <c r="AB461" s="243"/>
      <c r="AC461" s="243"/>
      <c r="AD461" s="243"/>
    </row>
    <row r="462" ht="33.75" customHeight="1">
      <c r="A462" s="252"/>
      <c r="B462" s="252"/>
      <c r="C462" s="243"/>
      <c r="D462" s="252"/>
      <c r="E462" s="243"/>
      <c r="F462" s="243"/>
      <c r="G462" s="243"/>
      <c r="H462" s="243"/>
      <c r="I462" s="243"/>
      <c r="J462" s="243"/>
      <c r="K462" s="243"/>
      <c r="L462" s="243"/>
      <c r="M462" s="243"/>
      <c r="N462" s="243"/>
      <c r="O462" s="243"/>
      <c r="P462" s="243"/>
      <c r="Q462" s="243"/>
      <c r="R462" s="243"/>
      <c r="S462" s="243"/>
      <c r="T462" s="243"/>
      <c r="U462" s="243"/>
      <c r="V462" s="243"/>
      <c r="W462" s="243"/>
      <c r="X462" s="243"/>
      <c r="Y462" s="243"/>
      <c r="Z462" s="243"/>
      <c r="AA462" s="243"/>
      <c r="AB462" s="243"/>
      <c r="AC462" s="243"/>
      <c r="AD462" s="243"/>
    </row>
    <row r="463" ht="33.75" customHeight="1">
      <c r="A463" s="252"/>
      <c r="B463" s="252"/>
      <c r="C463" s="243"/>
      <c r="D463" s="252"/>
      <c r="E463" s="243"/>
      <c r="F463" s="243"/>
      <c r="G463" s="243"/>
      <c r="H463" s="243"/>
      <c r="I463" s="243"/>
      <c r="J463" s="243"/>
      <c r="K463" s="243"/>
      <c r="L463" s="243"/>
      <c r="M463" s="243"/>
      <c r="N463" s="243"/>
      <c r="O463" s="243"/>
      <c r="P463" s="243"/>
      <c r="Q463" s="243"/>
      <c r="R463" s="243"/>
      <c r="S463" s="243"/>
      <c r="T463" s="243"/>
      <c r="U463" s="243"/>
      <c r="V463" s="243"/>
      <c r="W463" s="243"/>
      <c r="X463" s="243"/>
      <c r="Y463" s="243"/>
      <c r="Z463" s="243"/>
      <c r="AA463" s="243"/>
      <c r="AB463" s="243"/>
      <c r="AC463" s="243"/>
      <c r="AD463" s="243"/>
    </row>
    <row r="464" ht="33.75" customHeight="1">
      <c r="A464" s="252"/>
      <c r="B464" s="252"/>
      <c r="C464" s="243"/>
      <c r="D464" s="252"/>
      <c r="E464" s="243"/>
      <c r="F464" s="243"/>
      <c r="G464" s="243"/>
      <c r="H464" s="243"/>
      <c r="I464" s="243"/>
      <c r="J464" s="243"/>
      <c r="K464" s="243"/>
      <c r="L464" s="243"/>
      <c r="M464" s="243"/>
      <c r="N464" s="243"/>
      <c r="O464" s="243"/>
      <c r="P464" s="243"/>
      <c r="Q464" s="243"/>
      <c r="R464" s="243"/>
      <c r="S464" s="243"/>
      <c r="T464" s="243"/>
      <c r="U464" s="243"/>
      <c r="V464" s="243"/>
      <c r="W464" s="243"/>
      <c r="X464" s="243"/>
      <c r="Y464" s="243"/>
      <c r="Z464" s="243"/>
      <c r="AA464" s="243"/>
      <c r="AB464" s="243"/>
      <c r="AC464" s="243"/>
      <c r="AD464" s="243"/>
    </row>
    <row r="465" ht="33.75" customHeight="1">
      <c r="A465" s="252"/>
      <c r="B465" s="252"/>
      <c r="C465" s="243"/>
      <c r="D465" s="252"/>
      <c r="E465" s="243"/>
      <c r="F465" s="243"/>
      <c r="G465" s="243"/>
      <c r="H465" s="243"/>
      <c r="I465" s="243"/>
      <c r="J465" s="243"/>
      <c r="K465" s="243"/>
      <c r="L465" s="243"/>
      <c r="M465" s="243"/>
      <c r="N465" s="243"/>
      <c r="O465" s="243"/>
      <c r="P465" s="243"/>
      <c r="Q465" s="243"/>
      <c r="R465" s="243"/>
      <c r="S465" s="243"/>
      <c r="T465" s="243"/>
      <c r="U465" s="243"/>
      <c r="V465" s="243"/>
      <c r="W465" s="243"/>
      <c r="X465" s="243"/>
      <c r="Y465" s="243"/>
      <c r="Z465" s="243"/>
      <c r="AA465" s="243"/>
      <c r="AB465" s="243"/>
      <c r="AC465" s="243"/>
      <c r="AD465" s="243"/>
    </row>
    <row r="466" ht="33.75" customHeight="1">
      <c r="A466" s="252"/>
      <c r="B466" s="252"/>
      <c r="C466" s="243"/>
      <c r="D466" s="252"/>
      <c r="E466" s="243"/>
      <c r="F466" s="243"/>
      <c r="G466" s="243"/>
      <c r="H466" s="243"/>
      <c r="I466" s="243"/>
      <c r="J466" s="243"/>
      <c r="K466" s="243"/>
      <c r="L466" s="243"/>
      <c r="M466" s="243"/>
      <c r="N466" s="243"/>
      <c r="O466" s="243"/>
      <c r="P466" s="243"/>
      <c r="Q466" s="243"/>
      <c r="R466" s="243"/>
      <c r="S466" s="243"/>
      <c r="T466" s="243"/>
      <c r="U466" s="243"/>
      <c r="V466" s="243"/>
      <c r="W466" s="243"/>
      <c r="X466" s="243"/>
      <c r="Y466" s="243"/>
      <c r="Z466" s="243"/>
      <c r="AA466" s="243"/>
      <c r="AB466" s="243"/>
      <c r="AC466" s="243"/>
      <c r="AD466" s="243"/>
    </row>
    <row r="467" ht="33.75" customHeight="1">
      <c r="A467" s="252"/>
      <c r="B467" s="252"/>
      <c r="C467" s="243"/>
      <c r="D467" s="252"/>
      <c r="E467" s="243"/>
      <c r="F467" s="243"/>
      <c r="G467" s="243"/>
      <c r="H467" s="243"/>
      <c r="I467" s="243"/>
      <c r="J467" s="243"/>
      <c r="K467" s="243"/>
      <c r="L467" s="243"/>
      <c r="M467" s="243"/>
      <c r="N467" s="243"/>
      <c r="O467" s="243"/>
      <c r="P467" s="243"/>
      <c r="Q467" s="243"/>
      <c r="R467" s="243"/>
      <c r="S467" s="243"/>
      <c r="T467" s="243"/>
      <c r="U467" s="243"/>
      <c r="V467" s="243"/>
      <c r="W467" s="243"/>
      <c r="X467" s="243"/>
      <c r="Y467" s="243"/>
      <c r="Z467" s="243"/>
      <c r="AA467" s="243"/>
      <c r="AB467" s="243"/>
      <c r="AC467" s="243"/>
      <c r="AD467" s="243"/>
    </row>
    <row r="468" ht="33.75" customHeight="1">
      <c r="A468" s="252"/>
      <c r="B468" s="252"/>
      <c r="C468" s="243"/>
      <c r="D468" s="252"/>
      <c r="E468" s="243"/>
      <c r="F468" s="243"/>
      <c r="G468" s="243"/>
      <c r="H468" s="243"/>
      <c r="I468" s="243"/>
      <c r="J468" s="243"/>
      <c r="K468" s="243"/>
      <c r="L468" s="243"/>
      <c r="M468" s="243"/>
      <c r="N468" s="243"/>
      <c r="O468" s="243"/>
      <c r="P468" s="243"/>
      <c r="Q468" s="243"/>
      <c r="R468" s="243"/>
      <c r="S468" s="243"/>
      <c r="T468" s="243"/>
      <c r="U468" s="243"/>
      <c r="V468" s="243"/>
      <c r="W468" s="243"/>
      <c r="X468" s="243"/>
      <c r="Y468" s="243"/>
      <c r="Z468" s="243"/>
      <c r="AA468" s="243"/>
      <c r="AB468" s="243"/>
      <c r="AC468" s="243"/>
      <c r="AD468" s="243"/>
    </row>
    <row r="469" ht="33.75" customHeight="1">
      <c r="A469" s="252"/>
      <c r="B469" s="252"/>
      <c r="C469" s="243"/>
      <c r="D469" s="252"/>
      <c r="E469" s="243"/>
      <c r="F469" s="243"/>
      <c r="G469" s="243"/>
      <c r="H469" s="243"/>
      <c r="I469" s="243"/>
      <c r="J469" s="243"/>
      <c r="K469" s="243"/>
      <c r="L469" s="243"/>
      <c r="M469" s="243"/>
      <c r="N469" s="243"/>
      <c r="O469" s="243"/>
      <c r="P469" s="243"/>
      <c r="Q469" s="243"/>
      <c r="R469" s="243"/>
      <c r="S469" s="243"/>
      <c r="T469" s="243"/>
      <c r="U469" s="243"/>
      <c r="V469" s="243"/>
      <c r="W469" s="243"/>
      <c r="X469" s="243"/>
      <c r="Y469" s="243"/>
      <c r="Z469" s="243"/>
      <c r="AA469" s="243"/>
      <c r="AB469" s="243"/>
      <c r="AC469" s="243"/>
      <c r="AD469" s="243"/>
    </row>
    <row r="470" ht="33.75" customHeight="1">
      <c r="A470" s="252"/>
      <c r="B470" s="252"/>
      <c r="C470" s="243"/>
      <c r="D470" s="252"/>
      <c r="E470" s="243"/>
      <c r="F470" s="243"/>
      <c r="G470" s="243"/>
      <c r="H470" s="243"/>
      <c r="I470" s="243"/>
      <c r="J470" s="243"/>
      <c r="K470" s="243"/>
      <c r="L470" s="243"/>
      <c r="M470" s="243"/>
      <c r="N470" s="243"/>
      <c r="O470" s="243"/>
      <c r="P470" s="243"/>
      <c r="Q470" s="243"/>
      <c r="R470" s="243"/>
      <c r="S470" s="243"/>
      <c r="T470" s="243"/>
      <c r="U470" s="243"/>
      <c r="V470" s="243"/>
      <c r="W470" s="243"/>
      <c r="X470" s="243"/>
      <c r="Y470" s="243"/>
      <c r="Z470" s="243"/>
      <c r="AA470" s="243"/>
      <c r="AB470" s="243"/>
      <c r="AC470" s="243"/>
      <c r="AD470" s="243"/>
    </row>
    <row r="471" ht="33.75" customHeight="1">
      <c r="A471" s="252"/>
      <c r="B471" s="252"/>
      <c r="C471" s="243"/>
      <c r="D471" s="252"/>
      <c r="E471" s="243"/>
      <c r="F471" s="243"/>
      <c r="G471" s="243"/>
      <c r="H471" s="243"/>
      <c r="I471" s="243"/>
      <c r="J471" s="243"/>
      <c r="K471" s="243"/>
      <c r="L471" s="243"/>
      <c r="M471" s="243"/>
      <c r="N471" s="243"/>
      <c r="O471" s="243"/>
      <c r="P471" s="243"/>
      <c r="Q471" s="243"/>
      <c r="R471" s="243"/>
      <c r="S471" s="243"/>
      <c r="T471" s="243"/>
      <c r="U471" s="243"/>
      <c r="V471" s="243"/>
      <c r="W471" s="243"/>
      <c r="X471" s="243"/>
      <c r="Y471" s="243"/>
      <c r="Z471" s="243"/>
      <c r="AA471" s="243"/>
      <c r="AB471" s="243"/>
      <c r="AC471" s="243"/>
      <c r="AD471" s="243"/>
    </row>
    <row r="472" ht="33.75" customHeight="1">
      <c r="A472" s="252"/>
      <c r="B472" s="252"/>
      <c r="C472" s="243"/>
      <c r="D472" s="252"/>
      <c r="E472" s="243"/>
      <c r="F472" s="243"/>
      <c r="G472" s="243"/>
      <c r="H472" s="243"/>
      <c r="I472" s="243"/>
      <c r="J472" s="243"/>
      <c r="K472" s="243"/>
      <c r="L472" s="243"/>
      <c r="M472" s="243"/>
      <c r="N472" s="243"/>
      <c r="O472" s="243"/>
      <c r="P472" s="243"/>
      <c r="Q472" s="243"/>
      <c r="R472" s="243"/>
      <c r="S472" s="243"/>
      <c r="T472" s="243"/>
      <c r="U472" s="243"/>
      <c r="V472" s="243"/>
      <c r="W472" s="243"/>
      <c r="X472" s="243"/>
      <c r="Y472" s="243"/>
      <c r="Z472" s="243"/>
      <c r="AA472" s="243"/>
      <c r="AB472" s="243"/>
      <c r="AC472" s="243"/>
      <c r="AD472" s="243"/>
    </row>
    <row r="473" ht="33.75" customHeight="1">
      <c r="A473" s="252"/>
      <c r="B473" s="252"/>
      <c r="C473" s="243"/>
      <c r="D473" s="252"/>
      <c r="E473" s="243"/>
      <c r="F473" s="243"/>
      <c r="G473" s="243"/>
      <c r="H473" s="243"/>
      <c r="I473" s="243"/>
      <c r="J473" s="243"/>
      <c r="K473" s="243"/>
      <c r="L473" s="243"/>
      <c r="M473" s="243"/>
      <c r="N473" s="243"/>
      <c r="O473" s="243"/>
      <c r="P473" s="243"/>
      <c r="Q473" s="243"/>
      <c r="R473" s="243"/>
      <c r="S473" s="243"/>
      <c r="T473" s="243"/>
      <c r="U473" s="243"/>
      <c r="V473" s="243"/>
      <c r="W473" s="243"/>
      <c r="X473" s="243"/>
      <c r="Y473" s="243"/>
      <c r="Z473" s="243"/>
      <c r="AA473" s="243"/>
      <c r="AB473" s="243"/>
      <c r="AC473" s="243"/>
      <c r="AD473" s="243"/>
    </row>
    <row r="474" ht="33.75" customHeight="1">
      <c r="A474" s="252"/>
      <c r="B474" s="252"/>
      <c r="C474" s="243"/>
      <c r="D474" s="252"/>
      <c r="E474" s="243"/>
      <c r="F474" s="243"/>
      <c r="G474" s="243"/>
      <c r="H474" s="243"/>
      <c r="I474" s="243"/>
      <c r="J474" s="243"/>
      <c r="K474" s="243"/>
      <c r="L474" s="243"/>
      <c r="M474" s="243"/>
      <c r="N474" s="243"/>
      <c r="O474" s="243"/>
      <c r="P474" s="243"/>
      <c r="Q474" s="243"/>
      <c r="R474" s="243"/>
      <c r="S474" s="243"/>
      <c r="T474" s="243"/>
      <c r="U474" s="243"/>
      <c r="V474" s="243"/>
      <c r="W474" s="243"/>
      <c r="X474" s="243"/>
      <c r="Y474" s="243"/>
      <c r="Z474" s="243"/>
      <c r="AA474" s="243"/>
      <c r="AB474" s="243"/>
      <c r="AC474" s="243"/>
      <c r="AD474" s="243"/>
    </row>
    <row r="475" ht="33.75" customHeight="1">
      <c r="A475" s="252"/>
      <c r="B475" s="252"/>
      <c r="C475" s="243"/>
      <c r="D475" s="252"/>
      <c r="E475" s="243"/>
      <c r="F475" s="243"/>
      <c r="G475" s="243"/>
      <c r="H475" s="243"/>
      <c r="I475" s="243"/>
      <c r="J475" s="243"/>
      <c r="K475" s="243"/>
      <c r="L475" s="243"/>
      <c r="M475" s="243"/>
      <c r="N475" s="243"/>
      <c r="O475" s="243"/>
      <c r="P475" s="243"/>
      <c r="Q475" s="243"/>
      <c r="R475" s="243"/>
      <c r="S475" s="243"/>
      <c r="T475" s="243"/>
      <c r="U475" s="243"/>
      <c r="V475" s="243"/>
      <c r="W475" s="243"/>
      <c r="X475" s="243"/>
      <c r="Y475" s="243"/>
      <c r="Z475" s="243"/>
      <c r="AA475" s="243"/>
      <c r="AB475" s="243"/>
      <c r="AC475" s="243"/>
      <c r="AD475" s="243"/>
    </row>
    <row r="476" ht="33.75" customHeight="1">
      <c r="A476" s="252"/>
      <c r="B476" s="252"/>
      <c r="C476" s="243"/>
      <c r="D476" s="252"/>
      <c r="E476" s="243"/>
      <c r="F476" s="243"/>
      <c r="G476" s="243"/>
      <c r="H476" s="243"/>
      <c r="I476" s="243"/>
      <c r="J476" s="243"/>
      <c r="K476" s="243"/>
      <c r="L476" s="243"/>
      <c r="M476" s="243"/>
      <c r="N476" s="243"/>
      <c r="O476" s="243"/>
      <c r="P476" s="243"/>
      <c r="Q476" s="243"/>
      <c r="R476" s="243"/>
      <c r="S476" s="243"/>
      <c r="T476" s="243"/>
      <c r="U476" s="243"/>
      <c r="V476" s="243"/>
      <c r="W476" s="243"/>
      <c r="X476" s="243"/>
      <c r="Y476" s="243"/>
      <c r="Z476" s="243"/>
      <c r="AA476" s="243"/>
      <c r="AB476" s="243"/>
      <c r="AC476" s="243"/>
      <c r="AD476" s="243"/>
    </row>
    <row r="477" ht="33.75" customHeight="1">
      <c r="A477" s="252"/>
      <c r="B477" s="252"/>
      <c r="C477" s="243"/>
      <c r="D477" s="252"/>
      <c r="E477" s="243"/>
      <c r="F477" s="243"/>
      <c r="G477" s="243"/>
      <c r="H477" s="243"/>
      <c r="I477" s="243"/>
      <c r="J477" s="243"/>
      <c r="K477" s="243"/>
      <c r="L477" s="243"/>
      <c r="M477" s="243"/>
      <c r="N477" s="243"/>
      <c r="O477" s="243"/>
      <c r="P477" s="243"/>
      <c r="Q477" s="243"/>
      <c r="R477" s="243"/>
      <c r="S477" s="243"/>
      <c r="T477" s="243"/>
      <c r="U477" s="243"/>
      <c r="V477" s="243"/>
      <c r="W477" s="243"/>
      <c r="X477" s="243"/>
      <c r="Y477" s="243"/>
      <c r="Z477" s="243"/>
      <c r="AA477" s="243"/>
      <c r="AB477" s="243"/>
      <c r="AC477" s="243"/>
      <c r="AD477" s="243"/>
    </row>
    <row r="478" ht="33.75" customHeight="1">
      <c r="A478" s="252"/>
      <c r="B478" s="252"/>
      <c r="C478" s="243"/>
      <c r="D478" s="252"/>
      <c r="E478" s="243"/>
      <c r="F478" s="243"/>
      <c r="G478" s="243"/>
      <c r="H478" s="243"/>
      <c r="I478" s="243"/>
      <c r="J478" s="243"/>
      <c r="K478" s="243"/>
      <c r="L478" s="243"/>
      <c r="M478" s="243"/>
      <c r="N478" s="243"/>
      <c r="O478" s="243"/>
      <c r="P478" s="243"/>
      <c r="Q478" s="243"/>
      <c r="R478" s="243"/>
      <c r="S478" s="243"/>
      <c r="T478" s="243"/>
      <c r="U478" s="243"/>
      <c r="V478" s="243"/>
      <c r="W478" s="243"/>
      <c r="X478" s="243"/>
      <c r="Y478" s="243"/>
      <c r="Z478" s="243"/>
      <c r="AA478" s="243"/>
      <c r="AB478" s="243"/>
      <c r="AC478" s="243"/>
      <c r="AD478" s="243"/>
    </row>
    <row r="479" ht="33.75" customHeight="1">
      <c r="A479" s="252"/>
      <c r="B479" s="252"/>
      <c r="C479" s="243"/>
      <c r="D479" s="252"/>
      <c r="E479" s="243"/>
      <c r="F479" s="243"/>
      <c r="G479" s="243"/>
      <c r="H479" s="243"/>
      <c r="I479" s="243"/>
      <c r="J479" s="243"/>
      <c r="K479" s="243"/>
      <c r="L479" s="243"/>
      <c r="M479" s="243"/>
      <c r="N479" s="243"/>
      <c r="O479" s="243"/>
      <c r="P479" s="243"/>
      <c r="Q479" s="243"/>
      <c r="R479" s="243"/>
      <c r="S479" s="243"/>
      <c r="T479" s="243"/>
      <c r="U479" s="243"/>
      <c r="V479" s="243"/>
      <c r="W479" s="243"/>
      <c r="X479" s="243"/>
      <c r="Y479" s="243"/>
      <c r="Z479" s="243"/>
      <c r="AA479" s="243"/>
      <c r="AB479" s="243"/>
      <c r="AC479" s="243"/>
      <c r="AD479" s="243"/>
    </row>
    <row r="480" ht="33.75" customHeight="1">
      <c r="A480" s="252"/>
      <c r="B480" s="252"/>
      <c r="C480" s="243"/>
      <c r="D480" s="252"/>
      <c r="E480" s="243"/>
      <c r="F480" s="243"/>
      <c r="G480" s="243"/>
      <c r="H480" s="243"/>
      <c r="I480" s="243"/>
      <c r="J480" s="243"/>
      <c r="K480" s="243"/>
      <c r="L480" s="243"/>
      <c r="M480" s="243"/>
      <c r="N480" s="243"/>
      <c r="O480" s="243"/>
      <c r="P480" s="243"/>
      <c r="Q480" s="243"/>
      <c r="R480" s="243"/>
      <c r="S480" s="243"/>
      <c r="T480" s="243"/>
      <c r="U480" s="243"/>
      <c r="V480" s="243"/>
      <c r="W480" s="243"/>
      <c r="X480" s="243"/>
      <c r="Y480" s="243"/>
      <c r="Z480" s="243"/>
      <c r="AA480" s="243"/>
      <c r="AB480" s="243"/>
      <c r="AC480" s="243"/>
      <c r="AD480" s="243"/>
    </row>
    <row r="481" ht="33.75" customHeight="1">
      <c r="A481" s="252"/>
      <c r="B481" s="252"/>
      <c r="C481" s="243"/>
      <c r="D481" s="252"/>
      <c r="E481" s="243"/>
      <c r="F481" s="243"/>
      <c r="G481" s="243"/>
      <c r="H481" s="243"/>
      <c r="I481" s="243"/>
      <c r="J481" s="243"/>
      <c r="K481" s="243"/>
      <c r="L481" s="243"/>
      <c r="M481" s="243"/>
      <c r="N481" s="243"/>
      <c r="O481" s="243"/>
      <c r="P481" s="243"/>
      <c r="Q481" s="243"/>
      <c r="R481" s="243"/>
      <c r="S481" s="243"/>
      <c r="T481" s="243"/>
      <c r="U481" s="243"/>
      <c r="V481" s="243"/>
      <c r="W481" s="243"/>
      <c r="X481" s="243"/>
      <c r="Y481" s="243"/>
      <c r="Z481" s="243"/>
      <c r="AA481" s="243"/>
      <c r="AB481" s="243"/>
      <c r="AC481" s="243"/>
      <c r="AD481" s="243"/>
    </row>
    <row r="482" ht="33.75" customHeight="1">
      <c r="A482" s="252"/>
      <c r="B482" s="252"/>
      <c r="C482" s="243"/>
      <c r="D482" s="252"/>
      <c r="E482" s="243"/>
      <c r="F482" s="243"/>
      <c r="G482" s="243"/>
      <c r="H482" s="243"/>
      <c r="I482" s="243"/>
      <c r="J482" s="243"/>
      <c r="K482" s="243"/>
      <c r="L482" s="243"/>
      <c r="M482" s="243"/>
      <c r="N482" s="243"/>
      <c r="O482" s="243"/>
      <c r="P482" s="243"/>
      <c r="Q482" s="243"/>
      <c r="R482" s="243"/>
      <c r="S482" s="243"/>
      <c r="T482" s="243"/>
      <c r="U482" s="243"/>
      <c r="V482" s="243"/>
      <c r="W482" s="243"/>
      <c r="X482" s="243"/>
      <c r="Y482" s="243"/>
      <c r="Z482" s="243"/>
      <c r="AA482" s="243"/>
      <c r="AB482" s="243"/>
      <c r="AC482" s="243"/>
      <c r="AD482" s="243"/>
    </row>
    <row r="483" ht="33.75" customHeight="1">
      <c r="A483" s="252"/>
      <c r="B483" s="252"/>
      <c r="C483" s="243"/>
      <c r="D483" s="252"/>
      <c r="E483" s="243"/>
      <c r="F483" s="243"/>
      <c r="G483" s="243"/>
      <c r="H483" s="243"/>
      <c r="I483" s="243"/>
      <c r="J483" s="243"/>
      <c r="K483" s="243"/>
      <c r="L483" s="243"/>
      <c r="M483" s="243"/>
      <c r="N483" s="243"/>
      <c r="O483" s="243"/>
      <c r="P483" s="243"/>
      <c r="Q483" s="243"/>
      <c r="R483" s="243"/>
      <c r="S483" s="243"/>
      <c r="T483" s="243"/>
      <c r="U483" s="243"/>
      <c r="V483" s="243"/>
      <c r="W483" s="243"/>
      <c r="X483" s="243"/>
      <c r="Y483" s="243"/>
      <c r="Z483" s="243"/>
      <c r="AA483" s="243"/>
      <c r="AB483" s="243"/>
      <c r="AC483" s="243"/>
      <c r="AD483" s="243"/>
    </row>
    <row r="484" ht="33.75" customHeight="1">
      <c r="A484" s="252"/>
      <c r="B484" s="252"/>
      <c r="C484" s="243"/>
      <c r="D484" s="252"/>
      <c r="E484" s="243"/>
      <c r="F484" s="243"/>
      <c r="G484" s="243"/>
      <c r="H484" s="243"/>
      <c r="I484" s="243"/>
      <c r="J484" s="243"/>
      <c r="K484" s="243"/>
      <c r="L484" s="243"/>
      <c r="M484" s="243"/>
      <c r="N484" s="243"/>
      <c r="O484" s="243"/>
      <c r="P484" s="243"/>
      <c r="Q484" s="243"/>
      <c r="R484" s="243"/>
      <c r="S484" s="243"/>
      <c r="T484" s="243"/>
      <c r="U484" s="243"/>
      <c r="V484" s="243"/>
      <c r="W484" s="243"/>
      <c r="X484" s="243"/>
      <c r="Y484" s="243"/>
      <c r="Z484" s="243"/>
      <c r="AA484" s="243"/>
      <c r="AB484" s="243"/>
      <c r="AC484" s="243"/>
      <c r="AD484" s="243"/>
    </row>
    <row r="485" ht="33.75" customHeight="1">
      <c r="A485" s="252"/>
      <c r="B485" s="252"/>
      <c r="C485" s="243"/>
      <c r="D485" s="252"/>
      <c r="E485" s="243"/>
      <c r="F485" s="243"/>
      <c r="G485" s="243"/>
      <c r="H485" s="243"/>
      <c r="I485" s="243"/>
      <c r="J485" s="243"/>
      <c r="K485" s="243"/>
      <c r="L485" s="243"/>
      <c r="M485" s="243"/>
      <c r="N485" s="243"/>
      <c r="O485" s="243"/>
      <c r="P485" s="243"/>
      <c r="Q485" s="243"/>
      <c r="R485" s="243"/>
      <c r="S485" s="243"/>
      <c r="T485" s="243"/>
      <c r="U485" s="243"/>
      <c r="V485" s="243"/>
      <c r="W485" s="243"/>
      <c r="X485" s="243"/>
      <c r="Y485" s="243"/>
      <c r="Z485" s="243"/>
      <c r="AA485" s="243"/>
      <c r="AB485" s="243"/>
      <c r="AC485" s="243"/>
      <c r="AD485" s="243"/>
    </row>
    <row r="486" ht="33.75" customHeight="1">
      <c r="A486" s="252"/>
      <c r="B486" s="252"/>
      <c r="C486" s="243"/>
      <c r="D486" s="252"/>
      <c r="E486" s="243"/>
      <c r="F486" s="243"/>
      <c r="G486" s="243"/>
      <c r="H486" s="243"/>
      <c r="I486" s="243"/>
      <c r="J486" s="243"/>
      <c r="K486" s="243"/>
      <c r="L486" s="243"/>
      <c r="M486" s="243"/>
      <c r="N486" s="243"/>
      <c r="O486" s="243"/>
      <c r="P486" s="243"/>
      <c r="Q486" s="243"/>
      <c r="R486" s="243"/>
      <c r="S486" s="243"/>
      <c r="T486" s="243"/>
      <c r="U486" s="243"/>
      <c r="V486" s="243"/>
      <c r="W486" s="243"/>
      <c r="X486" s="243"/>
      <c r="Y486" s="243"/>
      <c r="Z486" s="243"/>
      <c r="AA486" s="243"/>
      <c r="AB486" s="243"/>
      <c r="AC486" s="243"/>
      <c r="AD486" s="243"/>
    </row>
    <row r="487" ht="33.75" customHeight="1">
      <c r="A487" s="252"/>
      <c r="B487" s="252"/>
      <c r="C487" s="243"/>
      <c r="D487" s="252"/>
      <c r="E487" s="243"/>
      <c r="F487" s="243"/>
      <c r="G487" s="243"/>
      <c r="H487" s="243"/>
      <c r="I487" s="243"/>
      <c r="J487" s="243"/>
      <c r="K487" s="243"/>
      <c r="L487" s="243"/>
      <c r="M487" s="243"/>
      <c r="N487" s="243"/>
      <c r="O487" s="243"/>
      <c r="P487" s="243"/>
      <c r="Q487" s="243"/>
      <c r="R487" s="243"/>
      <c r="S487" s="243"/>
      <c r="T487" s="243"/>
      <c r="U487" s="243"/>
      <c r="V487" s="243"/>
      <c r="W487" s="243"/>
      <c r="X487" s="243"/>
      <c r="Y487" s="243"/>
      <c r="Z487" s="243"/>
      <c r="AA487" s="243"/>
      <c r="AB487" s="243"/>
      <c r="AC487" s="243"/>
      <c r="AD487" s="243"/>
    </row>
    <row r="488" ht="33.75" customHeight="1">
      <c r="A488" s="252"/>
      <c r="B488" s="252"/>
      <c r="C488" s="243"/>
      <c r="D488" s="252"/>
      <c r="E488" s="243"/>
      <c r="F488" s="243"/>
      <c r="G488" s="243"/>
      <c r="H488" s="243"/>
      <c r="I488" s="243"/>
      <c r="J488" s="243"/>
      <c r="K488" s="243"/>
      <c r="L488" s="243"/>
      <c r="M488" s="243"/>
      <c r="N488" s="243"/>
      <c r="O488" s="243"/>
      <c r="P488" s="243"/>
      <c r="Q488" s="243"/>
      <c r="R488" s="243"/>
      <c r="S488" s="243"/>
      <c r="T488" s="243"/>
      <c r="U488" s="243"/>
      <c r="V488" s="243"/>
      <c r="W488" s="243"/>
      <c r="X488" s="243"/>
      <c r="Y488" s="243"/>
      <c r="Z488" s="243"/>
      <c r="AA488" s="243"/>
      <c r="AB488" s="243"/>
      <c r="AC488" s="243"/>
      <c r="AD488" s="243"/>
    </row>
    <row r="489" ht="33.75" customHeight="1">
      <c r="A489" s="252"/>
      <c r="B489" s="252"/>
      <c r="C489" s="243"/>
      <c r="D489" s="252"/>
      <c r="E489" s="243"/>
      <c r="F489" s="243"/>
      <c r="G489" s="243"/>
      <c r="H489" s="243"/>
      <c r="I489" s="243"/>
      <c r="J489" s="243"/>
      <c r="K489" s="243"/>
      <c r="L489" s="243"/>
      <c r="M489" s="243"/>
      <c r="N489" s="243"/>
      <c r="O489" s="243"/>
      <c r="P489" s="243"/>
      <c r="Q489" s="243"/>
      <c r="R489" s="243"/>
      <c r="S489" s="243"/>
      <c r="T489" s="243"/>
      <c r="U489" s="243"/>
      <c r="V489" s="243"/>
      <c r="W489" s="243"/>
      <c r="X489" s="243"/>
      <c r="Y489" s="243"/>
      <c r="Z489" s="243"/>
      <c r="AA489" s="243"/>
      <c r="AB489" s="243"/>
      <c r="AC489" s="243"/>
      <c r="AD489" s="243"/>
    </row>
    <row r="490" ht="33.75" customHeight="1">
      <c r="A490" s="252"/>
      <c r="B490" s="252"/>
      <c r="C490" s="243"/>
      <c r="D490" s="252"/>
      <c r="E490" s="243"/>
      <c r="F490" s="243"/>
      <c r="G490" s="243"/>
      <c r="H490" s="243"/>
      <c r="I490" s="243"/>
      <c r="J490" s="243"/>
      <c r="K490" s="243"/>
      <c r="L490" s="243"/>
      <c r="M490" s="243"/>
      <c r="N490" s="243"/>
      <c r="O490" s="243"/>
      <c r="P490" s="243"/>
      <c r="Q490" s="243"/>
      <c r="R490" s="243"/>
      <c r="S490" s="243"/>
      <c r="T490" s="243"/>
      <c r="U490" s="243"/>
      <c r="V490" s="243"/>
      <c r="W490" s="243"/>
      <c r="X490" s="243"/>
      <c r="Y490" s="243"/>
      <c r="Z490" s="243"/>
      <c r="AA490" s="243"/>
      <c r="AB490" s="243"/>
      <c r="AC490" s="243"/>
      <c r="AD490" s="243"/>
    </row>
    <row r="491" ht="33.75" customHeight="1">
      <c r="A491" s="252"/>
      <c r="B491" s="252"/>
      <c r="C491" s="243"/>
      <c r="D491" s="252"/>
      <c r="E491" s="243"/>
      <c r="F491" s="243"/>
      <c r="G491" s="243"/>
      <c r="H491" s="243"/>
      <c r="I491" s="243"/>
      <c r="J491" s="243"/>
      <c r="K491" s="243"/>
      <c r="L491" s="243"/>
      <c r="M491" s="243"/>
      <c r="N491" s="243"/>
      <c r="O491" s="243"/>
      <c r="P491" s="243"/>
      <c r="Q491" s="243"/>
      <c r="R491" s="243"/>
      <c r="S491" s="243"/>
      <c r="T491" s="243"/>
      <c r="U491" s="243"/>
      <c r="V491" s="243"/>
      <c r="W491" s="243"/>
      <c r="X491" s="243"/>
      <c r="Y491" s="243"/>
      <c r="Z491" s="243"/>
      <c r="AA491" s="243"/>
      <c r="AB491" s="243"/>
      <c r="AC491" s="243"/>
      <c r="AD491" s="243"/>
    </row>
    <row r="492" ht="33.75" customHeight="1">
      <c r="A492" s="252"/>
      <c r="B492" s="252"/>
      <c r="C492" s="243"/>
      <c r="D492" s="252"/>
      <c r="E492" s="243"/>
      <c r="F492" s="243"/>
      <c r="G492" s="243"/>
      <c r="H492" s="243"/>
      <c r="I492" s="243"/>
      <c r="J492" s="243"/>
      <c r="K492" s="243"/>
      <c r="L492" s="243"/>
      <c r="M492" s="243"/>
      <c r="N492" s="243"/>
      <c r="O492" s="243"/>
      <c r="P492" s="243"/>
      <c r="Q492" s="243"/>
      <c r="R492" s="243"/>
      <c r="S492" s="243"/>
      <c r="T492" s="243"/>
      <c r="U492" s="243"/>
      <c r="V492" s="243"/>
      <c r="W492" s="243"/>
      <c r="X492" s="243"/>
      <c r="Y492" s="243"/>
      <c r="Z492" s="243"/>
      <c r="AA492" s="243"/>
      <c r="AB492" s="243"/>
      <c r="AC492" s="243"/>
      <c r="AD492" s="243"/>
    </row>
    <row r="493" ht="33.75" customHeight="1">
      <c r="A493" s="252"/>
      <c r="B493" s="252"/>
      <c r="C493" s="243"/>
      <c r="D493" s="252"/>
      <c r="E493" s="243"/>
      <c r="F493" s="243"/>
      <c r="G493" s="243"/>
      <c r="H493" s="243"/>
      <c r="I493" s="243"/>
      <c r="J493" s="243"/>
      <c r="K493" s="243"/>
      <c r="L493" s="243"/>
      <c r="M493" s="243"/>
      <c r="N493" s="243"/>
      <c r="O493" s="243"/>
      <c r="P493" s="243"/>
      <c r="Q493" s="243"/>
      <c r="R493" s="243"/>
      <c r="S493" s="243"/>
      <c r="T493" s="243"/>
      <c r="U493" s="243"/>
      <c r="V493" s="243"/>
      <c r="W493" s="243"/>
      <c r="X493" s="243"/>
      <c r="Y493" s="243"/>
      <c r="Z493" s="243"/>
      <c r="AA493" s="243"/>
      <c r="AB493" s="243"/>
      <c r="AC493" s="243"/>
      <c r="AD493" s="243"/>
    </row>
    <row r="494" ht="33.75" customHeight="1">
      <c r="A494" s="252"/>
      <c r="B494" s="252"/>
      <c r="C494" s="243"/>
      <c r="D494" s="252"/>
      <c r="E494" s="243"/>
      <c r="F494" s="243"/>
      <c r="G494" s="243"/>
      <c r="H494" s="243"/>
      <c r="I494" s="243"/>
      <c r="J494" s="243"/>
      <c r="K494" s="243"/>
      <c r="L494" s="243"/>
      <c r="M494" s="243"/>
      <c r="N494" s="243"/>
      <c r="O494" s="243"/>
      <c r="P494" s="243"/>
      <c r="Q494" s="243"/>
      <c r="R494" s="243"/>
      <c r="S494" s="243"/>
      <c r="T494" s="243"/>
      <c r="U494" s="243"/>
      <c r="V494" s="243"/>
      <c r="W494" s="243"/>
      <c r="X494" s="243"/>
      <c r="Y494" s="243"/>
      <c r="Z494" s="243"/>
      <c r="AA494" s="243"/>
      <c r="AB494" s="243"/>
      <c r="AC494" s="243"/>
      <c r="AD494" s="243"/>
    </row>
    <row r="495" ht="33.75" customHeight="1">
      <c r="A495" s="252"/>
      <c r="B495" s="252"/>
      <c r="C495" s="243"/>
      <c r="D495" s="252"/>
      <c r="E495" s="243"/>
      <c r="F495" s="243"/>
      <c r="G495" s="243"/>
      <c r="H495" s="243"/>
      <c r="I495" s="243"/>
      <c r="J495" s="243"/>
      <c r="K495" s="243"/>
      <c r="L495" s="243"/>
      <c r="M495" s="243"/>
      <c r="N495" s="243"/>
      <c r="O495" s="243"/>
      <c r="P495" s="243"/>
      <c r="Q495" s="243"/>
      <c r="R495" s="243"/>
      <c r="S495" s="243"/>
      <c r="T495" s="243"/>
      <c r="U495" s="243"/>
      <c r="V495" s="243"/>
      <c r="W495" s="243"/>
      <c r="X495" s="243"/>
      <c r="Y495" s="243"/>
      <c r="Z495" s="243"/>
      <c r="AA495" s="243"/>
      <c r="AB495" s="243"/>
      <c r="AC495" s="243"/>
      <c r="AD495" s="243"/>
    </row>
    <row r="496" ht="33.75" customHeight="1">
      <c r="A496" s="252"/>
      <c r="B496" s="252"/>
      <c r="C496" s="243"/>
      <c r="D496" s="252"/>
      <c r="E496" s="243"/>
      <c r="F496" s="243"/>
      <c r="G496" s="243"/>
      <c r="H496" s="243"/>
      <c r="I496" s="243"/>
      <c r="J496" s="243"/>
      <c r="K496" s="243"/>
      <c r="L496" s="243"/>
      <c r="M496" s="243"/>
      <c r="N496" s="243"/>
      <c r="O496" s="243"/>
      <c r="P496" s="243"/>
      <c r="Q496" s="243"/>
      <c r="R496" s="243"/>
      <c r="S496" s="243"/>
      <c r="T496" s="243"/>
      <c r="U496" s="243"/>
      <c r="V496" s="243"/>
      <c r="W496" s="243"/>
      <c r="X496" s="243"/>
      <c r="Y496" s="243"/>
      <c r="Z496" s="243"/>
      <c r="AA496" s="243"/>
      <c r="AB496" s="243"/>
      <c r="AC496" s="243"/>
      <c r="AD496" s="243"/>
    </row>
    <row r="497" ht="33.75" customHeight="1">
      <c r="A497" s="252"/>
      <c r="B497" s="252"/>
      <c r="C497" s="243"/>
      <c r="D497" s="252"/>
      <c r="E497" s="243"/>
      <c r="F497" s="243"/>
      <c r="G497" s="243"/>
      <c r="H497" s="243"/>
      <c r="I497" s="243"/>
      <c r="J497" s="243"/>
      <c r="K497" s="243"/>
      <c r="L497" s="243"/>
      <c r="M497" s="243"/>
      <c r="N497" s="243"/>
      <c r="O497" s="243"/>
      <c r="P497" s="243"/>
      <c r="Q497" s="243"/>
      <c r="R497" s="243"/>
      <c r="S497" s="243"/>
      <c r="T497" s="243"/>
      <c r="U497" s="243"/>
      <c r="V497" s="243"/>
      <c r="W497" s="243"/>
      <c r="X497" s="243"/>
      <c r="Y497" s="243"/>
      <c r="Z497" s="243"/>
      <c r="AA497" s="243"/>
      <c r="AB497" s="243"/>
      <c r="AC497" s="243"/>
      <c r="AD497" s="243"/>
    </row>
    <row r="498" ht="33.75" customHeight="1">
      <c r="A498" s="252"/>
      <c r="B498" s="252"/>
      <c r="C498" s="243"/>
      <c r="D498" s="252"/>
      <c r="E498" s="243"/>
      <c r="F498" s="243"/>
      <c r="G498" s="243"/>
      <c r="H498" s="243"/>
      <c r="I498" s="243"/>
      <c r="J498" s="243"/>
      <c r="K498" s="243"/>
      <c r="L498" s="243"/>
      <c r="M498" s="243"/>
      <c r="N498" s="243"/>
      <c r="O498" s="243"/>
      <c r="P498" s="243"/>
      <c r="Q498" s="243"/>
      <c r="R498" s="243"/>
      <c r="S498" s="243"/>
      <c r="T498" s="243"/>
      <c r="U498" s="243"/>
      <c r="V498" s="243"/>
      <c r="W498" s="243"/>
      <c r="X498" s="243"/>
      <c r="Y498" s="243"/>
      <c r="Z498" s="243"/>
      <c r="AA498" s="243"/>
      <c r="AB498" s="243"/>
      <c r="AC498" s="243"/>
      <c r="AD498" s="243"/>
    </row>
    <row r="499" ht="33.75" customHeight="1">
      <c r="A499" s="252"/>
      <c r="B499" s="252"/>
      <c r="C499" s="243"/>
      <c r="D499" s="252"/>
      <c r="E499" s="243"/>
      <c r="F499" s="243"/>
      <c r="G499" s="243"/>
      <c r="H499" s="243"/>
      <c r="I499" s="243"/>
      <c r="J499" s="243"/>
      <c r="K499" s="243"/>
      <c r="L499" s="243"/>
      <c r="M499" s="243"/>
      <c r="N499" s="243"/>
      <c r="O499" s="243"/>
      <c r="P499" s="243"/>
      <c r="Q499" s="243"/>
      <c r="R499" s="243"/>
      <c r="S499" s="243"/>
      <c r="T499" s="243"/>
      <c r="U499" s="243"/>
      <c r="V499" s="243"/>
      <c r="W499" s="243"/>
      <c r="X499" s="243"/>
      <c r="Y499" s="243"/>
      <c r="Z499" s="243"/>
      <c r="AA499" s="243"/>
      <c r="AB499" s="243"/>
      <c r="AC499" s="243"/>
      <c r="AD499" s="243"/>
    </row>
    <row r="500" ht="33.75" customHeight="1">
      <c r="A500" s="252"/>
      <c r="B500" s="252"/>
      <c r="C500" s="243"/>
      <c r="D500" s="252"/>
      <c r="E500" s="243"/>
      <c r="F500" s="243"/>
      <c r="G500" s="243"/>
      <c r="H500" s="243"/>
      <c r="I500" s="243"/>
      <c r="J500" s="243"/>
      <c r="K500" s="243"/>
      <c r="L500" s="243"/>
      <c r="M500" s="243"/>
      <c r="N500" s="243"/>
      <c r="O500" s="243"/>
      <c r="P500" s="243"/>
      <c r="Q500" s="243"/>
      <c r="R500" s="243"/>
      <c r="S500" s="243"/>
      <c r="T500" s="243"/>
      <c r="U500" s="243"/>
      <c r="V500" s="243"/>
      <c r="W500" s="243"/>
      <c r="X500" s="243"/>
      <c r="Y500" s="243"/>
      <c r="Z500" s="243"/>
      <c r="AA500" s="243"/>
      <c r="AB500" s="243"/>
      <c r="AC500" s="243"/>
      <c r="AD500" s="243"/>
    </row>
    <row r="501" ht="33.75" customHeight="1">
      <c r="A501" s="252"/>
      <c r="B501" s="252"/>
      <c r="C501" s="243"/>
      <c r="D501" s="252"/>
      <c r="E501" s="243"/>
      <c r="F501" s="243"/>
      <c r="G501" s="243"/>
      <c r="H501" s="243"/>
      <c r="I501" s="243"/>
      <c r="J501" s="243"/>
      <c r="K501" s="243"/>
      <c r="L501" s="243"/>
      <c r="M501" s="243"/>
      <c r="N501" s="243"/>
      <c r="O501" s="243"/>
      <c r="P501" s="243"/>
      <c r="Q501" s="243"/>
      <c r="R501" s="243"/>
      <c r="S501" s="243"/>
      <c r="T501" s="243"/>
      <c r="U501" s="243"/>
      <c r="V501" s="243"/>
      <c r="W501" s="243"/>
      <c r="X501" s="243"/>
      <c r="Y501" s="243"/>
      <c r="Z501" s="243"/>
      <c r="AA501" s="243"/>
      <c r="AB501" s="243"/>
      <c r="AC501" s="243"/>
      <c r="AD501" s="243"/>
    </row>
    <row r="502" ht="33.75" customHeight="1">
      <c r="A502" s="252"/>
      <c r="B502" s="252"/>
      <c r="C502" s="243"/>
      <c r="D502" s="252"/>
      <c r="E502" s="243"/>
      <c r="F502" s="243"/>
      <c r="G502" s="243"/>
      <c r="H502" s="243"/>
      <c r="I502" s="243"/>
      <c r="J502" s="243"/>
      <c r="K502" s="243"/>
      <c r="L502" s="243"/>
      <c r="M502" s="243"/>
      <c r="N502" s="243"/>
      <c r="O502" s="243"/>
      <c r="P502" s="243"/>
      <c r="Q502" s="243"/>
      <c r="R502" s="243"/>
      <c r="S502" s="243"/>
      <c r="T502" s="243"/>
      <c r="U502" s="243"/>
      <c r="V502" s="243"/>
      <c r="W502" s="243"/>
      <c r="X502" s="243"/>
      <c r="Y502" s="243"/>
      <c r="Z502" s="243"/>
      <c r="AA502" s="243"/>
      <c r="AB502" s="243"/>
      <c r="AC502" s="243"/>
      <c r="AD502" s="243"/>
    </row>
    <row r="503" ht="33.75" customHeight="1">
      <c r="A503" s="252"/>
      <c r="B503" s="252"/>
      <c r="C503" s="243"/>
      <c r="D503" s="252"/>
      <c r="E503" s="243"/>
      <c r="F503" s="243"/>
      <c r="G503" s="243"/>
      <c r="H503" s="243"/>
      <c r="I503" s="243"/>
      <c r="J503" s="243"/>
      <c r="K503" s="243"/>
      <c r="L503" s="243"/>
      <c r="M503" s="243"/>
      <c r="N503" s="243"/>
      <c r="O503" s="243"/>
      <c r="P503" s="243"/>
      <c r="Q503" s="243"/>
      <c r="R503" s="243"/>
      <c r="S503" s="243"/>
      <c r="T503" s="243"/>
      <c r="U503" s="243"/>
      <c r="V503" s="243"/>
      <c r="W503" s="243"/>
      <c r="X503" s="243"/>
      <c r="Y503" s="243"/>
      <c r="Z503" s="243"/>
      <c r="AA503" s="243"/>
      <c r="AB503" s="243"/>
      <c r="AC503" s="243"/>
      <c r="AD503" s="243"/>
    </row>
    <row r="504" ht="33.75" customHeight="1">
      <c r="A504" s="252"/>
      <c r="B504" s="252"/>
      <c r="C504" s="243"/>
      <c r="D504" s="252"/>
      <c r="E504" s="243"/>
      <c r="F504" s="243"/>
      <c r="G504" s="243"/>
      <c r="H504" s="243"/>
      <c r="I504" s="243"/>
      <c r="J504" s="243"/>
      <c r="K504" s="243"/>
      <c r="L504" s="243"/>
      <c r="M504" s="243"/>
      <c r="N504" s="243"/>
      <c r="O504" s="243"/>
      <c r="P504" s="243"/>
      <c r="Q504" s="243"/>
      <c r="R504" s="243"/>
      <c r="S504" s="243"/>
      <c r="T504" s="243"/>
      <c r="U504" s="243"/>
      <c r="V504" s="243"/>
      <c r="W504" s="243"/>
      <c r="X504" s="243"/>
      <c r="Y504" s="243"/>
      <c r="Z504" s="243"/>
      <c r="AA504" s="243"/>
      <c r="AB504" s="243"/>
      <c r="AC504" s="243"/>
      <c r="AD504" s="243"/>
    </row>
    <row r="505" ht="33.75" customHeight="1">
      <c r="A505" s="252"/>
      <c r="B505" s="252"/>
      <c r="C505" s="243"/>
      <c r="D505" s="252"/>
      <c r="E505" s="243"/>
      <c r="F505" s="243"/>
      <c r="G505" s="243"/>
      <c r="H505" s="243"/>
      <c r="I505" s="243"/>
      <c r="J505" s="243"/>
      <c r="K505" s="243"/>
      <c r="L505" s="243"/>
      <c r="M505" s="243"/>
      <c r="N505" s="243"/>
      <c r="O505" s="243"/>
      <c r="P505" s="243"/>
      <c r="Q505" s="243"/>
      <c r="R505" s="243"/>
      <c r="S505" s="243"/>
      <c r="T505" s="243"/>
      <c r="U505" s="243"/>
      <c r="V505" s="243"/>
      <c r="W505" s="243"/>
      <c r="X505" s="243"/>
      <c r="Y505" s="243"/>
      <c r="Z505" s="243"/>
      <c r="AA505" s="243"/>
      <c r="AB505" s="243"/>
      <c r="AC505" s="243"/>
      <c r="AD505" s="243"/>
    </row>
    <row r="506" ht="33.75" customHeight="1">
      <c r="A506" s="252"/>
      <c r="B506" s="252"/>
      <c r="C506" s="243"/>
      <c r="D506" s="252"/>
      <c r="E506" s="243"/>
      <c r="F506" s="243"/>
      <c r="G506" s="243"/>
      <c r="H506" s="243"/>
      <c r="I506" s="243"/>
      <c r="J506" s="243"/>
      <c r="K506" s="243"/>
      <c r="L506" s="243"/>
      <c r="M506" s="243"/>
      <c r="N506" s="243"/>
      <c r="O506" s="243"/>
      <c r="P506" s="243"/>
      <c r="Q506" s="243"/>
      <c r="R506" s="243"/>
      <c r="S506" s="243"/>
      <c r="T506" s="243"/>
      <c r="U506" s="243"/>
      <c r="V506" s="243"/>
      <c r="W506" s="243"/>
      <c r="X506" s="243"/>
      <c r="Y506" s="243"/>
      <c r="Z506" s="243"/>
      <c r="AA506" s="243"/>
      <c r="AB506" s="243"/>
      <c r="AC506" s="243"/>
      <c r="AD506" s="243"/>
    </row>
    <row r="507" ht="33.75" customHeight="1">
      <c r="A507" s="252"/>
      <c r="B507" s="252"/>
      <c r="C507" s="243"/>
      <c r="D507" s="252"/>
      <c r="E507" s="243"/>
      <c r="F507" s="243"/>
      <c r="G507" s="243"/>
      <c r="H507" s="243"/>
      <c r="I507" s="243"/>
      <c r="J507" s="243"/>
      <c r="K507" s="243"/>
      <c r="L507" s="243"/>
      <c r="M507" s="243"/>
      <c r="N507" s="243"/>
      <c r="O507" s="243"/>
      <c r="P507" s="243"/>
      <c r="Q507" s="243"/>
      <c r="R507" s="243"/>
      <c r="S507" s="243"/>
      <c r="T507" s="243"/>
      <c r="U507" s="243"/>
      <c r="V507" s="243"/>
      <c r="W507" s="243"/>
      <c r="X507" s="243"/>
      <c r="Y507" s="243"/>
      <c r="Z507" s="243"/>
      <c r="AA507" s="243"/>
      <c r="AB507" s="243"/>
      <c r="AC507" s="243"/>
      <c r="AD507" s="243"/>
    </row>
    <row r="508" ht="33.75" customHeight="1">
      <c r="A508" s="252"/>
      <c r="B508" s="252"/>
      <c r="C508" s="243"/>
      <c r="D508" s="252"/>
      <c r="E508" s="243"/>
      <c r="F508" s="243"/>
      <c r="G508" s="243"/>
      <c r="H508" s="243"/>
      <c r="I508" s="243"/>
      <c r="J508" s="243"/>
      <c r="K508" s="243"/>
      <c r="L508" s="243"/>
      <c r="M508" s="243"/>
      <c r="N508" s="243"/>
      <c r="O508" s="243"/>
      <c r="P508" s="243"/>
      <c r="Q508" s="243"/>
      <c r="R508" s="243"/>
      <c r="S508" s="243"/>
      <c r="T508" s="243"/>
      <c r="U508" s="243"/>
      <c r="V508" s="243"/>
      <c r="W508" s="243"/>
      <c r="X508" s="243"/>
      <c r="Y508" s="243"/>
      <c r="Z508" s="243"/>
      <c r="AA508" s="243"/>
      <c r="AB508" s="243"/>
      <c r="AC508" s="243"/>
      <c r="AD508" s="243"/>
    </row>
    <row r="509" ht="33.75" customHeight="1">
      <c r="A509" s="252"/>
      <c r="B509" s="252"/>
      <c r="C509" s="243"/>
      <c r="D509" s="252"/>
      <c r="E509" s="243"/>
      <c r="F509" s="243"/>
      <c r="G509" s="243"/>
      <c r="H509" s="243"/>
      <c r="I509" s="243"/>
      <c r="J509" s="243"/>
      <c r="K509" s="243"/>
      <c r="L509" s="243"/>
      <c r="M509" s="243"/>
      <c r="N509" s="243"/>
      <c r="O509" s="243"/>
      <c r="P509" s="243"/>
      <c r="Q509" s="243"/>
      <c r="R509" s="243"/>
      <c r="S509" s="243"/>
      <c r="T509" s="243"/>
      <c r="U509" s="243"/>
      <c r="V509" s="243"/>
      <c r="W509" s="243"/>
      <c r="X509" s="243"/>
      <c r="Y509" s="243"/>
      <c r="Z509" s="243"/>
      <c r="AA509" s="243"/>
      <c r="AB509" s="243"/>
      <c r="AC509" s="243"/>
      <c r="AD509" s="243"/>
    </row>
    <row r="510" ht="33.75" customHeight="1">
      <c r="A510" s="252"/>
      <c r="B510" s="252"/>
      <c r="C510" s="243"/>
      <c r="D510" s="252"/>
      <c r="E510" s="243"/>
      <c r="F510" s="243"/>
      <c r="G510" s="243"/>
      <c r="H510" s="243"/>
      <c r="I510" s="243"/>
      <c r="J510" s="243"/>
      <c r="K510" s="243"/>
      <c r="L510" s="243"/>
      <c r="M510" s="243"/>
      <c r="N510" s="243"/>
      <c r="O510" s="243"/>
      <c r="P510" s="243"/>
      <c r="Q510" s="243"/>
      <c r="R510" s="243"/>
      <c r="S510" s="243"/>
      <c r="T510" s="243"/>
      <c r="U510" s="243"/>
      <c r="V510" s="243"/>
      <c r="W510" s="243"/>
      <c r="X510" s="243"/>
      <c r="Y510" s="243"/>
      <c r="Z510" s="243"/>
      <c r="AA510" s="243"/>
      <c r="AB510" s="243"/>
      <c r="AC510" s="243"/>
      <c r="AD510" s="243"/>
    </row>
    <row r="511" ht="33.75" customHeight="1">
      <c r="A511" s="252"/>
      <c r="B511" s="252"/>
      <c r="C511" s="243"/>
      <c r="D511" s="252"/>
      <c r="E511" s="243"/>
      <c r="F511" s="243"/>
      <c r="G511" s="243"/>
      <c r="H511" s="243"/>
      <c r="I511" s="243"/>
      <c r="J511" s="243"/>
      <c r="K511" s="243"/>
      <c r="L511" s="243"/>
      <c r="M511" s="243"/>
      <c r="N511" s="243"/>
      <c r="O511" s="243"/>
      <c r="P511" s="243"/>
      <c r="Q511" s="243"/>
      <c r="R511" s="243"/>
      <c r="S511" s="243"/>
      <c r="T511" s="243"/>
      <c r="U511" s="243"/>
      <c r="V511" s="243"/>
      <c r="W511" s="243"/>
      <c r="X511" s="243"/>
      <c r="Y511" s="243"/>
      <c r="Z511" s="243"/>
      <c r="AA511" s="243"/>
      <c r="AB511" s="243"/>
      <c r="AC511" s="243"/>
      <c r="AD511" s="243"/>
    </row>
    <row r="512" ht="33.75" customHeight="1">
      <c r="A512" s="252"/>
      <c r="B512" s="252"/>
      <c r="C512" s="243"/>
      <c r="D512" s="252"/>
      <c r="E512" s="243"/>
      <c r="F512" s="243"/>
      <c r="G512" s="243"/>
      <c r="H512" s="243"/>
      <c r="I512" s="243"/>
      <c r="J512" s="243"/>
      <c r="K512" s="243"/>
      <c r="L512" s="243"/>
      <c r="M512" s="243"/>
      <c r="N512" s="243"/>
      <c r="O512" s="243"/>
      <c r="P512" s="243"/>
      <c r="Q512" s="243"/>
      <c r="R512" s="243"/>
      <c r="S512" s="243"/>
      <c r="T512" s="243"/>
      <c r="U512" s="243"/>
      <c r="V512" s="243"/>
      <c r="W512" s="243"/>
      <c r="X512" s="243"/>
      <c r="Y512" s="243"/>
      <c r="Z512" s="243"/>
      <c r="AA512" s="243"/>
      <c r="AB512" s="243"/>
      <c r="AC512" s="243"/>
      <c r="AD512" s="243"/>
    </row>
    <row r="513" ht="33.75" customHeight="1">
      <c r="A513" s="252"/>
      <c r="B513" s="252"/>
      <c r="C513" s="243"/>
      <c r="D513" s="252"/>
      <c r="E513" s="243"/>
      <c r="F513" s="243"/>
      <c r="G513" s="243"/>
      <c r="H513" s="243"/>
      <c r="I513" s="243"/>
      <c r="J513" s="243"/>
      <c r="K513" s="243"/>
      <c r="L513" s="243"/>
      <c r="M513" s="243"/>
      <c r="N513" s="243"/>
      <c r="O513" s="243"/>
      <c r="P513" s="243"/>
      <c r="Q513" s="243"/>
      <c r="R513" s="243"/>
      <c r="S513" s="243"/>
      <c r="T513" s="243"/>
      <c r="U513" s="243"/>
      <c r="V513" s="243"/>
      <c r="W513" s="243"/>
      <c r="X513" s="243"/>
      <c r="Y513" s="243"/>
      <c r="Z513" s="243"/>
      <c r="AA513" s="243"/>
      <c r="AB513" s="243"/>
      <c r="AC513" s="243"/>
      <c r="AD513" s="243"/>
    </row>
    <row r="514" ht="33.75" customHeight="1">
      <c r="A514" s="252"/>
      <c r="B514" s="252"/>
      <c r="C514" s="243"/>
      <c r="D514" s="252"/>
      <c r="E514" s="243"/>
      <c r="F514" s="243"/>
      <c r="G514" s="243"/>
      <c r="H514" s="243"/>
      <c r="I514" s="243"/>
      <c r="J514" s="243"/>
      <c r="K514" s="243"/>
      <c r="L514" s="243"/>
      <c r="M514" s="243"/>
      <c r="N514" s="243"/>
      <c r="O514" s="243"/>
      <c r="P514" s="243"/>
      <c r="Q514" s="243"/>
      <c r="R514" s="243"/>
      <c r="S514" s="243"/>
      <c r="T514" s="243"/>
      <c r="U514" s="243"/>
      <c r="V514" s="243"/>
      <c r="W514" s="243"/>
      <c r="X514" s="243"/>
      <c r="Y514" s="243"/>
      <c r="Z514" s="243"/>
      <c r="AA514" s="243"/>
      <c r="AB514" s="243"/>
      <c r="AC514" s="243"/>
      <c r="AD514" s="243"/>
    </row>
    <row r="515" ht="33.75" customHeight="1">
      <c r="A515" s="252"/>
      <c r="B515" s="252"/>
      <c r="C515" s="243"/>
      <c r="D515" s="252"/>
      <c r="E515" s="243"/>
      <c r="F515" s="243"/>
      <c r="G515" s="243"/>
      <c r="H515" s="243"/>
      <c r="I515" s="243"/>
      <c r="J515" s="243"/>
      <c r="K515" s="243"/>
      <c r="L515" s="243"/>
      <c r="M515" s="243"/>
      <c r="N515" s="243"/>
      <c r="O515" s="243"/>
      <c r="P515" s="243"/>
      <c r="Q515" s="243"/>
      <c r="R515" s="243"/>
      <c r="S515" s="243"/>
      <c r="T515" s="243"/>
      <c r="U515" s="243"/>
      <c r="V515" s="243"/>
      <c r="W515" s="243"/>
      <c r="X515" s="243"/>
      <c r="Y515" s="243"/>
      <c r="Z515" s="243"/>
      <c r="AA515" s="243"/>
      <c r="AB515" s="243"/>
      <c r="AC515" s="243"/>
      <c r="AD515" s="243"/>
    </row>
    <row r="516" ht="33.75" customHeight="1">
      <c r="A516" s="252"/>
      <c r="B516" s="252"/>
      <c r="C516" s="243"/>
      <c r="D516" s="252"/>
      <c r="E516" s="243"/>
      <c r="F516" s="243"/>
      <c r="G516" s="243"/>
      <c r="H516" s="243"/>
      <c r="I516" s="243"/>
      <c r="J516" s="243"/>
      <c r="K516" s="243"/>
      <c r="L516" s="243"/>
      <c r="M516" s="243"/>
      <c r="N516" s="243"/>
      <c r="O516" s="243"/>
      <c r="P516" s="243"/>
      <c r="Q516" s="243"/>
      <c r="R516" s="243"/>
      <c r="S516" s="243"/>
      <c r="T516" s="243"/>
      <c r="U516" s="243"/>
      <c r="V516" s="243"/>
      <c r="W516" s="243"/>
      <c r="X516" s="243"/>
      <c r="Y516" s="243"/>
      <c r="Z516" s="243"/>
      <c r="AA516" s="243"/>
      <c r="AB516" s="243"/>
      <c r="AC516" s="243"/>
      <c r="AD516" s="243"/>
    </row>
    <row r="517" ht="33.75" customHeight="1">
      <c r="A517" s="252"/>
      <c r="B517" s="252"/>
      <c r="C517" s="243"/>
      <c r="D517" s="252"/>
      <c r="E517" s="243"/>
      <c r="F517" s="243"/>
      <c r="G517" s="243"/>
      <c r="H517" s="243"/>
      <c r="I517" s="243"/>
      <c r="J517" s="243"/>
      <c r="K517" s="243"/>
      <c r="L517" s="243"/>
      <c r="M517" s="243"/>
      <c r="N517" s="243"/>
      <c r="O517" s="243"/>
      <c r="P517" s="243"/>
      <c r="Q517" s="243"/>
      <c r="R517" s="243"/>
      <c r="S517" s="243"/>
      <c r="T517" s="243"/>
      <c r="U517" s="243"/>
      <c r="V517" s="243"/>
      <c r="W517" s="243"/>
      <c r="X517" s="243"/>
      <c r="Y517" s="243"/>
      <c r="Z517" s="243"/>
      <c r="AA517" s="243"/>
      <c r="AB517" s="243"/>
      <c r="AC517" s="243"/>
      <c r="AD517" s="243"/>
    </row>
    <row r="518" ht="33.75" customHeight="1">
      <c r="A518" s="252"/>
      <c r="B518" s="252"/>
      <c r="C518" s="243"/>
      <c r="D518" s="252"/>
      <c r="E518" s="243"/>
      <c r="F518" s="243"/>
      <c r="G518" s="243"/>
      <c r="H518" s="243"/>
      <c r="I518" s="243"/>
      <c r="J518" s="243"/>
      <c r="K518" s="243"/>
      <c r="L518" s="243"/>
      <c r="M518" s="243"/>
      <c r="N518" s="243"/>
      <c r="O518" s="243"/>
      <c r="P518" s="243"/>
      <c r="Q518" s="243"/>
      <c r="R518" s="243"/>
      <c r="S518" s="243"/>
      <c r="T518" s="243"/>
      <c r="U518" s="243"/>
      <c r="V518" s="243"/>
      <c r="W518" s="243"/>
      <c r="X518" s="243"/>
      <c r="Y518" s="243"/>
      <c r="Z518" s="243"/>
      <c r="AA518" s="243"/>
      <c r="AB518" s="243"/>
      <c r="AC518" s="243"/>
      <c r="AD518" s="243"/>
    </row>
    <row r="519" ht="33.75" customHeight="1">
      <c r="A519" s="252"/>
      <c r="B519" s="252"/>
      <c r="C519" s="243"/>
      <c r="D519" s="252"/>
      <c r="E519" s="243"/>
      <c r="F519" s="243"/>
      <c r="G519" s="243"/>
      <c r="H519" s="243"/>
      <c r="I519" s="243"/>
      <c r="J519" s="243"/>
      <c r="K519" s="243"/>
      <c r="L519" s="243"/>
      <c r="M519" s="243"/>
      <c r="N519" s="243"/>
      <c r="O519" s="243"/>
      <c r="P519" s="243"/>
      <c r="Q519" s="243"/>
      <c r="R519" s="243"/>
      <c r="S519" s="243"/>
      <c r="T519" s="243"/>
      <c r="U519" s="243"/>
      <c r="V519" s="243"/>
      <c r="W519" s="243"/>
      <c r="X519" s="243"/>
      <c r="Y519" s="243"/>
      <c r="Z519" s="243"/>
      <c r="AA519" s="243"/>
      <c r="AB519" s="243"/>
      <c r="AC519" s="243"/>
      <c r="AD519" s="243"/>
    </row>
    <row r="520" ht="33.75" customHeight="1">
      <c r="A520" s="252"/>
      <c r="B520" s="252"/>
      <c r="C520" s="243"/>
      <c r="D520" s="252"/>
      <c r="E520" s="243"/>
      <c r="F520" s="243"/>
      <c r="G520" s="243"/>
      <c r="H520" s="243"/>
      <c r="I520" s="243"/>
      <c r="J520" s="243"/>
      <c r="K520" s="243"/>
      <c r="L520" s="243"/>
      <c r="M520" s="243"/>
      <c r="N520" s="243"/>
      <c r="O520" s="243"/>
      <c r="P520" s="243"/>
      <c r="Q520" s="243"/>
      <c r="R520" s="243"/>
      <c r="S520" s="243"/>
      <c r="T520" s="243"/>
      <c r="U520" s="243"/>
      <c r="V520" s="243"/>
      <c r="W520" s="243"/>
      <c r="X520" s="243"/>
      <c r="Y520" s="243"/>
      <c r="Z520" s="243"/>
      <c r="AA520" s="243"/>
      <c r="AB520" s="243"/>
      <c r="AC520" s="243"/>
      <c r="AD520" s="243"/>
    </row>
    <row r="521" ht="33.75" customHeight="1">
      <c r="A521" s="252"/>
      <c r="B521" s="252"/>
      <c r="C521" s="243"/>
      <c r="D521" s="252"/>
      <c r="E521" s="243"/>
      <c r="F521" s="243"/>
      <c r="G521" s="243"/>
      <c r="H521" s="243"/>
      <c r="I521" s="243"/>
      <c r="J521" s="243"/>
      <c r="K521" s="243"/>
      <c r="L521" s="243"/>
      <c r="M521" s="243"/>
      <c r="N521" s="243"/>
      <c r="O521" s="243"/>
      <c r="P521" s="243"/>
      <c r="Q521" s="243"/>
      <c r="R521" s="243"/>
      <c r="S521" s="243"/>
      <c r="T521" s="243"/>
      <c r="U521" s="243"/>
      <c r="V521" s="243"/>
      <c r="W521" s="243"/>
      <c r="X521" s="243"/>
      <c r="Y521" s="243"/>
      <c r="Z521" s="243"/>
      <c r="AA521" s="243"/>
      <c r="AB521" s="243"/>
      <c r="AC521" s="243"/>
      <c r="AD521" s="243"/>
    </row>
    <row r="522" ht="33.75" customHeight="1">
      <c r="A522" s="252"/>
      <c r="B522" s="252"/>
      <c r="C522" s="243"/>
      <c r="D522" s="252"/>
      <c r="E522" s="243"/>
      <c r="F522" s="243"/>
      <c r="G522" s="243"/>
      <c r="H522" s="243"/>
      <c r="I522" s="243"/>
      <c r="J522" s="243"/>
      <c r="K522" s="243"/>
      <c r="L522" s="243"/>
      <c r="M522" s="243"/>
      <c r="N522" s="243"/>
      <c r="O522" s="243"/>
      <c r="P522" s="243"/>
      <c r="Q522" s="243"/>
      <c r="R522" s="243"/>
      <c r="S522" s="243"/>
      <c r="T522" s="243"/>
      <c r="U522" s="243"/>
      <c r="V522" s="243"/>
      <c r="W522" s="243"/>
      <c r="X522" s="243"/>
      <c r="Y522" s="243"/>
      <c r="Z522" s="243"/>
      <c r="AA522" s="243"/>
      <c r="AB522" s="243"/>
      <c r="AC522" s="243"/>
      <c r="AD522" s="243"/>
    </row>
    <row r="523" ht="33.75" customHeight="1">
      <c r="A523" s="252"/>
      <c r="B523" s="252"/>
      <c r="C523" s="243"/>
      <c r="D523" s="252"/>
      <c r="E523" s="243"/>
      <c r="F523" s="243"/>
      <c r="G523" s="243"/>
      <c r="H523" s="243"/>
      <c r="I523" s="243"/>
      <c r="J523" s="243"/>
      <c r="K523" s="243"/>
      <c r="L523" s="243"/>
      <c r="M523" s="243"/>
      <c r="N523" s="243"/>
      <c r="O523" s="243"/>
      <c r="P523" s="243"/>
      <c r="Q523" s="243"/>
      <c r="R523" s="243"/>
      <c r="S523" s="243"/>
      <c r="T523" s="243"/>
      <c r="U523" s="243"/>
      <c r="V523" s="243"/>
      <c r="W523" s="243"/>
      <c r="X523" s="243"/>
      <c r="Y523" s="243"/>
      <c r="Z523" s="243"/>
      <c r="AA523" s="243"/>
      <c r="AB523" s="243"/>
      <c r="AC523" s="243"/>
      <c r="AD523" s="243"/>
    </row>
    <row r="524" ht="33.75" customHeight="1">
      <c r="A524" s="252"/>
      <c r="B524" s="252"/>
      <c r="C524" s="243"/>
      <c r="D524" s="252"/>
      <c r="E524" s="243"/>
      <c r="F524" s="243"/>
      <c r="G524" s="243"/>
      <c r="H524" s="243"/>
      <c r="I524" s="243"/>
      <c r="J524" s="243"/>
      <c r="K524" s="243"/>
      <c r="L524" s="243"/>
      <c r="M524" s="243"/>
      <c r="N524" s="243"/>
      <c r="O524" s="243"/>
      <c r="P524" s="243"/>
      <c r="Q524" s="243"/>
      <c r="R524" s="243"/>
      <c r="S524" s="243"/>
      <c r="T524" s="243"/>
      <c r="U524" s="243"/>
      <c r="V524" s="243"/>
      <c r="W524" s="243"/>
      <c r="X524" s="243"/>
      <c r="Y524" s="243"/>
      <c r="Z524" s="243"/>
      <c r="AA524" s="243"/>
      <c r="AB524" s="243"/>
      <c r="AC524" s="243"/>
      <c r="AD524" s="243"/>
    </row>
    <row r="525" ht="33.75" customHeight="1">
      <c r="A525" s="252"/>
      <c r="B525" s="252"/>
      <c r="C525" s="243"/>
      <c r="D525" s="252"/>
      <c r="E525" s="243"/>
      <c r="F525" s="243"/>
      <c r="G525" s="243"/>
      <c r="H525" s="243"/>
      <c r="I525" s="243"/>
      <c r="J525" s="243"/>
      <c r="K525" s="243"/>
      <c r="L525" s="243"/>
      <c r="M525" s="243"/>
      <c r="N525" s="243"/>
      <c r="O525" s="243"/>
      <c r="P525" s="243"/>
      <c r="Q525" s="243"/>
      <c r="R525" s="243"/>
      <c r="S525" s="243"/>
      <c r="T525" s="243"/>
      <c r="U525" s="243"/>
      <c r="V525" s="243"/>
      <c r="W525" s="243"/>
      <c r="X525" s="243"/>
      <c r="Y525" s="243"/>
      <c r="Z525" s="243"/>
      <c r="AA525" s="243"/>
      <c r="AB525" s="243"/>
      <c r="AC525" s="243"/>
      <c r="AD525" s="243"/>
    </row>
    <row r="526" ht="33.75" customHeight="1">
      <c r="A526" s="252"/>
      <c r="B526" s="252"/>
      <c r="C526" s="243"/>
      <c r="D526" s="252"/>
      <c r="E526" s="243"/>
      <c r="F526" s="243"/>
      <c r="G526" s="243"/>
      <c r="H526" s="243"/>
      <c r="I526" s="243"/>
      <c r="J526" s="243"/>
      <c r="K526" s="243"/>
      <c r="L526" s="243"/>
      <c r="M526" s="243"/>
      <c r="N526" s="243"/>
      <c r="O526" s="243"/>
      <c r="P526" s="243"/>
      <c r="Q526" s="243"/>
      <c r="R526" s="243"/>
      <c r="S526" s="243"/>
      <c r="T526" s="243"/>
      <c r="U526" s="243"/>
      <c r="V526" s="243"/>
      <c r="W526" s="243"/>
      <c r="X526" s="243"/>
      <c r="Y526" s="243"/>
      <c r="Z526" s="243"/>
      <c r="AA526" s="243"/>
      <c r="AB526" s="243"/>
      <c r="AC526" s="243"/>
      <c r="AD526" s="243"/>
    </row>
    <row r="527" ht="33.75" customHeight="1">
      <c r="A527" s="252"/>
      <c r="B527" s="252"/>
      <c r="C527" s="243"/>
      <c r="D527" s="252"/>
      <c r="E527" s="243"/>
      <c r="F527" s="243"/>
      <c r="G527" s="243"/>
      <c r="H527" s="243"/>
      <c r="I527" s="243"/>
      <c r="J527" s="243"/>
      <c r="K527" s="243"/>
      <c r="L527" s="243"/>
      <c r="M527" s="243"/>
      <c r="N527" s="243"/>
      <c r="O527" s="243"/>
      <c r="P527" s="243"/>
      <c r="Q527" s="243"/>
      <c r="R527" s="243"/>
      <c r="S527" s="243"/>
      <c r="T527" s="243"/>
      <c r="U527" s="243"/>
      <c r="V527" s="243"/>
      <c r="W527" s="243"/>
      <c r="X527" s="243"/>
      <c r="Y527" s="243"/>
      <c r="Z527" s="243"/>
      <c r="AA527" s="243"/>
      <c r="AB527" s="243"/>
      <c r="AC527" s="243"/>
      <c r="AD527" s="243"/>
    </row>
    <row r="528" ht="33.75" customHeight="1">
      <c r="A528" s="252"/>
      <c r="B528" s="252"/>
      <c r="C528" s="243"/>
      <c r="D528" s="252"/>
      <c r="E528" s="243"/>
      <c r="F528" s="243"/>
      <c r="G528" s="243"/>
      <c r="H528" s="243"/>
      <c r="I528" s="243"/>
      <c r="J528" s="243"/>
      <c r="K528" s="243"/>
      <c r="L528" s="243"/>
      <c r="M528" s="243"/>
      <c r="N528" s="243"/>
      <c r="O528" s="243"/>
      <c r="P528" s="243"/>
      <c r="Q528" s="243"/>
      <c r="R528" s="243"/>
      <c r="S528" s="243"/>
      <c r="T528" s="243"/>
      <c r="U528" s="243"/>
      <c r="V528" s="243"/>
      <c r="W528" s="243"/>
      <c r="X528" s="243"/>
      <c r="Y528" s="243"/>
      <c r="Z528" s="243"/>
      <c r="AA528" s="243"/>
      <c r="AB528" s="243"/>
      <c r="AC528" s="243"/>
      <c r="AD528" s="243"/>
    </row>
    <row r="529" ht="33.75" customHeight="1">
      <c r="A529" s="252"/>
      <c r="B529" s="252"/>
      <c r="C529" s="243"/>
      <c r="D529" s="252"/>
      <c r="E529" s="243"/>
      <c r="F529" s="243"/>
      <c r="G529" s="243"/>
      <c r="H529" s="243"/>
      <c r="I529" s="243"/>
      <c r="J529" s="243"/>
      <c r="K529" s="243"/>
      <c r="L529" s="243"/>
      <c r="M529" s="243"/>
      <c r="N529" s="243"/>
      <c r="O529" s="243"/>
      <c r="P529" s="243"/>
      <c r="Q529" s="243"/>
      <c r="R529" s="243"/>
      <c r="S529" s="243"/>
      <c r="T529" s="243"/>
      <c r="U529" s="243"/>
      <c r="V529" s="243"/>
      <c r="W529" s="243"/>
      <c r="X529" s="243"/>
      <c r="Y529" s="243"/>
      <c r="Z529" s="243"/>
      <c r="AA529" s="243"/>
      <c r="AB529" s="243"/>
      <c r="AC529" s="243"/>
      <c r="AD529" s="243"/>
    </row>
    <row r="530" ht="33.75" customHeight="1">
      <c r="A530" s="252"/>
      <c r="B530" s="252"/>
      <c r="C530" s="243"/>
      <c r="D530" s="252"/>
      <c r="E530" s="243"/>
      <c r="F530" s="243"/>
      <c r="G530" s="243"/>
      <c r="H530" s="243"/>
      <c r="I530" s="243"/>
      <c r="J530" s="243"/>
      <c r="K530" s="243"/>
      <c r="L530" s="243"/>
      <c r="M530" s="243"/>
      <c r="N530" s="243"/>
      <c r="O530" s="243"/>
      <c r="P530" s="243"/>
      <c r="Q530" s="243"/>
      <c r="R530" s="243"/>
      <c r="S530" s="243"/>
      <c r="T530" s="243"/>
      <c r="U530" s="243"/>
      <c r="V530" s="243"/>
      <c r="W530" s="243"/>
      <c r="X530" s="243"/>
      <c r="Y530" s="243"/>
      <c r="Z530" s="243"/>
      <c r="AA530" s="243"/>
      <c r="AB530" s="243"/>
      <c r="AC530" s="243"/>
      <c r="AD530" s="243"/>
    </row>
    <row r="531" ht="33.75" customHeight="1">
      <c r="A531" s="252"/>
      <c r="B531" s="252"/>
      <c r="C531" s="243"/>
      <c r="D531" s="252"/>
      <c r="E531" s="243"/>
      <c r="F531" s="243"/>
      <c r="G531" s="243"/>
      <c r="H531" s="243"/>
      <c r="I531" s="243"/>
      <c r="J531" s="243"/>
      <c r="K531" s="243"/>
      <c r="L531" s="243"/>
      <c r="M531" s="243"/>
      <c r="N531" s="243"/>
      <c r="O531" s="243"/>
      <c r="P531" s="243"/>
      <c r="Q531" s="243"/>
      <c r="R531" s="243"/>
      <c r="S531" s="243"/>
      <c r="T531" s="243"/>
      <c r="U531" s="243"/>
      <c r="V531" s="243"/>
      <c r="W531" s="243"/>
      <c r="X531" s="243"/>
      <c r="Y531" s="243"/>
      <c r="Z531" s="243"/>
      <c r="AA531" s="243"/>
      <c r="AB531" s="243"/>
      <c r="AC531" s="243"/>
      <c r="AD531" s="243"/>
    </row>
    <row r="532" ht="33.75" customHeight="1">
      <c r="A532" s="252"/>
      <c r="B532" s="252"/>
      <c r="C532" s="243"/>
      <c r="D532" s="252"/>
      <c r="E532" s="243"/>
      <c r="F532" s="243"/>
      <c r="G532" s="243"/>
      <c r="H532" s="243"/>
      <c r="I532" s="243"/>
      <c r="J532" s="243"/>
      <c r="K532" s="243"/>
      <c r="L532" s="243"/>
      <c r="M532" s="243"/>
      <c r="N532" s="243"/>
      <c r="O532" s="243"/>
      <c r="P532" s="243"/>
      <c r="Q532" s="243"/>
      <c r="R532" s="243"/>
      <c r="S532" s="243"/>
      <c r="T532" s="243"/>
      <c r="U532" s="243"/>
      <c r="V532" s="243"/>
      <c r="W532" s="243"/>
      <c r="X532" s="243"/>
      <c r="Y532" s="243"/>
      <c r="Z532" s="243"/>
      <c r="AA532" s="243"/>
      <c r="AB532" s="243"/>
      <c r="AC532" s="243"/>
      <c r="AD532" s="243"/>
    </row>
    <row r="533" ht="33.75" customHeight="1">
      <c r="A533" s="252"/>
      <c r="B533" s="252"/>
      <c r="C533" s="243"/>
      <c r="D533" s="252"/>
      <c r="E533" s="243"/>
      <c r="F533" s="243"/>
      <c r="G533" s="243"/>
      <c r="H533" s="243"/>
      <c r="I533" s="243"/>
      <c r="J533" s="243"/>
      <c r="K533" s="243"/>
      <c r="L533" s="243"/>
      <c r="M533" s="243"/>
      <c r="N533" s="243"/>
      <c r="O533" s="243"/>
      <c r="P533" s="243"/>
      <c r="Q533" s="243"/>
      <c r="R533" s="243"/>
      <c r="S533" s="243"/>
      <c r="T533" s="243"/>
      <c r="U533" s="243"/>
      <c r="V533" s="243"/>
      <c r="W533" s="243"/>
      <c r="X533" s="243"/>
      <c r="Y533" s="243"/>
      <c r="Z533" s="243"/>
      <c r="AA533" s="243"/>
      <c r="AB533" s="243"/>
      <c r="AC533" s="243"/>
      <c r="AD533" s="243"/>
    </row>
    <row r="534" ht="33.75" customHeight="1">
      <c r="A534" s="252"/>
      <c r="B534" s="252"/>
      <c r="C534" s="243"/>
      <c r="D534" s="252"/>
      <c r="E534" s="243"/>
      <c r="F534" s="243"/>
      <c r="G534" s="243"/>
      <c r="H534" s="243"/>
      <c r="I534" s="243"/>
      <c r="J534" s="243"/>
      <c r="K534" s="243"/>
      <c r="L534" s="243"/>
      <c r="M534" s="243"/>
      <c r="N534" s="243"/>
      <c r="O534" s="243"/>
      <c r="P534" s="243"/>
      <c r="Q534" s="243"/>
      <c r="R534" s="243"/>
      <c r="S534" s="243"/>
      <c r="T534" s="243"/>
      <c r="U534" s="243"/>
      <c r="V534" s="243"/>
      <c r="W534" s="243"/>
      <c r="X534" s="243"/>
      <c r="Y534" s="243"/>
      <c r="Z534" s="243"/>
      <c r="AA534" s="243"/>
      <c r="AB534" s="243"/>
      <c r="AC534" s="243"/>
      <c r="AD534" s="243"/>
    </row>
    <row r="535" ht="33.75" customHeight="1">
      <c r="A535" s="252"/>
      <c r="B535" s="252"/>
      <c r="C535" s="243"/>
      <c r="D535" s="252"/>
      <c r="E535" s="243"/>
      <c r="F535" s="243"/>
      <c r="G535" s="243"/>
      <c r="H535" s="243"/>
      <c r="I535" s="243"/>
      <c r="J535" s="243"/>
      <c r="K535" s="243"/>
      <c r="L535" s="243"/>
      <c r="M535" s="243"/>
      <c r="N535" s="243"/>
      <c r="O535" s="243"/>
      <c r="P535" s="243"/>
      <c r="Q535" s="243"/>
      <c r="R535" s="243"/>
      <c r="S535" s="243"/>
      <c r="T535" s="243"/>
      <c r="U535" s="243"/>
      <c r="V535" s="243"/>
      <c r="W535" s="243"/>
      <c r="X535" s="243"/>
      <c r="Y535" s="243"/>
      <c r="Z535" s="243"/>
      <c r="AA535" s="243"/>
      <c r="AB535" s="243"/>
      <c r="AC535" s="243"/>
      <c r="AD535" s="243"/>
    </row>
    <row r="536" ht="33.75" customHeight="1">
      <c r="A536" s="252"/>
      <c r="B536" s="252"/>
      <c r="C536" s="243"/>
      <c r="D536" s="252"/>
      <c r="E536" s="243"/>
      <c r="F536" s="243"/>
      <c r="G536" s="243"/>
      <c r="H536" s="243"/>
      <c r="I536" s="243"/>
      <c r="J536" s="243"/>
      <c r="K536" s="243"/>
      <c r="L536" s="243"/>
      <c r="M536" s="243"/>
      <c r="N536" s="243"/>
      <c r="O536" s="243"/>
      <c r="P536" s="243"/>
      <c r="Q536" s="243"/>
      <c r="R536" s="243"/>
      <c r="S536" s="243"/>
      <c r="T536" s="243"/>
      <c r="U536" s="243"/>
      <c r="V536" s="243"/>
      <c r="W536" s="243"/>
      <c r="X536" s="243"/>
      <c r="Y536" s="243"/>
      <c r="Z536" s="243"/>
      <c r="AA536" s="243"/>
      <c r="AB536" s="243"/>
      <c r="AC536" s="243"/>
      <c r="AD536" s="243"/>
    </row>
    <row r="537" ht="33.75" customHeight="1">
      <c r="A537" s="252"/>
      <c r="B537" s="252"/>
      <c r="C537" s="243"/>
      <c r="D537" s="252"/>
      <c r="E537" s="243"/>
      <c r="F537" s="243"/>
      <c r="G537" s="243"/>
      <c r="H537" s="243"/>
      <c r="I537" s="243"/>
      <c r="J537" s="243"/>
      <c r="K537" s="243"/>
      <c r="L537" s="243"/>
      <c r="M537" s="243"/>
      <c r="N537" s="243"/>
      <c r="O537" s="243"/>
      <c r="P537" s="243"/>
      <c r="Q537" s="243"/>
      <c r="R537" s="243"/>
      <c r="S537" s="243"/>
      <c r="T537" s="243"/>
      <c r="U537" s="243"/>
      <c r="V537" s="243"/>
      <c r="W537" s="243"/>
      <c r="X537" s="243"/>
      <c r="Y537" s="243"/>
      <c r="Z537" s="243"/>
      <c r="AA537" s="243"/>
      <c r="AB537" s="243"/>
      <c r="AC537" s="243"/>
      <c r="AD537" s="243"/>
    </row>
    <row r="538" ht="33.75" customHeight="1">
      <c r="A538" s="252"/>
      <c r="B538" s="252"/>
      <c r="C538" s="243"/>
      <c r="D538" s="252"/>
      <c r="E538" s="243"/>
      <c r="F538" s="243"/>
      <c r="G538" s="243"/>
      <c r="H538" s="243"/>
      <c r="I538" s="243"/>
      <c r="J538" s="243"/>
      <c r="K538" s="243"/>
      <c r="L538" s="243"/>
      <c r="M538" s="243"/>
      <c r="N538" s="243"/>
      <c r="O538" s="243"/>
      <c r="P538" s="243"/>
      <c r="Q538" s="243"/>
      <c r="R538" s="243"/>
      <c r="S538" s="243"/>
      <c r="T538" s="243"/>
      <c r="U538" s="243"/>
      <c r="V538" s="243"/>
      <c r="W538" s="243"/>
      <c r="X538" s="243"/>
      <c r="Y538" s="243"/>
      <c r="Z538" s="243"/>
      <c r="AA538" s="243"/>
      <c r="AB538" s="243"/>
      <c r="AC538" s="243"/>
      <c r="AD538" s="243"/>
    </row>
    <row r="539" ht="33.75" customHeight="1">
      <c r="A539" s="252"/>
      <c r="B539" s="252"/>
      <c r="C539" s="243"/>
      <c r="D539" s="252"/>
      <c r="E539" s="243"/>
      <c r="F539" s="243"/>
      <c r="G539" s="243"/>
      <c r="H539" s="243"/>
      <c r="I539" s="243"/>
      <c r="J539" s="243"/>
      <c r="K539" s="243"/>
      <c r="L539" s="243"/>
      <c r="M539" s="243"/>
      <c r="N539" s="243"/>
      <c r="O539" s="243"/>
      <c r="P539" s="243"/>
      <c r="Q539" s="243"/>
      <c r="R539" s="243"/>
      <c r="S539" s="243"/>
      <c r="T539" s="243"/>
      <c r="U539" s="243"/>
      <c r="V539" s="243"/>
      <c r="W539" s="243"/>
      <c r="X539" s="243"/>
      <c r="Y539" s="243"/>
      <c r="Z539" s="243"/>
      <c r="AA539" s="243"/>
      <c r="AB539" s="243"/>
      <c r="AC539" s="243"/>
      <c r="AD539" s="243"/>
    </row>
    <row r="540" ht="33.75" customHeight="1">
      <c r="A540" s="252"/>
      <c r="B540" s="252"/>
      <c r="C540" s="243"/>
      <c r="D540" s="252"/>
      <c r="E540" s="243"/>
      <c r="F540" s="243"/>
      <c r="G540" s="243"/>
      <c r="H540" s="243"/>
      <c r="I540" s="243"/>
      <c r="J540" s="243"/>
      <c r="K540" s="243"/>
      <c r="L540" s="243"/>
      <c r="M540" s="243"/>
      <c r="N540" s="243"/>
      <c r="O540" s="243"/>
      <c r="P540" s="243"/>
      <c r="Q540" s="243"/>
      <c r="R540" s="243"/>
      <c r="S540" s="243"/>
      <c r="T540" s="243"/>
      <c r="U540" s="243"/>
      <c r="V540" s="243"/>
      <c r="W540" s="243"/>
      <c r="X540" s="243"/>
      <c r="Y540" s="243"/>
      <c r="Z540" s="243"/>
      <c r="AA540" s="243"/>
      <c r="AB540" s="243"/>
      <c r="AC540" s="243"/>
      <c r="AD540" s="243"/>
    </row>
    <row r="541" ht="33.75" customHeight="1">
      <c r="A541" s="252"/>
      <c r="B541" s="252"/>
      <c r="C541" s="243"/>
      <c r="D541" s="252"/>
      <c r="E541" s="243"/>
      <c r="F541" s="243"/>
      <c r="G541" s="243"/>
      <c r="H541" s="243"/>
      <c r="I541" s="243"/>
      <c r="J541" s="243"/>
      <c r="K541" s="243"/>
      <c r="L541" s="243"/>
      <c r="M541" s="243"/>
      <c r="N541" s="243"/>
      <c r="O541" s="243"/>
      <c r="P541" s="243"/>
      <c r="Q541" s="243"/>
      <c r="R541" s="243"/>
      <c r="S541" s="243"/>
      <c r="T541" s="243"/>
      <c r="U541" s="243"/>
      <c r="V541" s="243"/>
      <c r="W541" s="243"/>
      <c r="X541" s="243"/>
      <c r="Y541" s="243"/>
      <c r="Z541" s="243"/>
      <c r="AA541" s="243"/>
      <c r="AB541" s="243"/>
      <c r="AC541" s="243"/>
      <c r="AD541" s="243"/>
    </row>
    <row r="542" ht="33.75" customHeight="1">
      <c r="A542" s="252"/>
      <c r="B542" s="252"/>
      <c r="C542" s="243"/>
      <c r="D542" s="252"/>
      <c r="E542" s="243"/>
      <c r="F542" s="243"/>
      <c r="G542" s="243"/>
      <c r="H542" s="243"/>
      <c r="I542" s="243"/>
      <c r="J542" s="243"/>
      <c r="K542" s="243"/>
      <c r="L542" s="243"/>
      <c r="M542" s="243"/>
      <c r="N542" s="243"/>
      <c r="O542" s="243"/>
      <c r="P542" s="243"/>
      <c r="Q542" s="243"/>
      <c r="R542" s="243"/>
      <c r="S542" s="243"/>
      <c r="T542" s="243"/>
      <c r="U542" s="243"/>
      <c r="V542" s="243"/>
      <c r="W542" s="243"/>
      <c r="X542" s="243"/>
      <c r="Y542" s="243"/>
      <c r="Z542" s="243"/>
      <c r="AA542" s="243"/>
      <c r="AB542" s="243"/>
      <c r="AC542" s="243"/>
      <c r="AD542" s="243"/>
    </row>
    <row r="543" ht="33.75" customHeight="1">
      <c r="A543" s="252"/>
      <c r="B543" s="252"/>
      <c r="C543" s="243"/>
      <c r="D543" s="252"/>
      <c r="E543" s="243"/>
      <c r="F543" s="243"/>
      <c r="G543" s="243"/>
      <c r="H543" s="243"/>
      <c r="I543" s="243"/>
      <c r="J543" s="243"/>
      <c r="K543" s="243"/>
      <c r="L543" s="243"/>
      <c r="M543" s="243"/>
      <c r="N543" s="243"/>
      <c r="O543" s="243"/>
      <c r="P543" s="243"/>
      <c r="Q543" s="243"/>
      <c r="R543" s="243"/>
      <c r="S543" s="243"/>
      <c r="T543" s="243"/>
      <c r="U543" s="243"/>
      <c r="V543" s="243"/>
      <c r="W543" s="243"/>
      <c r="X543" s="243"/>
      <c r="Y543" s="243"/>
      <c r="Z543" s="243"/>
      <c r="AA543" s="243"/>
      <c r="AB543" s="243"/>
      <c r="AC543" s="243"/>
      <c r="AD543" s="243"/>
    </row>
    <row r="544" ht="33.75" customHeight="1">
      <c r="A544" s="252"/>
      <c r="B544" s="252"/>
      <c r="C544" s="243"/>
      <c r="D544" s="252"/>
      <c r="E544" s="243"/>
      <c r="F544" s="243"/>
      <c r="G544" s="243"/>
      <c r="H544" s="243"/>
      <c r="I544" s="243"/>
      <c r="J544" s="243"/>
      <c r="K544" s="243"/>
      <c r="L544" s="243"/>
      <c r="M544" s="243"/>
      <c r="N544" s="243"/>
      <c r="O544" s="243"/>
      <c r="P544" s="243"/>
      <c r="Q544" s="243"/>
      <c r="R544" s="243"/>
      <c r="S544" s="243"/>
      <c r="T544" s="243"/>
      <c r="U544" s="243"/>
      <c r="V544" s="243"/>
      <c r="W544" s="243"/>
      <c r="X544" s="243"/>
      <c r="Y544" s="243"/>
      <c r="Z544" s="243"/>
      <c r="AA544" s="243"/>
      <c r="AB544" s="243"/>
      <c r="AC544" s="243"/>
      <c r="AD544" s="243"/>
    </row>
    <row r="545" ht="33.75" customHeight="1">
      <c r="A545" s="252"/>
      <c r="B545" s="252"/>
      <c r="C545" s="243"/>
      <c r="D545" s="252"/>
      <c r="E545" s="243"/>
      <c r="F545" s="243"/>
      <c r="G545" s="243"/>
      <c r="H545" s="243"/>
      <c r="I545" s="243"/>
      <c r="J545" s="243"/>
      <c r="K545" s="243"/>
      <c r="L545" s="243"/>
      <c r="M545" s="243"/>
      <c r="N545" s="243"/>
      <c r="O545" s="243"/>
      <c r="P545" s="243"/>
      <c r="Q545" s="243"/>
      <c r="R545" s="243"/>
      <c r="S545" s="243"/>
      <c r="T545" s="243"/>
      <c r="U545" s="243"/>
      <c r="V545" s="243"/>
      <c r="W545" s="243"/>
      <c r="X545" s="243"/>
      <c r="Y545" s="243"/>
      <c r="Z545" s="243"/>
      <c r="AA545" s="243"/>
      <c r="AB545" s="243"/>
      <c r="AC545" s="243"/>
      <c r="AD545" s="243"/>
    </row>
    <row r="546" ht="33.75" customHeight="1">
      <c r="A546" s="252"/>
      <c r="B546" s="252"/>
      <c r="C546" s="243"/>
      <c r="D546" s="252"/>
      <c r="E546" s="243"/>
      <c r="F546" s="243"/>
      <c r="G546" s="243"/>
      <c r="H546" s="243"/>
      <c r="I546" s="243"/>
      <c r="J546" s="243"/>
      <c r="K546" s="243"/>
      <c r="L546" s="243"/>
      <c r="M546" s="243"/>
      <c r="N546" s="243"/>
      <c r="O546" s="243"/>
      <c r="P546" s="243"/>
      <c r="Q546" s="243"/>
      <c r="R546" s="243"/>
      <c r="S546" s="243"/>
      <c r="T546" s="243"/>
      <c r="U546" s="243"/>
      <c r="V546" s="243"/>
      <c r="W546" s="243"/>
      <c r="X546" s="243"/>
      <c r="Y546" s="243"/>
      <c r="Z546" s="243"/>
      <c r="AA546" s="243"/>
      <c r="AB546" s="243"/>
      <c r="AC546" s="243"/>
      <c r="AD546" s="243"/>
    </row>
    <row r="547" ht="33.75" customHeight="1">
      <c r="A547" s="252"/>
      <c r="B547" s="252"/>
      <c r="C547" s="243"/>
      <c r="D547" s="252"/>
      <c r="E547" s="243"/>
      <c r="F547" s="243"/>
      <c r="G547" s="243"/>
      <c r="H547" s="243"/>
      <c r="I547" s="243"/>
      <c r="J547" s="243"/>
      <c r="K547" s="243"/>
      <c r="L547" s="243"/>
      <c r="M547" s="243"/>
      <c r="N547" s="243"/>
      <c r="O547" s="243"/>
      <c r="P547" s="243"/>
      <c r="Q547" s="243"/>
      <c r="R547" s="243"/>
      <c r="S547" s="243"/>
      <c r="T547" s="243"/>
      <c r="U547" s="243"/>
      <c r="V547" s="243"/>
      <c r="W547" s="243"/>
      <c r="X547" s="243"/>
      <c r="Y547" s="243"/>
      <c r="Z547" s="243"/>
      <c r="AA547" s="243"/>
      <c r="AB547" s="243"/>
      <c r="AC547" s="243"/>
      <c r="AD547" s="243"/>
    </row>
    <row r="548" ht="33.75" customHeight="1">
      <c r="A548" s="252"/>
      <c r="B548" s="252"/>
      <c r="C548" s="243"/>
      <c r="D548" s="252"/>
      <c r="E548" s="243"/>
      <c r="F548" s="243"/>
      <c r="G548" s="243"/>
      <c r="H548" s="243"/>
      <c r="I548" s="243"/>
      <c r="J548" s="243"/>
      <c r="K548" s="243"/>
      <c r="L548" s="243"/>
      <c r="M548" s="243"/>
      <c r="N548" s="243"/>
      <c r="O548" s="243"/>
      <c r="P548" s="243"/>
      <c r="Q548" s="243"/>
      <c r="R548" s="243"/>
      <c r="S548" s="243"/>
      <c r="T548" s="243"/>
      <c r="U548" s="243"/>
      <c r="V548" s="243"/>
      <c r="W548" s="243"/>
      <c r="X548" s="243"/>
      <c r="Y548" s="243"/>
      <c r="Z548" s="243"/>
      <c r="AA548" s="243"/>
      <c r="AB548" s="243"/>
      <c r="AC548" s="243"/>
      <c r="AD548" s="243"/>
    </row>
    <row r="549" ht="33.75" customHeight="1">
      <c r="A549" s="252"/>
      <c r="B549" s="252"/>
      <c r="C549" s="243"/>
      <c r="D549" s="252"/>
      <c r="E549" s="243"/>
      <c r="F549" s="243"/>
      <c r="G549" s="243"/>
      <c r="H549" s="243"/>
      <c r="I549" s="243"/>
      <c r="J549" s="243"/>
      <c r="K549" s="243"/>
      <c r="L549" s="243"/>
      <c r="M549" s="243"/>
      <c r="N549" s="243"/>
      <c r="O549" s="243"/>
      <c r="P549" s="243"/>
      <c r="Q549" s="243"/>
      <c r="R549" s="243"/>
      <c r="S549" s="243"/>
      <c r="T549" s="243"/>
      <c r="U549" s="243"/>
      <c r="V549" s="243"/>
      <c r="W549" s="243"/>
      <c r="X549" s="243"/>
      <c r="Y549" s="243"/>
      <c r="Z549" s="243"/>
      <c r="AA549" s="243"/>
      <c r="AB549" s="243"/>
      <c r="AC549" s="243"/>
      <c r="AD549" s="243"/>
    </row>
    <row r="550" ht="33.75" customHeight="1">
      <c r="A550" s="252"/>
      <c r="B550" s="252"/>
      <c r="C550" s="243"/>
      <c r="D550" s="252"/>
      <c r="E550" s="243"/>
      <c r="F550" s="243"/>
      <c r="G550" s="243"/>
      <c r="H550" s="243"/>
      <c r="I550" s="243"/>
      <c r="J550" s="243"/>
      <c r="K550" s="243"/>
      <c r="L550" s="243"/>
      <c r="M550" s="243"/>
      <c r="N550" s="243"/>
      <c r="O550" s="243"/>
      <c r="P550" s="243"/>
      <c r="Q550" s="243"/>
      <c r="R550" s="243"/>
      <c r="S550" s="243"/>
      <c r="T550" s="243"/>
      <c r="U550" s="243"/>
      <c r="V550" s="243"/>
      <c r="W550" s="243"/>
      <c r="X550" s="243"/>
      <c r="Y550" s="243"/>
      <c r="Z550" s="243"/>
      <c r="AA550" s="243"/>
      <c r="AB550" s="243"/>
      <c r="AC550" s="243"/>
      <c r="AD550" s="243"/>
    </row>
    <row r="551" ht="33.75" customHeight="1">
      <c r="A551" s="252"/>
      <c r="B551" s="252"/>
      <c r="C551" s="243"/>
      <c r="D551" s="252"/>
      <c r="E551" s="243"/>
      <c r="F551" s="243"/>
      <c r="G551" s="243"/>
      <c r="H551" s="243"/>
      <c r="I551" s="243"/>
      <c r="J551" s="243"/>
      <c r="K551" s="243"/>
      <c r="L551" s="243"/>
      <c r="M551" s="243"/>
      <c r="N551" s="243"/>
      <c r="O551" s="243"/>
      <c r="P551" s="243"/>
      <c r="Q551" s="243"/>
      <c r="R551" s="243"/>
      <c r="S551" s="243"/>
      <c r="T551" s="243"/>
      <c r="U551" s="243"/>
      <c r="V551" s="243"/>
      <c r="W551" s="243"/>
      <c r="X551" s="243"/>
      <c r="Y551" s="243"/>
      <c r="Z551" s="243"/>
      <c r="AA551" s="243"/>
      <c r="AB551" s="243"/>
      <c r="AC551" s="243"/>
      <c r="AD551" s="243"/>
    </row>
    <row r="552" ht="33.75" customHeight="1">
      <c r="A552" s="252"/>
      <c r="B552" s="252"/>
      <c r="C552" s="243"/>
      <c r="D552" s="252"/>
      <c r="E552" s="243"/>
      <c r="F552" s="243"/>
      <c r="G552" s="243"/>
      <c r="H552" s="243"/>
      <c r="I552" s="243"/>
      <c r="J552" s="243"/>
      <c r="K552" s="243"/>
      <c r="L552" s="243"/>
      <c r="M552" s="243"/>
      <c r="N552" s="243"/>
      <c r="O552" s="243"/>
      <c r="P552" s="243"/>
      <c r="Q552" s="243"/>
      <c r="R552" s="243"/>
      <c r="S552" s="243"/>
      <c r="T552" s="243"/>
      <c r="U552" s="243"/>
      <c r="V552" s="243"/>
      <c r="W552" s="243"/>
      <c r="X552" s="243"/>
      <c r="Y552" s="243"/>
      <c r="Z552" s="243"/>
      <c r="AA552" s="243"/>
      <c r="AB552" s="243"/>
      <c r="AC552" s="243"/>
      <c r="AD552" s="243"/>
    </row>
    <row r="553" ht="33.75" customHeight="1">
      <c r="A553" s="252"/>
      <c r="B553" s="252"/>
      <c r="C553" s="243"/>
      <c r="D553" s="252"/>
      <c r="E553" s="243"/>
      <c r="F553" s="243"/>
      <c r="G553" s="243"/>
      <c r="H553" s="243"/>
      <c r="I553" s="243"/>
      <c r="J553" s="243"/>
      <c r="K553" s="243"/>
      <c r="L553" s="243"/>
      <c r="M553" s="243"/>
      <c r="N553" s="243"/>
      <c r="O553" s="243"/>
      <c r="P553" s="243"/>
      <c r="Q553" s="243"/>
      <c r="R553" s="243"/>
      <c r="S553" s="243"/>
      <c r="T553" s="243"/>
      <c r="U553" s="243"/>
      <c r="V553" s="243"/>
      <c r="W553" s="243"/>
      <c r="X553" s="243"/>
      <c r="Y553" s="243"/>
      <c r="Z553" s="243"/>
      <c r="AA553" s="243"/>
      <c r="AB553" s="243"/>
      <c r="AC553" s="243"/>
      <c r="AD553" s="243"/>
    </row>
    <row r="554" ht="33.75" customHeight="1">
      <c r="A554" s="252"/>
      <c r="B554" s="252"/>
      <c r="C554" s="243"/>
      <c r="D554" s="252"/>
      <c r="E554" s="243"/>
      <c r="F554" s="243"/>
      <c r="G554" s="243"/>
      <c r="H554" s="243"/>
      <c r="I554" s="243"/>
      <c r="J554" s="243"/>
      <c r="K554" s="243"/>
      <c r="L554" s="243"/>
      <c r="M554" s="243"/>
      <c r="N554" s="243"/>
      <c r="O554" s="243"/>
      <c r="P554" s="243"/>
      <c r="Q554" s="243"/>
      <c r="R554" s="243"/>
      <c r="S554" s="243"/>
      <c r="T554" s="243"/>
      <c r="U554" s="243"/>
      <c r="V554" s="243"/>
      <c r="W554" s="243"/>
      <c r="X554" s="243"/>
      <c r="Y554" s="243"/>
      <c r="Z554" s="243"/>
      <c r="AA554" s="243"/>
      <c r="AB554" s="243"/>
      <c r="AC554" s="243"/>
      <c r="AD554" s="243"/>
    </row>
    <row r="555" ht="33.75" customHeight="1">
      <c r="A555" s="252"/>
      <c r="B555" s="252"/>
      <c r="C555" s="243"/>
      <c r="D555" s="252"/>
      <c r="E555" s="243"/>
      <c r="F555" s="243"/>
      <c r="G555" s="243"/>
      <c r="H555" s="243"/>
      <c r="I555" s="243"/>
      <c r="J555" s="243"/>
      <c r="K555" s="243"/>
      <c r="L555" s="243"/>
      <c r="M555" s="243"/>
      <c r="N555" s="243"/>
      <c r="O555" s="243"/>
      <c r="P555" s="243"/>
      <c r="Q555" s="243"/>
      <c r="R555" s="243"/>
      <c r="S555" s="243"/>
      <c r="T555" s="243"/>
      <c r="U555" s="243"/>
      <c r="V555" s="243"/>
      <c r="W555" s="243"/>
      <c r="X555" s="243"/>
      <c r="Y555" s="243"/>
      <c r="Z555" s="243"/>
      <c r="AA555" s="243"/>
      <c r="AB555" s="243"/>
      <c r="AC555" s="243"/>
      <c r="AD555" s="243"/>
    </row>
    <row r="556" ht="33.75" customHeight="1">
      <c r="A556" s="252"/>
      <c r="B556" s="252"/>
      <c r="C556" s="243"/>
      <c r="D556" s="252"/>
      <c r="E556" s="243"/>
      <c r="F556" s="243"/>
      <c r="G556" s="243"/>
      <c r="H556" s="243"/>
      <c r="I556" s="243"/>
      <c r="J556" s="243"/>
      <c r="K556" s="243"/>
      <c r="L556" s="243"/>
      <c r="M556" s="243"/>
      <c r="N556" s="243"/>
      <c r="O556" s="243"/>
      <c r="P556" s="243"/>
      <c r="Q556" s="243"/>
      <c r="R556" s="243"/>
      <c r="S556" s="243"/>
      <c r="T556" s="243"/>
      <c r="U556" s="243"/>
      <c r="V556" s="243"/>
      <c r="W556" s="243"/>
      <c r="X556" s="243"/>
      <c r="Y556" s="243"/>
      <c r="Z556" s="243"/>
      <c r="AA556" s="243"/>
      <c r="AB556" s="243"/>
      <c r="AC556" s="243"/>
      <c r="AD556" s="243"/>
    </row>
    <row r="557" ht="33.75" customHeight="1">
      <c r="A557" s="252"/>
      <c r="B557" s="252"/>
      <c r="C557" s="243"/>
      <c r="D557" s="252"/>
      <c r="E557" s="243"/>
      <c r="F557" s="243"/>
      <c r="G557" s="243"/>
      <c r="H557" s="243"/>
      <c r="I557" s="243"/>
      <c r="J557" s="243"/>
      <c r="K557" s="243"/>
      <c r="L557" s="243"/>
      <c r="M557" s="243"/>
      <c r="N557" s="243"/>
      <c r="O557" s="243"/>
      <c r="P557" s="243"/>
      <c r="Q557" s="243"/>
      <c r="R557" s="243"/>
      <c r="S557" s="243"/>
      <c r="T557" s="243"/>
      <c r="U557" s="243"/>
      <c r="V557" s="243"/>
      <c r="W557" s="243"/>
      <c r="X557" s="243"/>
      <c r="Y557" s="243"/>
      <c r="Z557" s="243"/>
      <c r="AA557" s="243"/>
      <c r="AB557" s="243"/>
      <c r="AC557" s="243"/>
      <c r="AD557" s="243"/>
    </row>
    <row r="558" ht="33.75" customHeight="1">
      <c r="A558" s="252"/>
      <c r="B558" s="252"/>
      <c r="C558" s="243"/>
      <c r="D558" s="252"/>
      <c r="E558" s="243"/>
      <c r="F558" s="243"/>
      <c r="G558" s="243"/>
      <c r="H558" s="243"/>
      <c r="I558" s="243"/>
      <c r="J558" s="243"/>
      <c r="K558" s="243"/>
      <c r="L558" s="243"/>
      <c r="M558" s="243"/>
      <c r="N558" s="243"/>
      <c r="O558" s="243"/>
      <c r="P558" s="243"/>
      <c r="Q558" s="243"/>
      <c r="R558" s="243"/>
      <c r="S558" s="243"/>
      <c r="T558" s="243"/>
      <c r="U558" s="243"/>
      <c r="V558" s="243"/>
      <c r="W558" s="243"/>
      <c r="X558" s="243"/>
      <c r="Y558" s="243"/>
      <c r="Z558" s="243"/>
      <c r="AA558" s="243"/>
      <c r="AB558" s="243"/>
      <c r="AC558" s="243"/>
      <c r="AD558" s="243"/>
    </row>
    <row r="559" ht="33.75" customHeight="1">
      <c r="A559" s="252"/>
      <c r="B559" s="252"/>
      <c r="C559" s="243"/>
      <c r="D559" s="252"/>
      <c r="E559" s="243"/>
      <c r="F559" s="243"/>
      <c r="G559" s="243"/>
      <c r="H559" s="243"/>
      <c r="I559" s="243"/>
      <c r="J559" s="243"/>
      <c r="K559" s="243"/>
      <c r="L559" s="243"/>
      <c r="M559" s="243"/>
      <c r="N559" s="243"/>
      <c r="O559" s="243"/>
      <c r="P559" s="243"/>
      <c r="Q559" s="243"/>
      <c r="R559" s="243"/>
      <c r="S559" s="243"/>
      <c r="T559" s="243"/>
      <c r="U559" s="243"/>
      <c r="V559" s="243"/>
      <c r="W559" s="243"/>
      <c r="X559" s="243"/>
      <c r="Y559" s="243"/>
      <c r="Z559" s="243"/>
      <c r="AA559" s="243"/>
      <c r="AB559" s="243"/>
      <c r="AC559" s="243"/>
      <c r="AD559" s="243"/>
    </row>
    <row r="560" ht="33.75" customHeight="1">
      <c r="A560" s="252"/>
      <c r="B560" s="252"/>
      <c r="C560" s="243"/>
      <c r="D560" s="252"/>
      <c r="E560" s="243"/>
      <c r="F560" s="243"/>
      <c r="G560" s="243"/>
      <c r="H560" s="243"/>
      <c r="I560" s="243"/>
      <c r="J560" s="243"/>
      <c r="K560" s="243"/>
      <c r="L560" s="243"/>
      <c r="M560" s="243"/>
      <c r="N560" s="243"/>
      <c r="O560" s="243"/>
      <c r="P560" s="243"/>
      <c r="Q560" s="243"/>
      <c r="R560" s="243"/>
      <c r="S560" s="243"/>
      <c r="T560" s="243"/>
      <c r="U560" s="243"/>
      <c r="V560" s="243"/>
      <c r="W560" s="243"/>
      <c r="X560" s="243"/>
      <c r="Y560" s="243"/>
      <c r="Z560" s="243"/>
      <c r="AA560" s="243"/>
      <c r="AB560" s="243"/>
      <c r="AC560" s="243"/>
      <c r="AD560" s="243"/>
    </row>
    <row r="561" ht="33.75" customHeight="1">
      <c r="A561" s="252"/>
      <c r="B561" s="252"/>
      <c r="C561" s="243"/>
      <c r="D561" s="252"/>
      <c r="E561" s="243"/>
      <c r="F561" s="243"/>
      <c r="G561" s="243"/>
      <c r="H561" s="243"/>
      <c r="I561" s="243"/>
      <c r="J561" s="243"/>
      <c r="K561" s="243"/>
      <c r="L561" s="243"/>
      <c r="M561" s="243"/>
      <c r="N561" s="243"/>
      <c r="O561" s="243"/>
      <c r="P561" s="243"/>
      <c r="Q561" s="243"/>
      <c r="R561" s="243"/>
      <c r="S561" s="243"/>
      <c r="T561" s="243"/>
      <c r="U561" s="243"/>
      <c r="V561" s="243"/>
      <c r="W561" s="243"/>
      <c r="X561" s="243"/>
      <c r="Y561" s="243"/>
      <c r="Z561" s="243"/>
      <c r="AA561" s="243"/>
      <c r="AB561" s="243"/>
      <c r="AC561" s="243"/>
      <c r="AD561" s="243"/>
    </row>
    <row r="562" ht="33.75" customHeight="1">
      <c r="A562" s="252"/>
      <c r="B562" s="252"/>
      <c r="C562" s="243"/>
      <c r="D562" s="252"/>
      <c r="E562" s="243"/>
      <c r="F562" s="243"/>
      <c r="G562" s="243"/>
      <c r="H562" s="243"/>
      <c r="I562" s="243"/>
      <c r="J562" s="243"/>
      <c r="K562" s="243"/>
      <c r="L562" s="243"/>
      <c r="M562" s="243"/>
      <c r="N562" s="243"/>
      <c r="O562" s="243"/>
      <c r="P562" s="243"/>
      <c r="Q562" s="243"/>
      <c r="R562" s="243"/>
      <c r="S562" s="243"/>
      <c r="T562" s="243"/>
      <c r="U562" s="243"/>
      <c r="V562" s="243"/>
      <c r="W562" s="243"/>
      <c r="X562" s="243"/>
      <c r="Y562" s="243"/>
      <c r="Z562" s="243"/>
      <c r="AA562" s="243"/>
      <c r="AB562" s="243"/>
      <c r="AC562" s="243"/>
      <c r="AD562" s="243"/>
    </row>
    <row r="563" ht="33.75" customHeight="1">
      <c r="A563" s="252"/>
      <c r="B563" s="252"/>
      <c r="C563" s="243"/>
      <c r="D563" s="252"/>
      <c r="E563" s="243"/>
      <c r="F563" s="243"/>
      <c r="G563" s="243"/>
      <c r="H563" s="243"/>
      <c r="I563" s="243"/>
      <c r="J563" s="243"/>
      <c r="K563" s="243"/>
      <c r="L563" s="243"/>
      <c r="M563" s="243"/>
      <c r="N563" s="243"/>
      <c r="O563" s="243"/>
      <c r="P563" s="243"/>
      <c r="Q563" s="243"/>
      <c r="R563" s="243"/>
      <c r="S563" s="243"/>
      <c r="T563" s="243"/>
      <c r="U563" s="243"/>
      <c r="V563" s="243"/>
      <c r="W563" s="243"/>
      <c r="X563" s="243"/>
      <c r="Y563" s="243"/>
      <c r="Z563" s="243"/>
      <c r="AA563" s="243"/>
      <c r="AB563" s="243"/>
      <c r="AC563" s="243"/>
      <c r="AD563" s="243"/>
    </row>
    <row r="564" ht="33.75" customHeight="1">
      <c r="A564" s="252"/>
      <c r="B564" s="252"/>
      <c r="C564" s="243"/>
      <c r="D564" s="252"/>
      <c r="E564" s="243"/>
      <c r="F564" s="243"/>
      <c r="G564" s="243"/>
      <c r="H564" s="243"/>
      <c r="I564" s="243"/>
      <c r="J564" s="243"/>
      <c r="K564" s="243"/>
      <c r="L564" s="243"/>
      <c r="M564" s="243"/>
      <c r="N564" s="243"/>
      <c r="O564" s="243"/>
      <c r="P564" s="243"/>
      <c r="Q564" s="243"/>
      <c r="R564" s="243"/>
      <c r="S564" s="243"/>
      <c r="T564" s="243"/>
      <c r="U564" s="243"/>
      <c r="V564" s="243"/>
      <c r="W564" s="243"/>
      <c r="X564" s="243"/>
      <c r="Y564" s="243"/>
      <c r="Z564" s="243"/>
      <c r="AA564" s="243"/>
      <c r="AB564" s="243"/>
      <c r="AC564" s="243"/>
      <c r="AD564" s="243"/>
    </row>
    <row r="565" ht="33.75" customHeight="1">
      <c r="A565" s="252"/>
      <c r="B565" s="252"/>
      <c r="C565" s="243"/>
      <c r="D565" s="252"/>
      <c r="E565" s="243"/>
      <c r="F565" s="243"/>
      <c r="G565" s="243"/>
      <c r="H565" s="243"/>
      <c r="I565" s="243"/>
      <c r="J565" s="243"/>
      <c r="K565" s="243"/>
      <c r="L565" s="243"/>
      <c r="M565" s="243"/>
      <c r="N565" s="243"/>
      <c r="O565" s="243"/>
      <c r="P565" s="243"/>
      <c r="Q565" s="243"/>
      <c r="R565" s="243"/>
      <c r="S565" s="243"/>
      <c r="T565" s="243"/>
      <c r="U565" s="243"/>
      <c r="V565" s="243"/>
      <c r="W565" s="243"/>
      <c r="X565" s="243"/>
      <c r="Y565" s="243"/>
      <c r="Z565" s="243"/>
      <c r="AA565" s="243"/>
      <c r="AB565" s="243"/>
      <c r="AC565" s="243"/>
      <c r="AD565" s="243"/>
    </row>
    <row r="566" ht="33.75" customHeight="1">
      <c r="A566" s="252"/>
      <c r="B566" s="252"/>
      <c r="C566" s="243"/>
      <c r="D566" s="252"/>
      <c r="E566" s="243"/>
      <c r="F566" s="243"/>
      <c r="G566" s="243"/>
      <c r="H566" s="243"/>
      <c r="I566" s="243"/>
      <c r="J566" s="243"/>
      <c r="K566" s="243"/>
      <c r="L566" s="243"/>
      <c r="M566" s="243"/>
      <c r="N566" s="243"/>
      <c r="O566" s="243"/>
      <c r="P566" s="243"/>
      <c r="Q566" s="243"/>
      <c r="R566" s="243"/>
      <c r="S566" s="243"/>
      <c r="T566" s="243"/>
      <c r="U566" s="243"/>
      <c r="V566" s="243"/>
      <c r="W566" s="243"/>
      <c r="X566" s="243"/>
      <c r="Y566" s="243"/>
      <c r="Z566" s="243"/>
      <c r="AA566" s="243"/>
      <c r="AB566" s="243"/>
      <c r="AC566" s="243"/>
      <c r="AD566" s="243"/>
    </row>
    <row r="567" ht="33.75" customHeight="1">
      <c r="A567" s="252"/>
      <c r="B567" s="252"/>
      <c r="C567" s="243"/>
      <c r="D567" s="252"/>
      <c r="E567" s="243"/>
      <c r="F567" s="243"/>
      <c r="G567" s="243"/>
      <c r="H567" s="243"/>
      <c r="I567" s="243"/>
      <c r="J567" s="243"/>
      <c r="K567" s="243"/>
      <c r="L567" s="243"/>
      <c r="M567" s="243"/>
      <c r="N567" s="243"/>
      <c r="O567" s="243"/>
      <c r="P567" s="243"/>
      <c r="Q567" s="243"/>
      <c r="R567" s="243"/>
      <c r="S567" s="243"/>
      <c r="T567" s="243"/>
      <c r="U567" s="243"/>
      <c r="V567" s="243"/>
      <c r="W567" s="243"/>
      <c r="X567" s="243"/>
      <c r="Y567" s="243"/>
      <c r="Z567" s="243"/>
      <c r="AA567" s="243"/>
      <c r="AB567" s="243"/>
      <c r="AC567" s="243"/>
      <c r="AD567" s="243"/>
    </row>
    <row r="568" ht="33.75" customHeight="1">
      <c r="A568" s="252"/>
      <c r="B568" s="252"/>
      <c r="C568" s="243"/>
      <c r="D568" s="252"/>
      <c r="E568" s="243"/>
      <c r="F568" s="243"/>
      <c r="G568" s="243"/>
      <c r="H568" s="243"/>
      <c r="I568" s="243"/>
      <c r="J568" s="243"/>
      <c r="K568" s="243"/>
      <c r="L568" s="243"/>
      <c r="M568" s="243"/>
      <c r="N568" s="243"/>
      <c r="O568" s="243"/>
      <c r="P568" s="243"/>
      <c r="Q568" s="243"/>
      <c r="R568" s="243"/>
      <c r="S568" s="243"/>
      <c r="T568" s="243"/>
      <c r="U568" s="243"/>
      <c r="V568" s="243"/>
      <c r="W568" s="243"/>
      <c r="X568" s="243"/>
      <c r="Y568" s="243"/>
      <c r="Z568" s="243"/>
      <c r="AA568" s="243"/>
      <c r="AB568" s="243"/>
      <c r="AC568" s="243"/>
      <c r="AD568" s="243"/>
    </row>
    <row r="569" ht="33.75" customHeight="1">
      <c r="A569" s="252"/>
      <c r="B569" s="252"/>
      <c r="C569" s="243"/>
      <c r="D569" s="252"/>
      <c r="E569" s="243"/>
      <c r="F569" s="243"/>
      <c r="G569" s="243"/>
      <c r="H569" s="243"/>
      <c r="I569" s="243"/>
      <c r="J569" s="243"/>
      <c r="K569" s="243"/>
      <c r="L569" s="243"/>
      <c r="M569" s="243"/>
      <c r="N569" s="243"/>
      <c r="O569" s="243"/>
      <c r="P569" s="243"/>
      <c r="Q569" s="243"/>
      <c r="R569" s="243"/>
      <c r="S569" s="243"/>
      <c r="T569" s="243"/>
      <c r="U569" s="243"/>
      <c r="V569" s="243"/>
      <c r="W569" s="243"/>
      <c r="X569" s="243"/>
      <c r="Y569" s="243"/>
      <c r="Z569" s="243"/>
      <c r="AA569" s="243"/>
      <c r="AB569" s="243"/>
      <c r="AC569" s="243"/>
      <c r="AD569" s="243"/>
    </row>
    <row r="570" ht="33.75" customHeight="1">
      <c r="A570" s="252"/>
      <c r="B570" s="252"/>
      <c r="C570" s="243"/>
      <c r="D570" s="252"/>
      <c r="E570" s="243"/>
      <c r="F570" s="243"/>
      <c r="G570" s="243"/>
      <c r="H570" s="243"/>
      <c r="I570" s="243"/>
      <c r="J570" s="243"/>
      <c r="K570" s="243"/>
      <c r="L570" s="243"/>
      <c r="M570" s="243"/>
      <c r="N570" s="243"/>
      <c r="O570" s="243"/>
      <c r="P570" s="243"/>
      <c r="Q570" s="243"/>
      <c r="R570" s="243"/>
      <c r="S570" s="243"/>
      <c r="T570" s="243"/>
      <c r="U570" s="243"/>
      <c r="V570" s="243"/>
      <c r="W570" s="243"/>
      <c r="X570" s="243"/>
      <c r="Y570" s="243"/>
      <c r="Z570" s="243"/>
      <c r="AA570" s="243"/>
      <c r="AB570" s="243"/>
      <c r="AC570" s="243"/>
      <c r="AD570" s="243"/>
    </row>
    <row r="571" ht="33.75" customHeight="1">
      <c r="A571" s="252"/>
      <c r="B571" s="252"/>
      <c r="C571" s="243"/>
      <c r="D571" s="252"/>
      <c r="E571" s="243"/>
      <c r="F571" s="243"/>
      <c r="G571" s="243"/>
      <c r="H571" s="243"/>
      <c r="I571" s="243"/>
      <c r="J571" s="243"/>
      <c r="K571" s="243"/>
      <c r="L571" s="243"/>
      <c r="M571" s="243"/>
      <c r="N571" s="243"/>
      <c r="O571" s="243"/>
      <c r="P571" s="243"/>
      <c r="Q571" s="243"/>
      <c r="R571" s="243"/>
      <c r="S571" s="243"/>
      <c r="T571" s="243"/>
      <c r="U571" s="243"/>
      <c r="V571" s="243"/>
      <c r="W571" s="243"/>
      <c r="X571" s="243"/>
      <c r="Y571" s="243"/>
      <c r="Z571" s="243"/>
      <c r="AA571" s="243"/>
      <c r="AB571" s="243"/>
      <c r="AC571" s="243"/>
      <c r="AD571" s="243"/>
    </row>
    <row r="572" ht="33.75" customHeight="1">
      <c r="A572" s="252"/>
      <c r="B572" s="252"/>
      <c r="C572" s="243"/>
      <c r="D572" s="252"/>
      <c r="E572" s="243"/>
      <c r="F572" s="243"/>
      <c r="G572" s="243"/>
      <c r="H572" s="243"/>
      <c r="I572" s="243"/>
      <c r="J572" s="243"/>
      <c r="K572" s="243"/>
      <c r="L572" s="243"/>
      <c r="M572" s="243"/>
      <c r="N572" s="243"/>
      <c r="O572" s="243"/>
      <c r="P572" s="243"/>
      <c r="Q572" s="243"/>
      <c r="R572" s="243"/>
      <c r="S572" s="243"/>
      <c r="T572" s="243"/>
      <c r="U572" s="243"/>
      <c r="V572" s="243"/>
      <c r="W572" s="243"/>
      <c r="X572" s="243"/>
      <c r="Y572" s="243"/>
      <c r="Z572" s="243"/>
      <c r="AA572" s="243"/>
      <c r="AB572" s="243"/>
      <c r="AC572" s="243"/>
      <c r="AD572" s="243"/>
    </row>
    <row r="573" ht="33.75" customHeight="1">
      <c r="A573" s="252"/>
      <c r="B573" s="252"/>
      <c r="C573" s="243"/>
      <c r="D573" s="252"/>
      <c r="E573" s="243"/>
      <c r="F573" s="243"/>
      <c r="G573" s="243"/>
      <c r="H573" s="243"/>
      <c r="I573" s="243"/>
      <c r="J573" s="243"/>
      <c r="K573" s="243"/>
      <c r="L573" s="243"/>
      <c r="M573" s="243"/>
      <c r="N573" s="243"/>
      <c r="O573" s="243"/>
      <c r="P573" s="243"/>
      <c r="Q573" s="243"/>
      <c r="R573" s="243"/>
      <c r="S573" s="243"/>
      <c r="T573" s="243"/>
      <c r="U573" s="243"/>
      <c r="V573" s="243"/>
      <c r="W573" s="243"/>
      <c r="X573" s="243"/>
      <c r="Y573" s="243"/>
      <c r="Z573" s="243"/>
      <c r="AA573" s="243"/>
      <c r="AB573" s="243"/>
      <c r="AC573" s="243"/>
      <c r="AD573" s="243"/>
    </row>
    <row r="574" ht="33.75" customHeight="1">
      <c r="A574" s="252"/>
      <c r="B574" s="252"/>
      <c r="C574" s="243"/>
      <c r="D574" s="252"/>
      <c r="E574" s="243"/>
      <c r="F574" s="243"/>
      <c r="G574" s="243"/>
      <c r="H574" s="243"/>
      <c r="I574" s="243"/>
      <c r="J574" s="243"/>
      <c r="K574" s="243"/>
      <c r="L574" s="243"/>
      <c r="M574" s="243"/>
      <c r="N574" s="243"/>
      <c r="O574" s="243"/>
      <c r="P574" s="243"/>
      <c r="Q574" s="243"/>
      <c r="R574" s="243"/>
      <c r="S574" s="243"/>
      <c r="T574" s="243"/>
      <c r="U574" s="243"/>
      <c r="V574" s="243"/>
      <c r="W574" s="243"/>
      <c r="X574" s="243"/>
      <c r="Y574" s="243"/>
      <c r="Z574" s="243"/>
      <c r="AA574" s="243"/>
      <c r="AB574" s="243"/>
      <c r="AC574" s="243"/>
      <c r="AD574" s="243"/>
    </row>
    <row r="575" ht="33.75" customHeight="1">
      <c r="A575" s="252"/>
      <c r="B575" s="252"/>
      <c r="C575" s="243"/>
      <c r="D575" s="252"/>
      <c r="E575" s="243"/>
      <c r="F575" s="243"/>
      <c r="G575" s="243"/>
      <c r="H575" s="243"/>
      <c r="I575" s="243"/>
      <c r="J575" s="243"/>
      <c r="K575" s="243"/>
      <c r="L575" s="243"/>
      <c r="M575" s="243"/>
      <c r="N575" s="243"/>
      <c r="O575" s="243"/>
      <c r="P575" s="243"/>
      <c r="Q575" s="243"/>
      <c r="R575" s="243"/>
      <c r="S575" s="243"/>
      <c r="T575" s="243"/>
      <c r="U575" s="243"/>
      <c r="V575" s="243"/>
      <c r="W575" s="243"/>
      <c r="X575" s="243"/>
      <c r="Y575" s="243"/>
      <c r="Z575" s="243"/>
      <c r="AA575" s="243"/>
      <c r="AB575" s="243"/>
      <c r="AC575" s="243"/>
      <c r="AD575" s="243"/>
    </row>
    <row r="576" ht="33.75" customHeight="1">
      <c r="A576" s="252"/>
      <c r="B576" s="252"/>
      <c r="C576" s="243"/>
      <c r="D576" s="252"/>
      <c r="E576" s="243"/>
      <c r="F576" s="243"/>
      <c r="G576" s="243"/>
      <c r="H576" s="243"/>
      <c r="I576" s="243"/>
      <c r="J576" s="243"/>
      <c r="K576" s="243"/>
      <c r="L576" s="243"/>
      <c r="M576" s="243"/>
      <c r="N576" s="243"/>
      <c r="O576" s="243"/>
      <c r="P576" s="243"/>
      <c r="Q576" s="243"/>
      <c r="R576" s="243"/>
      <c r="S576" s="243"/>
      <c r="T576" s="243"/>
      <c r="U576" s="243"/>
      <c r="V576" s="243"/>
      <c r="W576" s="243"/>
      <c r="X576" s="243"/>
      <c r="Y576" s="243"/>
      <c r="Z576" s="243"/>
      <c r="AA576" s="243"/>
      <c r="AB576" s="243"/>
      <c r="AC576" s="243"/>
      <c r="AD576" s="243"/>
    </row>
    <row r="577" ht="33.75" customHeight="1">
      <c r="A577" s="252"/>
      <c r="B577" s="252"/>
      <c r="C577" s="243"/>
      <c r="D577" s="252"/>
      <c r="E577" s="243"/>
      <c r="F577" s="243"/>
      <c r="G577" s="243"/>
      <c r="H577" s="243"/>
      <c r="I577" s="243"/>
      <c r="J577" s="243"/>
      <c r="K577" s="243"/>
      <c r="L577" s="243"/>
      <c r="M577" s="243"/>
      <c r="N577" s="243"/>
      <c r="O577" s="243"/>
      <c r="P577" s="243"/>
      <c r="Q577" s="243"/>
      <c r="R577" s="243"/>
      <c r="S577" s="243"/>
      <c r="T577" s="243"/>
      <c r="U577" s="243"/>
      <c r="V577" s="243"/>
      <c r="W577" s="243"/>
      <c r="X577" s="243"/>
      <c r="Y577" s="243"/>
      <c r="Z577" s="243"/>
      <c r="AA577" s="243"/>
      <c r="AB577" s="243"/>
      <c r="AC577" s="243"/>
      <c r="AD577" s="243"/>
    </row>
    <row r="578" ht="33.75" customHeight="1">
      <c r="A578" s="252"/>
      <c r="B578" s="252"/>
      <c r="C578" s="243"/>
      <c r="D578" s="252"/>
      <c r="E578" s="243"/>
      <c r="F578" s="243"/>
      <c r="G578" s="243"/>
      <c r="H578" s="243"/>
      <c r="I578" s="243"/>
      <c r="J578" s="243"/>
      <c r="K578" s="243"/>
      <c r="L578" s="243"/>
      <c r="M578" s="243"/>
      <c r="N578" s="243"/>
      <c r="O578" s="243"/>
      <c r="P578" s="243"/>
      <c r="Q578" s="243"/>
      <c r="R578" s="243"/>
      <c r="S578" s="243"/>
      <c r="T578" s="243"/>
      <c r="U578" s="243"/>
      <c r="V578" s="243"/>
      <c r="W578" s="243"/>
      <c r="X578" s="243"/>
      <c r="Y578" s="243"/>
      <c r="Z578" s="243"/>
      <c r="AA578" s="243"/>
      <c r="AB578" s="243"/>
      <c r="AC578" s="243"/>
      <c r="AD578" s="243"/>
    </row>
    <row r="579" ht="33.75" customHeight="1">
      <c r="A579" s="252"/>
      <c r="B579" s="252"/>
      <c r="C579" s="243"/>
      <c r="D579" s="252"/>
      <c r="E579" s="243"/>
      <c r="F579" s="243"/>
      <c r="G579" s="243"/>
      <c r="H579" s="243"/>
      <c r="I579" s="243"/>
      <c r="J579" s="243"/>
      <c r="K579" s="243"/>
      <c r="L579" s="243"/>
      <c r="M579" s="243"/>
      <c r="N579" s="243"/>
      <c r="O579" s="243"/>
      <c r="P579" s="243"/>
      <c r="Q579" s="243"/>
      <c r="R579" s="243"/>
      <c r="S579" s="243"/>
      <c r="T579" s="243"/>
      <c r="U579" s="243"/>
      <c r="V579" s="243"/>
      <c r="W579" s="243"/>
      <c r="X579" s="243"/>
      <c r="Y579" s="243"/>
      <c r="Z579" s="243"/>
      <c r="AA579" s="243"/>
      <c r="AB579" s="243"/>
      <c r="AC579" s="243"/>
      <c r="AD579" s="243"/>
    </row>
    <row r="580" ht="33.75" customHeight="1">
      <c r="A580" s="252"/>
      <c r="B580" s="252"/>
      <c r="C580" s="243"/>
      <c r="D580" s="252"/>
      <c r="E580" s="243"/>
      <c r="F580" s="243"/>
      <c r="G580" s="243"/>
      <c r="H580" s="243"/>
      <c r="I580" s="243"/>
      <c r="J580" s="243"/>
      <c r="K580" s="243"/>
      <c r="L580" s="243"/>
      <c r="M580" s="243"/>
      <c r="N580" s="243"/>
      <c r="O580" s="243"/>
      <c r="P580" s="243"/>
      <c r="Q580" s="243"/>
      <c r="R580" s="243"/>
      <c r="S580" s="243"/>
      <c r="T580" s="243"/>
      <c r="U580" s="243"/>
      <c r="V580" s="243"/>
      <c r="W580" s="243"/>
      <c r="X580" s="243"/>
      <c r="Y580" s="243"/>
      <c r="Z580" s="243"/>
      <c r="AA580" s="243"/>
      <c r="AB580" s="243"/>
      <c r="AC580" s="243"/>
      <c r="AD580" s="243"/>
    </row>
    <row r="581" ht="33.75" customHeight="1">
      <c r="A581" s="252"/>
      <c r="B581" s="252"/>
      <c r="C581" s="243"/>
      <c r="D581" s="252"/>
      <c r="E581" s="243"/>
      <c r="F581" s="243"/>
      <c r="G581" s="243"/>
      <c r="H581" s="243"/>
      <c r="I581" s="243"/>
      <c r="J581" s="243"/>
      <c r="K581" s="243"/>
      <c r="L581" s="243"/>
      <c r="M581" s="243"/>
      <c r="N581" s="243"/>
      <c r="O581" s="243"/>
      <c r="P581" s="243"/>
      <c r="Q581" s="243"/>
      <c r="R581" s="243"/>
      <c r="S581" s="243"/>
      <c r="T581" s="243"/>
      <c r="U581" s="243"/>
      <c r="V581" s="243"/>
      <c r="W581" s="243"/>
      <c r="X581" s="243"/>
      <c r="Y581" s="243"/>
      <c r="Z581" s="243"/>
      <c r="AA581" s="243"/>
      <c r="AB581" s="243"/>
      <c r="AC581" s="243"/>
      <c r="AD581" s="243"/>
    </row>
    <row r="582" ht="33.75" customHeight="1">
      <c r="A582" s="252"/>
      <c r="B582" s="252"/>
      <c r="C582" s="243"/>
      <c r="D582" s="252"/>
      <c r="E582" s="243"/>
      <c r="F582" s="243"/>
      <c r="G582" s="243"/>
      <c r="H582" s="243"/>
      <c r="I582" s="243"/>
      <c r="J582" s="243"/>
      <c r="K582" s="243"/>
      <c r="L582" s="243"/>
      <c r="M582" s="243"/>
      <c r="N582" s="243"/>
      <c r="O582" s="243"/>
      <c r="P582" s="243"/>
      <c r="Q582" s="243"/>
      <c r="R582" s="243"/>
      <c r="S582" s="243"/>
      <c r="T582" s="243"/>
      <c r="U582" s="243"/>
      <c r="V582" s="243"/>
      <c r="W582" s="243"/>
      <c r="X582" s="243"/>
      <c r="Y582" s="243"/>
      <c r="Z582" s="243"/>
      <c r="AA582" s="243"/>
      <c r="AB582" s="243"/>
      <c r="AC582" s="243"/>
      <c r="AD582" s="243"/>
    </row>
    <row r="583" ht="33.75" customHeight="1">
      <c r="A583" s="252"/>
      <c r="B583" s="252"/>
      <c r="C583" s="243"/>
      <c r="D583" s="252"/>
      <c r="E583" s="243"/>
      <c r="F583" s="243"/>
      <c r="G583" s="243"/>
      <c r="H583" s="243"/>
      <c r="I583" s="243"/>
      <c r="J583" s="243"/>
      <c r="K583" s="243"/>
      <c r="L583" s="243"/>
      <c r="M583" s="243"/>
      <c r="N583" s="243"/>
      <c r="O583" s="243"/>
      <c r="P583" s="243"/>
      <c r="Q583" s="243"/>
      <c r="R583" s="243"/>
      <c r="S583" s="243"/>
      <c r="T583" s="243"/>
      <c r="U583" s="243"/>
      <c r="V583" s="243"/>
      <c r="W583" s="243"/>
      <c r="X583" s="243"/>
      <c r="Y583" s="243"/>
      <c r="Z583" s="243"/>
      <c r="AA583" s="243"/>
      <c r="AB583" s="243"/>
      <c r="AC583" s="243"/>
      <c r="AD583" s="243"/>
    </row>
    <row r="584" ht="33.75" customHeight="1">
      <c r="A584" s="252"/>
      <c r="B584" s="252"/>
      <c r="C584" s="243"/>
      <c r="D584" s="252"/>
      <c r="E584" s="243"/>
      <c r="F584" s="243"/>
      <c r="G584" s="243"/>
      <c r="H584" s="243"/>
      <c r="I584" s="243"/>
      <c r="J584" s="243"/>
      <c r="K584" s="243"/>
      <c r="L584" s="243"/>
      <c r="M584" s="243"/>
      <c r="N584" s="243"/>
      <c r="O584" s="243"/>
      <c r="P584" s="243"/>
      <c r="Q584" s="243"/>
      <c r="R584" s="243"/>
      <c r="S584" s="243"/>
      <c r="T584" s="243"/>
      <c r="U584" s="243"/>
      <c r="V584" s="243"/>
      <c r="W584" s="243"/>
      <c r="X584" s="243"/>
      <c r="Y584" s="243"/>
      <c r="Z584" s="243"/>
      <c r="AA584" s="243"/>
      <c r="AB584" s="243"/>
      <c r="AC584" s="243"/>
      <c r="AD584" s="243"/>
    </row>
    <row r="585" ht="33.75" customHeight="1">
      <c r="A585" s="252"/>
      <c r="B585" s="252"/>
      <c r="C585" s="243"/>
      <c r="D585" s="252"/>
      <c r="E585" s="243"/>
      <c r="F585" s="243"/>
      <c r="G585" s="243"/>
      <c r="H585" s="243"/>
      <c r="I585" s="243"/>
      <c r="J585" s="243"/>
      <c r="K585" s="243"/>
      <c r="L585" s="243"/>
      <c r="M585" s="243"/>
      <c r="N585" s="243"/>
      <c r="O585" s="243"/>
      <c r="P585" s="243"/>
      <c r="Q585" s="243"/>
      <c r="R585" s="243"/>
      <c r="S585" s="243"/>
      <c r="T585" s="243"/>
      <c r="U585" s="243"/>
      <c r="V585" s="243"/>
      <c r="W585" s="243"/>
      <c r="X585" s="243"/>
      <c r="Y585" s="243"/>
      <c r="Z585" s="243"/>
      <c r="AA585" s="243"/>
      <c r="AB585" s="243"/>
      <c r="AC585" s="243"/>
      <c r="AD585" s="243"/>
    </row>
    <row r="586" ht="33.75" customHeight="1">
      <c r="A586" s="252"/>
      <c r="B586" s="252"/>
      <c r="C586" s="243"/>
      <c r="D586" s="252"/>
      <c r="E586" s="243"/>
      <c r="F586" s="243"/>
      <c r="G586" s="243"/>
      <c r="H586" s="243"/>
      <c r="I586" s="243"/>
      <c r="J586" s="243"/>
      <c r="K586" s="243"/>
      <c r="L586" s="243"/>
      <c r="M586" s="243"/>
      <c r="N586" s="243"/>
      <c r="O586" s="243"/>
      <c r="P586" s="243"/>
      <c r="Q586" s="243"/>
      <c r="R586" s="243"/>
      <c r="S586" s="243"/>
      <c r="T586" s="243"/>
      <c r="U586" s="243"/>
      <c r="V586" s="243"/>
      <c r="W586" s="243"/>
      <c r="X586" s="243"/>
      <c r="Y586" s="243"/>
      <c r="Z586" s="243"/>
      <c r="AA586" s="243"/>
      <c r="AB586" s="243"/>
      <c r="AC586" s="243"/>
      <c r="AD586" s="243"/>
    </row>
    <row r="587" ht="33.75" customHeight="1">
      <c r="A587" s="252"/>
      <c r="B587" s="252"/>
      <c r="C587" s="243"/>
      <c r="D587" s="252"/>
      <c r="E587" s="243"/>
      <c r="F587" s="243"/>
      <c r="G587" s="243"/>
      <c r="H587" s="243"/>
      <c r="I587" s="243"/>
      <c r="J587" s="243"/>
      <c r="K587" s="243"/>
      <c r="L587" s="243"/>
      <c r="M587" s="243"/>
      <c r="N587" s="243"/>
      <c r="O587" s="243"/>
      <c r="P587" s="243"/>
      <c r="Q587" s="243"/>
      <c r="R587" s="243"/>
      <c r="S587" s="243"/>
      <c r="T587" s="243"/>
      <c r="U587" s="243"/>
      <c r="V587" s="243"/>
      <c r="W587" s="243"/>
      <c r="X587" s="243"/>
      <c r="Y587" s="243"/>
      <c r="Z587" s="243"/>
      <c r="AA587" s="243"/>
      <c r="AB587" s="243"/>
      <c r="AC587" s="243"/>
      <c r="AD587" s="243"/>
    </row>
    <row r="588" ht="33.75" customHeight="1">
      <c r="A588" s="252"/>
      <c r="B588" s="252"/>
      <c r="C588" s="243"/>
      <c r="D588" s="252"/>
      <c r="E588" s="243"/>
      <c r="F588" s="243"/>
      <c r="G588" s="243"/>
      <c r="H588" s="243"/>
      <c r="I588" s="243"/>
      <c r="J588" s="243"/>
      <c r="K588" s="243"/>
      <c r="L588" s="243"/>
      <c r="M588" s="243"/>
      <c r="N588" s="243"/>
      <c r="O588" s="243"/>
      <c r="P588" s="243"/>
      <c r="Q588" s="243"/>
      <c r="R588" s="243"/>
      <c r="S588" s="243"/>
      <c r="T588" s="243"/>
      <c r="U588" s="243"/>
      <c r="V588" s="243"/>
      <c r="W588" s="243"/>
      <c r="X588" s="243"/>
      <c r="Y588" s="243"/>
      <c r="Z588" s="243"/>
      <c r="AA588" s="243"/>
      <c r="AB588" s="243"/>
      <c r="AC588" s="243"/>
      <c r="AD588" s="243"/>
    </row>
    <row r="589" ht="33.75" customHeight="1">
      <c r="A589" s="252"/>
      <c r="B589" s="252"/>
      <c r="C589" s="243"/>
      <c r="D589" s="252"/>
      <c r="E589" s="243"/>
      <c r="F589" s="243"/>
      <c r="G589" s="243"/>
      <c r="H589" s="243"/>
      <c r="I589" s="243"/>
      <c r="J589" s="243"/>
      <c r="K589" s="243"/>
      <c r="L589" s="243"/>
      <c r="M589" s="243"/>
      <c r="N589" s="243"/>
      <c r="O589" s="243"/>
      <c r="P589" s="243"/>
      <c r="Q589" s="243"/>
      <c r="R589" s="243"/>
      <c r="S589" s="243"/>
      <c r="T589" s="243"/>
      <c r="U589" s="243"/>
      <c r="V589" s="243"/>
      <c r="W589" s="243"/>
      <c r="X589" s="243"/>
      <c r="Y589" s="243"/>
      <c r="Z589" s="243"/>
      <c r="AA589" s="243"/>
      <c r="AB589" s="243"/>
      <c r="AC589" s="243"/>
      <c r="AD589" s="243"/>
    </row>
    <row r="590" ht="33.75" customHeight="1">
      <c r="A590" s="252"/>
      <c r="B590" s="252"/>
      <c r="C590" s="243"/>
      <c r="D590" s="252"/>
      <c r="E590" s="243"/>
      <c r="F590" s="243"/>
      <c r="G590" s="243"/>
      <c r="H590" s="243"/>
      <c r="I590" s="243"/>
      <c r="J590" s="243"/>
      <c r="K590" s="243"/>
      <c r="L590" s="243"/>
      <c r="M590" s="243"/>
      <c r="N590" s="243"/>
      <c r="O590" s="243"/>
      <c r="P590" s="243"/>
      <c r="Q590" s="243"/>
      <c r="R590" s="243"/>
      <c r="S590" s="243"/>
      <c r="T590" s="243"/>
      <c r="U590" s="243"/>
      <c r="V590" s="243"/>
      <c r="W590" s="243"/>
      <c r="X590" s="243"/>
      <c r="Y590" s="243"/>
      <c r="Z590" s="243"/>
      <c r="AA590" s="243"/>
      <c r="AB590" s="243"/>
      <c r="AC590" s="243"/>
      <c r="AD590" s="243"/>
    </row>
    <row r="591" ht="33.75" customHeight="1">
      <c r="A591" s="252"/>
      <c r="B591" s="252"/>
      <c r="C591" s="243"/>
      <c r="D591" s="252"/>
      <c r="E591" s="243"/>
      <c r="F591" s="243"/>
      <c r="G591" s="243"/>
      <c r="H591" s="243"/>
      <c r="I591" s="243"/>
      <c r="J591" s="243"/>
      <c r="K591" s="243"/>
      <c r="L591" s="243"/>
      <c r="M591" s="243"/>
      <c r="N591" s="243"/>
      <c r="O591" s="243"/>
      <c r="P591" s="243"/>
      <c r="Q591" s="243"/>
      <c r="R591" s="243"/>
      <c r="S591" s="243"/>
      <c r="T591" s="243"/>
      <c r="U591" s="243"/>
      <c r="V591" s="243"/>
      <c r="W591" s="243"/>
      <c r="X591" s="243"/>
      <c r="Y591" s="243"/>
      <c r="Z591" s="243"/>
      <c r="AA591" s="243"/>
      <c r="AB591" s="243"/>
      <c r="AC591" s="243"/>
      <c r="AD591" s="243"/>
    </row>
    <row r="592" ht="33.75" customHeight="1">
      <c r="A592" s="252"/>
      <c r="B592" s="252"/>
      <c r="C592" s="243"/>
      <c r="D592" s="252"/>
      <c r="E592" s="243"/>
      <c r="F592" s="243"/>
      <c r="G592" s="243"/>
      <c r="H592" s="243"/>
      <c r="I592" s="243"/>
      <c r="J592" s="243"/>
      <c r="K592" s="243"/>
      <c r="L592" s="243"/>
      <c r="M592" s="243"/>
      <c r="N592" s="243"/>
      <c r="O592" s="243"/>
      <c r="P592" s="243"/>
      <c r="Q592" s="243"/>
      <c r="R592" s="243"/>
      <c r="S592" s="243"/>
      <c r="T592" s="243"/>
      <c r="U592" s="243"/>
      <c r="V592" s="243"/>
      <c r="W592" s="243"/>
      <c r="X592" s="243"/>
      <c r="Y592" s="243"/>
      <c r="Z592" s="243"/>
      <c r="AA592" s="243"/>
      <c r="AB592" s="243"/>
      <c r="AC592" s="243"/>
      <c r="AD592" s="243"/>
    </row>
    <row r="593" ht="33.75" customHeight="1">
      <c r="A593" s="252"/>
      <c r="B593" s="252"/>
      <c r="C593" s="243"/>
      <c r="D593" s="252"/>
      <c r="E593" s="243"/>
      <c r="F593" s="243"/>
      <c r="G593" s="243"/>
      <c r="H593" s="243"/>
      <c r="I593" s="243"/>
      <c r="J593" s="243"/>
      <c r="K593" s="243"/>
      <c r="L593" s="243"/>
      <c r="M593" s="243"/>
      <c r="N593" s="243"/>
      <c r="O593" s="243"/>
      <c r="P593" s="243"/>
      <c r="Q593" s="243"/>
      <c r="R593" s="243"/>
      <c r="S593" s="243"/>
      <c r="T593" s="243"/>
      <c r="U593" s="243"/>
      <c r="V593" s="243"/>
      <c r="W593" s="243"/>
      <c r="X593" s="243"/>
      <c r="Y593" s="243"/>
      <c r="Z593" s="243"/>
      <c r="AA593" s="243"/>
      <c r="AB593" s="243"/>
      <c r="AC593" s="243"/>
      <c r="AD593" s="243"/>
    </row>
    <row r="594" ht="33.75" customHeight="1">
      <c r="A594" s="252"/>
      <c r="B594" s="252"/>
      <c r="C594" s="243"/>
      <c r="D594" s="252"/>
      <c r="E594" s="243"/>
      <c r="F594" s="243"/>
      <c r="G594" s="243"/>
      <c r="H594" s="243"/>
      <c r="I594" s="243"/>
      <c r="J594" s="243"/>
      <c r="K594" s="243"/>
      <c r="L594" s="243"/>
      <c r="M594" s="243"/>
      <c r="N594" s="243"/>
      <c r="O594" s="243"/>
      <c r="P594" s="243"/>
      <c r="Q594" s="243"/>
      <c r="R594" s="243"/>
      <c r="S594" s="243"/>
      <c r="T594" s="243"/>
      <c r="U594" s="243"/>
      <c r="V594" s="243"/>
      <c r="W594" s="243"/>
      <c r="X594" s="243"/>
      <c r="Y594" s="243"/>
      <c r="Z594" s="243"/>
      <c r="AA594" s="243"/>
      <c r="AB594" s="243"/>
      <c r="AC594" s="243"/>
      <c r="AD594" s="243"/>
    </row>
    <row r="595" ht="33.75" customHeight="1">
      <c r="A595" s="252"/>
      <c r="B595" s="252"/>
      <c r="C595" s="243"/>
      <c r="D595" s="252"/>
      <c r="E595" s="243"/>
      <c r="F595" s="243"/>
      <c r="G595" s="243"/>
      <c r="H595" s="243"/>
      <c r="I595" s="243"/>
      <c r="J595" s="243"/>
      <c r="K595" s="243"/>
      <c r="L595" s="243"/>
      <c r="M595" s="243"/>
      <c r="N595" s="243"/>
      <c r="O595" s="243"/>
      <c r="P595" s="243"/>
      <c r="Q595" s="243"/>
      <c r="R595" s="243"/>
      <c r="S595" s="243"/>
      <c r="T595" s="243"/>
      <c r="U595" s="243"/>
      <c r="V595" s="243"/>
      <c r="W595" s="243"/>
      <c r="X595" s="243"/>
      <c r="Y595" s="243"/>
      <c r="Z595" s="243"/>
      <c r="AA595" s="243"/>
      <c r="AB595" s="243"/>
      <c r="AC595" s="243"/>
      <c r="AD595" s="243"/>
    </row>
    <row r="596" ht="33.75" customHeight="1">
      <c r="A596" s="252"/>
      <c r="B596" s="252"/>
      <c r="C596" s="243"/>
      <c r="D596" s="252"/>
      <c r="E596" s="243"/>
      <c r="F596" s="243"/>
      <c r="G596" s="243"/>
      <c r="H596" s="243"/>
      <c r="I596" s="243"/>
      <c r="J596" s="243"/>
      <c r="K596" s="243"/>
      <c r="L596" s="243"/>
      <c r="M596" s="243"/>
      <c r="N596" s="243"/>
      <c r="O596" s="243"/>
      <c r="P596" s="243"/>
      <c r="Q596" s="243"/>
      <c r="R596" s="243"/>
      <c r="S596" s="243"/>
      <c r="T596" s="243"/>
      <c r="U596" s="243"/>
      <c r="V596" s="243"/>
      <c r="W596" s="243"/>
      <c r="X596" s="243"/>
      <c r="Y596" s="243"/>
      <c r="Z596" s="243"/>
      <c r="AA596" s="243"/>
      <c r="AB596" s="243"/>
      <c r="AC596" s="243"/>
      <c r="AD596" s="243"/>
    </row>
    <row r="597" ht="33.75" customHeight="1">
      <c r="A597" s="252"/>
      <c r="B597" s="252"/>
      <c r="C597" s="243"/>
      <c r="D597" s="252"/>
      <c r="E597" s="243"/>
      <c r="F597" s="243"/>
      <c r="G597" s="243"/>
      <c r="H597" s="243"/>
      <c r="I597" s="243"/>
      <c r="J597" s="243"/>
      <c r="K597" s="243"/>
      <c r="L597" s="243"/>
      <c r="M597" s="243"/>
      <c r="N597" s="243"/>
      <c r="O597" s="243"/>
      <c r="P597" s="243"/>
      <c r="Q597" s="243"/>
      <c r="R597" s="243"/>
      <c r="S597" s="243"/>
      <c r="T597" s="243"/>
      <c r="U597" s="243"/>
      <c r="V597" s="243"/>
      <c r="W597" s="243"/>
      <c r="X597" s="243"/>
      <c r="Y597" s="243"/>
      <c r="Z597" s="243"/>
      <c r="AA597" s="243"/>
      <c r="AB597" s="243"/>
      <c r="AC597" s="243"/>
      <c r="AD597" s="243"/>
    </row>
    <row r="598" ht="33.75" customHeight="1">
      <c r="A598" s="252"/>
      <c r="B598" s="252"/>
      <c r="C598" s="243"/>
      <c r="D598" s="252"/>
      <c r="E598" s="243"/>
      <c r="F598" s="243"/>
      <c r="G598" s="243"/>
      <c r="H598" s="243"/>
      <c r="I598" s="243"/>
      <c r="J598" s="243"/>
      <c r="K598" s="243"/>
      <c r="L598" s="243"/>
      <c r="M598" s="243"/>
      <c r="N598" s="243"/>
      <c r="O598" s="243"/>
      <c r="P598" s="243"/>
      <c r="Q598" s="243"/>
      <c r="R598" s="243"/>
      <c r="S598" s="243"/>
      <c r="T598" s="243"/>
      <c r="U598" s="243"/>
      <c r="V598" s="243"/>
      <c r="W598" s="243"/>
      <c r="X598" s="243"/>
      <c r="Y598" s="243"/>
      <c r="Z598" s="243"/>
      <c r="AA598" s="243"/>
      <c r="AB598" s="243"/>
      <c r="AC598" s="243"/>
      <c r="AD598" s="243"/>
    </row>
    <row r="599" ht="33.75" customHeight="1">
      <c r="A599" s="252"/>
      <c r="B599" s="252"/>
      <c r="C599" s="243"/>
      <c r="D599" s="252"/>
      <c r="E599" s="243"/>
      <c r="F599" s="243"/>
      <c r="G599" s="243"/>
      <c r="H599" s="243"/>
      <c r="I599" s="243"/>
      <c r="J599" s="243"/>
      <c r="K599" s="243"/>
      <c r="L599" s="243"/>
      <c r="M599" s="243"/>
      <c r="N599" s="243"/>
      <c r="O599" s="243"/>
      <c r="P599" s="243"/>
      <c r="Q599" s="243"/>
      <c r="R599" s="243"/>
      <c r="S599" s="243"/>
      <c r="T599" s="243"/>
      <c r="U599" s="243"/>
      <c r="V599" s="243"/>
      <c r="W599" s="243"/>
      <c r="X599" s="243"/>
      <c r="Y599" s="243"/>
      <c r="Z599" s="243"/>
      <c r="AA599" s="243"/>
      <c r="AB599" s="243"/>
      <c r="AC599" s="243"/>
      <c r="AD599" s="243"/>
    </row>
    <row r="600" ht="33.75" customHeight="1">
      <c r="A600" s="252"/>
      <c r="B600" s="252"/>
      <c r="C600" s="243"/>
      <c r="D600" s="252"/>
      <c r="E600" s="243"/>
      <c r="F600" s="243"/>
      <c r="G600" s="243"/>
      <c r="H600" s="243"/>
      <c r="I600" s="243"/>
      <c r="J600" s="243"/>
      <c r="K600" s="243"/>
      <c r="L600" s="243"/>
      <c r="M600" s="243"/>
      <c r="N600" s="243"/>
      <c r="O600" s="243"/>
      <c r="P600" s="243"/>
      <c r="Q600" s="243"/>
      <c r="R600" s="243"/>
      <c r="S600" s="243"/>
      <c r="T600" s="243"/>
      <c r="U600" s="243"/>
      <c r="V600" s="243"/>
      <c r="W600" s="243"/>
      <c r="X600" s="243"/>
      <c r="Y600" s="243"/>
      <c r="Z600" s="243"/>
      <c r="AA600" s="243"/>
      <c r="AB600" s="243"/>
      <c r="AC600" s="243"/>
      <c r="AD600" s="243"/>
    </row>
    <row r="601" ht="33.75" customHeight="1">
      <c r="A601" s="252"/>
      <c r="B601" s="252"/>
      <c r="C601" s="243"/>
      <c r="D601" s="252"/>
      <c r="E601" s="243"/>
      <c r="F601" s="243"/>
      <c r="G601" s="243"/>
      <c r="H601" s="243"/>
      <c r="I601" s="243"/>
      <c r="J601" s="243"/>
      <c r="K601" s="243"/>
      <c r="L601" s="243"/>
      <c r="M601" s="243"/>
      <c r="N601" s="243"/>
      <c r="O601" s="243"/>
      <c r="P601" s="243"/>
      <c r="Q601" s="243"/>
      <c r="R601" s="243"/>
      <c r="S601" s="243"/>
      <c r="T601" s="243"/>
      <c r="U601" s="243"/>
      <c r="V601" s="243"/>
      <c r="W601" s="243"/>
      <c r="X601" s="243"/>
      <c r="Y601" s="243"/>
      <c r="Z601" s="243"/>
      <c r="AA601" s="243"/>
      <c r="AB601" s="243"/>
      <c r="AC601" s="243"/>
      <c r="AD601" s="243"/>
    </row>
    <row r="602" ht="33.75" customHeight="1">
      <c r="A602" s="252"/>
      <c r="B602" s="252"/>
      <c r="C602" s="243"/>
      <c r="D602" s="252"/>
      <c r="E602" s="243"/>
      <c r="F602" s="243"/>
      <c r="G602" s="243"/>
      <c r="H602" s="243"/>
      <c r="I602" s="243"/>
      <c r="J602" s="243"/>
      <c r="K602" s="243"/>
      <c r="L602" s="243"/>
      <c r="M602" s="243"/>
      <c r="N602" s="243"/>
      <c r="O602" s="243"/>
      <c r="P602" s="243"/>
      <c r="Q602" s="243"/>
      <c r="R602" s="243"/>
      <c r="S602" s="243"/>
      <c r="T602" s="243"/>
      <c r="U602" s="243"/>
      <c r="V602" s="243"/>
      <c r="W602" s="243"/>
      <c r="X602" s="243"/>
      <c r="Y602" s="243"/>
      <c r="Z602" s="243"/>
      <c r="AA602" s="243"/>
      <c r="AB602" s="243"/>
      <c r="AC602" s="243"/>
      <c r="AD602" s="243"/>
    </row>
    <row r="603" ht="33.75" customHeight="1">
      <c r="A603" s="252"/>
      <c r="B603" s="252"/>
      <c r="C603" s="243"/>
      <c r="D603" s="252"/>
      <c r="E603" s="243"/>
      <c r="F603" s="243"/>
      <c r="G603" s="243"/>
      <c r="H603" s="243"/>
      <c r="I603" s="243"/>
      <c r="J603" s="243"/>
      <c r="K603" s="243"/>
      <c r="L603" s="243"/>
      <c r="M603" s="243"/>
      <c r="N603" s="243"/>
      <c r="O603" s="243"/>
      <c r="P603" s="243"/>
      <c r="Q603" s="243"/>
      <c r="R603" s="243"/>
      <c r="S603" s="243"/>
      <c r="T603" s="243"/>
      <c r="U603" s="243"/>
      <c r="V603" s="243"/>
      <c r="W603" s="243"/>
      <c r="X603" s="243"/>
      <c r="Y603" s="243"/>
      <c r="Z603" s="243"/>
      <c r="AA603" s="243"/>
      <c r="AB603" s="243"/>
      <c r="AC603" s="243"/>
      <c r="AD603" s="243"/>
    </row>
    <row r="604" ht="33.75" customHeight="1">
      <c r="A604" s="252"/>
      <c r="B604" s="252"/>
      <c r="C604" s="243"/>
      <c r="D604" s="252"/>
      <c r="E604" s="243"/>
      <c r="F604" s="243"/>
      <c r="G604" s="243"/>
      <c r="H604" s="243"/>
      <c r="I604" s="243"/>
      <c r="J604" s="243"/>
      <c r="K604" s="243"/>
      <c r="L604" s="243"/>
      <c r="M604" s="243"/>
      <c r="N604" s="243"/>
      <c r="O604" s="243"/>
      <c r="P604" s="243"/>
      <c r="Q604" s="243"/>
      <c r="R604" s="243"/>
      <c r="S604" s="243"/>
      <c r="T604" s="243"/>
      <c r="U604" s="243"/>
      <c r="V604" s="243"/>
      <c r="W604" s="243"/>
      <c r="X604" s="243"/>
      <c r="Y604" s="243"/>
      <c r="Z604" s="243"/>
      <c r="AA604" s="243"/>
      <c r="AB604" s="243"/>
      <c r="AC604" s="243"/>
      <c r="AD604" s="243"/>
    </row>
    <row r="605" ht="33.75" customHeight="1">
      <c r="A605" s="252"/>
      <c r="B605" s="252"/>
      <c r="C605" s="243"/>
      <c r="D605" s="252"/>
      <c r="E605" s="243"/>
      <c r="F605" s="243"/>
      <c r="G605" s="243"/>
      <c r="H605" s="243"/>
      <c r="I605" s="243"/>
      <c r="J605" s="243"/>
      <c r="K605" s="243"/>
      <c r="L605" s="243"/>
      <c r="M605" s="243"/>
      <c r="N605" s="243"/>
      <c r="O605" s="243"/>
      <c r="P605" s="243"/>
      <c r="Q605" s="243"/>
      <c r="R605" s="243"/>
      <c r="S605" s="243"/>
      <c r="T605" s="243"/>
      <c r="U605" s="243"/>
      <c r="V605" s="243"/>
      <c r="W605" s="243"/>
      <c r="X605" s="243"/>
      <c r="Y605" s="243"/>
      <c r="Z605" s="243"/>
      <c r="AA605" s="243"/>
      <c r="AB605" s="243"/>
      <c r="AC605" s="243"/>
      <c r="AD605" s="243"/>
    </row>
    <row r="606" ht="33.75" customHeight="1">
      <c r="A606" s="252"/>
      <c r="B606" s="252"/>
      <c r="C606" s="243"/>
      <c r="D606" s="252"/>
      <c r="E606" s="243"/>
      <c r="F606" s="243"/>
      <c r="G606" s="243"/>
      <c r="H606" s="243"/>
      <c r="I606" s="243"/>
      <c r="J606" s="243"/>
      <c r="K606" s="243"/>
      <c r="L606" s="243"/>
      <c r="M606" s="243"/>
      <c r="N606" s="243"/>
      <c r="O606" s="243"/>
      <c r="P606" s="243"/>
      <c r="Q606" s="243"/>
      <c r="R606" s="243"/>
      <c r="S606" s="243"/>
      <c r="T606" s="243"/>
      <c r="U606" s="243"/>
      <c r="V606" s="243"/>
      <c r="W606" s="243"/>
      <c r="X606" s="243"/>
      <c r="Y606" s="243"/>
      <c r="Z606" s="243"/>
      <c r="AA606" s="243"/>
      <c r="AB606" s="243"/>
      <c r="AC606" s="243"/>
      <c r="AD606" s="243"/>
    </row>
    <row r="607" ht="33.75" customHeight="1">
      <c r="A607" s="252"/>
      <c r="B607" s="252"/>
      <c r="C607" s="243"/>
      <c r="D607" s="252"/>
      <c r="E607" s="243"/>
      <c r="F607" s="243"/>
      <c r="G607" s="243"/>
      <c r="H607" s="243"/>
      <c r="I607" s="243"/>
      <c r="J607" s="243"/>
      <c r="K607" s="243"/>
      <c r="L607" s="243"/>
      <c r="M607" s="243"/>
      <c r="N607" s="243"/>
      <c r="O607" s="243"/>
      <c r="P607" s="243"/>
      <c r="Q607" s="243"/>
      <c r="R607" s="243"/>
      <c r="S607" s="243"/>
      <c r="T607" s="243"/>
      <c r="U607" s="243"/>
      <c r="V607" s="243"/>
      <c r="W607" s="243"/>
      <c r="X607" s="243"/>
      <c r="Y607" s="243"/>
      <c r="Z607" s="243"/>
      <c r="AA607" s="243"/>
      <c r="AB607" s="243"/>
      <c r="AC607" s="243"/>
      <c r="AD607" s="243"/>
    </row>
    <row r="608" ht="33.75" customHeight="1">
      <c r="A608" s="252"/>
      <c r="B608" s="252"/>
      <c r="C608" s="243"/>
      <c r="D608" s="252"/>
      <c r="E608" s="243"/>
      <c r="F608" s="243"/>
      <c r="G608" s="243"/>
      <c r="H608" s="243"/>
      <c r="I608" s="243"/>
      <c r="J608" s="243"/>
      <c r="K608" s="243"/>
      <c r="L608" s="243"/>
      <c r="M608" s="243"/>
      <c r="N608" s="243"/>
      <c r="O608" s="243"/>
      <c r="P608" s="243"/>
      <c r="Q608" s="243"/>
      <c r="R608" s="243"/>
      <c r="S608" s="243"/>
      <c r="T608" s="243"/>
      <c r="U608" s="243"/>
      <c r="V608" s="243"/>
      <c r="W608" s="243"/>
      <c r="X608" s="243"/>
      <c r="Y608" s="243"/>
      <c r="Z608" s="243"/>
      <c r="AA608" s="243"/>
      <c r="AB608" s="243"/>
      <c r="AC608" s="243"/>
      <c r="AD608" s="243"/>
    </row>
    <row r="609" ht="33.75" customHeight="1">
      <c r="A609" s="252"/>
      <c r="B609" s="252"/>
      <c r="C609" s="243"/>
      <c r="D609" s="252"/>
      <c r="E609" s="243"/>
      <c r="F609" s="243"/>
      <c r="G609" s="243"/>
      <c r="H609" s="243"/>
      <c r="I609" s="243"/>
      <c r="J609" s="243"/>
      <c r="K609" s="243"/>
      <c r="L609" s="243"/>
      <c r="M609" s="243"/>
      <c r="N609" s="243"/>
      <c r="O609" s="243"/>
      <c r="P609" s="243"/>
      <c r="Q609" s="243"/>
      <c r="R609" s="243"/>
      <c r="S609" s="243"/>
      <c r="T609" s="243"/>
      <c r="U609" s="243"/>
      <c r="V609" s="243"/>
      <c r="W609" s="243"/>
      <c r="X609" s="243"/>
      <c r="Y609" s="243"/>
      <c r="Z609" s="243"/>
      <c r="AA609" s="243"/>
      <c r="AB609" s="243"/>
      <c r="AC609" s="243"/>
      <c r="AD609" s="243"/>
    </row>
    <row r="610" ht="33.75" customHeight="1">
      <c r="A610" s="252"/>
      <c r="B610" s="252"/>
      <c r="C610" s="243"/>
      <c r="D610" s="252"/>
      <c r="E610" s="243"/>
      <c r="F610" s="243"/>
      <c r="G610" s="243"/>
      <c r="H610" s="243"/>
      <c r="I610" s="243"/>
      <c r="J610" s="243"/>
      <c r="K610" s="243"/>
      <c r="L610" s="243"/>
      <c r="M610" s="243"/>
      <c r="N610" s="243"/>
      <c r="O610" s="243"/>
      <c r="P610" s="243"/>
      <c r="Q610" s="243"/>
      <c r="R610" s="243"/>
      <c r="S610" s="243"/>
      <c r="T610" s="243"/>
      <c r="U610" s="243"/>
      <c r="V610" s="243"/>
      <c r="W610" s="243"/>
      <c r="X610" s="243"/>
      <c r="Y610" s="243"/>
      <c r="Z610" s="243"/>
      <c r="AA610" s="243"/>
      <c r="AB610" s="243"/>
      <c r="AC610" s="243"/>
      <c r="AD610" s="243"/>
    </row>
    <row r="611" ht="33.75" customHeight="1">
      <c r="A611" s="252"/>
      <c r="B611" s="252"/>
      <c r="C611" s="243"/>
      <c r="D611" s="252"/>
      <c r="E611" s="243"/>
      <c r="F611" s="243"/>
      <c r="G611" s="243"/>
      <c r="H611" s="243"/>
      <c r="I611" s="243"/>
      <c r="J611" s="243"/>
      <c r="K611" s="243"/>
      <c r="L611" s="243"/>
      <c r="M611" s="243"/>
      <c r="N611" s="243"/>
      <c r="O611" s="243"/>
      <c r="P611" s="243"/>
      <c r="Q611" s="243"/>
      <c r="R611" s="243"/>
      <c r="S611" s="243"/>
      <c r="T611" s="243"/>
      <c r="U611" s="243"/>
      <c r="V611" s="243"/>
      <c r="W611" s="243"/>
      <c r="X611" s="243"/>
      <c r="Y611" s="243"/>
      <c r="Z611" s="243"/>
      <c r="AA611" s="243"/>
      <c r="AB611" s="243"/>
      <c r="AC611" s="243"/>
      <c r="AD611" s="243"/>
    </row>
    <row r="612" ht="33.75" customHeight="1">
      <c r="A612" s="252"/>
      <c r="B612" s="252"/>
      <c r="C612" s="243"/>
      <c r="D612" s="252"/>
      <c r="E612" s="243"/>
      <c r="F612" s="243"/>
      <c r="G612" s="243"/>
      <c r="H612" s="243"/>
      <c r="I612" s="243"/>
      <c r="J612" s="243"/>
      <c r="K612" s="243"/>
      <c r="L612" s="243"/>
      <c r="M612" s="243"/>
      <c r="N612" s="243"/>
      <c r="O612" s="243"/>
      <c r="P612" s="243"/>
      <c r="Q612" s="243"/>
      <c r="R612" s="243"/>
      <c r="S612" s="243"/>
      <c r="T612" s="243"/>
      <c r="U612" s="243"/>
      <c r="V612" s="243"/>
      <c r="W612" s="243"/>
      <c r="X612" s="243"/>
      <c r="Y612" s="243"/>
      <c r="Z612" s="243"/>
      <c r="AA612" s="243"/>
      <c r="AB612" s="243"/>
      <c r="AC612" s="243"/>
      <c r="AD612" s="243"/>
    </row>
    <row r="613" ht="33.75" customHeight="1">
      <c r="A613" s="252"/>
      <c r="B613" s="252"/>
      <c r="C613" s="243"/>
      <c r="D613" s="252"/>
      <c r="E613" s="243"/>
      <c r="F613" s="243"/>
      <c r="G613" s="243"/>
      <c r="H613" s="243"/>
      <c r="I613" s="243"/>
      <c r="J613" s="243"/>
      <c r="K613" s="243"/>
      <c r="L613" s="243"/>
      <c r="M613" s="243"/>
      <c r="N613" s="243"/>
      <c r="O613" s="243"/>
      <c r="P613" s="243"/>
      <c r="Q613" s="243"/>
      <c r="R613" s="243"/>
      <c r="S613" s="243"/>
      <c r="T613" s="243"/>
      <c r="U613" s="243"/>
      <c r="V613" s="243"/>
      <c r="W613" s="243"/>
      <c r="X613" s="243"/>
      <c r="Y613" s="243"/>
      <c r="Z613" s="243"/>
      <c r="AA613" s="243"/>
      <c r="AB613" s="243"/>
      <c r="AC613" s="243"/>
      <c r="AD613" s="243"/>
    </row>
    <row r="614" ht="33.75" customHeight="1">
      <c r="A614" s="252"/>
      <c r="B614" s="252"/>
      <c r="C614" s="243"/>
      <c r="D614" s="252"/>
      <c r="E614" s="243"/>
      <c r="F614" s="243"/>
      <c r="G614" s="243"/>
      <c r="H614" s="243"/>
      <c r="I614" s="243"/>
      <c r="J614" s="243"/>
      <c r="K614" s="243"/>
      <c r="L614" s="243"/>
      <c r="M614" s="243"/>
      <c r="N614" s="243"/>
      <c r="O614" s="243"/>
      <c r="P614" s="243"/>
      <c r="Q614" s="243"/>
      <c r="R614" s="243"/>
      <c r="S614" s="243"/>
      <c r="T614" s="243"/>
      <c r="U614" s="243"/>
      <c r="V614" s="243"/>
      <c r="W614" s="243"/>
      <c r="X614" s="243"/>
      <c r="Y614" s="243"/>
      <c r="Z614" s="243"/>
      <c r="AA614" s="243"/>
      <c r="AB614" s="243"/>
      <c r="AC614" s="243"/>
      <c r="AD614" s="243"/>
    </row>
    <row r="615" ht="33.75" customHeight="1">
      <c r="A615" s="252"/>
      <c r="B615" s="252"/>
      <c r="C615" s="243"/>
      <c r="D615" s="252"/>
      <c r="E615" s="243"/>
      <c r="F615" s="243"/>
      <c r="G615" s="243"/>
      <c r="H615" s="243"/>
      <c r="I615" s="243"/>
      <c r="J615" s="243"/>
      <c r="K615" s="243"/>
      <c r="L615" s="243"/>
      <c r="M615" s="243"/>
      <c r="N615" s="243"/>
      <c r="O615" s="243"/>
      <c r="P615" s="243"/>
      <c r="Q615" s="243"/>
      <c r="R615" s="243"/>
      <c r="S615" s="243"/>
      <c r="T615" s="243"/>
      <c r="U615" s="243"/>
      <c r="V615" s="243"/>
      <c r="W615" s="243"/>
      <c r="X615" s="243"/>
      <c r="Y615" s="243"/>
      <c r="Z615" s="243"/>
      <c r="AA615" s="243"/>
      <c r="AB615" s="243"/>
      <c r="AC615" s="243"/>
      <c r="AD615" s="243"/>
    </row>
    <row r="616" ht="33.75" customHeight="1">
      <c r="A616" s="252"/>
      <c r="B616" s="252"/>
      <c r="C616" s="243"/>
      <c r="D616" s="252"/>
      <c r="E616" s="243"/>
      <c r="F616" s="243"/>
      <c r="G616" s="243"/>
      <c r="H616" s="243"/>
      <c r="I616" s="243"/>
      <c r="J616" s="243"/>
      <c r="K616" s="243"/>
      <c r="L616" s="243"/>
      <c r="M616" s="243"/>
      <c r="N616" s="243"/>
      <c r="O616" s="243"/>
      <c r="P616" s="243"/>
      <c r="Q616" s="243"/>
      <c r="R616" s="243"/>
      <c r="S616" s="243"/>
      <c r="T616" s="243"/>
      <c r="U616" s="243"/>
      <c r="V616" s="243"/>
      <c r="W616" s="243"/>
      <c r="X616" s="243"/>
      <c r="Y616" s="243"/>
      <c r="Z616" s="243"/>
      <c r="AA616" s="243"/>
      <c r="AB616" s="243"/>
      <c r="AC616" s="243"/>
      <c r="AD616" s="243"/>
    </row>
    <row r="617" ht="33.75" customHeight="1">
      <c r="A617" s="252"/>
      <c r="B617" s="252"/>
      <c r="C617" s="243"/>
      <c r="D617" s="252"/>
      <c r="E617" s="243"/>
      <c r="F617" s="243"/>
      <c r="G617" s="243"/>
      <c r="H617" s="243"/>
      <c r="I617" s="243"/>
      <c r="J617" s="243"/>
      <c r="K617" s="243"/>
      <c r="L617" s="243"/>
      <c r="M617" s="243"/>
      <c r="N617" s="243"/>
      <c r="O617" s="243"/>
      <c r="P617" s="243"/>
      <c r="Q617" s="243"/>
      <c r="R617" s="243"/>
      <c r="S617" s="243"/>
      <c r="T617" s="243"/>
      <c r="U617" s="243"/>
      <c r="V617" s="243"/>
      <c r="W617" s="243"/>
      <c r="X617" s="243"/>
      <c r="Y617" s="243"/>
      <c r="Z617" s="243"/>
      <c r="AA617" s="243"/>
      <c r="AB617" s="243"/>
      <c r="AC617" s="243"/>
      <c r="AD617" s="243"/>
    </row>
    <row r="618" ht="33.75" customHeight="1">
      <c r="A618" s="252"/>
      <c r="B618" s="252"/>
      <c r="C618" s="243"/>
      <c r="D618" s="252"/>
      <c r="E618" s="243"/>
      <c r="F618" s="243"/>
      <c r="G618" s="243"/>
      <c r="H618" s="243"/>
      <c r="I618" s="243"/>
      <c r="J618" s="243"/>
      <c r="K618" s="243"/>
      <c r="L618" s="243"/>
      <c r="M618" s="243"/>
      <c r="N618" s="243"/>
      <c r="O618" s="243"/>
      <c r="P618" s="243"/>
      <c r="Q618" s="243"/>
      <c r="R618" s="243"/>
      <c r="S618" s="243"/>
      <c r="T618" s="243"/>
      <c r="U618" s="243"/>
      <c r="V618" s="243"/>
      <c r="W618" s="243"/>
      <c r="X618" s="243"/>
      <c r="Y618" s="243"/>
      <c r="Z618" s="243"/>
      <c r="AA618" s="243"/>
      <c r="AB618" s="243"/>
      <c r="AC618" s="243"/>
      <c r="AD618" s="243"/>
    </row>
    <row r="619" ht="33.75" customHeight="1">
      <c r="A619" s="252"/>
      <c r="B619" s="252"/>
      <c r="C619" s="243"/>
      <c r="D619" s="252"/>
      <c r="E619" s="243"/>
      <c r="F619" s="243"/>
      <c r="G619" s="243"/>
      <c r="H619" s="243"/>
      <c r="I619" s="243"/>
      <c r="J619" s="243"/>
      <c r="K619" s="243"/>
      <c r="L619" s="243"/>
      <c r="M619" s="243"/>
      <c r="N619" s="243"/>
      <c r="O619" s="243"/>
      <c r="P619" s="243"/>
      <c r="Q619" s="243"/>
      <c r="R619" s="243"/>
      <c r="S619" s="243"/>
      <c r="T619" s="243"/>
      <c r="U619" s="243"/>
      <c r="V619" s="243"/>
      <c r="W619" s="243"/>
      <c r="X619" s="243"/>
      <c r="Y619" s="243"/>
      <c r="Z619" s="243"/>
      <c r="AA619" s="243"/>
      <c r="AB619" s="243"/>
      <c r="AC619" s="243"/>
      <c r="AD619" s="243"/>
    </row>
    <row r="620" ht="33.75" customHeight="1">
      <c r="A620" s="252"/>
      <c r="B620" s="252"/>
      <c r="C620" s="243"/>
      <c r="D620" s="252"/>
      <c r="E620" s="243"/>
      <c r="F620" s="243"/>
      <c r="G620" s="243"/>
      <c r="H620" s="243"/>
      <c r="I620" s="243"/>
      <c r="J620" s="243"/>
      <c r="K620" s="243"/>
      <c r="L620" s="243"/>
      <c r="M620" s="243"/>
      <c r="N620" s="243"/>
      <c r="O620" s="243"/>
      <c r="P620" s="243"/>
      <c r="Q620" s="243"/>
      <c r="R620" s="243"/>
      <c r="S620" s="243"/>
      <c r="T620" s="243"/>
      <c r="U620" s="243"/>
      <c r="V620" s="243"/>
      <c r="W620" s="243"/>
      <c r="X620" s="243"/>
      <c r="Y620" s="243"/>
      <c r="Z620" s="243"/>
      <c r="AA620" s="243"/>
      <c r="AB620" s="243"/>
      <c r="AC620" s="243"/>
      <c r="AD620" s="243"/>
    </row>
    <row r="621" ht="33.75" customHeight="1">
      <c r="A621" s="252"/>
      <c r="B621" s="252"/>
      <c r="C621" s="243"/>
      <c r="D621" s="252"/>
      <c r="E621" s="243"/>
      <c r="F621" s="243"/>
      <c r="G621" s="243"/>
      <c r="H621" s="243"/>
      <c r="I621" s="243"/>
      <c r="J621" s="243"/>
      <c r="K621" s="243"/>
      <c r="L621" s="243"/>
      <c r="M621" s="243"/>
      <c r="N621" s="243"/>
      <c r="O621" s="243"/>
      <c r="P621" s="243"/>
      <c r="Q621" s="243"/>
      <c r="R621" s="243"/>
      <c r="S621" s="243"/>
      <c r="T621" s="243"/>
      <c r="U621" s="243"/>
      <c r="V621" s="243"/>
      <c r="W621" s="243"/>
      <c r="X621" s="243"/>
      <c r="Y621" s="243"/>
      <c r="Z621" s="243"/>
      <c r="AA621" s="243"/>
      <c r="AB621" s="243"/>
      <c r="AC621" s="243"/>
      <c r="AD621" s="243"/>
    </row>
    <row r="622" ht="33.75" customHeight="1">
      <c r="A622" s="252"/>
      <c r="B622" s="252"/>
      <c r="C622" s="243"/>
      <c r="D622" s="252"/>
      <c r="E622" s="243"/>
      <c r="F622" s="243"/>
      <c r="G622" s="243"/>
      <c r="H622" s="243"/>
      <c r="I622" s="243"/>
      <c r="J622" s="243"/>
      <c r="K622" s="243"/>
      <c r="L622" s="243"/>
      <c r="M622" s="243"/>
      <c r="N622" s="243"/>
      <c r="O622" s="243"/>
      <c r="P622" s="243"/>
      <c r="Q622" s="243"/>
      <c r="R622" s="243"/>
      <c r="S622" s="243"/>
      <c r="T622" s="243"/>
      <c r="U622" s="243"/>
      <c r="V622" s="243"/>
      <c r="W622" s="243"/>
      <c r="X622" s="243"/>
      <c r="Y622" s="243"/>
      <c r="Z622" s="243"/>
      <c r="AA622" s="243"/>
      <c r="AB622" s="243"/>
      <c r="AC622" s="243"/>
      <c r="AD622" s="243"/>
    </row>
    <row r="623" ht="33.75" customHeight="1">
      <c r="A623" s="252"/>
      <c r="B623" s="252"/>
      <c r="C623" s="243"/>
      <c r="D623" s="252"/>
      <c r="E623" s="243"/>
      <c r="F623" s="243"/>
      <c r="G623" s="243"/>
      <c r="H623" s="243"/>
      <c r="I623" s="243"/>
      <c r="J623" s="243"/>
      <c r="K623" s="243"/>
      <c r="L623" s="243"/>
      <c r="M623" s="243"/>
      <c r="N623" s="243"/>
      <c r="O623" s="243"/>
      <c r="P623" s="243"/>
      <c r="Q623" s="243"/>
      <c r="R623" s="243"/>
      <c r="S623" s="243"/>
      <c r="T623" s="243"/>
      <c r="U623" s="243"/>
      <c r="V623" s="243"/>
      <c r="W623" s="243"/>
      <c r="X623" s="243"/>
      <c r="Y623" s="243"/>
      <c r="Z623" s="243"/>
      <c r="AA623" s="243"/>
      <c r="AB623" s="243"/>
      <c r="AC623" s="243"/>
      <c r="AD623" s="243"/>
    </row>
    <row r="624" ht="33.75" customHeight="1">
      <c r="A624" s="252"/>
      <c r="B624" s="252"/>
      <c r="C624" s="243"/>
      <c r="D624" s="252"/>
      <c r="E624" s="243"/>
      <c r="F624" s="243"/>
      <c r="G624" s="243"/>
      <c r="H624" s="243"/>
      <c r="I624" s="243"/>
      <c r="J624" s="243"/>
      <c r="K624" s="243"/>
      <c r="L624" s="243"/>
      <c r="M624" s="243"/>
      <c r="N624" s="243"/>
      <c r="O624" s="243"/>
      <c r="P624" s="243"/>
      <c r="Q624" s="243"/>
      <c r="R624" s="243"/>
      <c r="S624" s="243"/>
      <c r="T624" s="243"/>
      <c r="U624" s="243"/>
      <c r="V624" s="243"/>
      <c r="W624" s="243"/>
      <c r="X624" s="243"/>
      <c r="Y624" s="243"/>
      <c r="Z624" s="243"/>
      <c r="AA624" s="243"/>
      <c r="AB624" s="243"/>
      <c r="AC624" s="243"/>
      <c r="AD624" s="243"/>
    </row>
    <row r="625" ht="33.75" customHeight="1">
      <c r="A625" s="252"/>
      <c r="B625" s="252"/>
      <c r="C625" s="243"/>
      <c r="D625" s="252"/>
      <c r="E625" s="243"/>
      <c r="F625" s="243"/>
      <c r="G625" s="243"/>
      <c r="H625" s="243"/>
      <c r="I625" s="243"/>
      <c r="J625" s="243"/>
      <c r="K625" s="243"/>
      <c r="L625" s="243"/>
      <c r="M625" s="243"/>
      <c r="N625" s="243"/>
      <c r="O625" s="243"/>
      <c r="P625" s="243"/>
      <c r="Q625" s="243"/>
      <c r="R625" s="243"/>
      <c r="S625" s="243"/>
      <c r="T625" s="243"/>
      <c r="U625" s="243"/>
      <c r="V625" s="243"/>
      <c r="W625" s="243"/>
      <c r="X625" s="243"/>
      <c r="Y625" s="243"/>
      <c r="Z625" s="243"/>
      <c r="AA625" s="243"/>
      <c r="AB625" s="243"/>
      <c r="AC625" s="243"/>
      <c r="AD625" s="243"/>
    </row>
    <row r="626" ht="33.75" customHeight="1">
      <c r="A626" s="252"/>
      <c r="B626" s="252"/>
      <c r="C626" s="243"/>
      <c r="D626" s="252"/>
      <c r="E626" s="243"/>
      <c r="F626" s="243"/>
      <c r="G626" s="243"/>
      <c r="H626" s="243"/>
      <c r="I626" s="243"/>
      <c r="J626" s="243"/>
      <c r="K626" s="243"/>
      <c r="L626" s="243"/>
      <c r="M626" s="243"/>
      <c r="N626" s="243"/>
      <c r="O626" s="243"/>
      <c r="P626" s="243"/>
      <c r="Q626" s="243"/>
      <c r="R626" s="243"/>
      <c r="S626" s="243"/>
      <c r="T626" s="243"/>
      <c r="U626" s="243"/>
      <c r="V626" s="243"/>
      <c r="W626" s="243"/>
      <c r="X626" s="243"/>
      <c r="Y626" s="243"/>
      <c r="Z626" s="243"/>
      <c r="AA626" s="243"/>
      <c r="AB626" s="243"/>
      <c r="AC626" s="243"/>
      <c r="AD626" s="243"/>
    </row>
    <row r="627" ht="33.75" customHeight="1">
      <c r="A627" s="252"/>
      <c r="B627" s="252"/>
      <c r="C627" s="243"/>
      <c r="D627" s="252"/>
      <c r="E627" s="243"/>
      <c r="F627" s="243"/>
      <c r="G627" s="243"/>
      <c r="H627" s="243"/>
      <c r="I627" s="243"/>
      <c r="J627" s="243"/>
      <c r="K627" s="243"/>
      <c r="L627" s="243"/>
      <c r="M627" s="243"/>
      <c r="N627" s="243"/>
      <c r="O627" s="243"/>
      <c r="P627" s="243"/>
      <c r="Q627" s="243"/>
      <c r="R627" s="243"/>
      <c r="S627" s="243"/>
      <c r="T627" s="243"/>
      <c r="U627" s="243"/>
      <c r="V627" s="243"/>
      <c r="W627" s="243"/>
      <c r="X627" s="243"/>
      <c r="Y627" s="243"/>
      <c r="Z627" s="243"/>
      <c r="AA627" s="243"/>
      <c r="AB627" s="243"/>
      <c r="AC627" s="243"/>
      <c r="AD627" s="243"/>
    </row>
    <row r="628" ht="33.75" customHeight="1">
      <c r="A628" s="252"/>
      <c r="B628" s="252"/>
      <c r="C628" s="243"/>
      <c r="D628" s="252"/>
      <c r="E628" s="243"/>
      <c r="F628" s="243"/>
      <c r="G628" s="243"/>
      <c r="H628" s="243"/>
      <c r="I628" s="243"/>
      <c r="J628" s="243"/>
      <c r="K628" s="243"/>
      <c r="L628" s="243"/>
      <c r="M628" s="243"/>
      <c r="N628" s="243"/>
      <c r="O628" s="243"/>
      <c r="P628" s="243"/>
      <c r="Q628" s="243"/>
      <c r="R628" s="243"/>
      <c r="S628" s="243"/>
      <c r="T628" s="243"/>
      <c r="U628" s="243"/>
      <c r="V628" s="243"/>
      <c r="W628" s="243"/>
      <c r="X628" s="243"/>
      <c r="Y628" s="243"/>
      <c r="Z628" s="243"/>
      <c r="AA628" s="243"/>
      <c r="AB628" s="243"/>
      <c r="AC628" s="243"/>
      <c r="AD628" s="243"/>
    </row>
    <row r="629" ht="33.75" customHeight="1">
      <c r="A629" s="252"/>
      <c r="B629" s="252"/>
      <c r="C629" s="243"/>
      <c r="D629" s="252"/>
      <c r="E629" s="243"/>
      <c r="F629" s="243"/>
      <c r="G629" s="243"/>
      <c r="H629" s="243"/>
      <c r="I629" s="243"/>
      <c r="J629" s="243"/>
      <c r="K629" s="243"/>
      <c r="L629" s="243"/>
      <c r="M629" s="243"/>
      <c r="N629" s="243"/>
      <c r="O629" s="243"/>
      <c r="P629" s="243"/>
      <c r="Q629" s="243"/>
      <c r="R629" s="243"/>
      <c r="S629" s="243"/>
      <c r="T629" s="243"/>
      <c r="U629" s="243"/>
      <c r="V629" s="243"/>
      <c r="W629" s="243"/>
      <c r="X629" s="243"/>
      <c r="Y629" s="243"/>
      <c r="Z629" s="243"/>
      <c r="AA629" s="243"/>
      <c r="AB629" s="243"/>
      <c r="AC629" s="243"/>
      <c r="AD629" s="243"/>
    </row>
    <row r="630" ht="33.75" customHeight="1">
      <c r="A630" s="252"/>
      <c r="B630" s="252"/>
      <c r="C630" s="243"/>
      <c r="D630" s="252"/>
      <c r="E630" s="243"/>
      <c r="F630" s="243"/>
      <c r="G630" s="243"/>
      <c r="H630" s="243"/>
      <c r="I630" s="243"/>
      <c r="J630" s="243"/>
      <c r="K630" s="243"/>
      <c r="L630" s="243"/>
      <c r="M630" s="243"/>
      <c r="N630" s="243"/>
      <c r="O630" s="243"/>
      <c r="P630" s="243"/>
      <c r="Q630" s="243"/>
      <c r="R630" s="243"/>
      <c r="S630" s="243"/>
      <c r="T630" s="243"/>
      <c r="U630" s="243"/>
      <c r="V630" s="243"/>
      <c r="W630" s="243"/>
      <c r="X630" s="243"/>
      <c r="Y630" s="243"/>
      <c r="Z630" s="243"/>
      <c r="AA630" s="243"/>
      <c r="AB630" s="243"/>
      <c r="AC630" s="243"/>
      <c r="AD630" s="243"/>
    </row>
    <row r="631" ht="33.75" customHeight="1">
      <c r="A631" s="252"/>
      <c r="B631" s="252"/>
      <c r="C631" s="243"/>
      <c r="D631" s="252"/>
      <c r="E631" s="243"/>
      <c r="F631" s="243"/>
      <c r="G631" s="243"/>
      <c r="H631" s="243"/>
      <c r="I631" s="243"/>
      <c r="J631" s="243"/>
      <c r="K631" s="243"/>
      <c r="L631" s="243"/>
      <c r="M631" s="243"/>
      <c r="N631" s="243"/>
      <c r="O631" s="243"/>
      <c r="P631" s="243"/>
      <c r="Q631" s="243"/>
      <c r="R631" s="243"/>
      <c r="S631" s="243"/>
      <c r="T631" s="243"/>
      <c r="U631" s="243"/>
      <c r="V631" s="243"/>
      <c r="W631" s="243"/>
      <c r="X631" s="243"/>
      <c r="Y631" s="243"/>
      <c r="Z631" s="243"/>
      <c r="AA631" s="243"/>
      <c r="AB631" s="243"/>
      <c r="AC631" s="243"/>
      <c r="AD631" s="243"/>
    </row>
    <row r="632" ht="33.75" customHeight="1">
      <c r="A632" s="252"/>
      <c r="B632" s="252"/>
      <c r="C632" s="243"/>
      <c r="D632" s="252"/>
      <c r="E632" s="243"/>
      <c r="F632" s="243"/>
      <c r="G632" s="243"/>
      <c r="H632" s="243"/>
      <c r="I632" s="243"/>
      <c r="J632" s="243"/>
      <c r="K632" s="243"/>
      <c r="L632" s="243"/>
      <c r="M632" s="243"/>
      <c r="N632" s="243"/>
      <c r="O632" s="243"/>
      <c r="P632" s="243"/>
      <c r="Q632" s="243"/>
      <c r="R632" s="243"/>
      <c r="S632" s="243"/>
      <c r="T632" s="243"/>
      <c r="U632" s="243"/>
      <c r="V632" s="243"/>
      <c r="W632" s="243"/>
      <c r="X632" s="243"/>
      <c r="Y632" s="243"/>
      <c r="Z632" s="243"/>
      <c r="AA632" s="243"/>
      <c r="AB632" s="243"/>
      <c r="AC632" s="243"/>
      <c r="AD632" s="243"/>
    </row>
    <row r="633" ht="33.75" customHeight="1">
      <c r="A633" s="252"/>
      <c r="B633" s="252"/>
      <c r="C633" s="243"/>
      <c r="D633" s="252"/>
      <c r="E633" s="243"/>
      <c r="F633" s="243"/>
      <c r="G633" s="243"/>
      <c r="H633" s="243"/>
      <c r="I633" s="243"/>
      <c r="J633" s="243"/>
      <c r="K633" s="243"/>
      <c r="L633" s="243"/>
      <c r="M633" s="243"/>
      <c r="N633" s="243"/>
      <c r="O633" s="243"/>
      <c r="P633" s="243"/>
      <c r="Q633" s="243"/>
      <c r="R633" s="243"/>
      <c r="S633" s="243"/>
      <c r="T633" s="243"/>
      <c r="U633" s="243"/>
      <c r="V633" s="243"/>
      <c r="W633" s="243"/>
      <c r="X633" s="243"/>
      <c r="Y633" s="243"/>
      <c r="Z633" s="243"/>
      <c r="AA633" s="243"/>
      <c r="AB633" s="243"/>
      <c r="AC633" s="243"/>
      <c r="AD633" s="243"/>
    </row>
    <row r="634" ht="33.75" customHeight="1">
      <c r="A634" s="252"/>
      <c r="B634" s="252"/>
      <c r="C634" s="243"/>
      <c r="D634" s="252"/>
      <c r="E634" s="243"/>
      <c r="F634" s="243"/>
      <c r="G634" s="243"/>
      <c r="H634" s="243"/>
      <c r="I634" s="243"/>
      <c r="J634" s="243"/>
      <c r="K634" s="243"/>
      <c r="L634" s="243"/>
      <c r="M634" s="243"/>
      <c r="N634" s="243"/>
      <c r="O634" s="243"/>
      <c r="P634" s="243"/>
      <c r="Q634" s="243"/>
      <c r="R634" s="243"/>
      <c r="S634" s="243"/>
      <c r="T634" s="243"/>
      <c r="U634" s="243"/>
      <c r="V634" s="243"/>
      <c r="W634" s="243"/>
      <c r="X634" s="243"/>
      <c r="Y634" s="243"/>
      <c r="Z634" s="243"/>
      <c r="AA634" s="243"/>
      <c r="AB634" s="243"/>
      <c r="AC634" s="243"/>
      <c r="AD634" s="243"/>
    </row>
    <row r="635" ht="33.75" customHeight="1">
      <c r="A635" s="252"/>
      <c r="B635" s="252"/>
      <c r="C635" s="243"/>
      <c r="D635" s="252"/>
      <c r="E635" s="243"/>
      <c r="F635" s="243"/>
      <c r="G635" s="243"/>
      <c r="H635" s="243"/>
      <c r="I635" s="243"/>
      <c r="J635" s="243"/>
      <c r="K635" s="243"/>
      <c r="L635" s="243"/>
      <c r="M635" s="243"/>
      <c r="N635" s="243"/>
      <c r="O635" s="243"/>
      <c r="P635" s="243"/>
      <c r="Q635" s="243"/>
      <c r="R635" s="243"/>
      <c r="S635" s="243"/>
      <c r="T635" s="243"/>
      <c r="U635" s="243"/>
      <c r="V635" s="243"/>
      <c r="W635" s="243"/>
      <c r="X635" s="243"/>
      <c r="Y635" s="243"/>
      <c r="Z635" s="243"/>
      <c r="AA635" s="243"/>
      <c r="AB635" s="243"/>
      <c r="AC635" s="243"/>
      <c r="AD635" s="243"/>
    </row>
    <row r="636" ht="33.75" customHeight="1">
      <c r="A636" s="252"/>
      <c r="B636" s="252"/>
      <c r="C636" s="243"/>
      <c r="D636" s="252"/>
      <c r="E636" s="243"/>
      <c r="F636" s="243"/>
      <c r="G636" s="243"/>
      <c r="H636" s="243"/>
      <c r="I636" s="243"/>
      <c r="J636" s="243"/>
      <c r="K636" s="243"/>
      <c r="L636" s="243"/>
      <c r="M636" s="243"/>
      <c r="N636" s="243"/>
      <c r="O636" s="243"/>
      <c r="P636" s="243"/>
      <c r="Q636" s="243"/>
      <c r="R636" s="243"/>
      <c r="S636" s="243"/>
      <c r="T636" s="243"/>
      <c r="U636" s="243"/>
      <c r="V636" s="243"/>
      <c r="W636" s="243"/>
      <c r="X636" s="243"/>
      <c r="Y636" s="243"/>
      <c r="Z636" s="243"/>
      <c r="AA636" s="243"/>
      <c r="AB636" s="243"/>
      <c r="AC636" s="243"/>
      <c r="AD636" s="243"/>
    </row>
    <row r="637" ht="33.75" customHeight="1">
      <c r="A637" s="252"/>
      <c r="B637" s="252"/>
      <c r="C637" s="243"/>
      <c r="D637" s="252"/>
      <c r="E637" s="243"/>
      <c r="F637" s="243"/>
      <c r="G637" s="243"/>
      <c r="H637" s="243"/>
      <c r="I637" s="243"/>
      <c r="J637" s="243"/>
      <c r="K637" s="243"/>
      <c r="L637" s="243"/>
      <c r="M637" s="243"/>
      <c r="N637" s="243"/>
      <c r="O637" s="243"/>
      <c r="P637" s="243"/>
      <c r="Q637" s="243"/>
      <c r="R637" s="243"/>
      <c r="S637" s="243"/>
      <c r="T637" s="243"/>
      <c r="U637" s="243"/>
      <c r="V637" s="243"/>
      <c r="W637" s="243"/>
      <c r="X637" s="243"/>
      <c r="Y637" s="243"/>
      <c r="Z637" s="243"/>
      <c r="AA637" s="243"/>
      <c r="AB637" s="243"/>
      <c r="AC637" s="243"/>
      <c r="AD637" s="243"/>
    </row>
    <row r="638" ht="33.75" customHeight="1">
      <c r="A638" s="252"/>
      <c r="B638" s="252"/>
      <c r="C638" s="243"/>
      <c r="D638" s="252"/>
      <c r="E638" s="243"/>
      <c r="F638" s="243"/>
      <c r="G638" s="243"/>
      <c r="H638" s="243"/>
      <c r="I638" s="243"/>
      <c r="J638" s="243"/>
      <c r="K638" s="243"/>
      <c r="L638" s="243"/>
      <c r="M638" s="243"/>
      <c r="N638" s="243"/>
      <c r="O638" s="243"/>
      <c r="P638" s="243"/>
      <c r="Q638" s="243"/>
      <c r="R638" s="243"/>
      <c r="S638" s="243"/>
      <c r="T638" s="243"/>
      <c r="U638" s="243"/>
      <c r="V638" s="243"/>
      <c r="W638" s="243"/>
      <c r="X638" s="243"/>
      <c r="Y638" s="243"/>
      <c r="Z638" s="243"/>
      <c r="AA638" s="243"/>
      <c r="AB638" s="243"/>
      <c r="AC638" s="243"/>
      <c r="AD638" s="243"/>
    </row>
    <row r="639" ht="33.75" customHeight="1">
      <c r="A639" s="252"/>
      <c r="B639" s="252"/>
      <c r="C639" s="243"/>
      <c r="D639" s="252"/>
      <c r="E639" s="243"/>
      <c r="F639" s="243"/>
      <c r="G639" s="243"/>
      <c r="H639" s="243"/>
      <c r="I639" s="243"/>
      <c r="J639" s="243"/>
      <c r="K639" s="243"/>
      <c r="L639" s="243"/>
      <c r="M639" s="243"/>
      <c r="N639" s="243"/>
      <c r="O639" s="243"/>
      <c r="P639" s="243"/>
      <c r="Q639" s="243"/>
      <c r="R639" s="243"/>
      <c r="S639" s="243"/>
      <c r="T639" s="243"/>
      <c r="U639" s="243"/>
      <c r="V639" s="243"/>
      <c r="W639" s="243"/>
      <c r="X639" s="243"/>
      <c r="Y639" s="243"/>
      <c r="Z639" s="243"/>
      <c r="AA639" s="243"/>
      <c r="AB639" s="243"/>
      <c r="AC639" s="243"/>
      <c r="AD639" s="243"/>
    </row>
    <row r="640" ht="33.75" customHeight="1">
      <c r="A640" s="252"/>
      <c r="B640" s="252"/>
      <c r="C640" s="243"/>
      <c r="D640" s="252"/>
      <c r="E640" s="243"/>
      <c r="F640" s="243"/>
      <c r="G640" s="243"/>
      <c r="H640" s="243"/>
      <c r="I640" s="243"/>
      <c r="J640" s="243"/>
      <c r="K640" s="243"/>
      <c r="L640" s="243"/>
      <c r="M640" s="243"/>
      <c r="N640" s="243"/>
      <c r="O640" s="243"/>
      <c r="P640" s="243"/>
      <c r="Q640" s="243"/>
      <c r="R640" s="243"/>
      <c r="S640" s="243"/>
      <c r="T640" s="243"/>
      <c r="U640" s="243"/>
      <c r="V640" s="243"/>
      <c r="W640" s="243"/>
      <c r="X640" s="243"/>
      <c r="Y640" s="243"/>
      <c r="Z640" s="243"/>
      <c r="AA640" s="243"/>
      <c r="AB640" s="243"/>
      <c r="AC640" s="243"/>
      <c r="AD640" s="243"/>
    </row>
    <row r="641" ht="33.75" customHeight="1">
      <c r="A641" s="252"/>
      <c r="B641" s="252"/>
      <c r="C641" s="243"/>
      <c r="D641" s="252"/>
      <c r="E641" s="243"/>
      <c r="F641" s="243"/>
      <c r="G641" s="243"/>
      <c r="H641" s="243"/>
      <c r="I641" s="243"/>
      <c r="J641" s="243"/>
      <c r="K641" s="243"/>
      <c r="L641" s="243"/>
      <c r="M641" s="243"/>
      <c r="N641" s="243"/>
      <c r="O641" s="243"/>
      <c r="P641" s="243"/>
      <c r="Q641" s="243"/>
      <c r="R641" s="243"/>
      <c r="S641" s="243"/>
      <c r="T641" s="243"/>
      <c r="U641" s="243"/>
      <c r="V641" s="243"/>
      <c r="W641" s="243"/>
      <c r="X641" s="243"/>
      <c r="Y641" s="243"/>
      <c r="Z641" s="243"/>
      <c r="AA641" s="243"/>
      <c r="AB641" s="243"/>
      <c r="AC641" s="243"/>
      <c r="AD641" s="243"/>
    </row>
    <row r="642" ht="33.75" customHeight="1">
      <c r="A642" s="252"/>
      <c r="B642" s="252"/>
      <c r="C642" s="243"/>
      <c r="D642" s="252"/>
      <c r="E642" s="243"/>
      <c r="F642" s="243"/>
      <c r="G642" s="243"/>
      <c r="H642" s="243"/>
      <c r="I642" s="243"/>
      <c r="J642" s="243"/>
      <c r="K642" s="243"/>
      <c r="L642" s="243"/>
      <c r="M642" s="243"/>
      <c r="N642" s="243"/>
      <c r="O642" s="243"/>
      <c r="P642" s="243"/>
      <c r="Q642" s="243"/>
      <c r="R642" s="243"/>
      <c r="S642" s="243"/>
      <c r="T642" s="243"/>
      <c r="U642" s="243"/>
      <c r="V642" s="243"/>
      <c r="W642" s="243"/>
      <c r="X642" s="243"/>
      <c r="Y642" s="243"/>
      <c r="Z642" s="243"/>
      <c r="AA642" s="243"/>
      <c r="AB642" s="243"/>
      <c r="AC642" s="243"/>
      <c r="AD642" s="243"/>
    </row>
    <row r="643" ht="33.75" customHeight="1">
      <c r="A643" s="252"/>
      <c r="B643" s="252"/>
      <c r="C643" s="243"/>
      <c r="D643" s="252"/>
      <c r="E643" s="243"/>
      <c r="F643" s="243"/>
      <c r="G643" s="243"/>
      <c r="H643" s="243"/>
      <c r="I643" s="243"/>
      <c r="J643" s="243"/>
      <c r="K643" s="243"/>
      <c r="L643" s="243"/>
      <c r="M643" s="243"/>
      <c r="N643" s="243"/>
      <c r="O643" s="243"/>
      <c r="P643" s="243"/>
      <c r="Q643" s="243"/>
      <c r="R643" s="243"/>
      <c r="S643" s="243"/>
      <c r="T643" s="243"/>
      <c r="U643" s="243"/>
      <c r="V643" s="243"/>
      <c r="W643" s="243"/>
      <c r="X643" s="243"/>
      <c r="Y643" s="243"/>
      <c r="Z643" s="243"/>
      <c r="AA643" s="243"/>
      <c r="AB643" s="243"/>
      <c r="AC643" s="243"/>
      <c r="AD643" s="243"/>
    </row>
    <row r="644" ht="33.75" customHeight="1">
      <c r="A644" s="252"/>
      <c r="B644" s="252"/>
      <c r="C644" s="243"/>
      <c r="D644" s="252"/>
      <c r="E644" s="243"/>
      <c r="F644" s="243"/>
      <c r="G644" s="243"/>
      <c r="H644" s="243"/>
      <c r="I644" s="243"/>
      <c r="J644" s="243"/>
      <c r="K644" s="243"/>
      <c r="L644" s="243"/>
      <c r="M644" s="243"/>
      <c r="N644" s="243"/>
      <c r="O644" s="243"/>
      <c r="P644" s="243"/>
      <c r="Q644" s="243"/>
      <c r="R644" s="243"/>
      <c r="S644" s="243"/>
      <c r="T644" s="243"/>
      <c r="U644" s="243"/>
      <c r="V644" s="243"/>
      <c r="W644" s="243"/>
      <c r="X644" s="243"/>
      <c r="Y644" s="243"/>
      <c r="Z644" s="243"/>
      <c r="AA644" s="243"/>
      <c r="AB644" s="243"/>
      <c r="AC644" s="243"/>
      <c r="AD644" s="243"/>
    </row>
    <row r="645" ht="33.75" customHeight="1">
      <c r="A645" s="252"/>
      <c r="B645" s="252"/>
      <c r="C645" s="243"/>
      <c r="D645" s="252"/>
      <c r="E645" s="243"/>
      <c r="F645" s="243"/>
      <c r="G645" s="243"/>
      <c r="H645" s="243"/>
      <c r="I645" s="243"/>
      <c r="J645" s="243"/>
      <c r="K645" s="243"/>
      <c r="L645" s="243"/>
      <c r="M645" s="243"/>
      <c r="N645" s="243"/>
      <c r="O645" s="243"/>
      <c r="P645" s="243"/>
      <c r="Q645" s="243"/>
      <c r="R645" s="243"/>
      <c r="S645" s="243"/>
      <c r="T645" s="243"/>
      <c r="U645" s="243"/>
      <c r="V645" s="243"/>
      <c r="W645" s="243"/>
      <c r="X645" s="243"/>
      <c r="Y645" s="243"/>
      <c r="Z645" s="243"/>
      <c r="AA645" s="243"/>
      <c r="AB645" s="243"/>
      <c r="AC645" s="243"/>
      <c r="AD645" s="243"/>
    </row>
    <row r="646" ht="33.75" customHeight="1">
      <c r="A646" s="252"/>
      <c r="B646" s="252"/>
      <c r="C646" s="243"/>
      <c r="D646" s="252"/>
      <c r="E646" s="243"/>
      <c r="F646" s="243"/>
      <c r="G646" s="243"/>
      <c r="H646" s="243"/>
      <c r="I646" s="243"/>
      <c r="J646" s="243"/>
      <c r="K646" s="243"/>
      <c r="L646" s="243"/>
      <c r="M646" s="243"/>
      <c r="N646" s="243"/>
      <c r="O646" s="243"/>
      <c r="P646" s="243"/>
      <c r="Q646" s="243"/>
      <c r="R646" s="243"/>
      <c r="S646" s="243"/>
      <c r="T646" s="243"/>
      <c r="U646" s="243"/>
      <c r="V646" s="243"/>
      <c r="W646" s="243"/>
      <c r="X646" s="243"/>
      <c r="Y646" s="243"/>
      <c r="Z646" s="243"/>
      <c r="AA646" s="243"/>
      <c r="AB646" s="243"/>
      <c r="AC646" s="243"/>
      <c r="AD646" s="243"/>
    </row>
    <row r="647" ht="33.75" customHeight="1">
      <c r="A647" s="252"/>
      <c r="B647" s="252"/>
      <c r="C647" s="243"/>
      <c r="D647" s="252"/>
      <c r="E647" s="243"/>
      <c r="F647" s="243"/>
      <c r="G647" s="243"/>
      <c r="H647" s="243"/>
      <c r="I647" s="243"/>
      <c r="J647" s="243"/>
      <c r="K647" s="243"/>
      <c r="L647" s="243"/>
      <c r="M647" s="243"/>
      <c r="N647" s="243"/>
      <c r="O647" s="243"/>
      <c r="P647" s="243"/>
      <c r="Q647" s="243"/>
      <c r="R647" s="243"/>
      <c r="S647" s="243"/>
      <c r="T647" s="243"/>
      <c r="U647" s="243"/>
      <c r="V647" s="243"/>
      <c r="W647" s="243"/>
      <c r="X647" s="243"/>
      <c r="Y647" s="243"/>
      <c r="Z647" s="243"/>
      <c r="AA647" s="243"/>
      <c r="AB647" s="243"/>
      <c r="AC647" s="243"/>
      <c r="AD647" s="243"/>
    </row>
    <row r="648" ht="33.75" customHeight="1">
      <c r="A648" s="252"/>
      <c r="B648" s="252"/>
      <c r="C648" s="243"/>
      <c r="D648" s="252"/>
      <c r="E648" s="243"/>
      <c r="F648" s="243"/>
      <c r="G648" s="243"/>
      <c r="H648" s="243"/>
      <c r="I648" s="243"/>
      <c r="J648" s="243"/>
      <c r="K648" s="243"/>
      <c r="L648" s="243"/>
      <c r="M648" s="243"/>
      <c r="N648" s="243"/>
      <c r="O648" s="243"/>
      <c r="P648" s="243"/>
      <c r="Q648" s="243"/>
      <c r="R648" s="243"/>
      <c r="S648" s="243"/>
      <c r="T648" s="243"/>
      <c r="U648" s="243"/>
      <c r="V648" s="243"/>
      <c r="W648" s="243"/>
      <c r="X648" s="243"/>
      <c r="Y648" s="243"/>
      <c r="Z648" s="243"/>
      <c r="AA648" s="243"/>
      <c r="AB648" s="243"/>
      <c r="AC648" s="243"/>
      <c r="AD648" s="243"/>
    </row>
    <row r="649" ht="33.75" customHeight="1">
      <c r="A649" s="252"/>
      <c r="B649" s="252"/>
      <c r="C649" s="243"/>
      <c r="D649" s="252"/>
      <c r="E649" s="243"/>
      <c r="F649" s="243"/>
      <c r="G649" s="243"/>
      <c r="H649" s="243"/>
      <c r="I649" s="243"/>
      <c r="J649" s="243"/>
      <c r="K649" s="243"/>
      <c r="L649" s="243"/>
      <c r="M649" s="243"/>
      <c r="N649" s="243"/>
      <c r="O649" s="243"/>
      <c r="P649" s="243"/>
      <c r="Q649" s="243"/>
      <c r="R649" s="243"/>
      <c r="S649" s="243"/>
      <c r="T649" s="243"/>
      <c r="U649" s="243"/>
      <c r="V649" s="243"/>
      <c r="W649" s="243"/>
      <c r="X649" s="243"/>
      <c r="Y649" s="243"/>
      <c r="Z649" s="243"/>
      <c r="AA649" s="243"/>
      <c r="AB649" s="243"/>
      <c r="AC649" s="243"/>
      <c r="AD649" s="243"/>
    </row>
    <row r="650" ht="33.75" customHeight="1">
      <c r="A650" s="252"/>
      <c r="B650" s="252"/>
      <c r="C650" s="243"/>
      <c r="D650" s="252"/>
      <c r="E650" s="243"/>
      <c r="F650" s="243"/>
      <c r="G650" s="243"/>
      <c r="H650" s="243"/>
      <c r="I650" s="243"/>
      <c r="J650" s="243"/>
      <c r="K650" s="243"/>
      <c r="L650" s="243"/>
      <c r="M650" s="243"/>
      <c r="N650" s="243"/>
      <c r="O650" s="243"/>
      <c r="P650" s="243"/>
      <c r="Q650" s="243"/>
      <c r="R650" s="243"/>
      <c r="S650" s="243"/>
      <c r="T650" s="243"/>
      <c r="U650" s="243"/>
      <c r="V650" s="243"/>
      <c r="W650" s="243"/>
      <c r="X650" s="243"/>
      <c r="Y650" s="243"/>
      <c r="Z650" s="243"/>
      <c r="AA650" s="243"/>
      <c r="AB650" s="243"/>
      <c r="AC650" s="243"/>
      <c r="AD650" s="243"/>
    </row>
    <row r="651" ht="33.75" customHeight="1">
      <c r="A651" s="252"/>
      <c r="B651" s="252"/>
      <c r="C651" s="243"/>
      <c r="D651" s="252"/>
      <c r="E651" s="243"/>
      <c r="F651" s="243"/>
      <c r="G651" s="243"/>
      <c r="H651" s="243"/>
      <c r="I651" s="243"/>
      <c r="J651" s="243"/>
      <c r="K651" s="243"/>
      <c r="L651" s="243"/>
      <c r="M651" s="243"/>
      <c r="N651" s="243"/>
      <c r="O651" s="243"/>
      <c r="P651" s="243"/>
      <c r="Q651" s="243"/>
      <c r="R651" s="243"/>
      <c r="S651" s="243"/>
      <c r="T651" s="243"/>
      <c r="U651" s="243"/>
      <c r="V651" s="243"/>
      <c r="W651" s="243"/>
      <c r="X651" s="243"/>
      <c r="Y651" s="243"/>
      <c r="Z651" s="243"/>
      <c r="AA651" s="243"/>
      <c r="AB651" s="243"/>
      <c r="AC651" s="243"/>
      <c r="AD651" s="243"/>
    </row>
    <row r="652" ht="33.75" customHeight="1">
      <c r="A652" s="252"/>
      <c r="B652" s="252"/>
      <c r="C652" s="243"/>
      <c r="D652" s="252"/>
      <c r="E652" s="243"/>
      <c r="F652" s="243"/>
      <c r="G652" s="243"/>
      <c r="H652" s="243"/>
      <c r="I652" s="243"/>
      <c r="J652" s="243"/>
      <c r="K652" s="243"/>
      <c r="L652" s="243"/>
      <c r="M652" s="243"/>
      <c r="N652" s="243"/>
      <c r="O652" s="243"/>
      <c r="P652" s="243"/>
      <c r="Q652" s="243"/>
      <c r="R652" s="243"/>
      <c r="S652" s="243"/>
      <c r="T652" s="243"/>
      <c r="U652" s="243"/>
      <c r="V652" s="243"/>
      <c r="W652" s="243"/>
      <c r="X652" s="243"/>
      <c r="Y652" s="243"/>
      <c r="Z652" s="243"/>
      <c r="AA652" s="243"/>
      <c r="AB652" s="243"/>
      <c r="AC652" s="243"/>
      <c r="AD652" s="243"/>
    </row>
    <row r="653" ht="33.75" customHeight="1">
      <c r="A653" s="252"/>
      <c r="B653" s="252"/>
      <c r="C653" s="243"/>
      <c r="D653" s="252"/>
      <c r="E653" s="243"/>
      <c r="F653" s="243"/>
      <c r="G653" s="243"/>
      <c r="H653" s="243"/>
      <c r="I653" s="243"/>
      <c r="J653" s="243"/>
      <c r="K653" s="243"/>
      <c r="L653" s="243"/>
      <c r="M653" s="243"/>
      <c r="N653" s="243"/>
      <c r="O653" s="243"/>
      <c r="P653" s="243"/>
      <c r="Q653" s="243"/>
      <c r="R653" s="243"/>
      <c r="S653" s="243"/>
      <c r="T653" s="243"/>
      <c r="U653" s="243"/>
      <c r="V653" s="243"/>
      <c r="W653" s="243"/>
      <c r="X653" s="243"/>
      <c r="Y653" s="243"/>
      <c r="Z653" s="243"/>
      <c r="AA653" s="243"/>
      <c r="AB653" s="243"/>
      <c r="AC653" s="243"/>
      <c r="AD653" s="243"/>
    </row>
    <row r="654" ht="33.75" customHeight="1">
      <c r="A654" s="252"/>
      <c r="B654" s="252"/>
      <c r="C654" s="243"/>
      <c r="D654" s="252"/>
      <c r="E654" s="243"/>
      <c r="F654" s="243"/>
      <c r="G654" s="243"/>
      <c r="H654" s="243"/>
      <c r="I654" s="243"/>
      <c r="J654" s="243"/>
      <c r="K654" s="243"/>
      <c r="L654" s="243"/>
      <c r="M654" s="243"/>
      <c r="N654" s="243"/>
      <c r="O654" s="243"/>
      <c r="P654" s="243"/>
      <c r="Q654" s="243"/>
      <c r="R654" s="243"/>
      <c r="S654" s="243"/>
      <c r="T654" s="243"/>
      <c r="U654" s="243"/>
      <c r="V654" s="243"/>
      <c r="W654" s="243"/>
      <c r="X654" s="243"/>
      <c r="Y654" s="243"/>
      <c r="Z654" s="243"/>
      <c r="AA654" s="243"/>
      <c r="AB654" s="243"/>
      <c r="AC654" s="243"/>
      <c r="AD654" s="243"/>
    </row>
    <row r="655" ht="33.75" customHeight="1">
      <c r="A655" s="252"/>
      <c r="B655" s="252"/>
      <c r="C655" s="243"/>
      <c r="D655" s="252"/>
      <c r="E655" s="243"/>
      <c r="F655" s="243"/>
      <c r="G655" s="243"/>
      <c r="H655" s="243"/>
      <c r="I655" s="243"/>
      <c r="J655" s="243"/>
      <c r="K655" s="243"/>
      <c r="L655" s="243"/>
      <c r="M655" s="243"/>
      <c r="N655" s="243"/>
      <c r="O655" s="243"/>
      <c r="P655" s="243"/>
      <c r="Q655" s="243"/>
      <c r="R655" s="243"/>
      <c r="S655" s="243"/>
      <c r="T655" s="243"/>
      <c r="U655" s="243"/>
      <c r="V655" s="243"/>
      <c r="W655" s="243"/>
      <c r="X655" s="243"/>
      <c r="Y655" s="243"/>
      <c r="Z655" s="243"/>
      <c r="AA655" s="243"/>
      <c r="AB655" s="243"/>
      <c r="AC655" s="243"/>
      <c r="AD655" s="243"/>
    </row>
    <row r="656" ht="33.75" customHeight="1">
      <c r="A656" s="252"/>
      <c r="B656" s="252"/>
      <c r="C656" s="243"/>
      <c r="D656" s="252"/>
      <c r="E656" s="243"/>
      <c r="F656" s="243"/>
      <c r="G656" s="243"/>
      <c r="H656" s="243"/>
      <c r="I656" s="243"/>
      <c r="J656" s="243"/>
      <c r="K656" s="243"/>
      <c r="L656" s="243"/>
      <c r="M656" s="243"/>
      <c r="N656" s="243"/>
      <c r="O656" s="243"/>
      <c r="P656" s="243"/>
      <c r="Q656" s="243"/>
      <c r="R656" s="243"/>
      <c r="S656" s="243"/>
      <c r="T656" s="243"/>
      <c r="U656" s="243"/>
      <c r="V656" s="243"/>
      <c r="W656" s="243"/>
      <c r="X656" s="243"/>
      <c r="Y656" s="243"/>
      <c r="Z656" s="243"/>
      <c r="AA656" s="243"/>
      <c r="AB656" s="243"/>
      <c r="AC656" s="243"/>
      <c r="AD656" s="243"/>
    </row>
    <row r="657" ht="33.75" customHeight="1">
      <c r="A657" s="252"/>
      <c r="B657" s="252"/>
      <c r="C657" s="243"/>
      <c r="D657" s="252"/>
      <c r="E657" s="243"/>
      <c r="F657" s="243"/>
      <c r="G657" s="243"/>
      <c r="H657" s="243"/>
      <c r="I657" s="243"/>
      <c r="J657" s="243"/>
      <c r="K657" s="243"/>
      <c r="L657" s="243"/>
      <c r="M657" s="243"/>
      <c r="N657" s="243"/>
      <c r="O657" s="243"/>
      <c r="P657" s="243"/>
      <c r="Q657" s="243"/>
      <c r="R657" s="243"/>
      <c r="S657" s="243"/>
      <c r="T657" s="243"/>
      <c r="U657" s="243"/>
      <c r="V657" s="243"/>
      <c r="W657" s="243"/>
      <c r="X657" s="243"/>
      <c r="Y657" s="243"/>
      <c r="Z657" s="243"/>
      <c r="AA657" s="243"/>
      <c r="AB657" s="243"/>
      <c r="AC657" s="243"/>
      <c r="AD657" s="243"/>
    </row>
    <row r="658" ht="33.75" customHeight="1">
      <c r="A658" s="252"/>
      <c r="B658" s="252"/>
      <c r="C658" s="243"/>
      <c r="D658" s="252"/>
      <c r="E658" s="243"/>
      <c r="F658" s="243"/>
      <c r="G658" s="243"/>
      <c r="H658" s="243"/>
      <c r="I658" s="243"/>
      <c r="J658" s="243"/>
      <c r="K658" s="243"/>
      <c r="L658" s="243"/>
      <c r="M658" s="243"/>
      <c r="N658" s="243"/>
      <c r="O658" s="243"/>
      <c r="P658" s="243"/>
      <c r="Q658" s="243"/>
      <c r="R658" s="243"/>
      <c r="S658" s="243"/>
      <c r="T658" s="243"/>
      <c r="U658" s="243"/>
      <c r="V658" s="243"/>
      <c r="W658" s="243"/>
      <c r="X658" s="243"/>
      <c r="Y658" s="243"/>
      <c r="Z658" s="243"/>
      <c r="AA658" s="243"/>
      <c r="AB658" s="243"/>
      <c r="AC658" s="243"/>
      <c r="AD658" s="243"/>
    </row>
    <row r="659" ht="33.75" customHeight="1">
      <c r="A659" s="252"/>
      <c r="B659" s="252"/>
      <c r="C659" s="243"/>
      <c r="D659" s="252"/>
      <c r="E659" s="243"/>
      <c r="F659" s="243"/>
      <c r="G659" s="243"/>
      <c r="H659" s="243"/>
      <c r="I659" s="243"/>
      <c r="J659" s="243"/>
      <c r="K659" s="243"/>
      <c r="L659" s="243"/>
      <c r="M659" s="243"/>
      <c r="N659" s="243"/>
      <c r="O659" s="243"/>
      <c r="P659" s="243"/>
      <c r="Q659" s="243"/>
      <c r="R659" s="243"/>
      <c r="S659" s="243"/>
      <c r="T659" s="243"/>
      <c r="U659" s="243"/>
      <c r="V659" s="243"/>
      <c r="W659" s="243"/>
      <c r="X659" s="243"/>
      <c r="Y659" s="243"/>
      <c r="Z659" s="243"/>
      <c r="AA659" s="243"/>
      <c r="AB659" s="243"/>
      <c r="AC659" s="243"/>
      <c r="AD659" s="243"/>
    </row>
    <row r="660" ht="33.75" customHeight="1">
      <c r="A660" s="252"/>
      <c r="B660" s="252"/>
      <c r="C660" s="243"/>
      <c r="D660" s="252"/>
      <c r="E660" s="243"/>
      <c r="F660" s="243"/>
      <c r="G660" s="243"/>
      <c r="H660" s="243"/>
      <c r="I660" s="243"/>
      <c r="J660" s="243"/>
      <c r="K660" s="243"/>
      <c r="L660" s="243"/>
      <c r="M660" s="243"/>
      <c r="N660" s="243"/>
      <c r="O660" s="243"/>
      <c r="P660" s="243"/>
      <c r="Q660" s="243"/>
      <c r="R660" s="243"/>
      <c r="S660" s="243"/>
      <c r="T660" s="243"/>
      <c r="U660" s="243"/>
      <c r="V660" s="243"/>
      <c r="W660" s="243"/>
      <c r="X660" s="243"/>
      <c r="Y660" s="243"/>
      <c r="Z660" s="243"/>
      <c r="AA660" s="243"/>
      <c r="AB660" s="243"/>
      <c r="AC660" s="243"/>
      <c r="AD660" s="243"/>
    </row>
    <row r="661" ht="33.75" customHeight="1">
      <c r="A661" s="252"/>
      <c r="B661" s="252"/>
      <c r="C661" s="243"/>
      <c r="D661" s="252"/>
      <c r="E661" s="243"/>
      <c r="F661" s="243"/>
      <c r="G661" s="243"/>
      <c r="H661" s="243"/>
      <c r="I661" s="243"/>
      <c r="J661" s="243"/>
      <c r="K661" s="243"/>
      <c r="L661" s="243"/>
      <c r="M661" s="243"/>
      <c r="N661" s="243"/>
      <c r="O661" s="243"/>
      <c r="P661" s="243"/>
      <c r="Q661" s="243"/>
      <c r="R661" s="243"/>
      <c r="S661" s="243"/>
      <c r="T661" s="243"/>
      <c r="U661" s="243"/>
      <c r="V661" s="243"/>
      <c r="W661" s="243"/>
      <c r="X661" s="243"/>
      <c r="Y661" s="243"/>
      <c r="Z661" s="243"/>
      <c r="AA661" s="243"/>
      <c r="AB661" s="243"/>
      <c r="AC661" s="243"/>
      <c r="AD661" s="243"/>
    </row>
    <row r="662" ht="33.75" customHeight="1">
      <c r="A662" s="252"/>
      <c r="B662" s="252"/>
      <c r="C662" s="243"/>
      <c r="D662" s="252"/>
      <c r="E662" s="243"/>
      <c r="F662" s="243"/>
      <c r="G662" s="243"/>
      <c r="H662" s="243"/>
      <c r="I662" s="243"/>
      <c r="J662" s="243"/>
      <c r="K662" s="243"/>
      <c r="L662" s="243"/>
      <c r="M662" s="243"/>
      <c r="N662" s="243"/>
      <c r="O662" s="243"/>
      <c r="P662" s="243"/>
      <c r="Q662" s="243"/>
      <c r="R662" s="243"/>
      <c r="S662" s="243"/>
      <c r="T662" s="243"/>
      <c r="U662" s="243"/>
      <c r="V662" s="243"/>
      <c r="W662" s="243"/>
      <c r="X662" s="243"/>
      <c r="Y662" s="243"/>
      <c r="Z662" s="243"/>
      <c r="AA662" s="243"/>
      <c r="AB662" s="243"/>
      <c r="AC662" s="243"/>
      <c r="AD662" s="243"/>
    </row>
    <row r="663" ht="33.75" customHeight="1">
      <c r="A663" s="252"/>
      <c r="B663" s="252"/>
      <c r="C663" s="243"/>
      <c r="D663" s="252"/>
      <c r="E663" s="243"/>
      <c r="F663" s="243"/>
      <c r="G663" s="243"/>
      <c r="H663" s="243"/>
      <c r="I663" s="243"/>
      <c r="J663" s="243"/>
      <c r="K663" s="243"/>
      <c r="L663" s="243"/>
      <c r="M663" s="243"/>
      <c r="N663" s="243"/>
      <c r="O663" s="243"/>
      <c r="P663" s="243"/>
      <c r="Q663" s="243"/>
      <c r="R663" s="243"/>
      <c r="S663" s="243"/>
      <c r="T663" s="243"/>
      <c r="U663" s="243"/>
      <c r="V663" s="243"/>
      <c r="W663" s="243"/>
      <c r="X663" s="243"/>
      <c r="Y663" s="243"/>
      <c r="Z663" s="243"/>
      <c r="AA663" s="243"/>
      <c r="AB663" s="243"/>
      <c r="AC663" s="243"/>
      <c r="AD663" s="243"/>
    </row>
    <row r="664" ht="33.75" customHeight="1">
      <c r="A664" s="252"/>
      <c r="B664" s="252"/>
      <c r="C664" s="243"/>
      <c r="D664" s="252"/>
      <c r="E664" s="243"/>
      <c r="F664" s="243"/>
      <c r="G664" s="243"/>
      <c r="H664" s="243"/>
      <c r="I664" s="243"/>
      <c r="J664" s="243"/>
      <c r="K664" s="243"/>
      <c r="L664" s="243"/>
      <c r="M664" s="243"/>
      <c r="N664" s="243"/>
      <c r="O664" s="243"/>
      <c r="P664" s="243"/>
      <c r="Q664" s="243"/>
      <c r="R664" s="243"/>
      <c r="S664" s="243"/>
      <c r="T664" s="243"/>
      <c r="U664" s="243"/>
      <c r="V664" s="243"/>
      <c r="W664" s="243"/>
      <c r="X664" s="243"/>
      <c r="Y664" s="243"/>
      <c r="Z664" s="243"/>
      <c r="AA664" s="243"/>
      <c r="AB664" s="243"/>
      <c r="AC664" s="243"/>
      <c r="AD664" s="243"/>
    </row>
    <row r="665" ht="33.75" customHeight="1">
      <c r="A665" s="252"/>
      <c r="B665" s="252"/>
      <c r="C665" s="243"/>
      <c r="D665" s="252"/>
      <c r="E665" s="243"/>
      <c r="F665" s="243"/>
      <c r="G665" s="243"/>
      <c r="H665" s="243"/>
      <c r="I665" s="243"/>
      <c r="J665" s="243"/>
      <c r="K665" s="243"/>
      <c r="L665" s="243"/>
      <c r="M665" s="243"/>
      <c r="N665" s="243"/>
      <c r="O665" s="243"/>
      <c r="P665" s="243"/>
      <c r="Q665" s="243"/>
      <c r="R665" s="243"/>
      <c r="S665" s="243"/>
      <c r="T665" s="243"/>
      <c r="U665" s="243"/>
      <c r="V665" s="243"/>
      <c r="W665" s="243"/>
      <c r="X665" s="243"/>
      <c r="Y665" s="243"/>
      <c r="Z665" s="243"/>
      <c r="AA665" s="243"/>
      <c r="AB665" s="243"/>
      <c r="AC665" s="243"/>
      <c r="AD665" s="243"/>
    </row>
    <row r="666" ht="33.75" customHeight="1">
      <c r="A666" s="252"/>
      <c r="B666" s="252"/>
      <c r="C666" s="243"/>
      <c r="D666" s="252"/>
      <c r="E666" s="243"/>
      <c r="F666" s="243"/>
      <c r="G666" s="243"/>
      <c r="H666" s="243"/>
      <c r="I666" s="243"/>
      <c r="J666" s="243"/>
      <c r="K666" s="243"/>
      <c r="L666" s="243"/>
      <c r="M666" s="243"/>
      <c r="N666" s="243"/>
      <c r="O666" s="243"/>
      <c r="P666" s="243"/>
      <c r="Q666" s="243"/>
      <c r="R666" s="243"/>
      <c r="S666" s="243"/>
      <c r="T666" s="243"/>
      <c r="U666" s="243"/>
      <c r="V666" s="243"/>
      <c r="W666" s="243"/>
      <c r="X666" s="243"/>
      <c r="Y666" s="243"/>
      <c r="Z666" s="243"/>
      <c r="AA666" s="243"/>
      <c r="AB666" s="243"/>
      <c r="AC666" s="243"/>
      <c r="AD666" s="243"/>
    </row>
    <row r="667" ht="33.75" customHeight="1">
      <c r="A667" s="252"/>
      <c r="B667" s="252"/>
      <c r="C667" s="243"/>
      <c r="D667" s="252"/>
      <c r="E667" s="243"/>
      <c r="F667" s="243"/>
      <c r="G667" s="243"/>
      <c r="H667" s="243"/>
      <c r="I667" s="243"/>
      <c r="J667" s="243"/>
      <c r="K667" s="243"/>
      <c r="L667" s="243"/>
      <c r="M667" s="243"/>
      <c r="N667" s="243"/>
      <c r="O667" s="243"/>
      <c r="P667" s="243"/>
      <c r="Q667" s="243"/>
      <c r="R667" s="243"/>
      <c r="S667" s="243"/>
      <c r="T667" s="243"/>
      <c r="U667" s="243"/>
      <c r="V667" s="243"/>
      <c r="W667" s="243"/>
      <c r="X667" s="243"/>
      <c r="Y667" s="243"/>
      <c r="Z667" s="243"/>
      <c r="AA667" s="243"/>
      <c r="AB667" s="243"/>
      <c r="AC667" s="243"/>
      <c r="AD667" s="243"/>
    </row>
    <row r="668" ht="33.75" customHeight="1">
      <c r="A668" s="252"/>
      <c r="B668" s="252"/>
      <c r="C668" s="243"/>
      <c r="D668" s="252"/>
      <c r="E668" s="243"/>
      <c r="F668" s="243"/>
      <c r="G668" s="243"/>
      <c r="H668" s="243"/>
      <c r="I668" s="243"/>
      <c r="J668" s="243"/>
      <c r="K668" s="243"/>
      <c r="L668" s="243"/>
      <c r="M668" s="243"/>
      <c r="N668" s="243"/>
      <c r="O668" s="243"/>
      <c r="P668" s="243"/>
      <c r="Q668" s="243"/>
      <c r="R668" s="243"/>
      <c r="S668" s="243"/>
      <c r="T668" s="243"/>
      <c r="U668" s="243"/>
      <c r="V668" s="243"/>
      <c r="W668" s="243"/>
      <c r="X668" s="243"/>
      <c r="Y668" s="243"/>
      <c r="Z668" s="243"/>
      <c r="AA668" s="243"/>
      <c r="AB668" s="243"/>
      <c r="AC668" s="243"/>
      <c r="AD668" s="243"/>
    </row>
    <row r="669" ht="33.75" customHeight="1">
      <c r="A669" s="252"/>
      <c r="B669" s="252"/>
      <c r="C669" s="243"/>
      <c r="D669" s="252"/>
      <c r="E669" s="243"/>
      <c r="F669" s="243"/>
      <c r="G669" s="243"/>
      <c r="H669" s="243"/>
      <c r="I669" s="243"/>
      <c r="J669" s="243"/>
      <c r="K669" s="243"/>
      <c r="L669" s="243"/>
      <c r="M669" s="243"/>
      <c r="N669" s="243"/>
      <c r="O669" s="243"/>
      <c r="P669" s="243"/>
      <c r="Q669" s="243"/>
      <c r="R669" s="243"/>
      <c r="S669" s="243"/>
      <c r="T669" s="243"/>
      <c r="U669" s="243"/>
      <c r="V669" s="243"/>
      <c r="W669" s="243"/>
      <c r="X669" s="243"/>
      <c r="Y669" s="243"/>
      <c r="Z669" s="243"/>
      <c r="AA669" s="243"/>
      <c r="AB669" s="243"/>
      <c r="AC669" s="243"/>
      <c r="AD669" s="243"/>
    </row>
    <row r="670" ht="33.75" customHeight="1">
      <c r="A670" s="252"/>
      <c r="B670" s="252"/>
      <c r="C670" s="243"/>
      <c r="D670" s="252"/>
      <c r="E670" s="243"/>
      <c r="F670" s="243"/>
      <c r="G670" s="243"/>
      <c r="H670" s="243"/>
      <c r="I670" s="243"/>
      <c r="J670" s="243"/>
      <c r="K670" s="243"/>
      <c r="L670" s="243"/>
      <c r="M670" s="243"/>
      <c r="N670" s="243"/>
      <c r="O670" s="243"/>
      <c r="P670" s="243"/>
      <c r="Q670" s="243"/>
      <c r="R670" s="243"/>
      <c r="S670" s="243"/>
      <c r="T670" s="243"/>
      <c r="U670" s="243"/>
      <c r="V670" s="243"/>
      <c r="W670" s="243"/>
      <c r="X670" s="243"/>
      <c r="Y670" s="243"/>
      <c r="Z670" s="243"/>
      <c r="AA670" s="243"/>
      <c r="AB670" s="243"/>
      <c r="AC670" s="243"/>
      <c r="AD670" s="243"/>
    </row>
    <row r="671" ht="33.75" customHeight="1">
      <c r="A671" s="252"/>
      <c r="B671" s="252"/>
      <c r="C671" s="243"/>
      <c r="D671" s="252"/>
      <c r="E671" s="243"/>
      <c r="F671" s="243"/>
      <c r="G671" s="243"/>
      <c r="H671" s="243"/>
      <c r="I671" s="243"/>
      <c r="J671" s="243"/>
      <c r="K671" s="243"/>
      <c r="L671" s="243"/>
      <c r="M671" s="243"/>
      <c r="N671" s="243"/>
      <c r="O671" s="243"/>
      <c r="P671" s="243"/>
      <c r="Q671" s="243"/>
      <c r="R671" s="243"/>
      <c r="S671" s="243"/>
      <c r="T671" s="243"/>
      <c r="U671" s="243"/>
      <c r="V671" s="243"/>
      <c r="W671" s="243"/>
      <c r="X671" s="243"/>
      <c r="Y671" s="243"/>
      <c r="Z671" s="243"/>
      <c r="AA671" s="243"/>
      <c r="AB671" s="243"/>
      <c r="AC671" s="243"/>
      <c r="AD671" s="243"/>
    </row>
    <row r="672" ht="33.75" customHeight="1">
      <c r="A672" s="252"/>
      <c r="B672" s="252"/>
      <c r="C672" s="243"/>
      <c r="D672" s="252"/>
      <c r="E672" s="243"/>
      <c r="F672" s="243"/>
      <c r="G672" s="243"/>
      <c r="H672" s="243"/>
      <c r="I672" s="243"/>
      <c r="J672" s="243"/>
      <c r="K672" s="243"/>
      <c r="L672" s="243"/>
      <c r="M672" s="243"/>
      <c r="N672" s="243"/>
      <c r="O672" s="243"/>
      <c r="P672" s="243"/>
      <c r="Q672" s="243"/>
      <c r="R672" s="243"/>
      <c r="S672" s="243"/>
      <c r="T672" s="243"/>
      <c r="U672" s="243"/>
      <c r="V672" s="243"/>
      <c r="W672" s="243"/>
      <c r="X672" s="243"/>
      <c r="Y672" s="243"/>
      <c r="Z672" s="243"/>
      <c r="AA672" s="243"/>
      <c r="AB672" s="243"/>
      <c r="AC672" s="243"/>
      <c r="AD672" s="243"/>
    </row>
    <row r="673" ht="33.75" customHeight="1">
      <c r="A673" s="252"/>
      <c r="B673" s="252"/>
      <c r="C673" s="243"/>
      <c r="D673" s="252"/>
      <c r="E673" s="243"/>
      <c r="F673" s="243"/>
      <c r="G673" s="243"/>
      <c r="H673" s="243"/>
      <c r="I673" s="243"/>
      <c r="J673" s="243"/>
      <c r="K673" s="243"/>
      <c r="L673" s="243"/>
      <c r="M673" s="243"/>
      <c r="N673" s="243"/>
      <c r="O673" s="243"/>
      <c r="P673" s="243"/>
      <c r="Q673" s="243"/>
      <c r="R673" s="243"/>
      <c r="S673" s="243"/>
      <c r="T673" s="243"/>
      <c r="U673" s="243"/>
      <c r="V673" s="243"/>
      <c r="W673" s="243"/>
      <c r="X673" s="243"/>
      <c r="Y673" s="243"/>
      <c r="Z673" s="243"/>
      <c r="AA673" s="243"/>
      <c r="AB673" s="243"/>
      <c r="AC673" s="243"/>
      <c r="AD673" s="243"/>
    </row>
    <row r="674" ht="33.75" customHeight="1">
      <c r="A674" s="252"/>
      <c r="B674" s="252"/>
      <c r="C674" s="243"/>
      <c r="D674" s="252"/>
      <c r="E674" s="243"/>
      <c r="F674" s="243"/>
      <c r="G674" s="243"/>
      <c r="H674" s="243"/>
      <c r="I674" s="243"/>
      <c r="J674" s="243"/>
      <c r="K674" s="243"/>
      <c r="L674" s="243"/>
      <c r="M674" s="243"/>
      <c r="N674" s="243"/>
      <c r="O674" s="243"/>
      <c r="P674" s="243"/>
      <c r="Q674" s="243"/>
      <c r="R674" s="243"/>
      <c r="S674" s="243"/>
      <c r="T674" s="243"/>
      <c r="U674" s="243"/>
      <c r="V674" s="243"/>
      <c r="W674" s="243"/>
      <c r="X674" s="243"/>
      <c r="Y674" s="243"/>
      <c r="Z674" s="243"/>
      <c r="AA674" s="243"/>
      <c r="AB674" s="243"/>
      <c r="AC674" s="243"/>
      <c r="AD674" s="243"/>
    </row>
    <row r="675" ht="33.75" customHeight="1">
      <c r="A675" s="252"/>
      <c r="B675" s="252"/>
      <c r="C675" s="243"/>
      <c r="D675" s="252"/>
      <c r="E675" s="243"/>
      <c r="F675" s="243"/>
      <c r="G675" s="243"/>
      <c r="H675" s="243"/>
      <c r="I675" s="243"/>
      <c r="J675" s="243"/>
      <c r="K675" s="243"/>
      <c r="L675" s="243"/>
      <c r="M675" s="243"/>
      <c r="N675" s="243"/>
      <c r="O675" s="243"/>
      <c r="P675" s="243"/>
      <c r="Q675" s="243"/>
      <c r="R675" s="243"/>
      <c r="S675" s="243"/>
      <c r="T675" s="243"/>
      <c r="U675" s="243"/>
      <c r="V675" s="243"/>
      <c r="W675" s="243"/>
      <c r="X675" s="243"/>
      <c r="Y675" s="243"/>
      <c r="Z675" s="243"/>
      <c r="AA675" s="243"/>
      <c r="AB675" s="243"/>
      <c r="AC675" s="243"/>
      <c r="AD675" s="243"/>
    </row>
    <row r="676" ht="33.75" customHeight="1">
      <c r="A676" s="252"/>
      <c r="B676" s="252"/>
      <c r="C676" s="243"/>
      <c r="D676" s="252"/>
      <c r="E676" s="243"/>
      <c r="F676" s="243"/>
      <c r="G676" s="243"/>
      <c r="H676" s="243"/>
      <c r="I676" s="243"/>
      <c r="J676" s="243"/>
      <c r="K676" s="243"/>
      <c r="L676" s="243"/>
      <c r="M676" s="243"/>
      <c r="N676" s="243"/>
      <c r="O676" s="243"/>
      <c r="P676" s="243"/>
      <c r="Q676" s="243"/>
      <c r="R676" s="243"/>
      <c r="S676" s="243"/>
      <c r="T676" s="243"/>
      <c r="U676" s="243"/>
      <c r="V676" s="243"/>
      <c r="W676" s="243"/>
      <c r="X676" s="243"/>
      <c r="Y676" s="243"/>
      <c r="Z676" s="243"/>
      <c r="AA676" s="243"/>
      <c r="AB676" s="243"/>
      <c r="AC676" s="243"/>
      <c r="AD676" s="243"/>
    </row>
    <row r="677" ht="33.75" customHeight="1">
      <c r="A677" s="252"/>
      <c r="B677" s="252"/>
      <c r="C677" s="243"/>
      <c r="D677" s="252"/>
      <c r="E677" s="243"/>
      <c r="F677" s="243"/>
      <c r="G677" s="243"/>
      <c r="H677" s="243"/>
      <c r="I677" s="243"/>
      <c r="J677" s="243"/>
      <c r="K677" s="243"/>
      <c r="L677" s="243"/>
      <c r="M677" s="243"/>
      <c r="N677" s="243"/>
      <c r="O677" s="243"/>
      <c r="P677" s="243"/>
      <c r="Q677" s="243"/>
      <c r="R677" s="243"/>
      <c r="S677" s="243"/>
      <c r="T677" s="243"/>
      <c r="U677" s="243"/>
      <c r="V677" s="243"/>
      <c r="W677" s="243"/>
      <c r="X677" s="243"/>
      <c r="Y677" s="243"/>
      <c r="Z677" s="243"/>
      <c r="AA677" s="243"/>
      <c r="AB677" s="243"/>
      <c r="AC677" s="243"/>
      <c r="AD677" s="243"/>
    </row>
    <row r="678" ht="33.75" customHeight="1">
      <c r="A678" s="252"/>
      <c r="B678" s="252"/>
      <c r="C678" s="243"/>
      <c r="D678" s="252"/>
      <c r="E678" s="243"/>
      <c r="F678" s="243"/>
      <c r="G678" s="243"/>
      <c r="H678" s="243"/>
      <c r="I678" s="243"/>
      <c r="J678" s="243"/>
      <c r="K678" s="243"/>
      <c r="L678" s="243"/>
      <c r="M678" s="243"/>
      <c r="N678" s="243"/>
      <c r="O678" s="243"/>
      <c r="P678" s="243"/>
      <c r="Q678" s="243"/>
      <c r="R678" s="243"/>
      <c r="S678" s="243"/>
      <c r="T678" s="243"/>
      <c r="U678" s="243"/>
      <c r="V678" s="243"/>
      <c r="W678" s="243"/>
      <c r="X678" s="243"/>
      <c r="Y678" s="243"/>
      <c r="Z678" s="243"/>
      <c r="AA678" s="243"/>
      <c r="AB678" s="243"/>
      <c r="AC678" s="243"/>
      <c r="AD678" s="243"/>
    </row>
    <row r="679" ht="33.75" customHeight="1">
      <c r="A679" s="252"/>
      <c r="B679" s="252"/>
      <c r="C679" s="243"/>
      <c r="D679" s="252"/>
      <c r="E679" s="243"/>
      <c r="F679" s="243"/>
      <c r="G679" s="243"/>
      <c r="H679" s="243"/>
      <c r="I679" s="243"/>
      <c r="J679" s="243"/>
      <c r="K679" s="243"/>
      <c r="L679" s="243"/>
      <c r="M679" s="243"/>
      <c r="N679" s="243"/>
      <c r="O679" s="243"/>
      <c r="P679" s="243"/>
      <c r="Q679" s="243"/>
      <c r="R679" s="243"/>
      <c r="S679" s="243"/>
      <c r="T679" s="243"/>
      <c r="U679" s="243"/>
      <c r="V679" s="243"/>
      <c r="W679" s="243"/>
      <c r="X679" s="243"/>
      <c r="Y679" s="243"/>
      <c r="Z679" s="243"/>
      <c r="AA679" s="243"/>
      <c r="AB679" s="243"/>
      <c r="AC679" s="243"/>
      <c r="AD679" s="243"/>
    </row>
    <row r="680" ht="33.75" customHeight="1">
      <c r="A680" s="252"/>
      <c r="B680" s="252"/>
      <c r="C680" s="243"/>
      <c r="D680" s="252"/>
      <c r="E680" s="243"/>
      <c r="F680" s="243"/>
      <c r="G680" s="243"/>
      <c r="H680" s="243"/>
      <c r="I680" s="243"/>
      <c r="J680" s="243"/>
      <c r="K680" s="243"/>
      <c r="L680" s="243"/>
      <c r="M680" s="243"/>
      <c r="N680" s="243"/>
      <c r="O680" s="243"/>
      <c r="P680" s="243"/>
      <c r="Q680" s="243"/>
      <c r="R680" s="243"/>
      <c r="S680" s="243"/>
      <c r="T680" s="243"/>
      <c r="U680" s="243"/>
      <c r="V680" s="243"/>
      <c r="W680" s="243"/>
      <c r="X680" s="243"/>
      <c r="Y680" s="243"/>
      <c r="Z680" s="243"/>
      <c r="AA680" s="243"/>
      <c r="AB680" s="243"/>
      <c r="AC680" s="243"/>
      <c r="AD680" s="243"/>
    </row>
    <row r="681" ht="33.75" customHeight="1">
      <c r="A681" s="252"/>
      <c r="B681" s="252"/>
      <c r="C681" s="243"/>
      <c r="D681" s="252"/>
      <c r="E681" s="243"/>
      <c r="F681" s="243"/>
      <c r="G681" s="243"/>
      <c r="H681" s="243"/>
      <c r="I681" s="243"/>
      <c r="J681" s="243"/>
      <c r="K681" s="243"/>
      <c r="L681" s="243"/>
      <c r="M681" s="243"/>
      <c r="N681" s="243"/>
      <c r="O681" s="243"/>
      <c r="P681" s="243"/>
      <c r="Q681" s="243"/>
      <c r="R681" s="243"/>
      <c r="S681" s="243"/>
      <c r="T681" s="243"/>
      <c r="U681" s="243"/>
      <c r="V681" s="243"/>
      <c r="W681" s="243"/>
      <c r="X681" s="243"/>
      <c r="Y681" s="243"/>
      <c r="Z681" s="243"/>
      <c r="AA681" s="243"/>
      <c r="AB681" s="243"/>
      <c r="AC681" s="243"/>
      <c r="AD681" s="243"/>
    </row>
    <row r="682" ht="33.75" customHeight="1">
      <c r="A682" s="252"/>
      <c r="B682" s="252"/>
      <c r="C682" s="243"/>
      <c r="D682" s="252"/>
      <c r="E682" s="243"/>
      <c r="F682" s="243"/>
      <c r="G682" s="243"/>
      <c r="H682" s="243"/>
      <c r="I682" s="243"/>
      <c r="J682" s="243"/>
      <c r="K682" s="243"/>
      <c r="L682" s="243"/>
      <c r="M682" s="243"/>
      <c r="N682" s="243"/>
      <c r="O682" s="243"/>
      <c r="P682" s="243"/>
      <c r="Q682" s="243"/>
      <c r="R682" s="243"/>
      <c r="S682" s="243"/>
      <c r="T682" s="243"/>
      <c r="U682" s="243"/>
      <c r="V682" s="243"/>
      <c r="W682" s="243"/>
      <c r="X682" s="243"/>
      <c r="Y682" s="243"/>
      <c r="Z682" s="243"/>
      <c r="AA682" s="243"/>
      <c r="AB682" s="243"/>
      <c r="AC682" s="243"/>
      <c r="AD682" s="243"/>
    </row>
    <row r="683" ht="33.75" customHeight="1">
      <c r="A683" s="252"/>
      <c r="B683" s="252"/>
      <c r="C683" s="243"/>
      <c r="D683" s="252"/>
      <c r="E683" s="243"/>
      <c r="F683" s="243"/>
      <c r="G683" s="243"/>
      <c r="H683" s="243"/>
      <c r="I683" s="243"/>
      <c r="J683" s="243"/>
      <c r="K683" s="243"/>
      <c r="L683" s="243"/>
      <c r="M683" s="243"/>
      <c r="N683" s="243"/>
      <c r="O683" s="243"/>
      <c r="P683" s="243"/>
      <c r="Q683" s="243"/>
      <c r="R683" s="243"/>
      <c r="S683" s="243"/>
      <c r="T683" s="243"/>
      <c r="U683" s="243"/>
      <c r="V683" s="243"/>
      <c r="W683" s="243"/>
      <c r="X683" s="243"/>
      <c r="Y683" s="243"/>
      <c r="Z683" s="243"/>
      <c r="AA683" s="243"/>
      <c r="AB683" s="243"/>
      <c r="AC683" s="243"/>
      <c r="AD683" s="243"/>
    </row>
    <row r="684" ht="33.75" customHeight="1">
      <c r="A684" s="252"/>
      <c r="B684" s="252"/>
      <c r="C684" s="243"/>
      <c r="D684" s="252"/>
      <c r="E684" s="243"/>
      <c r="F684" s="243"/>
      <c r="G684" s="243"/>
      <c r="H684" s="243"/>
      <c r="I684" s="243"/>
      <c r="J684" s="243"/>
      <c r="K684" s="243"/>
      <c r="L684" s="243"/>
      <c r="M684" s="243"/>
      <c r="N684" s="243"/>
      <c r="O684" s="243"/>
      <c r="P684" s="243"/>
      <c r="Q684" s="243"/>
      <c r="R684" s="243"/>
      <c r="S684" s="243"/>
      <c r="T684" s="243"/>
      <c r="U684" s="243"/>
      <c r="V684" s="243"/>
      <c r="W684" s="243"/>
      <c r="X684" s="243"/>
      <c r="Y684" s="243"/>
      <c r="Z684" s="243"/>
      <c r="AA684" s="243"/>
      <c r="AB684" s="243"/>
      <c r="AC684" s="243"/>
      <c r="AD684" s="243"/>
    </row>
    <row r="685" ht="33.75" customHeight="1">
      <c r="A685" s="252"/>
      <c r="B685" s="252"/>
      <c r="C685" s="243"/>
      <c r="D685" s="252"/>
      <c r="E685" s="243"/>
      <c r="F685" s="243"/>
      <c r="G685" s="243"/>
      <c r="H685" s="243"/>
      <c r="I685" s="243"/>
      <c r="J685" s="243"/>
      <c r="K685" s="243"/>
      <c r="L685" s="243"/>
      <c r="M685" s="243"/>
      <c r="N685" s="243"/>
      <c r="O685" s="243"/>
      <c r="P685" s="243"/>
      <c r="Q685" s="243"/>
      <c r="R685" s="243"/>
      <c r="S685" s="243"/>
      <c r="T685" s="243"/>
      <c r="U685" s="243"/>
      <c r="V685" s="243"/>
      <c r="W685" s="243"/>
      <c r="X685" s="243"/>
      <c r="Y685" s="243"/>
      <c r="Z685" s="243"/>
      <c r="AA685" s="243"/>
      <c r="AB685" s="243"/>
      <c r="AC685" s="243"/>
      <c r="AD685" s="243"/>
    </row>
    <row r="686" ht="33.75" customHeight="1">
      <c r="A686" s="252"/>
      <c r="B686" s="252"/>
      <c r="C686" s="243"/>
      <c r="D686" s="252"/>
      <c r="E686" s="243"/>
      <c r="F686" s="243"/>
      <c r="G686" s="243"/>
      <c r="H686" s="243"/>
      <c r="I686" s="243"/>
      <c r="J686" s="243"/>
      <c r="K686" s="243"/>
      <c r="L686" s="243"/>
      <c r="M686" s="243"/>
      <c r="N686" s="243"/>
      <c r="O686" s="243"/>
      <c r="P686" s="243"/>
      <c r="Q686" s="243"/>
      <c r="R686" s="243"/>
      <c r="S686" s="243"/>
      <c r="T686" s="243"/>
      <c r="U686" s="243"/>
      <c r="V686" s="243"/>
      <c r="W686" s="243"/>
      <c r="X686" s="243"/>
      <c r="Y686" s="243"/>
      <c r="Z686" s="243"/>
      <c r="AA686" s="243"/>
      <c r="AB686" s="243"/>
      <c r="AC686" s="243"/>
      <c r="AD686" s="243"/>
    </row>
    <row r="687" ht="33.75" customHeight="1">
      <c r="A687" s="252"/>
      <c r="B687" s="252"/>
      <c r="C687" s="243"/>
      <c r="D687" s="252"/>
      <c r="E687" s="243"/>
      <c r="F687" s="243"/>
      <c r="G687" s="243"/>
      <c r="H687" s="243"/>
      <c r="I687" s="243"/>
      <c r="J687" s="243"/>
      <c r="K687" s="243"/>
      <c r="L687" s="243"/>
      <c r="M687" s="243"/>
      <c r="N687" s="243"/>
      <c r="O687" s="243"/>
      <c r="P687" s="243"/>
      <c r="Q687" s="243"/>
      <c r="R687" s="243"/>
      <c r="S687" s="243"/>
      <c r="T687" s="243"/>
      <c r="U687" s="243"/>
      <c r="V687" s="243"/>
      <c r="W687" s="243"/>
      <c r="X687" s="243"/>
      <c r="Y687" s="243"/>
      <c r="Z687" s="243"/>
      <c r="AA687" s="243"/>
      <c r="AB687" s="243"/>
      <c r="AC687" s="243"/>
      <c r="AD687" s="243"/>
    </row>
    <row r="688" ht="33.75" customHeight="1">
      <c r="A688" s="252"/>
      <c r="B688" s="252"/>
      <c r="C688" s="243"/>
      <c r="D688" s="252"/>
      <c r="E688" s="243"/>
      <c r="F688" s="243"/>
      <c r="G688" s="243"/>
      <c r="H688" s="243"/>
      <c r="I688" s="243"/>
      <c r="J688" s="243"/>
      <c r="K688" s="243"/>
      <c r="L688" s="243"/>
      <c r="M688" s="243"/>
      <c r="N688" s="243"/>
      <c r="O688" s="243"/>
      <c r="P688" s="243"/>
      <c r="Q688" s="243"/>
      <c r="R688" s="243"/>
      <c r="S688" s="243"/>
      <c r="T688" s="243"/>
      <c r="U688" s="243"/>
      <c r="V688" s="243"/>
      <c r="W688" s="243"/>
      <c r="X688" s="243"/>
      <c r="Y688" s="243"/>
      <c r="Z688" s="243"/>
      <c r="AA688" s="243"/>
      <c r="AB688" s="243"/>
      <c r="AC688" s="243"/>
      <c r="AD688" s="243"/>
    </row>
    <row r="689" ht="33.75" customHeight="1">
      <c r="A689" s="252"/>
      <c r="B689" s="252"/>
      <c r="C689" s="243"/>
      <c r="D689" s="252"/>
      <c r="E689" s="243"/>
      <c r="F689" s="243"/>
      <c r="G689" s="243"/>
      <c r="H689" s="243"/>
      <c r="I689" s="243"/>
      <c r="J689" s="243"/>
      <c r="K689" s="243"/>
      <c r="L689" s="243"/>
      <c r="M689" s="243"/>
      <c r="N689" s="243"/>
      <c r="O689" s="243"/>
      <c r="P689" s="243"/>
      <c r="Q689" s="243"/>
      <c r="R689" s="243"/>
      <c r="S689" s="243"/>
      <c r="T689" s="243"/>
      <c r="U689" s="243"/>
      <c r="V689" s="243"/>
      <c r="W689" s="243"/>
      <c r="X689" s="243"/>
      <c r="Y689" s="243"/>
      <c r="Z689" s="243"/>
      <c r="AA689" s="243"/>
      <c r="AB689" s="243"/>
      <c r="AC689" s="243"/>
      <c r="AD689" s="243"/>
    </row>
    <row r="690" ht="33.75" customHeight="1">
      <c r="A690" s="252"/>
      <c r="B690" s="252"/>
      <c r="C690" s="243"/>
      <c r="D690" s="252"/>
      <c r="E690" s="243"/>
      <c r="F690" s="243"/>
      <c r="G690" s="243"/>
      <c r="H690" s="243"/>
      <c r="I690" s="243"/>
      <c r="J690" s="243"/>
      <c r="K690" s="243"/>
      <c r="L690" s="243"/>
      <c r="M690" s="243"/>
      <c r="N690" s="243"/>
      <c r="O690" s="243"/>
      <c r="P690" s="243"/>
      <c r="Q690" s="243"/>
      <c r="R690" s="243"/>
      <c r="S690" s="243"/>
      <c r="T690" s="243"/>
      <c r="U690" s="243"/>
      <c r="V690" s="243"/>
      <c r="W690" s="243"/>
      <c r="X690" s="243"/>
      <c r="Y690" s="243"/>
      <c r="Z690" s="243"/>
      <c r="AA690" s="243"/>
      <c r="AB690" s="243"/>
      <c r="AC690" s="243"/>
      <c r="AD690" s="243"/>
    </row>
    <row r="691" ht="33.75" customHeight="1">
      <c r="A691" s="252"/>
      <c r="B691" s="252"/>
      <c r="C691" s="243"/>
      <c r="D691" s="252"/>
      <c r="E691" s="243"/>
      <c r="F691" s="243"/>
      <c r="G691" s="243"/>
      <c r="H691" s="243"/>
      <c r="I691" s="243"/>
      <c r="J691" s="243"/>
      <c r="K691" s="243"/>
      <c r="L691" s="243"/>
      <c r="M691" s="243"/>
      <c r="N691" s="243"/>
      <c r="O691" s="243"/>
      <c r="P691" s="243"/>
      <c r="Q691" s="243"/>
      <c r="R691" s="243"/>
      <c r="S691" s="243"/>
      <c r="T691" s="243"/>
      <c r="U691" s="243"/>
      <c r="V691" s="243"/>
      <c r="W691" s="243"/>
      <c r="X691" s="243"/>
      <c r="Y691" s="243"/>
      <c r="Z691" s="243"/>
      <c r="AA691" s="243"/>
      <c r="AB691" s="243"/>
      <c r="AC691" s="243"/>
      <c r="AD691" s="243"/>
    </row>
    <row r="692" ht="33.75" customHeight="1">
      <c r="A692" s="252"/>
      <c r="B692" s="252"/>
      <c r="C692" s="243"/>
      <c r="D692" s="252"/>
      <c r="E692" s="243"/>
      <c r="F692" s="243"/>
      <c r="G692" s="243"/>
      <c r="H692" s="243"/>
      <c r="I692" s="243"/>
      <c r="J692" s="243"/>
      <c r="K692" s="243"/>
      <c r="L692" s="243"/>
      <c r="M692" s="243"/>
      <c r="N692" s="243"/>
      <c r="O692" s="243"/>
      <c r="P692" s="243"/>
      <c r="Q692" s="243"/>
      <c r="R692" s="243"/>
      <c r="S692" s="243"/>
      <c r="T692" s="243"/>
      <c r="U692" s="243"/>
      <c r="V692" s="243"/>
      <c r="W692" s="243"/>
      <c r="X692" s="243"/>
      <c r="Y692" s="243"/>
      <c r="Z692" s="243"/>
      <c r="AA692" s="243"/>
      <c r="AB692" s="243"/>
      <c r="AC692" s="243"/>
      <c r="AD692" s="243"/>
    </row>
    <row r="693" ht="33.75" customHeight="1">
      <c r="A693" s="252"/>
      <c r="B693" s="252"/>
      <c r="C693" s="243"/>
      <c r="D693" s="252"/>
      <c r="E693" s="243"/>
      <c r="F693" s="243"/>
      <c r="G693" s="243"/>
      <c r="H693" s="243"/>
      <c r="I693" s="243"/>
      <c r="J693" s="243"/>
      <c r="K693" s="243"/>
      <c r="L693" s="243"/>
      <c r="M693" s="243"/>
      <c r="N693" s="243"/>
      <c r="O693" s="243"/>
      <c r="P693" s="243"/>
      <c r="Q693" s="243"/>
      <c r="R693" s="243"/>
      <c r="S693" s="243"/>
      <c r="T693" s="243"/>
      <c r="U693" s="243"/>
      <c r="V693" s="243"/>
      <c r="W693" s="243"/>
      <c r="X693" s="243"/>
      <c r="Y693" s="243"/>
      <c r="Z693" s="243"/>
      <c r="AA693" s="243"/>
      <c r="AB693" s="243"/>
      <c r="AC693" s="243"/>
      <c r="AD693" s="243"/>
    </row>
    <row r="694" ht="33.75" customHeight="1">
      <c r="A694" s="252"/>
      <c r="B694" s="252"/>
      <c r="C694" s="243"/>
      <c r="D694" s="252"/>
      <c r="E694" s="243"/>
      <c r="F694" s="243"/>
      <c r="G694" s="243"/>
      <c r="H694" s="243"/>
      <c r="I694" s="243"/>
      <c r="J694" s="243"/>
      <c r="K694" s="243"/>
      <c r="L694" s="243"/>
      <c r="M694" s="243"/>
      <c r="N694" s="243"/>
      <c r="O694" s="243"/>
      <c r="P694" s="243"/>
      <c r="Q694" s="243"/>
      <c r="R694" s="243"/>
      <c r="S694" s="243"/>
      <c r="T694" s="243"/>
      <c r="U694" s="243"/>
      <c r="V694" s="243"/>
      <c r="W694" s="243"/>
      <c r="X694" s="243"/>
      <c r="Y694" s="243"/>
      <c r="Z694" s="243"/>
      <c r="AA694" s="243"/>
      <c r="AB694" s="243"/>
      <c r="AC694" s="243"/>
      <c r="AD694" s="243"/>
    </row>
    <row r="695" ht="33.75" customHeight="1">
      <c r="A695" s="252"/>
      <c r="B695" s="252"/>
      <c r="C695" s="243"/>
      <c r="D695" s="252"/>
      <c r="E695" s="243"/>
      <c r="F695" s="243"/>
      <c r="G695" s="243"/>
      <c r="H695" s="243"/>
      <c r="I695" s="243"/>
      <c r="J695" s="243"/>
      <c r="K695" s="243"/>
      <c r="L695" s="243"/>
      <c r="M695" s="243"/>
      <c r="N695" s="243"/>
      <c r="O695" s="243"/>
      <c r="P695" s="243"/>
      <c r="Q695" s="243"/>
      <c r="R695" s="243"/>
      <c r="S695" s="243"/>
      <c r="T695" s="243"/>
      <c r="U695" s="243"/>
      <c r="V695" s="243"/>
      <c r="W695" s="243"/>
      <c r="X695" s="243"/>
      <c r="Y695" s="243"/>
      <c r="Z695" s="243"/>
      <c r="AA695" s="243"/>
      <c r="AB695" s="243"/>
      <c r="AC695" s="243"/>
      <c r="AD695" s="243"/>
    </row>
    <row r="696" ht="33.75" customHeight="1">
      <c r="A696" s="252"/>
      <c r="B696" s="252"/>
      <c r="C696" s="243"/>
      <c r="D696" s="252"/>
      <c r="E696" s="243"/>
      <c r="F696" s="243"/>
      <c r="G696" s="243"/>
      <c r="H696" s="243"/>
      <c r="I696" s="243"/>
      <c r="J696" s="243"/>
      <c r="K696" s="243"/>
      <c r="L696" s="243"/>
      <c r="M696" s="243"/>
      <c r="N696" s="243"/>
      <c r="O696" s="243"/>
      <c r="P696" s="243"/>
      <c r="Q696" s="243"/>
      <c r="R696" s="243"/>
      <c r="S696" s="243"/>
      <c r="T696" s="243"/>
      <c r="U696" s="243"/>
      <c r="V696" s="243"/>
      <c r="W696" s="243"/>
      <c r="X696" s="243"/>
      <c r="Y696" s="243"/>
      <c r="Z696" s="243"/>
      <c r="AA696" s="243"/>
      <c r="AB696" s="243"/>
      <c r="AC696" s="243"/>
      <c r="AD696" s="243"/>
    </row>
    <row r="697" ht="33.75" customHeight="1">
      <c r="A697" s="252"/>
      <c r="B697" s="252"/>
      <c r="C697" s="243"/>
      <c r="D697" s="252"/>
      <c r="E697" s="243"/>
      <c r="F697" s="243"/>
      <c r="G697" s="243"/>
      <c r="H697" s="243"/>
      <c r="I697" s="243"/>
      <c r="J697" s="243"/>
      <c r="K697" s="243"/>
      <c r="L697" s="243"/>
      <c r="M697" s="243"/>
      <c r="N697" s="243"/>
      <c r="O697" s="243"/>
      <c r="P697" s="243"/>
      <c r="Q697" s="243"/>
      <c r="R697" s="243"/>
      <c r="S697" s="243"/>
      <c r="T697" s="243"/>
      <c r="U697" s="243"/>
      <c r="V697" s="243"/>
      <c r="W697" s="243"/>
      <c r="X697" s="243"/>
      <c r="Y697" s="243"/>
      <c r="Z697" s="243"/>
      <c r="AA697" s="243"/>
      <c r="AB697" s="243"/>
      <c r="AC697" s="243"/>
      <c r="AD697" s="243"/>
    </row>
    <row r="698" ht="33.75" customHeight="1">
      <c r="A698" s="252"/>
      <c r="B698" s="252"/>
      <c r="C698" s="243"/>
      <c r="D698" s="252"/>
      <c r="E698" s="243"/>
      <c r="F698" s="243"/>
      <c r="G698" s="243"/>
      <c r="H698" s="243"/>
      <c r="I698" s="243"/>
      <c r="J698" s="243"/>
      <c r="K698" s="243"/>
      <c r="L698" s="243"/>
      <c r="M698" s="243"/>
      <c r="N698" s="243"/>
      <c r="O698" s="243"/>
      <c r="P698" s="243"/>
      <c r="Q698" s="243"/>
      <c r="R698" s="243"/>
      <c r="S698" s="243"/>
      <c r="T698" s="243"/>
      <c r="U698" s="243"/>
      <c r="V698" s="243"/>
      <c r="W698" s="243"/>
      <c r="X698" s="243"/>
      <c r="Y698" s="243"/>
      <c r="Z698" s="243"/>
      <c r="AA698" s="243"/>
      <c r="AB698" s="243"/>
      <c r="AC698" s="243"/>
      <c r="AD698" s="243"/>
    </row>
    <row r="699" ht="33.75" customHeight="1">
      <c r="A699" s="252"/>
      <c r="B699" s="252"/>
      <c r="C699" s="243"/>
      <c r="D699" s="252"/>
      <c r="E699" s="243"/>
      <c r="F699" s="243"/>
      <c r="G699" s="243"/>
      <c r="H699" s="243"/>
      <c r="I699" s="243"/>
      <c r="J699" s="243"/>
      <c r="K699" s="243"/>
      <c r="L699" s="243"/>
      <c r="M699" s="243"/>
      <c r="N699" s="243"/>
      <c r="O699" s="243"/>
      <c r="P699" s="243"/>
      <c r="Q699" s="243"/>
      <c r="R699" s="243"/>
      <c r="S699" s="243"/>
      <c r="T699" s="243"/>
      <c r="U699" s="243"/>
      <c r="V699" s="243"/>
      <c r="W699" s="243"/>
      <c r="X699" s="243"/>
      <c r="Y699" s="243"/>
      <c r="Z699" s="243"/>
      <c r="AA699" s="243"/>
      <c r="AB699" s="243"/>
      <c r="AC699" s="243"/>
      <c r="AD699" s="243"/>
    </row>
    <row r="700" ht="33.75" customHeight="1">
      <c r="A700" s="252"/>
      <c r="B700" s="252"/>
      <c r="C700" s="243"/>
      <c r="D700" s="252"/>
      <c r="E700" s="243"/>
      <c r="F700" s="243"/>
      <c r="G700" s="243"/>
      <c r="H700" s="243"/>
      <c r="I700" s="243"/>
      <c r="J700" s="243"/>
      <c r="K700" s="243"/>
      <c r="L700" s="243"/>
      <c r="M700" s="243"/>
      <c r="N700" s="243"/>
      <c r="O700" s="243"/>
      <c r="P700" s="243"/>
      <c r="Q700" s="243"/>
      <c r="R700" s="243"/>
      <c r="S700" s="243"/>
      <c r="T700" s="243"/>
      <c r="U700" s="243"/>
      <c r="V700" s="243"/>
      <c r="W700" s="243"/>
      <c r="X700" s="243"/>
      <c r="Y700" s="243"/>
      <c r="Z700" s="243"/>
      <c r="AA700" s="243"/>
      <c r="AB700" s="243"/>
      <c r="AC700" s="243"/>
      <c r="AD700" s="243"/>
    </row>
    <row r="701" ht="33.75" customHeight="1">
      <c r="A701" s="252"/>
      <c r="B701" s="252"/>
      <c r="C701" s="243"/>
      <c r="D701" s="252"/>
      <c r="E701" s="243"/>
      <c r="F701" s="243"/>
      <c r="G701" s="243"/>
      <c r="H701" s="243"/>
      <c r="I701" s="243"/>
      <c r="J701" s="243"/>
      <c r="K701" s="243"/>
      <c r="L701" s="243"/>
      <c r="M701" s="243"/>
      <c r="N701" s="243"/>
      <c r="O701" s="243"/>
      <c r="P701" s="243"/>
      <c r="Q701" s="243"/>
      <c r="R701" s="243"/>
      <c r="S701" s="243"/>
      <c r="T701" s="243"/>
      <c r="U701" s="243"/>
      <c r="V701" s="243"/>
      <c r="W701" s="243"/>
      <c r="X701" s="243"/>
      <c r="Y701" s="243"/>
      <c r="Z701" s="243"/>
      <c r="AA701" s="243"/>
      <c r="AB701" s="243"/>
      <c r="AC701" s="243"/>
      <c r="AD701" s="243"/>
    </row>
    <row r="702" ht="33.75" customHeight="1">
      <c r="A702" s="252"/>
      <c r="B702" s="252"/>
      <c r="C702" s="243"/>
      <c r="D702" s="252"/>
      <c r="E702" s="243"/>
      <c r="F702" s="243"/>
      <c r="G702" s="243"/>
      <c r="H702" s="243"/>
      <c r="I702" s="243"/>
      <c r="J702" s="243"/>
      <c r="K702" s="243"/>
      <c r="L702" s="243"/>
      <c r="M702" s="243"/>
      <c r="N702" s="243"/>
      <c r="O702" s="243"/>
      <c r="P702" s="243"/>
      <c r="Q702" s="243"/>
      <c r="R702" s="243"/>
      <c r="S702" s="243"/>
      <c r="T702" s="243"/>
      <c r="U702" s="243"/>
      <c r="V702" s="243"/>
      <c r="W702" s="243"/>
      <c r="X702" s="243"/>
      <c r="Y702" s="243"/>
      <c r="Z702" s="243"/>
      <c r="AA702" s="243"/>
      <c r="AB702" s="243"/>
      <c r="AC702" s="243"/>
      <c r="AD702" s="243"/>
    </row>
    <row r="703" ht="33.75" customHeight="1">
      <c r="A703" s="252"/>
      <c r="B703" s="252"/>
      <c r="C703" s="243"/>
      <c r="D703" s="252"/>
      <c r="E703" s="243"/>
      <c r="F703" s="243"/>
      <c r="G703" s="243"/>
      <c r="H703" s="243"/>
      <c r="I703" s="243"/>
      <c r="J703" s="243"/>
      <c r="K703" s="243"/>
      <c r="L703" s="243"/>
      <c r="M703" s="243"/>
      <c r="N703" s="243"/>
      <c r="O703" s="243"/>
      <c r="P703" s="243"/>
      <c r="Q703" s="243"/>
      <c r="R703" s="243"/>
      <c r="S703" s="243"/>
      <c r="T703" s="243"/>
      <c r="U703" s="243"/>
      <c r="V703" s="243"/>
      <c r="W703" s="243"/>
      <c r="X703" s="243"/>
      <c r="Y703" s="243"/>
      <c r="Z703" s="243"/>
      <c r="AA703" s="243"/>
      <c r="AB703" s="243"/>
      <c r="AC703" s="243"/>
      <c r="AD703" s="243"/>
    </row>
    <row r="704" ht="33.75" customHeight="1">
      <c r="A704" s="252"/>
      <c r="B704" s="252"/>
      <c r="C704" s="243"/>
      <c r="D704" s="252"/>
      <c r="E704" s="243"/>
      <c r="F704" s="243"/>
      <c r="G704" s="243"/>
      <c r="H704" s="243"/>
      <c r="I704" s="243"/>
      <c r="J704" s="243"/>
      <c r="K704" s="243"/>
      <c r="L704" s="243"/>
      <c r="M704" s="243"/>
      <c r="N704" s="243"/>
      <c r="O704" s="243"/>
      <c r="P704" s="243"/>
      <c r="Q704" s="243"/>
      <c r="R704" s="243"/>
      <c r="S704" s="243"/>
      <c r="T704" s="243"/>
      <c r="U704" s="243"/>
      <c r="V704" s="243"/>
      <c r="W704" s="243"/>
      <c r="X704" s="243"/>
      <c r="Y704" s="243"/>
      <c r="Z704" s="243"/>
      <c r="AA704" s="243"/>
      <c r="AB704" s="243"/>
      <c r="AC704" s="243"/>
      <c r="AD704" s="243"/>
    </row>
    <row r="705" ht="33.75" customHeight="1">
      <c r="A705" s="252"/>
      <c r="B705" s="252"/>
      <c r="C705" s="243"/>
      <c r="D705" s="252"/>
      <c r="E705" s="243"/>
      <c r="F705" s="243"/>
      <c r="G705" s="243"/>
      <c r="H705" s="243"/>
      <c r="I705" s="243"/>
      <c r="J705" s="243"/>
      <c r="K705" s="243"/>
      <c r="L705" s="243"/>
      <c r="M705" s="243"/>
      <c r="N705" s="243"/>
      <c r="O705" s="243"/>
      <c r="P705" s="243"/>
      <c r="Q705" s="243"/>
      <c r="R705" s="243"/>
      <c r="S705" s="243"/>
      <c r="T705" s="243"/>
      <c r="U705" s="243"/>
      <c r="V705" s="243"/>
      <c r="W705" s="243"/>
      <c r="X705" s="243"/>
      <c r="Y705" s="243"/>
      <c r="Z705" s="243"/>
      <c r="AA705" s="243"/>
      <c r="AB705" s="243"/>
      <c r="AC705" s="243"/>
      <c r="AD705" s="243"/>
    </row>
    <row r="706" ht="33.75" customHeight="1">
      <c r="A706" s="252"/>
      <c r="B706" s="252"/>
      <c r="C706" s="243"/>
      <c r="D706" s="252"/>
      <c r="E706" s="243"/>
      <c r="F706" s="243"/>
      <c r="G706" s="243"/>
      <c r="H706" s="243"/>
      <c r="I706" s="243"/>
      <c r="J706" s="243"/>
      <c r="K706" s="243"/>
      <c r="L706" s="243"/>
      <c r="M706" s="243"/>
      <c r="N706" s="243"/>
      <c r="O706" s="243"/>
      <c r="P706" s="243"/>
      <c r="Q706" s="243"/>
      <c r="R706" s="243"/>
      <c r="S706" s="243"/>
      <c r="T706" s="243"/>
      <c r="U706" s="243"/>
      <c r="V706" s="243"/>
      <c r="W706" s="243"/>
      <c r="X706" s="243"/>
      <c r="Y706" s="243"/>
      <c r="Z706" s="243"/>
      <c r="AA706" s="243"/>
      <c r="AB706" s="243"/>
      <c r="AC706" s="243"/>
      <c r="AD706" s="243"/>
    </row>
    <row r="707" ht="33.75" customHeight="1">
      <c r="A707" s="252"/>
      <c r="B707" s="252"/>
      <c r="C707" s="243"/>
      <c r="D707" s="252"/>
      <c r="E707" s="243"/>
      <c r="F707" s="243"/>
      <c r="G707" s="243"/>
      <c r="H707" s="243"/>
      <c r="I707" s="243"/>
      <c r="J707" s="243"/>
      <c r="K707" s="243"/>
      <c r="L707" s="243"/>
      <c r="M707" s="243"/>
      <c r="N707" s="243"/>
      <c r="O707" s="243"/>
      <c r="P707" s="243"/>
      <c r="Q707" s="243"/>
      <c r="R707" s="243"/>
      <c r="S707" s="243"/>
      <c r="T707" s="243"/>
      <c r="U707" s="243"/>
      <c r="V707" s="243"/>
      <c r="W707" s="243"/>
      <c r="X707" s="243"/>
      <c r="Y707" s="243"/>
      <c r="Z707" s="243"/>
      <c r="AA707" s="243"/>
      <c r="AB707" s="243"/>
      <c r="AC707" s="243"/>
      <c r="AD707" s="243"/>
    </row>
    <row r="708" ht="33.75" customHeight="1">
      <c r="A708" s="252"/>
      <c r="B708" s="252"/>
      <c r="C708" s="243"/>
      <c r="D708" s="252"/>
      <c r="E708" s="243"/>
      <c r="F708" s="243"/>
      <c r="G708" s="243"/>
      <c r="H708" s="243"/>
      <c r="I708" s="243"/>
      <c r="J708" s="243"/>
      <c r="K708" s="243"/>
      <c r="L708" s="243"/>
      <c r="M708" s="243"/>
      <c r="N708" s="243"/>
      <c r="O708" s="243"/>
      <c r="P708" s="243"/>
      <c r="Q708" s="243"/>
      <c r="R708" s="243"/>
      <c r="S708" s="243"/>
      <c r="T708" s="243"/>
      <c r="U708" s="243"/>
      <c r="V708" s="243"/>
      <c r="W708" s="243"/>
      <c r="X708" s="243"/>
      <c r="Y708" s="243"/>
      <c r="Z708" s="243"/>
      <c r="AA708" s="243"/>
      <c r="AB708" s="243"/>
      <c r="AC708" s="243"/>
      <c r="AD708" s="243"/>
    </row>
    <row r="709" ht="33.75" customHeight="1">
      <c r="A709" s="252"/>
      <c r="B709" s="252"/>
      <c r="C709" s="243"/>
      <c r="D709" s="252"/>
      <c r="E709" s="243"/>
      <c r="F709" s="243"/>
      <c r="G709" s="243"/>
      <c r="H709" s="243"/>
      <c r="I709" s="243"/>
      <c r="J709" s="243"/>
      <c r="K709" s="243"/>
      <c r="L709" s="243"/>
      <c r="M709" s="243"/>
      <c r="N709" s="243"/>
      <c r="O709" s="243"/>
      <c r="P709" s="243"/>
      <c r="Q709" s="243"/>
      <c r="R709" s="243"/>
      <c r="S709" s="243"/>
      <c r="T709" s="243"/>
      <c r="U709" s="243"/>
      <c r="V709" s="243"/>
      <c r="W709" s="243"/>
      <c r="X709" s="243"/>
      <c r="Y709" s="243"/>
      <c r="Z709" s="243"/>
      <c r="AA709" s="243"/>
      <c r="AB709" s="243"/>
      <c r="AC709" s="243"/>
      <c r="AD709" s="243"/>
    </row>
    <row r="710" ht="33.75" customHeight="1">
      <c r="A710" s="252"/>
      <c r="B710" s="252"/>
      <c r="C710" s="243"/>
      <c r="D710" s="252"/>
      <c r="E710" s="243"/>
      <c r="F710" s="243"/>
      <c r="G710" s="243"/>
      <c r="H710" s="243"/>
      <c r="I710" s="243"/>
      <c r="J710" s="243"/>
      <c r="K710" s="243"/>
      <c r="L710" s="243"/>
      <c r="M710" s="243"/>
      <c r="N710" s="243"/>
      <c r="O710" s="243"/>
      <c r="P710" s="243"/>
      <c r="Q710" s="243"/>
      <c r="R710" s="243"/>
      <c r="S710" s="243"/>
      <c r="T710" s="243"/>
      <c r="U710" s="243"/>
      <c r="V710" s="243"/>
      <c r="W710" s="243"/>
      <c r="X710" s="243"/>
      <c r="Y710" s="243"/>
      <c r="Z710" s="243"/>
      <c r="AA710" s="243"/>
      <c r="AB710" s="243"/>
      <c r="AC710" s="243"/>
      <c r="AD710" s="243"/>
    </row>
    <row r="711" ht="33.75" customHeight="1">
      <c r="A711" s="252"/>
      <c r="B711" s="252"/>
      <c r="C711" s="243"/>
      <c r="D711" s="252"/>
      <c r="E711" s="243"/>
      <c r="F711" s="243"/>
      <c r="G711" s="243"/>
      <c r="H711" s="243"/>
      <c r="I711" s="243"/>
      <c r="J711" s="243"/>
      <c r="K711" s="243"/>
      <c r="L711" s="243"/>
      <c r="M711" s="243"/>
      <c r="N711" s="243"/>
      <c r="O711" s="243"/>
      <c r="P711" s="243"/>
      <c r="Q711" s="243"/>
      <c r="R711" s="243"/>
      <c r="S711" s="243"/>
      <c r="T711" s="243"/>
      <c r="U711" s="243"/>
      <c r="V711" s="243"/>
      <c r="W711" s="243"/>
      <c r="X711" s="243"/>
      <c r="Y711" s="243"/>
      <c r="Z711" s="243"/>
      <c r="AA711" s="243"/>
      <c r="AB711" s="243"/>
      <c r="AC711" s="243"/>
      <c r="AD711" s="243"/>
    </row>
    <row r="712" ht="33.75" customHeight="1">
      <c r="A712" s="252"/>
      <c r="B712" s="252"/>
      <c r="C712" s="243"/>
      <c r="D712" s="252"/>
      <c r="E712" s="243"/>
      <c r="F712" s="243"/>
      <c r="G712" s="243"/>
      <c r="H712" s="243"/>
      <c r="I712" s="243"/>
      <c r="J712" s="243"/>
      <c r="K712" s="243"/>
      <c r="L712" s="243"/>
      <c r="M712" s="243"/>
      <c r="N712" s="243"/>
      <c r="O712" s="243"/>
      <c r="P712" s="243"/>
      <c r="Q712" s="243"/>
      <c r="R712" s="243"/>
      <c r="S712" s="243"/>
      <c r="T712" s="243"/>
      <c r="U712" s="243"/>
      <c r="V712" s="243"/>
      <c r="W712" s="243"/>
      <c r="X712" s="243"/>
      <c r="Y712" s="243"/>
      <c r="Z712" s="243"/>
      <c r="AA712" s="243"/>
      <c r="AB712" s="243"/>
      <c r="AC712" s="243"/>
      <c r="AD712" s="243"/>
    </row>
    <row r="713" ht="33.75" customHeight="1">
      <c r="A713" s="252"/>
      <c r="B713" s="252"/>
      <c r="C713" s="243"/>
      <c r="D713" s="252"/>
      <c r="E713" s="243"/>
      <c r="F713" s="243"/>
      <c r="G713" s="243"/>
      <c r="H713" s="243"/>
      <c r="I713" s="243"/>
      <c r="J713" s="243"/>
      <c r="K713" s="243"/>
      <c r="L713" s="243"/>
      <c r="M713" s="243"/>
      <c r="N713" s="243"/>
      <c r="O713" s="243"/>
      <c r="P713" s="243"/>
      <c r="Q713" s="243"/>
      <c r="R713" s="243"/>
      <c r="S713" s="243"/>
      <c r="T713" s="243"/>
      <c r="U713" s="243"/>
      <c r="V713" s="243"/>
      <c r="W713" s="243"/>
      <c r="X713" s="243"/>
      <c r="Y713" s="243"/>
      <c r="Z713" s="243"/>
      <c r="AA713" s="243"/>
      <c r="AB713" s="243"/>
      <c r="AC713" s="243"/>
      <c r="AD713" s="243"/>
    </row>
    <row r="714" ht="33.75" customHeight="1">
      <c r="A714" s="252"/>
      <c r="B714" s="252"/>
      <c r="C714" s="243"/>
      <c r="D714" s="252"/>
      <c r="E714" s="243"/>
      <c r="F714" s="243"/>
      <c r="G714" s="243"/>
      <c r="H714" s="243"/>
      <c r="I714" s="243"/>
      <c r="J714" s="243"/>
      <c r="K714" s="243"/>
      <c r="L714" s="243"/>
      <c r="M714" s="243"/>
      <c r="N714" s="243"/>
      <c r="O714" s="243"/>
      <c r="P714" s="243"/>
      <c r="Q714" s="243"/>
      <c r="R714" s="243"/>
      <c r="S714" s="243"/>
      <c r="T714" s="243"/>
      <c r="U714" s="243"/>
      <c r="V714" s="243"/>
      <c r="W714" s="243"/>
      <c r="X714" s="243"/>
      <c r="Y714" s="243"/>
      <c r="Z714" s="243"/>
      <c r="AA714" s="243"/>
      <c r="AB714" s="243"/>
      <c r="AC714" s="243"/>
      <c r="AD714" s="243"/>
    </row>
    <row r="715" ht="33.75" customHeight="1">
      <c r="A715" s="252"/>
      <c r="B715" s="252"/>
      <c r="C715" s="243"/>
      <c r="D715" s="252"/>
      <c r="E715" s="243"/>
      <c r="F715" s="243"/>
      <c r="G715" s="243"/>
      <c r="H715" s="243"/>
      <c r="I715" s="243"/>
      <c r="J715" s="243"/>
      <c r="K715" s="243"/>
      <c r="L715" s="243"/>
      <c r="M715" s="243"/>
      <c r="N715" s="243"/>
      <c r="O715" s="243"/>
      <c r="P715" s="243"/>
      <c r="Q715" s="243"/>
      <c r="R715" s="243"/>
      <c r="S715" s="243"/>
      <c r="T715" s="243"/>
      <c r="U715" s="243"/>
      <c r="V715" s="243"/>
      <c r="W715" s="243"/>
      <c r="X715" s="243"/>
      <c r="Y715" s="243"/>
      <c r="Z715" s="243"/>
      <c r="AA715" s="243"/>
      <c r="AB715" s="243"/>
      <c r="AC715" s="243"/>
      <c r="AD715" s="243"/>
    </row>
    <row r="716" ht="33.75" customHeight="1">
      <c r="A716" s="252"/>
      <c r="B716" s="252"/>
      <c r="C716" s="243"/>
      <c r="D716" s="252"/>
      <c r="E716" s="243"/>
      <c r="F716" s="243"/>
      <c r="G716" s="243"/>
      <c r="H716" s="243"/>
      <c r="I716" s="243"/>
      <c r="J716" s="243"/>
      <c r="K716" s="243"/>
      <c r="L716" s="243"/>
      <c r="M716" s="243"/>
      <c r="N716" s="243"/>
      <c r="O716" s="243"/>
      <c r="P716" s="243"/>
      <c r="Q716" s="243"/>
      <c r="R716" s="243"/>
      <c r="S716" s="243"/>
      <c r="T716" s="243"/>
      <c r="U716" s="243"/>
      <c r="V716" s="243"/>
      <c r="W716" s="243"/>
      <c r="X716" s="243"/>
      <c r="Y716" s="243"/>
      <c r="Z716" s="243"/>
      <c r="AA716" s="243"/>
      <c r="AB716" s="243"/>
      <c r="AC716" s="243"/>
      <c r="AD716" s="243"/>
    </row>
    <row r="717" ht="33.75" customHeight="1">
      <c r="A717" s="252"/>
      <c r="B717" s="252"/>
      <c r="C717" s="243"/>
      <c r="D717" s="252"/>
      <c r="E717" s="243"/>
      <c r="F717" s="243"/>
      <c r="G717" s="243"/>
      <c r="H717" s="243"/>
      <c r="I717" s="243"/>
      <c r="J717" s="243"/>
      <c r="K717" s="243"/>
      <c r="L717" s="243"/>
      <c r="M717" s="243"/>
      <c r="N717" s="243"/>
      <c r="O717" s="243"/>
      <c r="P717" s="243"/>
      <c r="Q717" s="243"/>
      <c r="R717" s="243"/>
      <c r="S717" s="243"/>
      <c r="T717" s="243"/>
      <c r="U717" s="243"/>
      <c r="V717" s="243"/>
      <c r="W717" s="243"/>
      <c r="X717" s="243"/>
      <c r="Y717" s="243"/>
      <c r="Z717" s="243"/>
      <c r="AA717" s="243"/>
      <c r="AB717" s="243"/>
      <c r="AC717" s="243"/>
      <c r="AD717" s="243"/>
    </row>
    <row r="718" ht="33.75" customHeight="1">
      <c r="A718" s="252"/>
      <c r="B718" s="252"/>
      <c r="C718" s="243"/>
      <c r="D718" s="252"/>
      <c r="E718" s="243"/>
      <c r="F718" s="243"/>
      <c r="G718" s="243"/>
      <c r="H718" s="243"/>
      <c r="I718" s="243"/>
      <c r="J718" s="243"/>
      <c r="K718" s="243"/>
      <c r="L718" s="243"/>
      <c r="M718" s="243"/>
      <c r="N718" s="243"/>
      <c r="O718" s="243"/>
      <c r="P718" s="243"/>
      <c r="Q718" s="243"/>
      <c r="R718" s="243"/>
      <c r="S718" s="243"/>
      <c r="T718" s="243"/>
      <c r="U718" s="243"/>
      <c r="V718" s="243"/>
      <c r="W718" s="243"/>
      <c r="X718" s="243"/>
      <c r="Y718" s="243"/>
      <c r="Z718" s="243"/>
      <c r="AA718" s="243"/>
      <c r="AB718" s="243"/>
      <c r="AC718" s="243"/>
      <c r="AD718" s="243"/>
    </row>
    <row r="719" ht="33.75" customHeight="1">
      <c r="A719" s="252"/>
      <c r="B719" s="252"/>
      <c r="C719" s="243"/>
      <c r="D719" s="252"/>
      <c r="E719" s="243"/>
      <c r="F719" s="243"/>
      <c r="G719" s="243"/>
      <c r="H719" s="243"/>
      <c r="I719" s="243"/>
      <c r="J719" s="243"/>
      <c r="K719" s="243"/>
      <c r="L719" s="243"/>
      <c r="M719" s="243"/>
      <c r="N719" s="243"/>
      <c r="O719" s="243"/>
      <c r="P719" s="243"/>
      <c r="Q719" s="243"/>
      <c r="R719" s="243"/>
      <c r="S719" s="243"/>
      <c r="T719" s="243"/>
      <c r="U719" s="243"/>
      <c r="V719" s="243"/>
      <c r="W719" s="243"/>
      <c r="X719" s="243"/>
      <c r="Y719" s="243"/>
      <c r="Z719" s="243"/>
      <c r="AA719" s="243"/>
      <c r="AB719" s="243"/>
      <c r="AC719" s="243"/>
      <c r="AD719" s="243"/>
    </row>
    <row r="720" ht="33.75" customHeight="1">
      <c r="A720" s="252"/>
      <c r="B720" s="252"/>
      <c r="C720" s="243"/>
      <c r="D720" s="252"/>
      <c r="E720" s="243"/>
      <c r="F720" s="243"/>
      <c r="G720" s="243"/>
      <c r="H720" s="243"/>
      <c r="I720" s="243"/>
      <c r="J720" s="243"/>
      <c r="K720" s="243"/>
      <c r="L720" s="243"/>
      <c r="M720" s="243"/>
      <c r="N720" s="243"/>
      <c r="O720" s="243"/>
      <c r="P720" s="243"/>
      <c r="Q720" s="243"/>
      <c r="R720" s="243"/>
      <c r="S720" s="243"/>
      <c r="T720" s="243"/>
      <c r="U720" s="243"/>
      <c r="V720" s="243"/>
      <c r="W720" s="243"/>
      <c r="X720" s="243"/>
      <c r="Y720" s="243"/>
      <c r="Z720" s="243"/>
      <c r="AA720" s="243"/>
      <c r="AB720" s="243"/>
      <c r="AC720" s="243"/>
      <c r="AD720" s="243"/>
    </row>
    <row r="721" ht="33.75" customHeight="1">
      <c r="A721" s="252"/>
      <c r="B721" s="252"/>
      <c r="C721" s="243"/>
      <c r="D721" s="252"/>
      <c r="E721" s="243"/>
      <c r="F721" s="243"/>
      <c r="G721" s="243"/>
      <c r="H721" s="243"/>
      <c r="I721" s="243"/>
      <c r="J721" s="243"/>
      <c r="K721" s="243"/>
      <c r="L721" s="243"/>
      <c r="M721" s="243"/>
      <c r="N721" s="243"/>
      <c r="O721" s="243"/>
      <c r="P721" s="243"/>
      <c r="Q721" s="243"/>
      <c r="R721" s="243"/>
      <c r="S721" s="243"/>
      <c r="T721" s="243"/>
      <c r="U721" s="243"/>
      <c r="V721" s="243"/>
      <c r="W721" s="243"/>
      <c r="X721" s="243"/>
      <c r="Y721" s="243"/>
      <c r="Z721" s="243"/>
      <c r="AA721" s="243"/>
      <c r="AB721" s="243"/>
      <c r="AC721" s="243"/>
      <c r="AD721" s="243"/>
    </row>
    <row r="722" ht="33.75" customHeight="1">
      <c r="A722" s="252"/>
      <c r="B722" s="252"/>
      <c r="C722" s="243"/>
      <c r="D722" s="252"/>
      <c r="E722" s="243"/>
      <c r="F722" s="243"/>
      <c r="G722" s="243"/>
      <c r="H722" s="243"/>
      <c r="I722" s="243"/>
      <c r="J722" s="243"/>
      <c r="K722" s="243"/>
      <c r="L722" s="243"/>
      <c r="M722" s="243"/>
      <c r="N722" s="243"/>
      <c r="O722" s="243"/>
      <c r="P722" s="243"/>
      <c r="Q722" s="243"/>
      <c r="R722" s="243"/>
      <c r="S722" s="243"/>
      <c r="T722" s="243"/>
      <c r="U722" s="243"/>
      <c r="V722" s="243"/>
      <c r="W722" s="243"/>
      <c r="X722" s="243"/>
      <c r="Y722" s="243"/>
      <c r="Z722" s="243"/>
      <c r="AA722" s="243"/>
      <c r="AB722" s="243"/>
      <c r="AC722" s="243"/>
      <c r="AD722" s="243"/>
    </row>
    <row r="723" ht="33.75" customHeight="1">
      <c r="A723" s="252"/>
      <c r="B723" s="252"/>
      <c r="C723" s="243"/>
      <c r="D723" s="252"/>
      <c r="E723" s="243"/>
      <c r="F723" s="243"/>
      <c r="G723" s="243"/>
      <c r="H723" s="243"/>
      <c r="I723" s="243"/>
      <c r="J723" s="243"/>
      <c r="K723" s="243"/>
      <c r="L723" s="243"/>
      <c r="M723" s="243"/>
      <c r="N723" s="243"/>
      <c r="O723" s="243"/>
      <c r="P723" s="243"/>
      <c r="Q723" s="243"/>
      <c r="R723" s="243"/>
      <c r="S723" s="243"/>
      <c r="T723" s="243"/>
      <c r="U723" s="243"/>
      <c r="V723" s="243"/>
      <c r="W723" s="243"/>
      <c r="X723" s="243"/>
      <c r="Y723" s="243"/>
      <c r="Z723" s="243"/>
      <c r="AA723" s="243"/>
      <c r="AB723" s="243"/>
      <c r="AC723" s="243"/>
      <c r="AD723" s="243"/>
    </row>
    <row r="724" ht="33.75" customHeight="1">
      <c r="A724" s="252"/>
      <c r="B724" s="252"/>
      <c r="C724" s="243"/>
      <c r="D724" s="252"/>
      <c r="E724" s="243"/>
      <c r="F724" s="243"/>
      <c r="G724" s="243"/>
      <c r="H724" s="243"/>
      <c r="I724" s="243"/>
      <c r="J724" s="243"/>
      <c r="K724" s="243"/>
      <c r="L724" s="243"/>
      <c r="M724" s="243"/>
      <c r="N724" s="243"/>
      <c r="O724" s="243"/>
      <c r="P724" s="243"/>
      <c r="Q724" s="243"/>
      <c r="R724" s="243"/>
      <c r="S724" s="243"/>
      <c r="T724" s="243"/>
      <c r="U724" s="243"/>
      <c r="V724" s="243"/>
      <c r="W724" s="243"/>
      <c r="X724" s="243"/>
      <c r="Y724" s="243"/>
      <c r="Z724" s="243"/>
      <c r="AA724" s="243"/>
      <c r="AB724" s="243"/>
      <c r="AC724" s="243"/>
      <c r="AD724" s="243"/>
    </row>
    <row r="725" ht="33.75" customHeight="1">
      <c r="A725" s="252"/>
      <c r="B725" s="252"/>
      <c r="C725" s="243"/>
      <c r="D725" s="252"/>
      <c r="E725" s="243"/>
      <c r="F725" s="243"/>
      <c r="G725" s="243"/>
      <c r="H725" s="243"/>
      <c r="I725" s="243"/>
      <c r="J725" s="243"/>
      <c r="K725" s="243"/>
      <c r="L725" s="243"/>
      <c r="M725" s="243"/>
      <c r="N725" s="243"/>
      <c r="O725" s="243"/>
      <c r="P725" s="243"/>
      <c r="Q725" s="243"/>
      <c r="R725" s="243"/>
      <c r="S725" s="243"/>
      <c r="T725" s="243"/>
      <c r="U725" s="243"/>
      <c r="V725" s="243"/>
      <c r="W725" s="243"/>
      <c r="X725" s="243"/>
      <c r="Y725" s="243"/>
      <c r="Z725" s="243"/>
      <c r="AA725" s="243"/>
      <c r="AB725" s="243"/>
      <c r="AC725" s="243"/>
      <c r="AD725" s="243"/>
    </row>
    <row r="726" ht="33.75" customHeight="1">
      <c r="A726" s="252"/>
      <c r="B726" s="252"/>
      <c r="C726" s="243"/>
      <c r="D726" s="252"/>
      <c r="E726" s="243"/>
      <c r="F726" s="243"/>
      <c r="G726" s="243"/>
      <c r="H726" s="243"/>
      <c r="I726" s="243"/>
      <c r="J726" s="243"/>
      <c r="K726" s="243"/>
      <c r="L726" s="243"/>
      <c r="M726" s="243"/>
      <c r="N726" s="243"/>
      <c r="O726" s="243"/>
      <c r="P726" s="243"/>
      <c r="Q726" s="243"/>
      <c r="R726" s="243"/>
      <c r="S726" s="243"/>
      <c r="T726" s="243"/>
      <c r="U726" s="243"/>
      <c r="V726" s="243"/>
      <c r="W726" s="243"/>
      <c r="X726" s="243"/>
      <c r="Y726" s="243"/>
      <c r="Z726" s="243"/>
      <c r="AA726" s="243"/>
      <c r="AB726" s="243"/>
      <c r="AC726" s="243"/>
      <c r="AD726" s="243"/>
    </row>
    <row r="727" ht="33.75" customHeight="1">
      <c r="A727" s="252"/>
      <c r="B727" s="252"/>
      <c r="C727" s="243"/>
      <c r="D727" s="252"/>
      <c r="E727" s="243"/>
      <c r="F727" s="243"/>
      <c r="G727" s="243"/>
      <c r="H727" s="243"/>
      <c r="I727" s="243"/>
      <c r="J727" s="243"/>
      <c r="K727" s="243"/>
      <c r="L727" s="243"/>
      <c r="M727" s="243"/>
      <c r="N727" s="243"/>
      <c r="O727" s="243"/>
      <c r="P727" s="243"/>
      <c r="Q727" s="243"/>
      <c r="R727" s="243"/>
      <c r="S727" s="243"/>
      <c r="T727" s="243"/>
      <c r="U727" s="243"/>
      <c r="V727" s="243"/>
      <c r="W727" s="243"/>
      <c r="X727" s="243"/>
      <c r="Y727" s="243"/>
      <c r="Z727" s="243"/>
      <c r="AA727" s="243"/>
      <c r="AB727" s="243"/>
      <c r="AC727" s="243"/>
      <c r="AD727" s="243"/>
    </row>
    <row r="728" ht="33.75" customHeight="1">
      <c r="A728" s="252"/>
      <c r="B728" s="252"/>
      <c r="C728" s="243"/>
      <c r="D728" s="252"/>
      <c r="E728" s="243"/>
      <c r="F728" s="243"/>
      <c r="G728" s="243"/>
      <c r="H728" s="243"/>
      <c r="I728" s="243"/>
      <c r="J728" s="243"/>
      <c r="K728" s="243"/>
      <c r="L728" s="243"/>
      <c r="M728" s="243"/>
      <c r="N728" s="243"/>
      <c r="O728" s="243"/>
      <c r="P728" s="243"/>
      <c r="Q728" s="243"/>
      <c r="R728" s="243"/>
      <c r="S728" s="243"/>
      <c r="T728" s="243"/>
      <c r="U728" s="243"/>
      <c r="V728" s="243"/>
      <c r="W728" s="243"/>
      <c r="X728" s="243"/>
      <c r="Y728" s="243"/>
      <c r="Z728" s="243"/>
      <c r="AA728" s="243"/>
      <c r="AB728" s="243"/>
      <c r="AC728" s="243"/>
      <c r="AD728" s="243"/>
    </row>
    <row r="729" ht="33.75" customHeight="1">
      <c r="A729" s="252"/>
      <c r="B729" s="252"/>
      <c r="C729" s="243"/>
      <c r="D729" s="252"/>
      <c r="E729" s="243"/>
      <c r="F729" s="243"/>
      <c r="G729" s="243"/>
      <c r="H729" s="243"/>
      <c r="I729" s="243"/>
      <c r="J729" s="243"/>
      <c r="K729" s="243"/>
      <c r="L729" s="243"/>
      <c r="M729" s="243"/>
      <c r="N729" s="243"/>
      <c r="O729" s="243"/>
      <c r="P729" s="243"/>
      <c r="Q729" s="243"/>
      <c r="R729" s="243"/>
      <c r="S729" s="243"/>
      <c r="T729" s="243"/>
      <c r="U729" s="243"/>
      <c r="V729" s="243"/>
      <c r="W729" s="243"/>
      <c r="X729" s="243"/>
      <c r="Y729" s="243"/>
      <c r="Z729" s="243"/>
      <c r="AA729" s="243"/>
      <c r="AB729" s="243"/>
      <c r="AC729" s="243"/>
      <c r="AD729" s="243"/>
    </row>
    <row r="730" ht="33.75" customHeight="1">
      <c r="A730" s="252"/>
      <c r="B730" s="252"/>
      <c r="C730" s="243"/>
      <c r="D730" s="252"/>
      <c r="E730" s="243"/>
      <c r="F730" s="243"/>
      <c r="G730" s="243"/>
      <c r="H730" s="243"/>
      <c r="I730" s="243"/>
      <c r="J730" s="243"/>
      <c r="K730" s="243"/>
      <c r="L730" s="243"/>
      <c r="M730" s="243"/>
      <c r="N730" s="243"/>
      <c r="O730" s="243"/>
      <c r="P730" s="243"/>
      <c r="Q730" s="243"/>
      <c r="R730" s="243"/>
      <c r="S730" s="243"/>
      <c r="T730" s="243"/>
      <c r="U730" s="243"/>
      <c r="V730" s="243"/>
      <c r="W730" s="243"/>
      <c r="X730" s="243"/>
      <c r="Y730" s="243"/>
      <c r="Z730" s="243"/>
      <c r="AA730" s="243"/>
      <c r="AB730" s="243"/>
      <c r="AC730" s="243"/>
      <c r="AD730" s="243"/>
    </row>
    <row r="731" ht="33.75" customHeight="1">
      <c r="A731" s="252"/>
      <c r="B731" s="252"/>
      <c r="C731" s="243"/>
      <c r="D731" s="252"/>
      <c r="E731" s="243"/>
      <c r="F731" s="243"/>
      <c r="G731" s="243"/>
      <c r="H731" s="243"/>
      <c r="I731" s="243"/>
      <c r="J731" s="243"/>
      <c r="K731" s="243"/>
      <c r="L731" s="243"/>
      <c r="M731" s="243"/>
      <c r="N731" s="243"/>
      <c r="O731" s="243"/>
      <c r="P731" s="243"/>
      <c r="Q731" s="243"/>
      <c r="R731" s="243"/>
      <c r="S731" s="243"/>
      <c r="T731" s="243"/>
      <c r="U731" s="243"/>
      <c r="V731" s="243"/>
      <c r="W731" s="243"/>
      <c r="X731" s="243"/>
      <c r="Y731" s="243"/>
      <c r="Z731" s="243"/>
      <c r="AA731" s="243"/>
      <c r="AB731" s="243"/>
      <c r="AC731" s="243"/>
      <c r="AD731" s="243"/>
    </row>
    <row r="732" ht="33.75" customHeight="1">
      <c r="A732" s="252"/>
      <c r="B732" s="252"/>
      <c r="C732" s="243"/>
      <c r="D732" s="252"/>
      <c r="E732" s="243"/>
      <c r="F732" s="243"/>
      <c r="G732" s="243"/>
      <c r="H732" s="243"/>
      <c r="I732" s="243"/>
      <c r="J732" s="243"/>
      <c r="K732" s="243"/>
      <c r="L732" s="243"/>
      <c r="M732" s="243"/>
      <c r="N732" s="243"/>
      <c r="O732" s="243"/>
      <c r="P732" s="243"/>
      <c r="Q732" s="243"/>
      <c r="R732" s="243"/>
      <c r="S732" s="243"/>
      <c r="T732" s="243"/>
      <c r="U732" s="243"/>
      <c r="V732" s="243"/>
      <c r="W732" s="243"/>
      <c r="X732" s="243"/>
      <c r="Y732" s="243"/>
      <c r="Z732" s="243"/>
      <c r="AA732" s="243"/>
      <c r="AB732" s="243"/>
      <c r="AC732" s="243"/>
      <c r="AD732" s="243"/>
    </row>
    <row r="733" ht="33.75" customHeight="1">
      <c r="A733" s="252"/>
      <c r="B733" s="252"/>
      <c r="C733" s="243"/>
      <c r="D733" s="252"/>
      <c r="E733" s="243"/>
      <c r="F733" s="243"/>
      <c r="G733" s="243"/>
      <c r="H733" s="243"/>
      <c r="I733" s="243"/>
      <c r="J733" s="243"/>
      <c r="K733" s="243"/>
      <c r="L733" s="243"/>
      <c r="M733" s="243"/>
      <c r="N733" s="243"/>
      <c r="O733" s="243"/>
      <c r="P733" s="243"/>
      <c r="Q733" s="243"/>
      <c r="R733" s="243"/>
      <c r="S733" s="243"/>
      <c r="T733" s="243"/>
      <c r="U733" s="243"/>
      <c r="V733" s="243"/>
      <c r="W733" s="243"/>
      <c r="X733" s="243"/>
      <c r="Y733" s="243"/>
      <c r="Z733" s="243"/>
      <c r="AA733" s="243"/>
      <c r="AB733" s="243"/>
      <c r="AC733" s="243"/>
      <c r="AD733" s="243"/>
    </row>
    <row r="734" ht="33.75" customHeight="1">
      <c r="A734" s="252"/>
      <c r="B734" s="252"/>
      <c r="C734" s="243"/>
      <c r="D734" s="252"/>
      <c r="E734" s="243"/>
      <c r="F734" s="243"/>
      <c r="G734" s="243"/>
      <c r="H734" s="243"/>
      <c r="I734" s="243"/>
      <c r="J734" s="243"/>
      <c r="K734" s="243"/>
      <c r="L734" s="243"/>
      <c r="M734" s="243"/>
      <c r="N734" s="243"/>
      <c r="O734" s="243"/>
      <c r="P734" s="243"/>
      <c r="Q734" s="243"/>
      <c r="R734" s="243"/>
      <c r="S734" s="243"/>
      <c r="T734" s="243"/>
      <c r="U734" s="243"/>
      <c r="V734" s="243"/>
      <c r="W734" s="243"/>
      <c r="X734" s="243"/>
      <c r="Y734" s="243"/>
      <c r="Z734" s="243"/>
      <c r="AA734" s="243"/>
      <c r="AB734" s="243"/>
      <c r="AC734" s="243"/>
      <c r="AD734" s="243"/>
    </row>
    <row r="735" ht="33.75" customHeight="1">
      <c r="A735" s="252"/>
      <c r="B735" s="252"/>
      <c r="C735" s="243"/>
      <c r="D735" s="252"/>
      <c r="E735" s="243"/>
      <c r="F735" s="243"/>
      <c r="G735" s="243"/>
      <c r="H735" s="243"/>
      <c r="I735" s="243"/>
      <c r="J735" s="243"/>
      <c r="K735" s="243"/>
      <c r="L735" s="243"/>
      <c r="M735" s="243"/>
      <c r="N735" s="243"/>
      <c r="O735" s="243"/>
      <c r="P735" s="243"/>
      <c r="Q735" s="243"/>
      <c r="R735" s="243"/>
      <c r="S735" s="243"/>
      <c r="T735" s="243"/>
      <c r="U735" s="243"/>
      <c r="V735" s="243"/>
      <c r="W735" s="243"/>
      <c r="X735" s="243"/>
      <c r="Y735" s="243"/>
      <c r="Z735" s="243"/>
      <c r="AA735" s="243"/>
      <c r="AB735" s="243"/>
      <c r="AC735" s="243"/>
      <c r="AD735" s="243"/>
    </row>
    <row r="736" ht="33.75" customHeight="1">
      <c r="A736" s="252"/>
      <c r="B736" s="252"/>
      <c r="C736" s="243"/>
      <c r="D736" s="252"/>
      <c r="E736" s="243"/>
      <c r="F736" s="243"/>
      <c r="G736" s="243"/>
      <c r="H736" s="243"/>
      <c r="I736" s="243"/>
      <c r="J736" s="243"/>
      <c r="K736" s="243"/>
      <c r="L736" s="243"/>
      <c r="M736" s="243"/>
      <c r="N736" s="243"/>
      <c r="O736" s="243"/>
      <c r="P736" s="243"/>
      <c r="Q736" s="243"/>
      <c r="R736" s="243"/>
      <c r="S736" s="243"/>
      <c r="T736" s="243"/>
      <c r="U736" s="243"/>
      <c r="V736" s="243"/>
      <c r="W736" s="243"/>
      <c r="X736" s="243"/>
      <c r="Y736" s="243"/>
      <c r="Z736" s="243"/>
      <c r="AA736" s="243"/>
      <c r="AB736" s="243"/>
      <c r="AC736" s="243"/>
      <c r="AD736" s="243"/>
    </row>
    <row r="737" ht="33.75" customHeight="1">
      <c r="A737" s="252"/>
      <c r="B737" s="252"/>
      <c r="C737" s="243"/>
      <c r="D737" s="252"/>
      <c r="E737" s="243"/>
      <c r="F737" s="243"/>
      <c r="G737" s="243"/>
      <c r="H737" s="243"/>
      <c r="I737" s="243"/>
      <c r="J737" s="243"/>
      <c r="K737" s="243"/>
      <c r="L737" s="243"/>
      <c r="M737" s="243"/>
      <c r="N737" s="243"/>
      <c r="O737" s="243"/>
      <c r="P737" s="243"/>
      <c r="Q737" s="243"/>
      <c r="R737" s="243"/>
      <c r="S737" s="243"/>
      <c r="T737" s="243"/>
      <c r="U737" s="243"/>
      <c r="V737" s="243"/>
      <c r="W737" s="243"/>
      <c r="X737" s="243"/>
      <c r="Y737" s="243"/>
      <c r="Z737" s="243"/>
      <c r="AA737" s="243"/>
      <c r="AB737" s="243"/>
      <c r="AC737" s="243"/>
      <c r="AD737" s="243"/>
    </row>
    <row r="738" ht="33.75" customHeight="1">
      <c r="A738" s="252"/>
      <c r="B738" s="252"/>
      <c r="C738" s="243"/>
      <c r="D738" s="252"/>
      <c r="E738" s="243"/>
      <c r="F738" s="243"/>
      <c r="G738" s="243"/>
      <c r="H738" s="243"/>
      <c r="I738" s="243"/>
      <c r="J738" s="243"/>
      <c r="K738" s="243"/>
      <c r="L738" s="243"/>
      <c r="M738" s="243"/>
      <c r="N738" s="243"/>
      <c r="O738" s="243"/>
      <c r="P738" s="243"/>
      <c r="Q738" s="243"/>
      <c r="R738" s="243"/>
      <c r="S738" s="243"/>
      <c r="T738" s="243"/>
      <c r="U738" s="243"/>
      <c r="V738" s="243"/>
      <c r="W738" s="243"/>
      <c r="X738" s="243"/>
      <c r="Y738" s="243"/>
      <c r="Z738" s="243"/>
      <c r="AA738" s="243"/>
      <c r="AB738" s="243"/>
      <c r="AC738" s="243"/>
      <c r="AD738" s="243"/>
    </row>
    <row r="739" ht="33.75" customHeight="1">
      <c r="A739" s="252"/>
      <c r="B739" s="252"/>
      <c r="C739" s="243"/>
      <c r="D739" s="252"/>
      <c r="E739" s="243"/>
      <c r="F739" s="243"/>
      <c r="G739" s="243"/>
      <c r="H739" s="243"/>
      <c r="I739" s="243"/>
      <c r="J739" s="243"/>
      <c r="K739" s="243"/>
      <c r="L739" s="243"/>
      <c r="M739" s="243"/>
      <c r="N739" s="243"/>
      <c r="O739" s="243"/>
      <c r="P739" s="243"/>
      <c r="Q739" s="243"/>
      <c r="R739" s="243"/>
      <c r="S739" s="243"/>
      <c r="T739" s="243"/>
      <c r="U739" s="243"/>
      <c r="V739" s="243"/>
      <c r="W739" s="243"/>
      <c r="X739" s="243"/>
      <c r="Y739" s="243"/>
      <c r="Z739" s="243"/>
      <c r="AA739" s="243"/>
      <c r="AB739" s="243"/>
      <c r="AC739" s="243"/>
      <c r="AD739" s="243"/>
    </row>
    <row r="740" ht="33.75" customHeight="1">
      <c r="A740" s="252"/>
      <c r="B740" s="252"/>
      <c r="C740" s="243"/>
      <c r="D740" s="252"/>
      <c r="E740" s="243"/>
      <c r="F740" s="243"/>
      <c r="G740" s="243"/>
      <c r="H740" s="243"/>
      <c r="I740" s="243"/>
      <c r="J740" s="243"/>
      <c r="K740" s="243"/>
      <c r="L740" s="243"/>
      <c r="M740" s="243"/>
      <c r="N740" s="243"/>
      <c r="O740" s="243"/>
      <c r="P740" s="243"/>
      <c r="Q740" s="243"/>
      <c r="R740" s="243"/>
      <c r="S740" s="243"/>
      <c r="T740" s="243"/>
      <c r="U740" s="243"/>
      <c r="V740" s="243"/>
      <c r="W740" s="243"/>
      <c r="X740" s="243"/>
      <c r="Y740" s="243"/>
      <c r="Z740" s="243"/>
      <c r="AA740" s="243"/>
      <c r="AB740" s="243"/>
      <c r="AC740" s="243"/>
      <c r="AD740" s="243"/>
    </row>
    <row r="741" ht="33.75" customHeight="1">
      <c r="A741" s="252"/>
      <c r="B741" s="252"/>
      <c r="C741" s="243"/>
      <c r="D741" s="252"/>
      <c r="E741" s="243"/>
      <c r="F741" s="243"/>
      <c r="G741" s="243"/>
      <c r="H741" s="243"/>
      <c r="I741" s="243"/>
      <c r="J741" s="243"/>
      <c r="K741" s="243"/>
      <c r="L741" s="243"/>
      <c r="M741" s="243"/>
      <c r="N741" s="243"/>
      <c r="O741" s="243"/>
      <c r="P741" s="243"/>
      <c r="Q741" s="243"/>
      <c r="R741" s="243"/>
      <c r="S741" s="243"/>
      <c r="T741" s="243"/>
      <c r="U741" s="243"/>
      <c r="V741" s="243"/>
      <c r="W741" s="243"/>
      <c r="X741" s="243"/>
      <c r="Y741" s="243"/>
      <c r="Z741" s="243"/>
      <c r="AA741" s="243"/>
      <c r="AB741" s="243"/>
      <c r="AC741" s="243"/>
      <c r="AD741" s="243"/>
    </row>
    <row r="742" ht="33.75" customHeight="1">
      <c r="A742" s="252"/>
      <c r="B742" s="252"/>
      <c r="C742" s="243"/>
      <c r="D742" s="252"/>
      <c r="E742" s="243"/>
      <c r="F742" s="243"/>
      <c r="G742" s="243"/>
      <c r="H742" s="243"/>
      <c r="I742" s="243"/>
      <c r="J742" s="243"/>
      <c r="K742" s="243"/>
      <c r="L742" s="243"/>
      <c r="M742" s="243"/>
      <c r="N742" s="243"/>
      <c r="O742" s="243"/>
      <c r="P742" s="243"/>
      <c r="Q742" s="243"/>
      <c r="R742" s="243"/>
      <c r="S742" s="243"/>
      <c r="T742" s="243"/>
      <c r="U742" s="243"/>
      <c r="V742" s="243"/>
      <c r="W742" s="243"/>
      <c r="X742" s="243"/>
      <c r="Y742" s="243"/>
      <c r="Z742" s="243"/>
      <c r="AA742" s="243"/>
      <c r="AB742" s="243"/>
      <c r="AC742" s="243"/>
      <c r="AD742" s="243"/>
    </row>
    <row r="743" ht="33.75" customHeight="1">
      <c r="A743" s="252"/>
      <c r="B743" s="252"/>
      <c r="C743" s="243"/>
      <c r="D743" s="252"/>
      <c r="E743" s="243"/>
      <c r="F743" s="243"/>
      <c r="G743" s="243"/>
      <c r="H743" s="243"/>
      <c r="I743" s="243"/>
      <c r="J743" s="243"/>
      <c r="K743" s="243"/>
      <c r="L743" s="243"/>
      <c r="M743" s="243"/>
      <c r="N743" s="243"/>
      <c r="O743" s="243"/>
      <c r="P743" s="243"/>
      <c r="Q743" s="243"/>
      <c r="R743" s="243"/>
      <c r="S743" s="243"/>
      <c r="T743" s="243"/>
      <c r="U743" s="243"/>
      <c r="V743" s="243"/>
      <c r="W743" s="243"/>
      <c r="X743" s="243"/>
      <c r="Y743" s="243"/>
      <c r="Z743" s="243"/>
      <c r="AA743" s="243"/>
      <c r="AB743" s="243"/>
      <c r="AC743" s="243"/>
      <c r="AD743" s="243"/>
    </row>
    <row r="744" ht="33.75" customHeight="1">
      <c r="A744" s="252"/>
      <c r="B744" s="252"/>
      <c r="C744" s="243"/>
      <c r="D744" s="252"/>
      <c r="E744" s="243"/>
      <c r="F744" s="243"/>
      <c r="G744" s="243"/>
      <c r="H744" s="243"/>
      <c r="I744" s="243"/>
      <c r="J744" s="243"/>
      <c r="K744" s="243"/>
      <c r="L744" s="243"/>
      <c r="M744" s="243"/>
      <c r="N744" s="243"/>
      <c r="O744" s="243"/>
      <c r="P744" s="243"/>
      <c r="Q744" s="243"/>
      <c r="R744" s="243"/>
      <c r="S744" s="243"/>
      <c r="T744" s="243"/>
      <c r="U744" s="243"/>
      <c r="V744" s="243"/>
      <c r="W744" s="243"/>
      <c r="X744" s="243"/>
      <c r="Y744" s="243"/>
      <c r="Z744" s="243"/>
      <c r="AA744" s="243"/>
      <c r="AB744" s="243"/>
      <c r="AC744" s="243"/>
      <c r="AD744" s="243"/>
    </row>
    <row r="745" ht="33.75" customHeight="1">
      <c r="A745" s="252"/>
      <c r="B745" s="252"/>
      <c r="C745" s="243"/>
      <c r="D745" s="252"/>
      <c r="E745" s="243"/>
      <c r="F745" s="243"/>
      <c r="G745" s="243"/>
      <c r="H745" s="243"/>
      <c r="I745" s="243"/>
      <c r="J745" s="243"/>
      <c r="K745" s="243"/>
      <c r="L745" s="243"/>
      <c r="M745" s="243"/>
      <c r="N745" s="243"/>
      <c r="O745" s="243"/>
      <c r="P745" s="243"/>
      <c r="Q745" s="243"/>
      <c r="R745" s="243"/>
      <c r="S745" s="243"/>
      <c r="T745" s="243"/>
      <c r="U745" s="243"/>
      <c r="V745" s="243"/>
      <c r="W745" s="243"/>
      <c r="X745" s="243"/>
      <c r="Y745" s="243"/>
      <c r="Z745" s="243"/>
      <c r="AA745" s="243"/>
      <c r="AB745" s="243"/>
      <c r="AC745" s="243"/>
      <c r="AD745" s="243"/>
    </row>
    <row r="746" ht="33.75" customHeight="1">
      <c r="A746" s="252"/>
      <c r="B746" s="252"/>
      <c r="C746" s="243"/>
      <c r="D746" s="252"/>
      <c r="E746" s="243"/>
      <c r="F746" s="243"/>
      <c r="G746" s="243"/>
      <c r="H746" s="243"/>
      <c r="I746" s="243"/>
      <c r="J746" s="243"/>
      <c r="K746" s="243"/>
      <c r="L746" s="243"/>
      <c r="M746" s="243"/>
      <c r="N746" s="243"/>
      <c r="O746" s="243"/>
      <c r="P746" s="243"/>
      <c r="Q746" s="243"/>
      <c r="R746" s="243"/>
      <c r="S746" s="243"/>
      <c r="T746" s="243"/>
      <c r="U746" s="243"/>
      <c r="V746" s="243"/>
      <c r="W746" s="243"/>
      <c r="X746" s="243"/>
      <c r="Y746" s="243"/>
      <c r="Z746" s="243"/>
      <c r="AA746" s="243"/>
      <c r="AB746" s="243"/>
      <c r="AC746" s="243"/>
      <c r="AD746" s="243"/>
    </row>
    <row r="747" ht="33.75" customHeight="1">
      <c r="A747" s="252"/>
      <c r="B747" s="252"/>
      <c r="C747" s="243"/>
      <c r="D747" s="252"/>
      <c r="E747" s="243"/>
      <c r="F747" s="243"/>
      <c r="G747" s="243"/>
      <c r="H747" s="243"/>
      <c r="I747" s="243"/>
      <c r="J747" s="243"/>
      <c r="K747" s="243"/>
      <c r="L747" s="243"/>
      <c r="M747" s="243"/>
      <c r="N747" s="243"/>
      <c r="O747" s="243"/>
      <c r="P747" s="243"/>
      <c r="Q747" s="243"/>
      <c r="R747" s="243"/>
      <c r="S747" s="243"/>
      <c r="T747" s="243"/>
      <c r="U747" s="243"/>
      <c r="V747" s="243"/>
      <c r="W747" s="243"/>
      <c r="X747" s="243"/>
      <c r="Y747" s="243"/>
      <c r="Z747" s="243"/>
      <c r="AA747" s="243"/>
      <c r="AB747" s="243"/>
      <c r="AC747" s="243"/>
      <c r="AD747" s="243"/>
    </row>
    <row r="748" ht="33.75" customHeight="1">
      <c r="A748" s="252"/>
      <c r="B748" s="252"/>
      <c r="C748" s="243"/>
      <c r="D748" s="252"/>
      <c r="E748" s="243"/>
      <c r="F748" s="243"/>
      <c r="G748" s="243"/>
      <c r="H748" s="243"/>
      <c r="I748" s="243"/>
      <c r="J748" s="243"/>
      <c r="K748" s="243"/>
      <c r="L748" s="243"/>
      <c r="M748" s="243"/>
      <c r="N748" s="243"/>
      <c r="O748" s="243"/>
      <c r="P748" s="243"/>
      <c r="Q748" s="243"/>
      <c r="R748" s="243"/>
      <c r="S748" s="243"/>
      <c r="T748" s="243"/>
      <c r="U748" s="243"/>
      <c r="V748" s="243"/>
      <c r="W748" s="243"/>
      <c r="X748" s="243"/>
      <c r="Y748" s="243"/>
      <c r="Z748" s="243"/>
      <c r="AA748" s="243"/>
      <c r="AB748" s="243"/>
      <c r="AC748" s="243"/>
      <c r="AD748" s="243"/>
    </row>
    <row r="749" ht="33.75" customHeight="1">
      <c r="A749" s="252"/>
      <c r="B749" s="252"/>
      <c r="C749" s="243"/>
      <c r="D749" s="252"/>
      <c r="E749" s="243"/>
      <c r="F749" s="243"/>
      <c r="G749" s="243"/>
      <c r="H749" s="243"/>
      <c r="I749" s="243"/>
      <c r="J749" s="243"/>
      <c r="K749" s="243"/>
      <c r="L749" s="243"/>
      <c r="M749" s="243"/>
      <c r="N749" s="243"/>
      <c r="O749" s="243"/>
      <c r="P749" s="243"/>
      <c r="Q749" s="243"/>
      <c r="R749" s="243"/>
      <c r="S749" s="243"/>
      <c r="T749" s="243"/>
      <c r="U749" s="243"/>
      <c r="V749" s="243"/>
      <c r="W749" s="243"/>
      <c r="X749" s="243"/>
      <c r="Y749" s="243"/>
      <c r="Z749" s="243"/>
      <c r="AA749" s="243"/>
      <c r="AB749" s="243"/>
      <c r="AC749" s="243"/>
      <c r="AD749" s="243"/>
    </row>
    <row r="750" ht="33.75" customHeight="1">
      <c r="A750" s="252"/>
      <c r="B750" s="252"/>
      <c r="C750" s="243"/>
      <c r="D750" s="252"/>
      <c r="E750" s="243"/>
      <c r="F750" s="243"/>
      <c r="G750" s="243"/>
      <c r="H750" s="243"/>
      <c r="I750" s="243"/>
      <c r="J750" s="243"/>
      <c r="K750" s="243"/>
      <c r="L750" s="243"/>
      <c r="M750" s="243"/>
      <c r="N750" s="243"/>
      <c r="O750" s="243"/>
      <c r="P750" s="243"/>
      <c r="Q750" s="243"/>
      <c r="R750" s="243"/>
      <c r="S750" s="243"/>
      <c r="T750" s="243"/>
      <c r="U750" s="243"/>
      <c r="V750" s="243"/>
      <c r="W750" s="243"/>
      <c r="X750" s="243"/>
      <c r="Y750" s="243"/>
      <c r="Z750" s="243"/>
      <c r="AA750" s="243"/>
      <c r="AB750" s="243"/>
      <c r="AC750" s="243"/>
      <c r="AD750" s="243"/>
    </row>
    <row r="751" ht="33.75" customHeight="1">
      <c r="A751" s="252"/>
      <c r="B751" s="252"/>
      <c r="C751" s="243"/>
      <c r="D751" s="252"/>
      <c r="E751" s="243"/>
      <c r="F751" s="243"/>
      <c r="G751" s="243"/>
      <c r="H751" s="243"/>
      <c r="I751" s="243"/>
      <c r="J751" s="243"/>
      <c r="K751" s="243"/>
      <c r="L751" s="243"/>
      <c r="M751" s="243"/>
      <c r="N751" s="243"/>
      <c r="O751" s="243"/>
      <c r="P751" s="243"/>
      <c r="Q751" s="243"/>
      <c r="R751" s="243"/>
      <c r="S751" s="243"/>
      <c r="T751" s="243"/>
      <c r="U751" s="243"/>
      <c r="V751" s="243"/>
      <c r="W751" s="243"/>
      <c r="X751" s="243"/>
      <c r="Y751" s="243"/>
      <c r="Z751" s="243"/>
      <c r="AA751" s="243"/>
      <c r="AB751" s="243"/>
      <c r="AC751" s="243"/>
      <c r="AD751" s="243"/>
    </row>
    <row r="752" ht="33.75" customHeight="1">
      <c r="A752" s="252"/>
      <c r="B752" s="252"/>
      <c r="C752" s="243"/>
      <c r="D752" s="252"/>
      <c r="E752" s="243"/>
      <c r="F752" s="243"/>
      <c r="G752" s="243"/>
      <c r="H752" s="243"/>
      <c r="I752" s="243"/>
      <c r="J752" s="243"/>
      <c r="K752" s="243"/>
      <c r="L752" s="243"/>
      <c r="M752" s="243"/>
      <c r="N752" s="243"/>
      <c r="O752" s="243"/>
      <c r="P752" s="243"/>
      <c r="Q752" s="243"/>
      <c r="R752" s="243"/>
      <c r="S752" s="243"/>
      <c r="T752" s="243"/>
      <c r="U752" s="243"/>
      <c r="V752" s="243"/>
      <c r="W752" s="243"/>
      <c r="X752" s="243"/>
      <c r="Y752" s="243"/>
      <c r="Z752" s="243"/>
      <c r="AA752" s="243"/>
      <c r="AB752" s="243"/>
      <c r="AC752" s="243"/>
      <c r="AD752" s="243"/>
    </row>
    <row r="753" ht="33.75" customHeight="1">
      <c r="A753" s="252"/>
      <c r="B753" s="252"/>
      <c r="C753" s="243"/>
      <c r="D753" s="252"/>
      <c r="E753" s="243"/>
      <c r="F753" s="243"/>
      <c r="G753" s="243"/>
      <c r="H753" s="243"/>
      <c r="I753" s="243"/>
      <c r="J753" s="243"/>
      <c r="K753" s="243"/>
      <c r="L753" s="243"/>
      <c r="M753" s="243"/>
      <c r="N753" s="243"/>
      <c r="O753" s="243"/>
      <c r="P753" s="243"/>
      <c r="Q753" s="243"/>
      <c r="R753" s="243"/>
      <c r="S753" s="243"/>
      <c r="T753" s="243"/>
      <c r="U753" s="243"/>
      <c r="V753" s="243"/>
      <c r="W753" s="243"/>
      <c r="X753" s="243"/>
      <c r="Y753" s="243"/>
      <c r="Z753" s="243"/>
      <c r="AA753" s="243"/>
      <c r="AB753" s="243"/>
      <c r="AC753" s="243"/>
      <c r="AD753" s="243"/>
    </row>
    <row r="754" ht="33.75" customHeight="1">
      <c r="A754" s="252"/>
      <c r="B754" s="252"/>
      <c r="C754" s="243"/>
      <c r="D754" s="252"/>
      <c r="E754" s="243"/>
      <c r="F754" s="243"/>
      <c r="G754" s="243"/>
      <c r="H754" s="243"/>
      <c r="I754" s="243"/>
      <c r="J754" s="243"/>
      <c r="K754" s="243"/>
      <c r="L754" s="243"/>
      <c r="M754" s="243"/>
      <c r="N754" s="243"/>
      <c r="O754" s="243"/>
      <c r="P754" s="243"/>
      <c r="Q754" s="243"/>
      <c r="R754" s="243"/>
      <c r="S754" s="243"/>
      <c r="T754" s="243"/>
      <c r="U754" s="243"/>
      <c r="V754" s="243"/>
      <c r="W754" s="243"/>
      <c r="X754" s="243"/>
      <c r="Y754" s="243"/>
      <c r="Z754" s="243"/>
      <c r="AA754" s="243"/>
      <c r="AB754" s="243"/>
      <c r="AC754" s="243"/>
      <c r="AD754" s="243"/>
    </row>
    <row r="755" ht="33.75" customHeight="1">
      <c r="A755" s="252"/>
      <c r="B755" s="252"/>
      <c r="C755" s="243"/>
      <c r="D755" s="252"/>
      <c r="E755" s="243"/>
      <c r="F755" s="243"/>
      <c r="G755" s="243"/>
      <c r="H755" s="243"/>
      <c r="I755" s="243"/>
      <c r="J755" s="243"/>
      <c r="K755" s="243"/>
      <c r="L755" s="243"/>
      <c r="M755" s="243"/>
      <c r="N755" s="243"/>
      <c r="O755" s="243"/>
      <c r="P755" s="243"/>
      <c r="Q755" s="243"/>
      <c r="R755" s="243"/>
      <c r="S755" s="243"/>
      <c r="T755" s="243"/>
      <c r="U755" s="243"/>
      <c r="V755" s="243"/>
      <c r="W755" s="243"/>
      <c r="X755" s="243"/>
      <c r="Y755" s="243"/>
      <c r="Z755" s="243"/>
      <c r="AA755" s="243"/>
      <c r="AB755" s="243"/>
      <c r="AC755" s="243"/>
      <c r="AD755" s="243"/>
    </row>
    <row r="756" ht="33.75" customHeight="1">
      <c r="A756" s="252"/>
      <c r="B756" s="252"/>
      <c r="C756" s="243"/>
      <c r="D756" s="252"/>
      <c r="E756" s="243"/>
      <c r="F756" s="243"/>
      <c r="G756" s="243"/>
      <c r="H756" s="243"/>
      <c r="I756" s="243"/>
      <c r="J756" s="243"/>
      <c r="K756" s="243"/>
      <c r="L756" s="243"/>
      <c r="M756" s="243"/>
      <c r="N756" s="243"/>
      <c r="O756" s="243"/>
      <c r="P756" s="243"/>
      <c r="Q756" s="243"/>
      <c r="R756" s="243"/>
      <c r="S756" s="243"/>
      <c r="T756" s="243"/>
      <c r="U756" s="243"/>
      <c r="V756" s="243"/>
      <c r="W756" s="243"/>
      <c r="X756" s="243"/>
      <c r="Y756" s="243"/>
      <c r="Z756" s="243"/>
      <c r="AA756" s="243"/>
      <c r="AB756" s="243"/>
      <c r="AC756" s="243"/>
      <c r="AD756" s="243"/>
    </row>
    <row r="757" ht="33.75" customHeight="1">
      <c r="A757" s="252"/>
      <c r="B757" s="252"/>
      <c r="C757" s="243"/>
      <c r="D757" s="252"/>
      <c r="E757" s="243"/>
      <c r="F757" s="243"/>
      <c r="G757" s="243"/>
      <c r="H757" s="243"/>
      <c r="I757" s="243"/>
      <c r="J757" s="243"/>
      <c r="K757" s="243"/>
      <c r="L757" s="243"/>
      <c r="M757" s="243"/>
      <c r="N757" s="243"/>
      <c r="O757" s="243"/>
      <c r="P757" s="243"/>
      <c r="Q757" s="243"/>
      <c r="R757" s="243"/>
      <c r="S757" s="243"/>
      <c r="T757" s="243"/>
      <c r="U757" s="243"/>
      <c r="V757" s="243"/>
      <c r="W757" s="243"/>
      <c r="X757" s="243"/>
      <c r="Y757" s="243"/>
      <c r="Z757" s="243"/>
      <c r="AA757" s="243"/>
      <c r="AB757" s="243"/>
      <c r="AC757" s="243"/>
      <c r="AD757" s="243"/>
    </row>
    <row r="758" ht="33.75" customHeight="1">
      <c r="A758" s="252"/>
      <c r="B758" s="252"/>
      <c r="C758" s="243"/>
      <c r="D758" s="252"/>
      <c r="E758" s="243"/>
      <c r="F758" s="243"/>
      <c r="G758" s="243"/>
      <c r="H758" s="243"/>
      <c r="I758" s="243"/>
      <c r="J758" s="243"/>
      <c r="K758" s="243"/>
      <c r="L758" s="243"/>
      <c r="M758" s="243"/>
      <c r="N758" s="243"/>
      <c r="O758" s="243"/>
      <c r="P758" s="243"/>
      <c r="Q758" s="243"/>
      <c r="R758" s="243"/>
      <c r="S758" s="243"/>
      <c r="T758" s="243"/>
      <c r="U758" s="243"/>
      <c r="V758" s="243"/>
      <c r="W758" s="243"/>
      <c r="X758" s="243"/>
      <c r="Y758" s="243"/>
      <c r="Z758" s="243"/>
      <c r="AA758" s="243"/>
      <c r="AB758" s="243"/>
      <c r="AC758" s="243"/>
      <c r="AD758" s="243"/>
    </row>
    <row r="759" ht="33.75" customHeight="1">
      <c r="A759" s="252"/>
      <c r="B759" s="252"/>
      <c r="C759" s="243"/>
      <c r="D759" s="252"/>
      <c r="E759" s="243"/>
      <c r="F759" s="243"/>
      <c r="G759" s="243"/>
      <c r="H759" s="243"/>
      <c r="I759" s="243"/>
      <c r="J759" s="243"/>
      <c r="K759" s="243"/>
      <c r="L759" s="243"/>
      <c r="M759" s="243"/>
      <c r="N759" s="243"/>
      <c r="O759" s="243"/>
      <c r="P759" s="243"/>
      <c r="Q759" s="243"/>
      <c r="R759" s="243"/>
      <c r="S759" s="243"/>
      <c r="T759" s="243"/>
      <c r="U759" s="243"/>
      <c r="V759" s="243"/>
      <c r="W759" s="243"/>
      <c r="X759" s="243"/>
      <c r="Y759" s="243"/>
      <c r="Z759" s="243"/>
      <c r="AA759" s="243"/>
      <c r="AB759" s="243"/>
      <c r="AC759" s="243"/>
      <c r="AD759" s="243"/>
    </row>
    <row r="760" ht="33.75" customHeight="1">
      <c r="A760" s="252"/>
      <c r="B760" s="252"/>
      <c r="C760" s="243"/>
      <c r="D760" s="252"/>
      <c r="E760" s="243"/>
      <c r="F760" s="243"/>
      <c r="G760" s="243"/>
      <c r="H760" s="243"/>
      <c r="I760" s="243"/>
      <c r="J760" s="243"/>
      <c r="K760" s="243"/>
      <c r="L760" s="243"/>
      <c r="M760" s="243"/>
      <c r="N760" s="243"/>
      <c r="O760" s="243"/>
      <c r="P760" s="243"/>
      <c r="Q760" s="243"/>
      <c r="R760" s="243"/>
      <c r="S760" s="243"/>
      <c r="T760" s="243"/>
      <c r="U760" s="243"/>
      <c r="V760" s="243"/>
      <c r="W760" s="243"/>
      <c r="X760" s="243"/>
      <c r="Y760" s="243"/>
      <c r="Z760" s="243"/>
      <c r="AA760" s="243"/>
      <c r="AB760" s="243"/>
      <c r="AC760" s="243"/>
      <c r="AD760" s="243"/>
    </row>
    <row r="761" ht="33.75" customHeight="1">
      <c r="A761" s="252"/>
      <c r="B761" s="252"/>
      <c r="C761" s="243"/>
      <c r="D761" s="252"/>
      <c r="E761" s="243"/>
      <c r="F761" s="243"/>
      <c r="G761" s="243"/>
      <c r="H761" s="243"/>
      <c r="I761" s="243"/>
      <c r="J761" s="243"/>
      <c r="K761" s="243"/>
      <c r="L761" s="243"/>
      <c r="M761" s="243"/>
      <c r="N761" s="243"/>
      <c r="O761" s="243"/>
      <c r="P761" s="243"/>
      <c r="Q761" s="243"/>
      <c r="R761" s="243"/>
      <c r="S761" s="243"/>
      <c r="T761" s="243"/>
      <c r="U761" s="243"/>
      <c r="V761" s="243"/>
      <c r="W761" s="243"/>
      <c r="X761" s="243"/>
      <c r="Y761" s="243"/>
      <c r="Z761" s="243"/>
      <c r="AA761" s="243"/>
      <c r="AB761" s="243"/>
      <c r="AC761" s="243"/>
      <c r="AD761" s="243"/>
    </row>
    <row r="762" ht="33.75" customHeight="1">
      <c r="A762" s="252"/>
      <c r="B762" s="252"/>
      <c r="C762" s="243"/>
      <c r="D762" s="252"/>
      <c r="E762" s="243"/>
      <c r="F762" s="243"/>
      <c r="G762" s="243"/>
      <c r="H762" s="243"/>
      <c r="I762" s="243"/>
      <c r="J762" s="243"/>
      <c r="K762" s="243"/>
      <c r="L762" s="243"/>
      <c r="M762" s="243"/>
      <c r="N762" s="243"/>
      <c r="O762" s="243"/>
      <c r="P762" s="243"/>
      <c r="Q762" s="243"/>
      <c r="R762" s="243"/>
      <c r="S762" s="243"/>
      <c r="T762" s="243"/>
      <c r="U762" s="243"/>
      <c r="V762" s="243"/>
      <c r="W762" s="243"/>
      <c r="X762" s="243"/>
      <c r="Y762" s="243"/>
      <c r="Z762" s="243"/>
      <c r="AA762" s="243"/>
      <c r="AB762" s="243"/>
      <c r="AC762" s="243"/>
      <c r="AD762" s="243"/>
    </row>
    <row r="763" ht="33.75" customHeight="1">
      <c r="A763" s="252"/>
      <c r="B763" s="252"/>
      <c r="C763" s="243"/>
      <c r="D763" s="252"/>
      <c r="E763" s="243"/>
      <c r="F763" s="243"/>
      <c r="G763" s="243"/>
      <c r="H763" s="243"/>
      <c r="I763" s="243"/>
      <c r="J763" s="243"/>
      <c r="K763" s="243"/>
      <c r="L763" s="243"/>
      <c r="M763" s="243"/>
      <c r="N763" s="243"/>
      <c r="O763" s="243"/>
      <c r="P763" s="243"/>
      <c r="Q763" s="243"/>
      <c r="R763" s="243"/>
      <c r="S763" s="243"/>
      <c r="T763" s="243"/>
      <c r="U763" s="243"/>
      <c r="V763" s="243"/>
      <c r="W763" s="243"/>
      <c r="X763" s="243"/>
      <c r="Y763" s="243"/>
      <c r="Z763" s="243"/>
      <c r="AA763" s="243"/>
      <c r="AB763" s="243"/>
      <c r="AC763" s="243"/>
      <c r="AD763" s="243"/>
    </row>
    <row r="764" ht="33.75" customHeight="1">
      <c r="A764" s="252"/>
      <c r="B764" s="252"/>
      <c r="C764" s="243"/>
      <c r="D764" s="252"/>
      <c r="E764" s="243"/>
      <c r="F764" s="243"/>
      <c r="G764" s="243"/>
      <c r="H764" s="243"/>
      <c r="I764" s="243"/>
      <c r="J764" s="243"/>
      <c r="K764" s="243"/>
      <c r="L764" s="243"/>
      <c r="M764" s="243"/>
      <c r="N764" s="243"/>
      <c r="O764" s="243"/>
      <c r="P764" s="243"/>
      <c r="Q764" s="243"/>
      <c r="R764" s="243"/>
      <c r="S764" s="243"/>
      <c r="T764" s="243"/>
      <c r="U764" s="243"/>
      <c r="V764" s="243"/>
      <c r="W764" s="243"/>
      <c r="X764" s="243"/>
      <c r="Y764" s="243"/>
      <c r="Z764" s="243"/>
      <c r="AA764" s="243"/>
      <c r="AB764" s="243"/>
      <c r="AC764" s="243"/>
      <c r="AD764" s="243"/>
    </row>
    <row r="765" ht="33.75" customHeight="1">
      <c r="A765" s="252"/>
      <c r="B765" s="252"/>
      <c r="C765" s="243"/>
      <c r="D765" s="252"/>
      <c r="E765" s="243"/>
      <c r="F765" s="243"/>
      <c r="G765" s="243"/>
      <c r="H765" s="243"/>
      <c r="I765" s="243"/>
      <c r="J765" s="243"/>
      <c r="K765" s="243"/>
      <c r="L765" s="243"/>
      <c r="M765" s="243"/>
      <c r="N765" s="243"/>
      <c r="O765" s="243"/>
      <c r="P765" s="243"/>
      <c r="Q765" s="243"/>
      <c r="R765" s="243"/>
      <c r="S765" s="243"/>
      <c r="T765" s="243"/>
      <c r="U765" s="243"/>
      <c r="V765" s="243"/>
      <c r="W765" s="243"/>
      <c r="X765" s="243"/>
      <c r="Y765" s="243"/>
      <c r="Z765" s="243"/>
      <c r="AA765" s="243"/>
      <c r="AB765" s="243"/>
      <c r="AC765" s="243"/>
      <c r="AD765" s="243"/>
    </row>
    <row r="766" ht="33.75" customHeight="1">
      <c r="A766" s="252"/>
      <c r="B766" s="252"/>
      <c r="C766" s="243"/>
      <c r="D766" s="252"/>
      <c r="E766" s="243"/>
      <c r="F766" s="243"/>
      <c r="G766" s="243"/>
      <c r="H766" s="243"/>
      <c r="I766" s="243"/>
      <c r="J766" s="243"/>
      <c r="K766" s="243"/>
      <c r="L766" s="243"/>
      <c r="M766" s="243"/>
      <c r="N766" s="243"/>
      <c r="O766" s="243"/>
      <c r="P766" s="243"/>
      <c r="Q766" s="243"/>
      <c r="R766" s="243"/>
      <c r="S766" s="243"/>
      <c r="T766" s="243"/>
      <c r="U766" s="243"/>
      <c r="V766" s="243"/>
      <c r="W766" s="243"/>
      <c r="X766" s="243"/>
      <c r="Y766" s="243"/>
      <c r="Z766" s="243"/>
      <c r="AA766" s="243"/>
      <c r="AB766" s="243"/>
      <c r="AC766" s="243"/>
      <c r="AD766" s="243"/>
    </row>
    <row r="767" ht="33.75" customHeight="1">
      <c r="A767" s="252"/>
      <c r="B767" s="252"/>
      <c r="C767" s="243"/>
      <c r="D767" s="252"/>
      <c r="E767" s="243"/>
      <c r="F767" s="243"/>
      <c r="G767" s="243"/>
      <c r="H767" s="243"/>
      <c r="I767" s="243"/>
      <c r="J767" s="243"/>
      <c r="K767" s="243"/>
      <c r="L767" s="243"/>
      <c r="M767" s="243"/>
      <c r="N767" s="243"/>
      <c r="O767" s="243"/>
      <c r="P767" s="243"/>
      <c r="Q767" s="243"/>
      <c r="R767" s="243"/>
      <c r="S767" s="243"/>
      <c r="T767" s="243"/>
      <c r="U767" s="243"/>
      <c r="V767" s="243"/>
      <c r="W767" s="243"/>
      <c r="X767" s="243"/>
      <c r="Y767" s="243"/>
      <c r="Z767" s="243"/>
      <c r="AA767" s="243"/>
      <c r="AB767" s="243"/>
      <c r="AC767" s="243"/>
      <c r="AD767" s="243"/>
    </row>
    <row r="768" ht="33.75" customHeight="1">
      <c r="A768" s="252"/>
      <c r="B768" s="252"/>
      <c r="C768" s="243"/>
      <c r="D768" s="252"/>
      <c r="E768" s="243"/>
      <c r="F768" s="243"/>
      <c r="G768" s="243"/>
      <c r="H768" s="243"/>
      <c r="I768" s="243"/>
      <c r="J768" s="243"/>
      <c r="K768" s="243"/>
      <c r="L768" s="243"/>
      <c r="M768" s="243"/>
      <c r="N768" s="243"/>
      <c r="O768" s="243"/>
      <c r="P768" s="243"/>
      <c r="Q768" s="243"/>
      <c r="R768" s="243"/>
      <c r="S768" s="243"/>
      <c r="T768" s="243"/>
      <c r="U768" s="243"/>
      <c r="V768" s="243"/>
      <c r="W768" s="243"/>
      <c r="X768" s="243"/>
      <c r="Y768" s="243"/>
      <c r="Z768" s="243"/>
      <c r="AA768" s="243"/>
      <c r="AB768" s="243"/>
      <c r="AC768" s="243"/>
      <c r="AD768" s="243"/>
    </row>
    <row r="769" ht="33.75" customHeight="1">
      <c r="A769" s="252"/>
      <c r="B769" s="252"/>
      <c r="C769" s="243"/>
      <c r="D769" s="252"/>
      <c r="E769" s="243"/>
      <c r="F769" s="243"/>
      <c r="G769" s="243"/>
      <c r="H769" s="243"/>
      <c r="I769" s="243"/>
      <c r="J769" s="243"/>
      <c r="K769" s="243"/>
      <c r="L769" s="243"/>
      <c r="M769" s="243"/>
      <c r="N769" s="243"/>
      <c r="O769" s="243"/>
      <c r="P769" s="243"/>
      <c r="Q769" s="243"/>
      <c r="R769" s="243"/>
      <c r="S769" s="243"/>
      <c r="T769" s="243"/>
      <c r="U769" s="243"/>
      <c r="V769" s="243"/>
      <c r="W769" s="243"/>
      <c r="X769" s="243"/>
      <c r="Y769" s="243"/>
      <c r="Z769" s="243"/>
      <c r="AA769" s="243"/>
      <c r="AB769" s="243"/>
      <c r="AC769" s="243"/>
      <c r="AD769" s="243"/>
    </row>
    <row r="770" ht="33.75" customHeight="1">
      <c r="A770" s="252"/>
      <c r="B770" s="252"/>
      <c r="C770" s="243"/>
      <c r="D770" s="252"/>
      <c r="E770" s="243"/>
      <c r="F770" s="243"/>
      <c r="G770" s="243"/>
      <c r="H770" s="243"/>
      <c r="I770" s="243"/>
      <c r="J770" s="243"/>
      <c r="K770" s="243"/>
      <c r="L770" s="243"/>
      <c r="M770" s="243"/>
      <c r="N770" s="243"/>
      <c r="O770" s="243"/>
      <c r="P770" s="243"/>
      <c r="Q770" s="243"/>
      <c r="R770" s="243"/>
      <c r="S770" s="243"/>
      <c r="T770" s="243"/>
      <c r="U770" s="243"/>
      <c r="V770" s="243"/>
      <c r="W770" s="243"/>
      <c r="X770" s="243"/>
      <c r="Y770" s="243"/>
      <c r="Z770" s="243"/>
      <c r="AA770" s="243"/>
      <c r="AB770" s="243"/>
      <c r="AC770" s="243"/>
      <c r="AD770" s="243"/>
    </row>
    <row r="771" ht="33.75" customHeight="1">
      <c r="A771" s="252"/>
      <c r="B771" s="252"/>
      <c r="C771" s="243"/>
      <c r="D771" s="252"/>
      <c r="E771" s="243"/>
      <c r="F771" s="243"/>
      <c r="G771" s="243"/>
      <c r="H771" s="243"/>
      <c r="I771" s="243"/>
      <c r="J771" s="243"/>
      <c r="K771" s="243"/>
      <c r="L771" s="243"/>
      <c r="M771" s="243"/>
      <c r="N771" s="243"/>
      <c r="O771" s="243"/>
      <c r="P771" s="243"/>
      <c r="Q771" s="243"/>
      <c r="R771" s="243"/>
      <c r="S771" s="243"/>
      <c r="T771" s="243"/>
      <c r="U771" s="243"/>
      <c r="V771" s="243"/>
      <c r="W771" s="243"/>
      <c r="X771" s="243"/>
      <c r="Y771" s="243"/>
      <c r="Z771" s="243"/>
      <c r="AA771" s="243"/>
      <c r="AB771" s="243"/>
      <c r="AC771" s="243"/>
      <c r="AD771" s="243"/>
    </row>
    <row r="772" ht="33.75" customHeight="1">
      <c r="A772" s="252"/>
      <c r="B772" s="252"/>
      <c r="C772" s="243"/>
      <c r="D772" s="252"/>
      <c r="E772" s="243"/>
      <c r="F772" s="243"/>
      <c r="G772" s="243"/>
      <c r="H772" s="243"/>
      <c r="I772" s="243"/>
      <c r="J772" s="243"/>
      <c r="K772" s="243"/>
      <c r="L772" s="243"/>
      <c r="M772" s="243"/>
      <c r="N772" s="243"/>
      <c r="O772" s="243"/>
      <c r="P772" s="243"/>
      <c r="Q772" s="243"/>
      <c r="R772" s="243"/>
      <c r="S772" s="243"/>
      <c r="T772" s="243"/>
      <c r="U772" s="243"/>
      <c r="V772" s="243"/>
      <c r="W772" s="243"/>
      <c r="X772" s="243"/>
      <c r="Y772" s="243"/>
      <c r="Z772" s="243"/>
      <c r="AA772" s="243"/>
      <c r="AB772" s="243"/>
      <c r="AC772" s="243"/>
      <c r="AD772" s="243"/>
    </row>
    <row r="773" ht="33.75" customHeight="1">
      <c r="A773" s="252"/>
      <c r="B773" s="252"/>
      <c r="C773" s="243"/>
      <c r="D773" s="252"/>
      <c r="E773" s="243"/>
      <c r="F773" s="243"/>
      <c r="G773" s="243"/>
      <c r="H773" s="243"/>
      <c r="I773" s="243"/>
      <c r="J773" s="243"/>
      <c r="K773" s="243"/>
      <c r="L773" s="243"/>
      <c r="M773" s="243"/>
      <c r="N773" s="243"/>
      <c r="O773" s="243"/>
      <c r="P773" s="243"/>
      <c r="Q773" s="243"/>
      <c r="R773" s="243"/>
      <c r="S773" s="243"/>
      <c r="T773" s="243"/>
      <c r="U773" s="243"/>
      <c r="V773" s="243"/>
      <c r="W773" s="243"/>
      <c r="X773" s="243"/>
      <c r="Y773" s="243"/>
      <c r="Z773" s="243"/>
      <c r="AA773" s="243"/>
      <c r="AB773" s="243"/>
      <c r="AC773" s="243"/>
      <c r="AD773" s="243"/>
    </row>
    <row r="774" ht="33.75" customHeight="1">
      <c r="A774" s="252"/>
      <c r="B774" s="252"/>
      <c r="C774" s="243"/>
      <c r="D774" s="252"/>
      <c r="E774" s="243"/>
      <c r="F774" s="243"/>
      <c r="G774" s="243"/>
      <c r="H774" s="243"/>
      <c r="I774" s="243"/>
      <c r="J774" s="243"/>
      <c r="K774" s="243"/>
      <c r="L774" s="243"/>
      <c r="M774" s="243"/>
      <c r="N774" s="243"/>
      <c r="O774" s="243"/>
      <c r="P774" s="243"/>
      <c r="Q774" s="243"/>
      <c r="R774" s="243"/>
      <c r="S774" s="243"/>
      <c r="T774" s="243"/>
      <c r="U774" s="243"/>
      <c r="V774" s="243"/>
      <c r="W774" s="243"/>
      <c r="X774" s="243"/>
      <c r="Y774" s="243"/>
      <c r="Z774" s="243"/>
      <c r="AA774" s="243"/>
      <c r="AB774" s="243"/>
      <c r="AC774" s="243"/>
      <c r="AD774" s="243"/>
    </row>
    <row r="775" ht="33.75" customHeight="1">
      <c r="A775" s="252"/>
      <c r="B775" s="252"/>
      <c r="C775" s="243"/>
      <c r="D775" s="252"/>
      <c r="E775" s="243"/>
      <c r="F775" s="243"/>
      <c r="G775" s="243"/>
      <c r="H775" s="243"/>
      <c r="I775" s="243"/>
      <c r="J775" s="243"/>
      <c r="K775" s="243"/>
      <c r="L775" s="243"/>
      <c r="M775" s="243"/>
      <c r="N775" s="243"/>
      <c r="O775" s="243"/>
      <c r="P775" s="243"/>
      <c r="Q775" s="243"/>
      <c r="R775" s="243"/>
      <c r="S775" s="243"/>
      <c r="T775" s="243"/>
      <c r="U775" s="243"/>
      <c r="V775" s="243"/>
      <c r="W775" s="243"/>
      <c r="X775" s="243"/>
      <c r="Y775" s="243"/>
      <c r="Z775" s="243"/>
      <c r="AA775" s="243"/>
      <c r="AB775" s="243"/>
      <c r="AC775" s="243"/>
      <c r="AD775" s="243"/>
    </row>
    <row r="776" ht="33.75" customHeight="1">
      <c r="A776" s="252"/>
      <c r="B776" s="252"/>
      <c r="C776" s="243"/>
      <c r="D776" s="252"/>
      <c r="E776" s="243"/>
      <c r="F776" s="243"/>
      <c r="G776" s="243"/>
      <c r="H776" s="243"/>
      <c r="I776" s="243"/>
      <c r="J776" s="243"/>
      <c r="K776" s="243"/>
      <c r="L776" s="243"/>
      <c r="M776" s="243"/>
      <c r="N776" s="243"/>
      <c r="O776" s="243"/>
      <c r="P776" s="243"/>
      <c r="Q776" s="243"/>
      <c r="R776" s="243"/>
      <c r="S776" s="243"/>
      <c r="T776" s="243"/>
      <c r="U776" s="243"/>
      <c r="V776" s="243"/>
      <c r="W776" s="243"/>
      <c r="X776" s="243"/>
      <c r="Y776" s="243"/>
      <c r="Z776" s="243"/>
      <c r="AA776" s="243"/>
      <c r="AB776" s="243"/>
      <c r="AC776" s="243"/>
      <c r="AD776" s="243"/>
    </row>
    <row r="777" ht="33.75" customHeight="1">
      <c r="A777" s="252"/>
      <c r="B777" s="252"/>
      <c r="C777" s="243"/>
      <c r="D777" s="252"/>
      <c r="E777" s="243"/>
      <c r="F777" s="243"/>
      <c r="G777" s="243"/>
      <c r="H777" s="243"/>
      <c r="I777" s="243"/>
      <c r="J777" s="243"/>
      <c r="K777" s="243"/>
      <c r="L777" s="243"/>
      <c r="M777" s="243"/>
      <c r="N777" s="243"/>
      <c r="O777" s="243"/>
      <c r="P777" s="243"/>
      <c r="Q777" s="243"/>
      <c r="R777" s="243"/>
      <c r="S777" s="243"/>
      <c r="T777" s="243"/>
      <c r="U777" s="243"/>
      <c r="V777" s="243"/>
      <c r="W777" s="243"/>
      <c r="X777" s="243"/>
      <c r="Y777" s="243"/>
      <c r="Z777" s="243"/>
      <c r="AA777" s="243"/>
      <c r="AB777" s="243"/>
      <c r="AC777" s="243"/>
      <c r="AD777" s="243"/>
    </row>
    <row r="778" ht="33.75" customHeight="1">
      <c r="A778" s="252"/>
      <c r="B778" s="252"/>
      <c r="C778" s="243"/>
      <c r="D778" s="252"/>
      <c r="E778" s="243"/>
      <c r="F778" s="243"/>
      <c r="G778" s="243"/>
      <c r="H778" s="243"/>
      <c r="I778" s="243"/>
      <c r="J778" s="243"/>
      <c r="K778" s="243"/>
      <c r="L778" s="243"/>
      <c r="M778" s="243"/>
      <c r="N778" s="243"/>
      <c r="O778" s="243"/>
      <c r="P778" s="243"/>
      <c r="Q778" s="243"/>
      <c r="R778" s="243"/>
      <c r="S778" s="243"/>
      <c r="T778" s="243"/>
      <c r="U778" s="243"/>
      <c r="V778" s="243"/>
      <c r="W778" s="243"/>
      <c r="X778" s="243"/>
      <c r="Y778" s="243"/>
      <c r="Z778" s="243"/>
      <c r="AA778" s="243"/>
      <c r="AB778" s="243"/>
      <c r="AC778" s="243"/>
      <c r="AD778" s="243"/>
    </row>
    <row r="779" ht="33.75" customHeight="1">
      <c r="A779" s="252"/>
      <c r="B779" s="252"/>
      <c r="C779" s="243"/>
      <c r="D779" s="252"/>
      <c r="E779" s="243"/>
      <c r="F779" s="243"/>
      <c r="G779" s="243"/>
      <c r="H779" s="243"/>
      <c r="I779" s="243"/>
      <c r="J779" s="243"/>
      <c r="K779" s="243"/>
      <c r="L779" s="243"/>
      <c r="M779" s="243"/>
      <c r="N779" s="243"/>
      <c r="O779" s="243"/>
      <c r="P779" s="243"/>
      <c r="Q779" s="243"/>
      <c r="R779" s="243"/>
      <c r="S779" s="243"/>
      <c r="T779" s="243"/>
      <c r="U779" s="243"/>
      <c r="V779" s="243"/>
      <c r="W779" s="243"/>
      <c r="X779" s="243"/>
      <c r="Y779" s="243"/>
      <c r="Z779" s="243"/>
      <c r="AA779" s="243"/>
      <c r="AB779" s="243"/>
      <c r="AC779" s="243"/>
      <c r="AD779" s="243"/>
    </row>
    <row r="780" ht="33.75" customHeight="1">
      <c r="A780" s="252"/>
      <c r="B780" s="252"/>
      <c r="C780" s="243"/>
      <c r="D780" s="252"/>
      <c r="E780" s="243"/>
      <c r="F780" s="243"/>
      <c r="G780" s="243"/>
      <c r="H780" s="243"/>
      <c r="I780" s="243"/>
      <c r="J780" s="243"/>
      <c r="K780" s="243"/>
      <c r="L780" s="243"/>
      <c r="M780" s="243"/>
      <c r="N780" s="243"/>
      <c r="O780" s="243"/>
      <c r="P780" s="243"/>
      <c r="Q780" s="243"/>
      <c r="R780" s="243"/>
      <c r="S780" s="243"/>
      <c r="T780" s="243"/>
      <c r="U780" s="243"/>
      <c r="V780" s="243"/>
      <c r="W780" s="243"/>
      <c r="X780" s="243"/>
      <c r="Y780" s="243"/>
      <c r="Z780" s="243"/>
      <c r="AA780" s="243"/>
      <c r="AB780" s="243"/>
      <c r="AC780" s="243"/>
      <c r="AD780" s="243"/>
    </row>
    <row r="781" ht="33.75" customHeight="1">
      <c r="A781" s="252"/>
      <c r="B781" s="252"/>
      <c r="C781" s="243"/>
      <c r="D781" s="252"/>
      <c r="E781" s="243"/>
      <c r="F781" s="243"/>
      <c r="G781" s="243"/>
      <c r="H781" s="243"/>
      <c r="I781" s="243"/>
      <c r="J781" s="243"/>
      <c r="K781" s="243"/>
      <c r="L781" s="243"/>
      <c r="M781" s="243"/>
      <c r="N781" s="243"/>
      <c r="O781" s="243"/>
      <c r="P781" s="243"/>
      <c r="Q781" s="243"/>
      <c r="R781" s="243"/>
      <c r="S781" s="243"/>
      <c r="T781" s="243"/>
      <c r="U781" s="243"/>
      <c r="V781" s="243"/>
      <c r="W781" s="243"/>
      <c r="X781" s="243"/>
      <c r="Y781" s="243"/>
      <c r="Z781" s="243"/>
      <c r="AA781" s="243"/>
      <c r="AB781" s="243"/>
      <c r="AC781" s="243"/>
      <c r="AD781" s="243"/>
    </row>
    <row r="782" ht="33.75" customHeight="1">
      <c r="A782" s="252"/>
      <c r="B782" s="252"/>
      <c r="C782" s="243"/>
      <c r="D782" s="252"/>
      <c r="E782" s="243"/>
      <c r="F782" s="243"/>
      <c r="G782" s="243"/>
      <c r="H782" s="243"/>
      <c r="I782" s="243"/>
      <c r="J782" s="243"/>
      <c r="K782" s="243"/>
      <c r="L782" s="243"/>
      <c r="M782" s="243"/>
      <c r="N782" s="243"/>
      <c r="O782" s="243"/>
      <c r="P782" s="243"/>
      <c r="Q782" s="243"/>
      <c r="R782" s="243"/>
      <c r="S782" s="243"/>
      <c r="T782" s="243"/>
      <c r="U782" s="243"/>
      <c r="V782" s="243"/>
      <c r="W782" s="243"/>
      <c r="X782" s="243"/>
      <c r="Y782" s="243"/>
      <c r="Z782" s="243"/>
      <c r="AA782" s="243"/>
      <c r="AB782" s="243"/>
      <c r="AC782" s="243"/>
      <c r="AD782" s="243"/>
    </row>
    <row r="783" ht="33.75" customHeight="1">
      <c r="A783" s="252"/>
      <c r="B783" s="252"/>
      <c r="C783" s="243"/>
      <c r="D783" s="252"/>
      <c r="E783" s="243"/>
      <c r="F783" s="243"/>
      <c r="G783" s="243"/>
      <c r="H783" s="243"/>
      <c r="I783" s="243"/>
      <c r="J783" s="243"/>
      <c r="K783" s="243"/>
      <c r="L783" s="243"/>
      <c r="M783" s="243"/>
      <c r="N783" s="243"/>
      <c r="O783" s="243"/>
      <c r="P783" s="243"/>
      <c r="Q783" s="243"/>
      <c r="R783" s="243"/>
      <c r="S783" s="243"/>
      <c r="T783" s="243"/>
      <c r="U783" s="243"/>
      <c r="V783" s="243"/>
      <c r="W783" s="243"/>
      <c r="X783" s="243"/>
      <c r="Y783" s="243"/>
      <c r="Z783" s="243"/>
      <c r="AA783" s="243"/>
      <c r="AB783" s="243"/>
      <c r="AC783" s="243"/>
      <c r="AD783" s="243"/>
    </row>
    <row r="784" ht="33.75" customHeight="1">
      <c r="A784" s="252"/>
      <c r="B784" s="252"/>
      <c r="C784" s="243"/>
      <c r="D784" s="252"/>
      <c r="E784" s="243"/>
      <c r="F784" s="243"/>
      <c r="G784" s="243"/>
      <c r="H784" s="243"/>
      <c r="I784" s="243"/>
      <c r="J784" s="243"/>
      <c r="K784" s="243"/>
      <c r="L784" s="243"/>
      <c r="M784" s="243"/>
      <c r="N784" s="243"/>
      <c r="O784" s="243"/>
      <c r="P784" s="243"/>
      <c r="Q784" s="243"/>
      <c r="R784" s="243"/>
      <c r="S784" s="243"/>
      <c r="T784" s="243"/>
      <c r="U784" s="243"/>
      <c r="V784" s="243"/>
      <c r="W784" s="243"/>
      <c r="X784" s="243"/>
      <c r="Y784" s="243"/>
      <c r="Z784" s="243"/>
      <c r="AA784" s="243"/>
      <c r="AB784" s="243"/>
      <c r="AC784" s="243"/>
      <c r="AD784" s="243"/>
    </row>
    <row r="785" ht="33.75" customHeight="1">
      <c r="A785" s="252"/>
      <c r="B785" s="252"/>
      <c r="C785" s="243"/>
      <c r="D785" s="252"/>
      <c r="E785" s="243"/>
      <c r="F785" s="243"/>
      <c r="G785" s="243"/>
      <c r="H785" s="243"/>
      <c r="I785" s="243"/>
      <c r="J785" s="243"/>
      <c r="K785" s="243"/>
      <c r="L785" s="243"/>
      <c r="M785" s="243"/>
      <c r="N785" s="243"/>
      <c r="O785" s="243"/>
      <c r="P785" s="243"/>
      <c r="Q785" s="243"/>
      <c r="R785" s="243"/>
      <c r="S785" s="243"/>
      <c r="T785" s="243"/>
      <c r="U785" s="243"/>
      <c r="V785" s="243"/>
      <c r="W785" s="243"/>
      <c r="X785" s="243"/>
      <c r="Y785" s="243"/>
      <c r="Z785" s="243"/>
      <c r="AA785" s="243"/>
      <c r="AB785" s="243"/>
      <c r="AC785" s="243"/>
      <c r="AD785" s="243"/>
    </row>
    <row r="786" ht="33.75" customHeight="1">
      <c r="A786" s="252"/>
      <c r="B786" s="252"/>
      <c r="C786" s="243"/>
      <c r="D786" s="252"/>
      <c r="E786" s="243"/>
      <c r="F786" s="243"/>
      <c r="G786" s="243"/>
      <c r="H786" s="243"/>
      <c r="I786" s="243"/>
      <c r="J786" s="243"/>
      <c r="K786" s="243"/>
      <c r="L786" s="243"/>
      <c r="M786" s="243"/>
      <c r="N786" s="243"/>
      <c r="O786" s="243"/>
      <c r="P786" s="243"/>
      <c r="Q786" s="243"/>
      <c r="R786" s="243"/>
      <c r="S786" s="243"/>
      <c r="T786" s="243"/>
      <c r="U786" s="243"/>
      <c r="V786" s="243"/>
      <c r="W786" s="243"/>
      <c r="X786" s="243"/>
      <c r="Y786" s="243"/>
      <c r="Z786" s="243"/>
      <c r="AA786" s="243"/>
      <c r="AB786" s="243"/>
      <c r="AC786" s="243"/>
      <c r="AD786" s="243"/>
    </row>
    <row r="787" ht="33.75" customHeight="1">
      <c r="A787" s="252"/>
      <c r="B787" s="252"/>
      <c r="C787" s="243"/>
      <c r="D787" s="252"/>
      <c r="E787" s="243"/>
      <c r="F787" s="243"/>
      <c r="G787" s="243"/>
      <c r="H787" s="243"/>
      <c r="I787" s="243"/>
      <c r="J787" s="243"/>
      <c r="K787" s="243"/>
      <c r="L787" s="243"/>
      <c r="M787" s="243"/>
      <c r="N787" s="243"/>
      <c r="O787" s="243"/>
      <c r="P787" s="243"/>
      <c r="Q787" s="243"/>
      <c r="R787" s="243"/>
      <c r="S787" s="243"/>
      <c r="T787" s="243"/>
      <c r="U787" s="243"/>
      <c r="V787" s="243"/>
      <c r="W787" s="243"/>
      <c r="X787" s="243"/>
      <c r="Y787" s="243"/>
      <c r="Z787" s="243"/>
      <c r="AA787" s="243"/>
      <c r="AB787" s="243"/>
      <c r="AC787" s="243"/>
      <c r="AD787" s="243"/>
    </row>
    <row r="788" ht="33.75" customHeight="1">
      <c r="A788" s="252"/>
      <c r="B788" s="252"/>
      <c r="C788" s="243"/>
      <c r="D788" s="252"/>
      <c r="E788" s="243"/>
      <c r="F788" s="243"/>
      <c r="G788" s="243"/>
      <c r="H788" s="243"/>
      <c r="I788" s="243"/>
      <c r="J788" s="243"/>
      <c r="K788" s="243"/>
      <c r="L788" s="243"/>
      <c r="M788" s="243"/>
      <c r="N788" s="243"/>
      <c r="O788" s="243"/>
      <c r="P788" s="243"/>
      <c r="Q788" s="243"/>
      <c r="R788" s="243"/>
      <c r="S788" s="243"/>
      <c r="T788" s="243"/>
      <c r="U788" s="243"/>
      <c r="V788" s="243"/>
      <c r="W788" s="243"/>
      <c r="X788" s="243"/>
      <c r="Y788" s="243"/>
      <c r="Z788" s="243"/>
      <c r="AA788" s="243"/>
      <c r="AB788" s="243"/>
      <c r="AC788" s="243"/>
      <c r="AD788" s="243"/>
    </row>
    <row r="789" ht="33.75" customHeight="1">
      <c r="A789" s="252"/>
      <c r="B789" s="252"/>
      <c r="C789" s="243"/>
      <c r="D789" s="252"/>
      <c r="E789" s="243"/>
      <c r="F789" s="243"/>
      <c r="G789" s="243"/>
      <c r="H789" s="243"/>
      <c r="I789" s="243"/>
      <c r="J789" s="243"/>
      <c r="K789" s="243"/>
      <c r="L789" s="243"/>
      <c r="M789" s="243"/>
      <c r="N789" s="243"/>
      <c r="O789" s="243"/>
      <c r="P789" s="243"/>
      <c r="Q789" s="243"/>
      <c r="R789" s="243"/>
      <c r="S789" s="243"/>
      <c r="T789" s="243"/>
      <c r="U789" s="243"/>
      <c r="V789" s="243"/>
      <c r="W789" s="243"/>
      <c r="X789" s="243"/>
      <c r="Y789" s="243"/>
      <c r="Z789" s="243"/>
      <c r="AA789" s="243"/>
      <c r="AB789" s="243"/>
      <c r="AC789" s="243"/>
      <c r="AD789" s="243"/>
    </row>
    <row r="790" ht="33.75" customHeight="1">
      <c r="A790" s="252"/>
      <c r="B790" s="252"/>
      <c r="C790" s="243"/>
      <c r="D790" s="252"/>
      <c r="E790" s="243"/>
      <c r="F790" s="243"/>
      <c r="G790" s="243"/>
      <c r="H790" s="243"/>
      <c r="I790" s="243"/>
      <c r="J790" s="243"/>
      <c r="K790" s="243"/>
      <c r="L790" s="243"/>
      <c r="M790" s="243"/>
      <c r="N790" s="243"/>
      <c r="O790" s="243"/>
      <c r="P790" s="243"/>
      <c r="Q790" s="243"/>
      <c r="R790" s="243"/>
      <c r="S790" s="243"/>
      <c r="T790" s="243"/>
      <c r="U790" s="243"/>
      <c r="V790" s="243"/>
      <c r="W790" s="243"/>
      <c r="X790" s="243"/>
      <c r="Y790" s="243"/>
      <c r="Z790" s="243"/>
      <c r="AA790" s="243"/>
      <c r="AB790" s="243"/>
      <c r="AC790" s="243"/>
      <c r="AD790" s="243"/>
    </row>
    <row r="791" ht="33.75" customHeight="1">
      <c r="A791" s="252"/>
      <c r="B791" s="252"/>
      <c r="C791" s="243"/>
      <c r="D791" s="252"/>
      <c r="E791" s="243"/>
      <c r="F791" s="243"/>
      <c r="G791" s="243"/>
      <c r="H791" s="243"/>
      <c r="I791" s="243"/>
      <c r="J791" s="243"/>
      <c r="K791" s="243"/>
      <c r="L791" s="243"/>
      <c r="M791" s="243"/>
      <c r="N791" s="243"/>
      <c r="O791" s="243"/>
      <c r="P791" s="243"/>
      <c r="Q791" s="243"/>
      <c r="R791" s="243"/>
      <c r="S791" s="243"/>
      <c r="T791" s="243"/>
      <c r="U791" s="243"/>
      <c r="V791" s="243"/>
      <c r="W791" s="243"/>
      <c r="X791" s="243"/>
      <c r="Y791" s="243"/>
      <c r="Z791" s="243"/>
      <c r="AA791" s="243"/>
      <c r="AB791" s="243"/>
      <c r="AC791" s="243"/>
      <c r="AD791" s="243"/>
    </row>
    <row r="792" ht="33.75" customHeight="1">
      <c r="A792" s="252"/>
      <c r="B792" s="252"/>
      <c r="C792" s="243"/>
      <c r="D792" s="252"/>
      <c r="E792" s="243"/>
      <c r="F792" s="243"/>
      <c r="G792" s="243"/>
      <c r="H792" s="243"/>
      <c r="I792" s="243"/>
      <c r="J792" s="243"/>
      <c r="K792" s="243"/>
      <c r="L792" s="243"/>
      <c r="M792" s="243"/>
      <c r="N792" s="243"/>
      <c r="O792" s="243"/>
      <c r="P792" s="243"/>
      <c r="Q792" s="243"/>
      <c r="R792" s="243"/>
      <c r="S792" s="243"/>
      <c r="T792" s="243"/>
      <c r="U792" s="243"/>
      <c r="V792" s="243"/>
      <c r="W792" s="243"/>
      <c r="X792" s="243"/>
      <c r="Y792" s="243"/>
      <c r="Z792" s="243"/>
      <c r="AA792" s="243"/>
      <c r="AB792" s="243"/>
      <c r="AC792" s="243"/>
      <c r="AD792" s="243"/>
    </row>
    <row r="793" ht="33.75" customHeight="1">
      <c r="A793" s="252"/>
      <c r="B793" s="252"/>
      <c r="C793" s="243"/>
      <c r="D793" s="252"/>
      <c r="E793" s="243"/>
      <c r="F793" s="243"/>
      <c r="G793" s="243"/>
      <c r="H793" s="243"/>
      <c r="I793" s="243"/>
      <c r="J793" s="243"/>
      <c r="K793" s="243"/>
      <c r="L793" s="243"/>
      <c r="M793" s="243"/>
      <c r="N793" s="243"/>
      <c r="O793" s="243"/>
      <c r="P793" s="243"/>
      <c r="Q793" s="243"/>
      <c r="R793" s="243"/>
      <c r="S793" s="243"/>
      <c r="T793" s="243"/>
      <c r="U793" s="243"/>
      <c r="V793" s="243"/>
      <c r="W793" s="243"/>
      <c r="X793" s="243"/>
      <c r="Y793" s="243"/>
      <c r="Z793" s="243"/>
      <c r="AA793" s="243"/>
      <c r="AB793" s="243"/>
      <c r="AC793" s="243"/>
      <c r="AD793" s="243"/>
    </row>
    <row r="794" ht="33.75" customHeight="1">
      <c r="A794" s="252"/>
      <c r="B794" s="252"/>
      <c r="C794" s="243"/>
      <c r="D794" s="252"/>
      <c r="E794" s="243"/>
      <c r="F794" s="243"/>
      <c r="G794" s="243"/>
      <c r="H794" s="243"/>
      <c r="I794" s="243"/>
      <c r="J794" s="243"/>
      <c r="K794" s="243"/>
      <c r="L794" s="243"/>
      <c r="M794" s="243"/>
      <c r="N794" s="243"/>
      <c r="O794" s="243"/>
      <c r="P794" s="243"/>
      <c r="Q794" s="243"/>
      <c r="R794" s="243"/>
      <c r="S794" s="243"/>
      <c r="T794" s="243"/>
      <c r="U794" s="243"/>
      <c r="V794" s="243"/>
      <c r="W794" s="243"/>
      <c r="X794" s="243"/>
      <c r="Y794" s="243"/>
      <c r="Z794" s="243"/>
      <c r="AA794" s="243"/>
      <c r="AB794" s="243"/>
      <c r="AC794" s="243"/>
      <c r="AD794" s="243"/>
    </row>
    <row r="795" ht="33.75" customHeight="1">
      <c r="A795" s="252"/>
      <c r="B795" s="252"/>
      <c r="C795" s="243"/>
      <c r="D795" s="252"/>
      <c r="E795" s="243"/>
      <c r="F795" s="243"/>
      <c r="G795" s="243"/>
      <c r="H795" s="243"/>
      <c r="I795" s="243"/>
      <c r="J795" s="243"/>
      <c r="K795" s="243"/>
      <c r="L795" s="243"/>
      <c r="M795" s="243"/>
      <c r="N795" s="243"/>
      <c r="O795" s="243"/>
      <c r="P795" s="243"/>
      <c r="Q795" s="243"/>
      <c r="R795" s="243"/>
      <c r="S795" s="243"/>
      <c r="T795" s="243"/>
      <c r="U795" s="243"/>
      <c r="V795" s="243"/>
      <c r="W795" s="243"/>
      <c r="X795" s="243"/>
      <c r="Y795" s="243"/>
      <c r="Z795" s="243"/>
      <c r="AA795" s="243"/>
      <c r="AB795" s="243"/>
      <c r="AC795" s="243"/>
      <c r="AD795" s="243"/>
    </row>
    <row r="796" ht="33.75" customHeight="1">
      <c r="A796" s="252"/>
      <c r="B796" s="252"/>
      <c r="C796" s="243"/>
      <c r="D796" s="252"/>
      <c r="E796" s="243"/>
      <c r="F796" s="243"/>
      <c r="G796" s="243"/>
      <c r="H796" s="243"/>
      <c r="I796" s="243"/>
      <c r="J796" s="243"/>
      <c r="K796" s="243"/>
      <c r="L796" s="243"/>
      <c r="M796" s="243"/>
      <c r="N796" s="243"/>
      <c r="O796" s="243"/>
      <c r="P796" s="243"/>
      <c r="Q796" s="243"/>
      <c r="R796" s="243"/>
      <c r="S796" s="243"/>
      <c r="T796" s="243"/>
      <c r="U796" s="243"/>
      <c r="V796" s="243"/>
      <c r="W796" s="243"/>
      <c r="X796" s="243"/>
      <c r="Y796" s="243"/>
      <c r="Z796" s="243"/>
      <c r="AA796" s="243"/>
      <c r="AB796" s="243"/>
      <c r="AC796" s="243"/>
      <c r="AD796" s="243"/>
    </row>
    <row r="797" ht="33.75" customHeight="1">
      <c r="A797" s="252"/>
      <c r="B797" s="252"/>
      <c r="C797" s="243"/>
      <c r="D797" s="252"/>
      <c r="E797" s="243"/>
      <c r="F797" s="243"/>
      <c r="G797" s="243"/>
      <c r="H797" s="243"/>
      <c r="I797" s="243"/>
      <c r="J797" s="243"/>
      <c r="K797" s="243"/>
      <c r="L797" s="243"/>
      <c r="M797" s="243"/>
      <c r="N797" s="243"/>
      <c r="O797" s="243"/>
      <c r="P797" s="243"/>
      <c r="Q797" s="243"/>
      <c r="R797" s="243"/>
      <c r="S797" s="243"/>
      <c r="T797" s="243"/>
      <c r="U797" s="243"/>
      <c r="V797" s="243"/>
      <c r="W797" s="243"/>
      <c r="X797" s="243"/>
      <c r="Y797" s="243"/>
      <c r="Z797" s="243"/>
      <c r="AA797" s="243"/>
      <c r="AB797" s="243"/>
      <c r="AC797" s="243"/>
      <c r="AD797" s="243"/>
    </row>
    <row r="798" ht="33.75" customHeight="1">
      <c r="A798" s="252"/>
      <c r="B798" s="252"/>
      <c r="C798" s="243"/>
      <c r="D798" s="252"/>
      <c r="E798" s="243"/>
      <c r="F798" s="243"/>
      <c r="G798" s="243"/>
      <c r="H798" s="243"/>
      <c r="I798" s="243"/>
      <c r="J798" s="243"/>
      <c r="K798" s="243"/>
      <c r="L798" s="243"/>
      <c r="M798" s="243"/>
      <c r="N798" s="243"/>
      <c r="O798" s="243"/>
      <c r="P798" s="243"/>
      <c r="Q798" s="243"/>
      <c r="R798" s="243"/>
      <c r="S798" s="243"/>
      <c r="T798" s="243"/>
      <c r="U798" s="243"/>
      <c r="V798" s="243"/>
      <c r="W798" s="243"/>
      <c r="X798" s="243"/>
      <c r="Y798" s="243"/>
      <c r="Z798" s="243"/>
      <c r="AA798" s="243"/>
      <c r="AB798" s="243"/>
      <c r="AC798" s="243"/>
      <c r="AD798" s="243"/>
    </row>
    <row r="799" ht="33.75" customHeight="1">
      <c r="A799" s="252"/>
      <c r="B799" s="252"/>
      <c r="C799" s="243"/>
      <c r="D799" s="252"/>
      <c r="E799" s="243"/>
      <c r="F799" s="243"/>
      <c r="G799" s="243"/>
      <c r="H799" s="243"/>
      <c r="I799" s="243"/>
      <c r="J799" s="243"/>
      <c r="K799" s="243"/>
      <c r="L799" s="243"/>
      <c r="M799" s="243"/>
      <c r="N799" s="243"/>
      <c r="O799" s="243"/>
      <c r="P799" s="243"/>
      <c r="Q799" s="243"/>
      <c r="R799" s="243"/>
      <c r="S799" s="243"/>
      <c r="T799" s="243"/>
      <c r="U799" s="243"/>
      <c r="V799" s="243"/>
      <c r="W799" s="243"/>
      <c r="X799" s="243"/>
      <c r="Y799" s="243"/>
      <c r="Z799" s="243"/>
      <c r="AA799" s="243"/>
      <c r="AB799" s="243"/>
      <c r="AC799" s="243"/>
      <c r="AD799" s="243"/>
    </row>
    <row r="800" ht="33.75" customHeight="1">
      <c r="A800" s="252"/>
      <c r="B800" s="252"/>
      <c r="C800" s="243"/>
      <c r="D800" s="252"/>
      <c r="E800" s="243"/>
      <c r="F800" s="243"/>
      <c r="G800" s="243"/>
      <c r="H800" s="243"/>
      <c r="I800" s="243"/>
      <c r="J800" s="243"/>
      <c r="K800" s="243"/>
      <c r="L800" s="243"/>
      <c r="M800" s="243"/>
      <c r="N800" s="243"/>
      <c r="O800" s="243"/>
      <c r="P800" s="243"/>
      <c r="Q800" s="243"/>
      <c r="R800" s="243"/>
      <c r="S800" s="243"/>
      <c r="T800" s="243"/>
      <c r="U800" s="243"/>
      <c r="V800" s="243"/>
      <c r="W800" s="243"/>
      <c r="X800" s="243"/>
      <c r="Y800" s="243"/>
      <c r="Z800" s="243"/>
      <c r="AA800" s="243"/>
      <c r="AB800" s="243"/>
      <c r="AC800" s="243"/>
      <c r="AD800" s="243"/>
    </row>
    <row r="801" ht="33.75" customHeight="1">
      <c r="A801" s="252"/>
      <c r="B801" s="252"/>
      <c r="C801" s="243"/>
      <c r="D801" s="252"/>
      <c r="E801" s="243"/>
      <c r="F801" s="243"/>
      <c r="G801" s="243"/>
      <c r="H801" s="243"/>
      <c r="I801" s="243"/>
      <c r="J801" s="243"/>
      <c r="K801" s="243"/>
      <c r="L801" s="243"/>
      <c r="M801" s="243"/>
      <c r="N801" s="243"/>
      <c r="O801" s="243"/>
      <c r="P801" s="243"/>
      <c r="Q801" s="243"/>
      <c r="R801" s="243"/>
      <c r="S801" s="243"/>
      <c r="T801" s="243"/>
      <c r="U801" s="243"/>
      <c r="V801" s="243"/>
      <c r="W801" s="243"/>
      <c r="X801" s="243"/>
      <c r="Y801" s="243"/>
      <c r="Z801" s="243"/>
      <c r="AA801" s="243"/>
      <c r="AB801" s="243"/>
      <c r="AC801" s="243"/>
      <c r="AD801" s="243"/>
    </row>
    <row r="802" ht="33.75" customHeight="1">
      <c r="A802" s="252"/>
      <c r="B802" s="252"/>
      <c r="C802" s="243"/>
      <c r="D802" s="252"/>
      <c r="E802" s="243"/>
      <c r="F802" s="243"/>
      <c r="G802" s="243"/>
      <c r="H802" s="243"/>
      <c r="I802" s="243"/>
      <c r="J802" s="243"/>
      <c r="K802" s="243"/>
      <c r="L802" s="243"/>
      <c r="M802" s="243"/>
      <c r="N802" s="243"/>
      <c r="O802" s="243"/>
      <c r="P802" s="243"/>
      <c r="Q802" s="243"/>
      <c r="R802" s="243"/>
      <c r="S802" s="243"/>
      <c r="T802" s="243"/>
      <c r="U802" s="243"/>
      <c r="V802" s="243"/>
      <c r="W802" s="243"/>
      <c r="X802" s="243"/>
      <c r="Y802" s="243"/>
      <c r="Z802" s="243"/>
      <c r="AA802" s="243"/>
      <c r="AB802" s="243"/>
      <c r="AC802" s="243"/>
      <c r="AD802" s="243"/>
    </row>
    <row r="803" ht="33.75" customHeight="1">
      <c r="A803" s="252"/>
      <c r="B803" s="252"/>
      <c r="C803" s="243"/>
      <c r="D803" s="252"/>
      <c r="E803" s="243"/>
      <c r="F803" s="243"/>
      <c r="G803" s="243"/>
      <c r="H803" s="243"/>
      <c r="I803" s="243"/>
      <c r="J803" s="243"/>
      <c r="K803" s="243"/>
      <c r="L803" s="243"/>
      <c r="M803" s="243"/>
      <c r="N803" s="243"/>
      <c r="O803" s="243"/>
      <c r="P803" s="243"/>
      <c r="Q803" s="243"/>
      <c r="R803" s="243"/>
      <c r="S803" s="243"/>
      <c r="T803" s="243"/>
      <c r="U803" s="243"/>
      <c r="V803" s="243"/>
      <c r="W803" s="243"/>
      <c r="X803" s="243"/>
      <c r="Y803" s="243"/>
      <c r="Z803" s="243"/>
      <c r="AA803" s="243"/>
      <c r="AB803" s="243"/>
      <c r="AC803" s="243"/>
      <c r="AD803" s="243"/>
    </row>
    <row r="804" ht="33.75" customHeight="1">
      <c r="A804" s="252"/>
      <c r="B804" s="252"/>
      <c r="C804" s="243"/>
      <c r="D804" s="252"/>
      <c r="E804" s="243"/>
      <c r="F804" s="243"/>
      <c r="G804" s="243"/>
      <c r="H804" s="243"/>
      <c r="I804" s="243"/>
      <c r="J804" s="243"/>
      <c r="K804" s="243"/>
      <c r="L804" s="243"/>
      <c r="M804" s="243"/>
      <c r="N804" s="243"/>
      <c r="O804" s="243"/>
      <c r="P804" s="243"/>
      <c r="Q804" s="243"/>
      <c r="R804" s="243"/>
      <c r="S804" s="243"/>
      <c r="T804" s="243"/>
      <c r="U804" s="243"/>
      <c r="V804" s="243"/>
      <c r="W804" s="243"/>
      <c r="X804" s="243"/>
      <c r="Y804" s="243"/>
      <c r="Z804" s="243"/>
      <c r="AA804" s="243"/>
      <c r="AB804" s="243"/>
      <c r="AC804" s="243"/>
      <c r="AD804" s="243"/>
    </row>
    <row r="805" ht="33.75" customHeight="1">
      <c r="A805" s="252"/>
      <c r="B805" s="252"/>
      <c r="C805" s="243"/>
      <c r="D805" s="252"/>
      <c r="E805" s="243"/>
      <c r="F805" s="243"/>
      <c r="G805" s="243"/>
      <c r="H805" s="243"/>
      <c r="I805" s="243"/>
      <c r="J805" s="243"/>
      <c r="K805" s="243"/>
      <c r="L805" s="243"/>
      <c r="M805" s="243"/>
      <c r="N805" s="243"/>
      <c r="O805" s="243"/>
      <c r="P805" s="243"/>
      <c r="Q805" s="243"/>
      <c r="R805" s="243"/>
      <c r="S805" s="243"/>
      <c r="T805" s="243"/>
      <c r="U805" s="243"/>
      <c r="V805" s="243"/>
      <c r="W805" s="243"/>
      <c r="X805" s="243"/>
      <c r="Y805" s="243"/>
      <c r="Z805" s="243"/>
      <c r="AA805" s="243"/>
      <c r="AB805" s="243"/>
      <c r="AC805" s="243"/>
      <c r="AD805" s="243"/>
    </row>
    <row r="806" ht="33.75" customHeight="1">
      <c r="A806" s="252"/>
      <c r="B806" s="252"/>
      <c r="C806" s="243"/>
      <c r="D806" s="252"/>
      <c r="E806" s="243"/>
      <c r="F806" s="243"/>
      <c r="G806" s="243"/>
      <c r="H806" s="243"/>
      <c r="I806" s="243"/>
      <c r="J806" s="243"/>
      <c r="K806" s="243"/>
      <c r="L806" s="243"/>
      <c r="M806" s="243"/>
      <c r="N806" s="243"/>
      <c r="O806" s="243"/>
      <c r="P806" s="243"/>
      <c r="Q806" s="243"/>
      <c r="R806" s="243"/>
      <c r="S806" s="243"/>
      <c r="T806" s="243"/>
      <c r="U806" s="243"/>
      <c r="V806" s="243"/>
      <c r="W806" s="243"/>
      <c r="X806" s="243"/>
      <c r="Y806" s="243"/>
      <c r="Z806" s="243"/>
      <c r="AA806" s="243"/>
      <c r="AB806" s="243"/>
      <c r="AC806" s="243"/>
      <c r="AD806" s="243"/>
    </row>
    <row r="807" ht="33.75" customHeight="1">
      <c r="A807" s="252"/>
      <c r="B807" s="252"/>
      <c r="C807" s="243"/>
      <c r="D807" s="252"/>
      <c r="E807" s="243"/>
      <c r="F807" s="243"/>
      <c r="G807" s="243"/>
      <c r="H807" s="243"/>
      <c r="I807" s="243"/>
      <c r="J807" s="243"/>
      <c r="K807" s="243"/>
      <c r="L807" s="243"/>
      <c r="M807" s="243"/>
      <c r="N807" s="243"/>
      <c r="O807" s="243"/>
      <c r="P807" s="243"/>
      <c r="Q807" s="243"/>
      <c r="R807" s="243"/>
      <c r="S807" s="243"/>
      <c r="T807" s="243"/>
      <c r="U807" s="243"/>
      <c r="V807" s="243"/>
      <c r="W807" s="243"/>
      <c r="X807" s="243"/>
      <c r="Y807" s="243"/>
      <c r="Z807" s="243"/>
      <c r="AA807" s="243"/>
      <c r="AB807" s="243"/>
      <c r="AC807" s="243"/>
      <c r="AD807" s="243"/>
    </row>
    <row r="808" ht="33.75" customHeight="1">
      <c r="A808" s="252"/>
      <c r="B808" s="252"/>
      <c r="C808" s="243"/>
      <c r="D808" s="252"/>
      <c r="E808" s="243"/>
      <c r="F808" s="243"/>
      <c r="G808" s="243"/>
      <c r="H808" s="243"/>
      <c r="I808" s="243"/>
      <c r="J808" s="243"/>
      <c r="K808" s="243"/>
      <c r="L808" s="243"/>
      <c r="M808" s="243"/>
      <c r="N808" s="243"/>
      <c r="O808" s="243"/>
      <c r="P808" s="243"/>
      <c r="Q808" s="243"/>
      <c r="R808" s="243"/>
      <c r="S808" s="243"/>
      <c r="T808" s="243"/>
      <c r="U808" s="243"/>
      <c r="V808" s="243"/>
      <c r="W808" s="243"/>
      <c r="X808" s="243"/>
      <c r="Y808" s="243"/>
      <c r="Z808" s="243"/>
      <c r="AA808" s="243"/>
      <c r="AB808" s="243"/>
      <c r="AC808" s="243"/>
      <c r="AD808" s="243"/>
    </row>
    <row r="809" ht="33.75" customHeight="1">
      <c r="A809" s="252"/>
      <c r="B809" s="252"/>
      <c r="C809" s="243"/>
      <c r="D809" s="252"/>
      <c r="E809" s="243"/>
      <c r="F809" s="243"/>
      <c r="G809" s="243"/>
      <c r="H809" s="243"/>
      <c r="I809" s="243"/>
      <c r="J809" s="243"/>
      <c r="K809" s="243"/>
      <c r="L809" s="243"/>
      <c r="M809" s="243"/>
      <c r="N809" s="243"/>
      <c r="O809" s="243"/>
      <c r="P809" s="243"/>
      <c r="Q809" s="243"/>
      <c r="R809" s="243"/>
      <c r="S809" s="243"/>
      <c r="T809" s="243"/>
      <c r="U809" s="243"/>
      <c r="V809" s="243"/>
      <c r="W809" s="243"/>
      <c r="X809" s="243"/>
      <c r="Y809" s="243"/>
      <c r="Z809" s="243"/>
      <c r="AA809" s="243"/>
      <c r="AB809" s="243"/>
      <c r="AC809" s="243"/>
      <c r="AD809" s="243"/>
    </row>
    <row r="810" ht="33.75" customHeight="1">
      <c r="A810" s="252"/>
      <c r="B810" s="252"/>
      <c r="C810" s="243"/>
      <c r="D810" s="252"/>
      <c r="E810" s="243"/>
      <c r="F810" s="243"/>
      <c r="G810" s="243"/>
      <c r="H810" s="243"/>
      <c r="I810" s="243"/>
      <c r="J810" s="243"/>
      <c r="K810" s="243"/>
      <c r="L810" s="243"/>
      <c r="M810" s="243"/>
      <c r="N810" s="243"/>
      <c r="O810" s="243"/>
      <c r="P810" s="243"/>
      <c r="Q810" s="243"/>
      <c r="R810" s="243"/>
      <c r="S810" s="243"/>
      <c r="T810" s="243"/>
      <c r="U810" s="243"/>
      <c r="V810" s="243"/>
      <c r="W810" s="243"/>
      <c r="X810" s="243"/>
      <c r="Y810" s="243"/>
      <c r="Z810" s="243"/>
      <c r="AA810" s="243"/>
      <c r="AB810" s="243"/>
      <c r="AC810" s="243"/>
      <c r="AD810" s="243"/>
    </row>
    <row r="811" ht="33.75" customHeight="1">
      <c r="A811" s="252"/>
      <c r="B811" s="252"/>
      <c r="C811" s="243"/>
      <c r="D811" s="252"/>
      <c r="E811" s="243"/>
      <c r="F811" s="243"/>
      <c r="G811" s="243"/>
      <c r="H811" s="243"/>
      <c r="I811" s="243"/>
      <c r="J811" s="243"/>
      <c r="K811" s="243"/>
      <c r="L811" s="243"/>
      <c r="M811" s="243"/>
      <c r="N811" s="243"/>
      <c r="O811" s="243"/>
      <c r="P811" s="243"/>
      <c r="Q811" s="243"/>
      <c r="R811" s="243"/>
      <c r="S811" s="243"/>
      <c r="T811" s="243"/>
      <c r="U811" s="243"/>
      <c r="V811" s="243"/>
      <c r="W811" s="243"/>
      <c r="X811" s="243"/>
      <c r="Y811" s="243"/>
      <c r="Z811" s="243"/>
      <c r="AA811" s="243"/>
      <c r="AB811" s="243"/>
      <c r="AC811" s="243"/>
      <c r="AD811" s="243"/>
    </row>
    <row r="812" ht="33.75" customHeight="1">
      <c r="A812" s="252"/>
      <c r="B812" s="252"/>
      <c r="C812" s="243"/>
      <c r="D812" s="252"/>
      <c r="E812" s="243"/>
      <c r="F812" s="243"/>
      <c r="G812" s="243"/>
      <c r="H812" s="243"/>
      <c r="I812" s="243"/>
      <c r="J812" s="243"/>
      <c r="K812" s="243"/>
      <c r="L812" s="243"/>
      <c r="M812" s="243"/>
      <c r="N812" s="243"/>
      <c r="O812" s="243"/>
      <c r="P812" s="243"/>
      <c r="Q812" s="243"/>
      <c r="R812" s="243"/>
      <c r="S812" s="243"/>
      <c r="T812" s="243"/>
      <c r="U812" s="243"/>
      <c r="V812" s="243"/>
      <c r="W812" s="243"/>
      <c r="X812" s="243"/>
      <c r="Y812" s="243"/>
      <c r="Z812" s="243"/>
      <c r="AA812" s="243"/>
      <c r="AB812" s="243"/>
      <c r="AC812" s="243"/>
      <c r="AD812" s="243"/>
    </row>
    <row r="813" ht="33.75" customHeight="1">
      <c r="A813" s="252"/>
      <c r="B813" s="252"/>
      <c r="C813" s="243"/>
      <c r="D813" s="252"/>
      <c r="E813" s="243"/>
      <c r="F813" s="243"/>
      <c r="G813" s="243"/>
      <c r="H813" s="243"/>
      <c r="I813" s="243"/>
      <c r="J813" s="243"/>
      <c r="K813" s="243"/>
      <c r="L813" s="243"/>
      <c r="M813" s="243"/>
      <c r="N813" s="243"/>
      <c r="O813" s="243"/>
      <c r="P813" s="243"/>
      <c r="Q813" s="243"/>
      <c r="R813" s="243"/>
      <c r="S813" s="243"/>
      <c r="T813" s="243"/>
      <c r="U813" s="243"/>
      <c r="V813" s="243"/>
      <c r="W813" s="243"/>
      <c r="X813" s="243"/>
      <c r="Y813" s="243"/>
      <c r="Z813" s="243"/>
      <c r="AA813" s="243"/>
      <c r="AB813" s="243"/>
      <c r="AC813" s="243"/>
      <c r="AD813" s="243"/>
    </row>
    <row r="814" ht="33.75" customHeight="1">
      <c r="A814" s="252"/>
      <c r="B814" s="252"/>
      <c r="C814" s="243"/>
      <c r="D814" s="252"/>
      <c r="E814" s="243"/>
      <c r="F814" s="243"/>
      <c r="G814" s="243"/>
      <c r="H814" s="243"/>
      <c r="I814" s="243"/>
      <c r="J814" s="243"/>
      <c r="K814" s="243"/>
      <c r="L814" s="243"/>
      <c r="M814" s="243"/>
      <c r="N814" s="243"/>
      <c r="O814" s="243"/>
      <c r="P814" s="243"/>
      <c r="Q814" s="243"/>
      <c r="R814" s="243"/>
      <c r="S814" s="243"/>
      <c r="T814" s="243"/>
      <c r="U814" s="243"/>
      <c r="V814" s="243"/>
      <c r="W814" s="243"/>
      <c r="X814" s="243"/>
      <c r="Y814" s="243"/>
      <c r="Z814" s="243"/>
      <c r="AA814" s="243"/>
      <c r="AB814" s="243"/>
      <c r="AC814" s="243"/>
      <c r="AD814" s="243"/>
    </row>
    <row r="815" ht="33.75" customHeight="1">
      <c r="A815" s="252"/>
      <c r="B815" s="252"/>
      <c r="C815" s="243"/>
      <c r="D815" s="252"/>
      <c r="E815" s="243"/>
      <c r="F815" s="243"/>
      <c r="G815" s="243"/>
      <c r="H815" s="243"/>
      <c r="I815" s="243"/>
      <c r="J815" s="243"/>
      <c r="K815" s="243"/>
      <c r="L815" s="243"/>
      <c r="M815" s="243"/>
      <c r="N815" s="243"/>
      <c r="O815" s="243"/>
      <c r="P815" s="243"/>
      <c r="Q815" s="243"/>
      <c r="R815" s="243"/>
      <c r="S815" s="243"/>
      <c r="T815" s="243"/>
      <c r="U815" s="243"/>
      <c r="V815" s="243"/>
      <c r="W815" s="243"/>
      <c r="X815" s="243"/>
      <c r="Y815" s="243"/>
      <c r="Z815" s="243"/>
      <c r="AA815" s="243"/>
      <c r="AB815" s="243"/>
      <c r="AC815" s="243"/>
      <c r="AD815" s="243"/>
    </row>
    <row r="816" ht="33.75" customHeight="1">
      <c r="A816" s="252"/>
      <c r="B816" s="252"/>
      <c r="C816" s="243"/>
      <c r="D816" s="252"/>
      <c r="E816" s="243"/>
      <c r="F816" s="243"/>
      <c r="G816" s="243"/>
      <c r="H816" s="243"/>
      <c r="I816" s="243"/>
      <c r="J816" s="243"/>
      <c r="K816" s="243"/>
      <c r="L816" s="243"/>
      <c r="M816" s="243"/>
      <c r="N816" s="243"/>
      <c r="O816" s="243"/>
      <c r="P816" s="243"/>
      <c r="Q816" s="243"/>
      <c r="R816" s="243"/>
      <c r="S816" s="243"/>
      <c r="T816" s="243"/>
      <c r="U816" s="243"/>
      <c r="V816" s="243"/>
      <c r="W816" s="243"/>
      <c r="X816" s="243"/>
      <c r="Y816" s="243"/>
      <c r="Z816" s="243"/>
      <c r="AA816" s="243"/>
      <c r="AB816" s="243"/>
      <c r="AC816" s="243"/>
      <c r="AD816" s="243"/>
    </row>
    <row r="817" ht="33.75" customHeight="1">
      <c r="A817" s="252"/>
      <c r="B817" s="252"/>
      <c r="C817" s="243"/>
      <c r="D817" s="252"/>
      <c r="E817" s="243"/>
      <c r="F817" s="243"/>
      <c r="G817" s="243"/>
      <c r="H817" s="243"/>
      <c r="I817" s="243"/>
      <c r="J817" s="243"/>
      <c r="K817" s="243"/>
      <c r="L817" s="243"/>
      <c r="M817" s="243"/>
      <c r="N817" s="243"/>
      <c r="O817" s="243"/>
      <c r="P817" s="243"/>
      <c r="Q817" s="243"/>
      <c r="R817" s="243"/>
      <c r="S817" s="243"/>
      <c r="T817" s="243"/>
      <c r="U817" s="243"/>
      <c r="V817" s="243"/>
      <c r="W817" s="243"/>
      <c r="X817" s="243"/>
      <c r="Y817" s="243"/>
      <c r="Z817" s="243"/>
      <c r="AA817" s="243"/>
      <c r="AB817" s="243"/>
      <c r="AC817" s="243"/>
      <c r="AD817" s="243"/>
    </row>
    <row r="818" ht="33.75" customHeight="1">
      <c r="A818" s="252"/>
      <c r="B818" s="252"/>
      <c r="C818" s="243"/>
      <c r="D818" s="252"/>
      <c r="E818" s="243"/>
      <c r="F818" s="243"/>
      <c r="G818" s="243"/>
      <c r="H818" s="243"/>
      <c r="I818" s="243"/>
      <c r="J818" s="243"/>
      <c r="K818" s="243"/>
      <c r="L818" s="243"/>
      <c r="M818" s="243"/>
      <c r="N818" s="243"/>
      <c r="O818" s="243"/>
      <c r="P818" s="243"/>
      <c r="Q818" s="243"/>
      <c r="R818" s="243"/>
      <c r="S818" s="243"/>
      <c r="T818" s="243"/>
      <c r="U818" s="243"/>
      <c r="V818" s="243"/>
      <c r="W818" s="243"/>
      <c r="X818" s="243"/>
      <c r="Y818" s="243"/>
      <c r="Z818" s="243"/>
      <c r="AA818" s="243"/>
      <c r="AB818" s="243"/>
      <c r="AC818" s="243"/>
      <c r="AD818" s="243"/>
    </row>
    <row r="819" ht="33.75" customHeight="1">
      <c r="A819" s="252"/>
      <c r="B819" s="252"/>
      <c r="C819" s="243"/>
      <c r="D819" s="252"/>
      <c r="E819" s="243"/>
      <c r="F819" s="243"/>
      <c r="G819" s="243"/>
      <c r="H819" s="243"/>
      <c r="I819" s="243"/>
      <c r="J819" s="243"/>
      <c r="K819" s="243"/>
      <c r="L819" s="243"/>
      <c r="M819" s="243"/>
      <c r="N819" s="243"/>
      <c r="O819" s="243"/>
      <c r="P819" s="243"/>
      <c r="Q819" s="243"/>
      <c r="R819" s="243"/>
      <c r="S819" s="243"/>
      <c r="T819" s="243"/>
      <c r="U819" s="243"/>
      <c r="V819" s="243"/>
      <c r="W819" s="243"/>
      <c r="X819" s="243"/>
      <c r="Y819" s="243"/>
      <c r="Z819" s="243"/>
      <c r="AA819" s="243"/>
      <c r="AB819" s="243"/>
      <c r="AC819" s="243"/>
      <c r="AD819" s="243"/>
    </row>
    <row r="820" ht="33.75" customHeight="1">
      <c r="A820" s="252"/>
      <c r="B820" s="252"/>
      <c r="C820" s="243"/>
      <c r="D820" s="252"/>
      <c r="E820" s="243"/>
      <c r="F820" s="243"/>
      <c r="G820" s="243"/>
      <c r="H820" s="243"/>
      <c r="I820" s="243"/>
      <c r="J820" s="243"/>
      <c r="K820" s="243"/>
      <c r="L820" s="243"/>
      <c r="M820" s="243"/>
      <c r="N820" s="243"/>
      <c r="O820" s="243"/>
      <c r="P820" s="243"/>
      <c r="Q820" s="243"/>
      <c r="R820" s="243"/>
      <c r="S820" s="243"/>
      <c r="T820" s="243"/>
      <c r="U820" s="243"/>
      <c r="V820" s="243"/>
      <c r="W820" s="243"/>
      <c r="X820" s="243"/>
      <c r="Y820" s="243"/>
      <c r="Z820" s="243"/>
      <c r="AA820" s="243"/>
      <c r="AB820" s="243"/>
      <c r="AC820" s="243"/>
      <c r="AD820" s="243"/>
    </row>
    <row r="821" ht="33.75" customHeight="1">
      <c r="A821" s="252"/>
      <c r="B821" s="252"/>
      <c r="C821" s="243"/>
      <c r="D821" s="252"/>
      <c r="E821" s="243"/>
      <c r="F821" s="243"/>
      <c r="G821" s="243"/>
      <c r="H821" s="243"/>
      <c r="I821" s="243"/>
      <c r="J821" s="243"/>
      <c r="K821" s="243"/>
      <c r="L821" s="243"/>
      <c r="M821" s="243"/>
      <c r="N821" s="243"/>
      <c r="O821" s="243"/>
      <c r="P821" s="243"/>
      <c r="Q821" s="243"/>
      <c r="R821" s="243"/>
      <c r="S821" s="243"/>
      <c r="T821" s="243"/>
      <c r="U821" s="243"/>
      <c r="V821" s="243"/>
      <c r="W821" s="243"/>
      <c r="X821" s="243"/>
      <c r="Y821" s="243"/>
      <c r="Z821" s="243"/>
      <c r="AA821" s="243"/>
      <c r="AB821" s="243"/>
      <c r="AC821" s="243"/>
      <c r="AD821" s="243"/>
    </row>
    <row r="822" ht="33.75" customHeight="1">
      <c r="A822" s="252"/>
      <c r="B822" s="252"/>
      <c r="C822" s="243"/>
      <c r="D822" s="252"/>
      <c r="E822" s="243"/>
      <c r="F822" s="243"/>
      <c r="G822" s="243"/>
      <c r="H822" s="243"/>
      <c r="I822" s="243"/>
      <c r="J822" s="243"/>
      <c r="K822" s="243"/>
      <c r="L822" s="243"/>
      <c r="M822" s="243"/>
      <c r="N822" s="243"/>
      <c r="O822" s="243"/>
      <c r="P822" s="243"/>
      <c r="Q822" s="243"/>
      <c r="R822" s="243"/>
      <c r="S822" s="243"/>
      <c r="T822" s="243"/>
      <c r="U822" s="243"/>
      <c r="V822" s="243"/>
      <c r="W822" s="243"/>
      <c r="X822" s="243"/>
      <c r="Y822" s="243"/>
      <c r="Z822" s="243"/>
      <c r="AA822" s="243"/>
      <c r="AB822" s="243"/>
      <c r="AC822" s="243"/>
      <c r="AD822" s="243"/>
    </row>
    <row r="823" ht="33.75" customHeight="1">
      <c r="A823" s="252"/>
      <c r="B823" s="252"/>
      <c r="C823" s="243"/>
      <c r="D823" s="252"/>
      <c r="E823" s="243"/>
      <c r="F823" s="243"/>
      <c r="G823" s="243"/>
      <c r="H823" s="243"/>
      <c r="I823" s="243"/>
      <c r="J823" s="243"/>
      <c r="K823" s="243"/>
      <c r="L823" s="243"/>
      <c r="M823" s="243"/>
      <c r="N823" s="243"/>
      <c r="O823" s="243"/>
      <c r="P823" s="243"/>
      <c r="Q823" s="243"/>
      <c r="R823" s="243"/>
      <c r="S823" s="243"/>
      <c r="T823" s="243"/>
      <c r="U823" s="243"/>
      <c r="V823" s="243"/>
      <c r="W823" s="243"/>
      <c r="X823" s="243"/>
      <c r="Y823" s="243"/>
      <c r="Z823" s="243"/>
      <c r="AA823" s="243"/>
      <c r="AB823" s="243"/>
      <c r="AC823" s="243"/>
      <c r="AD823" s="243"/>
    </row>
    <row r="824" ht="33.75" customHeight="1">
      <c r="A824" s="252"/>
      <c r="B824" s="252"/>
      <c r="C824" s="243"/>
      <c r="D824" s="252"/>
      <c r="E824" s="243"/>
      <c r="F824" s="243"/>
      <c r="G824" s="243"/>
      <c r="H824" s="243"/>
      <c r="I824" s="243"/>
      <c r="J824" s="243"/>
      <c r="K824" s="243"/>
      <c r="L824" s="243"/>
      <c r="M824" s="243"/>
      <c r="N824" s="243"/>
      <c r="O824" s="243"/>
      <c r="P824" s="243"/>
      <c r="Q824" s="243"/>
      <c r="R824" s="243"/>
      <c r="S824" s="243"/>
      <c r="T824" s="243"/>
      <c r="U824" s="243"/>
      <c r="V824" s="243"/>
      <c r="W824" s="243"/>
      <c r="X824" s="243"/>
      <c r="Y824" s="243"/>
      <c r="Z824" s="243"/>
      <c r="AA824" s="243"/>
      <c r="AB824" s="243"/>
      <c r="AC824" s="243"/>
      <c r="AD824" s="243"/>
    </row>
    <row r="825" ht="33.75" customHeight="1">
      <c r="A825" s="252"/>
      <c r="B825" s="252"/>
      <c r="C825" s="243"/>
      <c r="D825" s="252"/>
      <c r="E825" s="243"/>
      <c r="F825" s="243"/>
      <c r="G825" s="243"/>
      <c r="H825" s="243"/>
      <c r="I825" s="243"/>
      <c r="J825" s="243"/>
      <c r="K825" s="243"/>
      <c r="L825" s="243"/>
      <c r="M825" s="243"/>
      <c r="N825" s="243"/>
      <c r="O825" s="243"/>
      <c r="P825" s="243"/>
      <c r="Q825" s="243"/>
      <c r="R825" s="243"/>
      <c r="S825" s="243"/>
      <c r="T825" s="243"/>
      <c r="U825" s="243"/>
      <c r="V825" s="243"/>
      <c r="W825" s="243"/>
      <c r="X825" s="243"/>
      <c r="Y825" s="243"/>
      <c r="Z825" s="243"/>
      <c r="AA825" s="243"/>
      <c r="AB825" s="243"/>
      <c r="AC825" s="243"/>
      <c r="AD825" s="243"/>
    </row>
    <row r="826" ht="33.75" customHeight="1">
      <c r="A826" s="252"/>
      <c r="B826" s="252"/>
      <c r="C826" s="243"/>
      <c r="D826" s="252"/>
      <c r="E826" s="243"/>
      <c r="F826" s="243"/>
      <c r="G826" s="243"/>
      <c r="H826" s="243"/>
      <c r="I826" s="243"/>
      <c r="J826" s="243"/>
      <c r="K826" s="243"/>
      <c r="L826" s="243"/>
      <c r="M826" s="243"/>
      <c r="N826" s="243"/>
      <c r="O826" s="243"/>
      <c r="P826" s="243"/>
      <c r="Q826" s="243"/>
      <c r="R826" s="243"/>
      <c r="S826" s="243"/>
      <c r="T826" s="243"/>
      <c r="U826" s="243"/>
      <c r="V826" s="243"/>
      <c r="W826" s="243"/>
      <c r="X826" s="243"/>
      <c r="Y826" s="243"/>
      <c r="Z826" s="243"/>
      <c r="AA826" s="243"/>
      <c r="AB826" s="243"/>
      <c r="AC826" s="243"/>
      <c r="AD826" s="243"/>
    </row>
    <row r="827" ht="33.75" customHeight="1">
      <c r="A827" s="252"/>
      <c r="B827" s="252"/>
      <c r="C827" s="243"/>
      <c r="D827" s="252"/>
      <c r="E827" s="243"/>
      <c r="F827" s="243"/>
      <c r="G827" s="243"/>
      <c r="H827" s="243"/>
      <c r="I827" s="243"/>
      <c r="J827" s="243"/>
      <c r="K827" s="243"/>
      <c r="L827" s="243"/>
      <c r="M827" s="243"/>
      <c r="N827" s="243"/>
      <c r="O827" s="243"/>
      <c r="P827" s="243"/>
      <c r="Q827" s="243"/>
      <c r="R827" s="243"/>
      <c r="S827" s="243"/>
      <c r="T827" s="243"/>
      <c r="U827" s="243"/>
      <c r="V827" s="243"/>
      <c r="W827" s="243"/>
      <c r="X827" s="243"/>
      <c r="Y827" s="243"/>
      <c r="Z827" s="243"/>
      <c r="AA827" s="243"/>
      <c r="AB827" s="243"/>
      <c r="AC827" s="243"/>
      <c r="AD827" s="243"/>
    </row>
    <row r="828" ht="33.75" customHeight="1">
      <c r="A828" s="252"/>
      <c r="B828" s="252"/>
      <c r="C828" s="243"/>
      <c r="D828" s="252"/>
      <c r="E828" s="243"/>
      <c r="F828" s="243"/>
      <c r="G828" s="243"/>
      <c r="H828" s="243"/>
      <c r="I828" s="243"/>
      <c r="J828" s="243"/>
      <c r="K828" s="243"/>
      <c r="L828" s="243"/>
      <c r="M828" s="243"/>
      <c r="N828" s="243"/>
      <c r="O828" s="243"/>
      <c r="P828" s="243"/>
      <c r="Q828" s="243"/>
      <c r="R828" s="243"/>
      <c r="S828" s="243"/>
      <c r="T828" s="243"/>
      <c r="U828" s="243"/>
      <c r="V828" s="243"/>
      <c r="W828" s="243"/>
      <c r="X828" s="243"/>
      <c r="Y828" s="243"/>
      <c r="Z828" s="243"/>
      <c r="AA828" s="243"/>
      <c r="AB828" s="243"/>
      <c r="AC828" s="243"/>
      <c r="AD828" s="243"/>
    </row>
    <row r="829" ht="33.75" customHeight="1">
      <c r="A829" s="252"/>
      <c r="B829" s="252"/>
      <c r="C829" s="243"/>
      <c r="D829" s="252"/>
      <c r="E829" s="243"/>
      <c r="F829" s="243"/>
      <c r="G829" s="243"/>
      <c r="H829" s="243"/>
      <c r="I829" s="243"/>
      <c r="J829" s="243"/>
      <c r="K829" s="243"/>
      <c r="L829" s="243"/>
      <c r="M829" s="243"/>
      <c r="N829" s="243"/>
      <c r="O829" s="243"/>
      <c r="P829" s="243"/>
      <c r="Q829" s="243"/>
      <c r="R829" s="243"/>
      <c r="S829" s="243"/>
      <c r="T829" s="243"/>
      <c r="U829" s="243"/>
      <c r="V829" s="243"/>
      <c r="W829" s="243"/>
      <c r="X829" s="243"/>
      <c r="Y829" s="243"/>
      <c r="Z829" s="243"/>
      <c r="AA829" s="243"/>
      <c r="AB829" s="243"/>
      <c r="AC829" s="243"/>
      <c r="AD829" s="243"/>
    </row>
    <row r="830" ht="33.75" customHeight="1">
      <c r="A830" s="252"/>
      <c r="B830" s="252"/>
      <c r="C830" s="243"/>
      <c r="D830" s="252"/>
      <c r="E830" s="243"/>
      <c r="F830" s="243"/>
      <c r="G830" s="243"/>
      <c r="H830" s="243"/>
      <c r="I830" s="243"/>
      <c r="J830" s="243"/>
      <c r="K830" s="243"/>
      <c r="L830" s="243"/>
      <c r="M830" s="243"/>
      <c r="N830" s="243"/>
      <c r="O830" s="243"/>
      <c r="P830" s="243"/>
      <c r="Q830" s="243"/>
      <c r="R830" s="243"/>
      <c r="S830" s="243"/>
      <c r="T830" s="243"/>
      <c r="U830" s="243"/>
      <c r="V830" s="243"/>
      <c r="W830" s="243"/>
      <c r="X830" s="243"/>
      <c r="Y830" s="243"/>
      <c r="Z830" s="243"/>
      <c r="AA830" s="243"/>
      <c r="AB830" s="243"/>
      <c r="AC830" s="243"/>
      <c r="AD830" s="243"/>
    </row>
    <row r="831" ht="33.75" customHeight="1">
      <c r="A831" s="252"/>
      <c r="B831" s="252"/>
      <c r="C831" s="243"/>
      <c r="D831" s="252"/>
      <c r="E831" s="243"/>
      <c r="F831" s="243"/>
      <c r="G831" s="243"/>
      <c r="H831" s="243"/>
      <c r="I831" s="243"/>
      <c r="J831" s="243"/>
      <c r="K831" s="243"/>
      <c r="L831" s="243"/>
      <c r="M831" s="243"/>
      <c r="N831" s="243"/>
      <c r="O831" s="243"/>
      <c r="P831" s="243"/>
      <c r="Q831" s="243"/>
      <c r="R831" s="243"/>
      <c r="S831" s="243"/>
      <c r="T831" s="243"/>
      <c r="U831" s="243"/>
      <c r="V831" s="243"/>
      <c r="W831" s="243"/>
      <c r="X831" s="243"/>
      <c r="Y831" s="243"/>
      <c r="Z831" s="243"/>
      <c r="AA831" s="243"/>
      <c r="AB831" s="243"/>
      <c r="AC831" s="243"/>
      <c r="AD831" s="243"/>
    </row>
    <row r="832" ht="33.75" customHeight="1">
      <c r="A832" s="252"/>
      <c r="B832" s="252"/>
      <c r="C832" s="243"/>
      <c r="D832" s="252"/>
      <c r="E832" s="243"/>
      <c r="F832" s="243"/>
      <c r="G832" s="243"/>
      <c r="H832" s="243"/>
      <c r="I832" s="243"/>
      <c r="J832" s="243"/>
      <c r="K832" s="243"/>
      <c r="L832" s="243"/>
      <c r="M832" s="243"/>
      <c r="N832" s="243"/>
      <c r="O832" s="243"/>
      <c r="P832" s="243"/>
      <c r="Q832" s="243"/>
      <c r="R832" s="243"/>
      <c r="S832" s="243"/>
      <c r="T832" s="243"/>
      <c r="U832" s="243"/>
      <c r="V832" s="243"/>
      <c r="W832" s="243"/>
      <c r="X832" s="243"/>
      <c r="Y832" s="243"/>
      <c r="Z832" s="243"/>
      <c r="AA832" s="243"/>
      <c r="AB832" s="243"/>
      <c r="AC832" s="243"/>
      <c r="AD832" s="243"/>
    </row>
    <row r="833" ht="33.75" customHeight="1">
      <c r="A833" s="252"/>
      <c r="B833" s="252"/>
      <c r="C833" s="243"/>
      <c r="D833" s="252"/>
      <c r="E833" s="243"/>
      <c r="F833" s="243"/>
      <c r="G833" s="243"/>
      <c r="H833" s="243"/>
      <c r="I833" s="243"/>
      <c r="J833" s="243"/>
      <c r="K833" s="243"/>
      <c r="L833" s="243"/>
      <c r="M833" s="243"/>
      <c r="N833" s="243"/>
      <c r="O833" s="243"/>
      <c r="P833" s="243"/>
      <c r="Q833" s="243"/>
      <c r="R833" s="243"/>
      <c r="S833" s="243"/>
      <c r="T833" s="243"/>
      <c r="U833" s="243"/>
      <c r="V833" s="243"/>
      <c r="W833" s="243"/>
      <c r="X833" s="243"/>
      <c r="Y833" s="243"/>
      <c r="Z833" s="243"/>
      <c r="AA833" s="243"/>
      <c r="AB833" s="243"/>
      <c r="AC833" s="243"/>
      <c r="AD833" s="243"/>
    </row>
    <row r="834" ht="33.75" customHeight="1">
      <c r="A834" s="252"/>
      <c r="B834" s="252"/>
      <c r="C834" s="243"/>
      <c r="D834" s="252"/>
      <c r="E834" s="243"/>
      <c r="F834" s="243"/>
      <c r="G834" s="243"/>
      <c r="H834" s="243"/>
      <c r="I834" s="243"/>
      <c r="J834" s="243"/>
      <c r="K834" s="243"/>
      <c r="L834" s="243"/>
      <c r="M834" s="243"/>
      <c r="N834" s="243"/>
      <c r="O834" s="243"/>
      <c r="P834" s="243"/>
      <c r="Q834" s="243"/>
      <c r="R834" s="243"/>
      <c r="S834" s="243"/>
      <c r="T834" s="243"/>
      <c r="U834" s="243"/>
      <c r="V834" s="243"/>
      <c r="W834" s="243"/>
      <c r="X834" s="243"/>
      <c r="Y834" s="243"/>
      <c r="Z834" s="243"/>
      <c r="AA834" s="243"/>
      <c r="AB834" s="243"/>
      <c r="AC834" s="243"/>
      <c r="AD834" s="243"/>
    </row>
    <row r="835" ht="33.75" customHeight="1">
      <c r="A835" s="252"/>
      <c r="B835" s="252"/>
      <c r="C835" s="243"/>
      <c r="D835" s="252"/>
      <c r="E835" s="243"/>
      <c r="F835" s="243"/>
      <c r="G835" s="243"/>
      <c r="H835" s="243"/>
      <c r="I835" s="243"/>
      <c r="J835" s="243"/>
      <c r="K835" s="243"/>
      <c r="L835" s="243"/>
      <c r="M835" s="243"/>
      <c r="N835" s="243"/>
      <c r="O835" s="243"/>
      <c r="P835" s="243"/>
      <c r="Q835" s="243"/>
      <c r="R835" s="243"/>
      <c r="S835" s="243"/>
      <c r="T835" s="243"/>
      <c r="U835" s="243"/>
      <c r="V835" s="243"/>
      <c r="W835" s="243"/>
      <c r="X835" s="243"/>
      <c r="Y835" s="243"/>
      <c r="Z835" s="243"/>
      <c r="AA835" s="243"/>
      <c r="AB835" s="243"/>
      <c r="AC835" s="243"/>
      <c r="AD835" s="243"/>
    </row>
    <row r="836" ht="33.75" customHeight="1">
      <c r="A836" s="252"/>
      <c r="B836" s="252"/>
      <c r="C836" s="243"/>
      <c r="D836" s="252"/>
      <c r="E836" s="243"/>
      <c r="F836" s="243"/>
      <c r="G836" s="243"/>
      <c r="H836" s="243"/>
      <c r="I836" s="243"/>
      <c r="J836" s="243"/>
      <c r="K836" s="243"/>
      <c r="L836" s="243"/>
      <c r="M836" s="243"/>
      <c r="N836" s="243"/>
      <c r="O836" s="243"/>
      <c r="P836" s="243"/>
      <c r="Q836" s="243"/>
      <c r="R836" s="243"/>
      <c r="S836" s="243"/>
      <c r="T836" s="243"/>
      <c r="U836" s="243"/>
      <c r="V836" s="243"/>
      <c r="W836" s="243"/>
      <c r="X836" s="243"/>
      <c r="Y836" s="243"/>
      <c r="Z836" s="243"/>
      <c r="AA836" s="243"/>
      <c r="AB836" s="243"/>
      <c r="AC836" s="243"/>
      <c r="AD836" s="243"/>
    </row>
    <row r="837" ht="33.75" customHeight="1">
      <c r="A837" s="252"/>
      <c r="B837" s="252"/>
      <c r="C837" s="243"/>
      <c r="D837" s="252"/>
      <c r="E837" s="243"/>
      <c r="F837" s="243"/>
      <c r="G837" s="243"/>
      <c r="H837" s="243"/>
      <c r="I837" s="243"/>
      <c r="J837" s="243"/>
      <c r="K837" s="243"/>
      <c r="L837" s="243"/>
      <c r="M837" s="243"/>
      <c r="N837" s="243"/>
      <c r="O837" s="243"/>
      <c r="P837" s="243"/>
      <c r="Q837" s="243"/>
      <c r="R837" s="243"/>
      <c r="S837" s="243"/>
      <c r="T837" s="243"/>
      <c r="U837" s="243"/>
      <c r="V837" s="243"/>
      <c r="W837" s="243"/>
      <c r="X837" s="243"/>
      <c r="Y837" s="243"/>
      <c r="Z837" s="243"/>
      <c r="AA837" s="243"/>
      <c r="AB837" s="243"/>
      <c r="AC837" s="243"/>
      <c r="AD837" s="243"/>
    </row>
    <row r="838" ht="33.75" customHeight="1">
      <c r="A838" s="252"/>
      <c r="B838" s="252"/>
      <c r="C838" s="243"/>
      <c r="D838" s="252"/>
      <c r="E838" s="243"/>
      <c r="F838" s="243"/>
      <c r="G838" s="243"/>
      <c r="H838" s="243"/>
      <c r="I838" s="243"/>
      <c r="J838" s="243"/>
      <c r="K838" s="243"/>
      <c r="L838" s="243"/>
      <c r="M838" s="243"/>
      <c r="N838" s="243"/>
      <c r="O838" s="243"/>
      <c r="P838" s="243"/>
      <c r="Q838" s="243"/>
      <c r="R838" s="243"/>
      <c r="S838" s="243"/>
      <c r="T838" s="243"/>
      <c r="U838" s="243"/>
      <c r="V838" s="243"/>
      <c r="W838" s="243"/>
      <c r="X838" s="243"/>
      <c r="Y838" s="243"/>
      <c r="Z838" s="243"/>
      <c r="AA838" s="243"/>
      <c r="AB838" s="243"/>
      <c r="AC838" s="243"/>
      <c r="AD838" s="243"/>
    </row>
    <row r="839" ht="33.75" customHeight="1">
      <c r="A839" s="252"/>
      <c r="B839" s="252"/>
      <c r="C839" s="243"/>
      <c r="D839" s="252"/>
      <c r="E839" s="243"/>
      <c r="F839" s="243"/>
      <c r="G839" s="243"/>
      <c r="H839" s="243"/>
      <c r="I839" s="243"/>
      <c r="J839" s="243"/>
      <c r="K839" s="243"/>
      <c r="L839" s="243"/>
      <c r="M839" s="243"/>
      <c r="N839" s="243"/>
      <c r="O839" s="243"/>
      <c r="P839" s="243"/>
      <c r="Q839" s="243"/>
      <c r="R839" s="243"/>
      <c r="S839" s="243"/>
      <c r="T839" s="243"/>
      <c r="U839" s="243"/>
      <c r="V839" s="243"/>
      <c r="W839" s="243"/>
      <c r="X839" s="243"/>
      <c r="Y839" s="243"/>
      <c r="Z839" s="243"/>
      <c r="AA839" s="243"/>
      <c r="AB839" s="243"/>
      <c r="AC839" s="243"/>
      <c r="AD839" s="243"/>
    </row>
    <row r="840" ht="33.75" customHeight="1">
      <c r="A840" s="252"/>
      <c r="B840" s="252"/>
      <c r="C840" s="243"/>
      <c r="D840" s="252"/>
      <c r="E840" s="243"/>
      <c r="F840" s="243"/>
      <c r="G840" s="243"/>
      <c r="H840" s="243"/>
      <c r="I840" s="243"/>
      <c r="J840" s="243"/>
      <c r="K840" s="243"/>
      <c r="L840" s="243"/>
      <c r="M840" s="243"/>
      <c r="N840" s="243"/>
      <c r="O840" s="243"/>
      <c r="P840" s="243"/>
      <c r="Q840" s="243"/>
      <c r="R840" s="243"/>
      <c r="S840" s="243"/>
      <c r="T840" s="243"/>
      <c r="U840" s="243"/>
      <c r="V840" s="243"/>
      <c r="W840" s="243"/>
      <c r="X840" s="243"/>
      <c r="Y840" s="243"/>
      <c r="Z840" s="243"/>
      <c r="AA840" s="243"/>
      <c r="AB840" s="243"/>
      <c r="AC840" s="243"/>
      <c r="AD840" s="243"/>
    </row>
    <row r="841" ht="33.75" customHeight="1">
      <c r="A841" s="252"/>
      <c r="B841" s="252"/>
      <c r="C841" s="243"/>
      <c r="D841" s="252"/>
      <c r="E841" s="243"/>
      <c r="F841" s="243"/>
      <c r="G841" s="243"/>
      <c r="H841" s="243"/>
      <c r="I841" s="243"/>
      <c r="J841" s="243"/>
      <c r="K841" s="243"/>
      <c r="L841" s="243"/>
      <c r="M841" s="243"/>
      <c r="N841" s="243"/>
      <c r="O841" s="243"/>
      <c r="P841" s="243"/>
      <c r="Q841" s="243"/>
      <c r="R841" s="243"/>
      <c r="S841" s="243"/>
      <c r="T841" s="243"/>
      <c r="U841" s="243"/>
      <c r="V841" s="243"/>
      <c r="W841" s="243"/>
      <c r="X841" s="243"/>
      <c r="Y841" s="243"/>
      <c r="Z841" s="243"/>
      <c r="AA841" s="243"/>
      <c r="AB841" s="243"/>
      <c r="AC841" s="243"/>
      <c r="AD841" s="243"/>
    </row>
    <row r="842" ht="33.75" customHeight="1">
      <c r="A842" s="252"/>
      <c r="B842" s="252"/>
      <c r="C842" s="243"/>
      <c r="D842" s="252"/>
      <c r="E842" s="243"/>
      <c r="F842" s="243"/>
      <c r="G842" s="243"/>
      <c r="H842" s="243"/>
      <c r="I842" s="243"/>
      <c r="J842" s="243"/>
      <c r="K842" s="243"/>
      <c r="L842" s="243"/>
      <c r="M842" s="243"/>
      <c r="N842" s="243"/>
      <c r="O842" s="243"/>
      <c r="P842" s="243"/>
      <c r="Q842" s="243"/>
      <c r="R842" s="243"/>
      <c r="S842" s="243"/>
      <c r="T842" s="243"/>
      <c r="U842" s="243"/>
      <c r="V842" s="243"/>
      <c r="W842" s="243"/>
      <c r="X842" s="243"/>
      <c r="Y842" s="243"/>
      <c r="Z842" s="243"/>
      <c r="AA842" s="243"/>
      <c r="AB842" s="243"/>
      <c r="AC842" s="243"/>
      <c r="AD842" s="243"/>
    </row>
    <row r="843" ht="33.75" customHeight="1">
      <c r="A843" s="252"/>
      <c r="B843" s="252"/>
      <c r="C843" s="243"/>
      <c r="D843" s="252"/>
      <c r="E843" s="243"/>
      <c r="F843" s="243"/>
      <c r="G843" s="243"/>
      <c r="H843" s="243"/>
      <c r="I843" s="243"/>
      <c r="J843" s="243"/>
      <c r="K843" s="243"/>
      <c r="L843" s="243"/>
      <c r="M843" s="243"/>
      <c r="N843" s="243"/>
      <c r="O843" s="243"/>
      <c r="P843" s="243"/>
      <c r="Q843" s="243"/>
      <c r="R843" s="243"/>
      <c r="S843" s="243"/>
      <c r="T843" s="243"/>
      <c r="U843" s="243"/>
      <c r="V843" s="243"/>
      <c r="W843" s="243"/>
      <c r="X843" s="243"/>
      <c r="Y843" s="243"/>
      <c r="Z843" s="243"/>
      <c r="AA843" s="243"/>
      <c r="AB843" s="243"/>
      <c r="AC843" s="243"/>
      <c r="AD843" s="243"/>
    </row>
    <row r="844" ht="33.75" customHeight="1">
      <c r="A844" s="252"/>
      <c r="B844" s="252"/>
      <c r="C844" s="243"/>
      <c r="D844" s="252"/>
      <c r="E844" s="243"/>
      <c r="F844" s="243"/>
      <c r="G844" s="243"/>
      <c r="H844" s="243"/>
      <c r="I844" s="243"/>
      <c r="J844" s="243"/>
      <c r="K844" s="243"/>
      <c r="L844" s="243"/>
      <c r="M844" s="243"/>
      <c r="N844" s="243"/>
      <c r="O844" s="243"/>
      <c r="P844" s="243"/>
      <c r="Q844" s="243"/>
      <c r="R844" s="243"/>
      <c r="S844" s="243"/>
      <c r="T844" s="243"/>
      <c r="U844" s="243"/>
      <c r="V844" s="243"/>
      <c r="W844" s="243"/>
      <c r="X844" s="243"/>
      <c r="Y844" s="243"/>
      <c r="Z844" s="243"/>
      <c r="AA844" s="243"/>
      <c r="AB844" s="243"/>
      <c r="AC844" s="243"/>
      <c r="AD844" s="243"/>
    </row>
    <row r="845" ht="33.75" customHeight="1">
      <c r="A845" s="252"/>
      <c r="B845" s="252"/>
      <c r="C845" s="243"/>
      <c r="D845" s="252"/>
      <c r="E845" s="243"/>
      <c r="F845" s="243"/>
      <c r="G845" s="243"/>
      <c r="H845" s="243"/>
      <c r="I845" s="243"/>
      <c r="J845" s="243"/>
      <c r="K845" s="243"/>
      <c r="L845" s="243"/>
      <c r="M845" s="243"/>
      <c r="N845" s="243"/>
      <c r="O845" s="243"/>
      <c r="P845" s="243"/>
      <c r="Q845" s="243"/>
      <c r="R845" s="243"/>
      <c r="S845" s="243"/>
      <c r="T845" s="243"/>
      <c r="U845" s="243"/>
      <c r="V845" s="243"/>
      <c r="W845" s="243"/>
      <c r="X845" s="243"/>
      <c r="Y845" s="243"/>
      <c r="Z845" s="243"/>
      <c r="AA845" s="243"/>
      <c r="AB845" s="243"/>
      <c r="AC845" s="243"/>
      <c r="AD845" s="243"/>
    </row>
    <row r="846" ht="33.75" customHeight="1">
      <c r="A846" s="252"/>
      <c r="B846" s="252"/>
      <c r="C846" s="243"/>
      <c r="D846" s="252"/>
      <c r="E846" s="243"/>
      <c r="F846" s="243"/>
      <c r="G846" s="243"/>
      <c r="H846" s="243"/>
      <c r="I846" s="243"/>
      <c r="J846" s="243"/>
      <c r="K846" s="243"/>
      <c r="L846" s="243"/>
      <c r="M846" s="243"/>
      <c r="N846" s="243"/>
      <c r="O846" s="243"/>
      <c r="P846" s="243"/>
      <c r="Q846" s="243"/>
      <c r="R846" s="243"/>
      <c r="S846" s="243"/>
      <c r="T846" s="243"/>
      <c r="U846" s="243"/>
      <c r="V846" s="243"/>
      <c r="W846" s="243"/>
      <c r="X846" s="243"/>
      <c r="Y846" s="243"/>
      <c r="Z846" s="243"/>
      <c r="AA846" s="243"/>
      <c r="AB846" s="243"/>
      <c r="AC846" s="243"/>
      <c r="AD846" s="243"/>
    </row>
    <row r="847" ht="33.75" customHeight="1">
      <c r="A847" s="252"/>
      <c r="B847" s="252"/>
      <c r="C847" s="243"/>
      <c r="D847" s="252"/>
      <c r="E847" s="243"/>
      <c r="F847" s="243"/>
      <c r="G847" s="243"/>
      <c r="H847" s="243"/>
      <c r="I847" s="243"/>
      <c r="J847" s="243"/>
      <c r="K847" s="243"/>
      <c r="L847" s="243"/>
      <c r="M847" s="243"/>
      <c r="N847" s="243"/>
      <c r="O847" s="243"/>
      <c r="P847" s="243"/>
      <c r="Q847" s="243"/>
      <c r="R847" s="243"/>
      <c r="S847" s="243"/>
      <c r="T847" s="243"/>
      <c r="U847" s="243"/>
      <c r="V847" s="243"/>
      <c r="W847" s="243"/>
      <c r="X847" s="243"/>
      <c r="Y847" s="243"/>
      <c r="Z847" s="243"/>
      <c r="AA847" s="243"/>
      <c r="AB847" s="243"/>
      <c r="AC847" s="243"/>
      <c r="AD847" s="243"/>
    </row>
    <row r="848" ht="33.75" customHeight="1">
      <c r="A848" s="252"/>
      <c r="B848" s="252"/>
      <c r="C848" s="243"/>
      <c r="D848" s="252"/>
      <c r="E848" s="243"/>
      <c r="F848" s="243"/>
      <c r="G848" s="243"/>
      <c r="H848" s="243"/>
      <c r="I848" s="243"/>
      <c r="J848" s="243"/>
      <c r="K848" s="243"/>
      <c r="L848" s="243"/>
      <c r="M848" s="243"/>
      <c r="N848" s="243"/>
      <c r="O848" s="243"/>
      <c r="P848" s="243"/>
      <c r="Q848" s="243"/>
      <c r="R848" s="243"/>
      <c r="S848" s="243"/>
      <c r="T848" s="243"/>
      <c r="U848" s="243"/>
      <c r="V848" s="243"/>
      <c r="W848" s="243"/>
      <c r="X848" s="243"/>
      <c r="Y848" s="243"/>
      <c r="Z848" s="243"/>
      <c r="AA848" s="243"/>
      <c r="AB848" s="243"/>
      <c r="AC848" s="243"/>
      <c r="AD848" s="243"/>
    </row>
    <row r="849" ht="33.75" customHeight="1">
      <c r="A849" s="252"/>
      <c r="B849" s="252"/>
      <c r="C849" s="243"/>
      <c r="D849" s="252"/>
      <c r="E849" s="243"/>
      <c r="F849" s="243"/>
      <c r="G849" s="243"/>
      <c r="H849" s="243"/>
      <c r="I849" s="243"/>
      <c r="J849" s="243"/>
      <c r="K849" s="243"/>
      <c r="L849" s="243"/>
      <c r="M849" s="243"/>
      <c r="N849" s="243"/>
      <c r="O849" s="243"/>
      <c r="P849" s="243"/>
      <c r="Q849" s="243"/>
      <c r="R849" s="243"/>
      <c r="S849" s="243"/>
      <c r="T849" s="243"/>
      <c r="U849" s="243"/>
      <c r="V849" s="243"/>
      <c r="W849" s="243"/>
      <c r="X849" s="243"/>
      <c r="Y849" s="243"/>
      <c r="Z849" s="243"/>
      <c r="AA849" s="243"/>
      <c r="AB849" s="243"/>
      <c r="AC849" s="243"/>
      <c r="AD849" s="243"/>
    </row>
    <row r="850" ht="33.75" customHeight="1">
      <c r="A850" s="252"/>
      <c r="B850" s="252"/>
      <c r="C850" s="243"/>
      <c r="D850" s="252"/>
      <c r="E850" s="243"/>
      <c r="F850" s="243"/>
      <c r="G850" s="243"/>
      <c r="H850" s="243"/>
      <c r="I850" s="243"/>
      <c r="J850" s="243"/>
      <c r="K850" s="243"/>
      <c r="L850" s="243"/>
      <c r="M850" s="243"/>
      <c r="N850" s="243"/>
      <c r="O850" s="243"/>
      <c r="P850" s="243"/>
      <c r="Q850" s="243"/>
      <c r="R850" s="243"/>
      <c r="S850" s="243"/>
      <c r="T850" s="243"/>
      <c r="U850" s="243"/>
      <c r="V850" s="243"/>
      <c r="W850" s="243"/>
      <c r="X850" s="243"/>
      <c r="Y850" s="243"/>
      <c r="Z850" s="243"/>
      <c r="AA850" s="243"/>
      <c r="AB850" s="243"/>
      <c r="AC850" s="243"/>
      <c r="AD850" s="243"/>
    </row>
    <row r="851" ht="33.75" customHeight="1">
      <c r="A851" s="252"/>
      <c r="B851" s="252"/>
      <c r="C851" s="243"/>
      <c r="D851" s="252"/>
      <c r="E851" s="243"/>
      <c r="F851" s="243"/>
      <c r="G851" s="243"/>
      <c r="H851" s="243"/>
      <c r="I851" s="243"/>
      <c r="J851" s="243"/>
      <c r="K851" s="243"/>
      <c r="L851" s="243"/>
      <c r="M851" s="243"/>
      <c r="N851" s="243"/>
      <c r="O851" s="243"/>
      <c r="P851" s="243"/>
      <c r="Q851" s="243"/>
      <c r="R851" s="243"/>
      <c r="S851" s="243"/>
      <c r="T851" s="243"/>
      <c r="U851" s="243"/>
      <c r="V851" s="243"/>
      <c r="W851" s="243"/>
      <c r="X851" s="243"/>
      <c r="Y851" s="243"/>
      <c r="Z851" s="243"/>
      <c r="AA851" s="243"/>
      <c r="AB851" s="243"/>
      <c r="AC851" s="243"/>
      <c r="AD851" s="243"/>
    </row>
    <row r="852" ht="33.75" customHeight="1">
      <c r="A852" s="252"/>
      <c r="B852" s="252"/>
      <c r="C852" s="243"/>
      <c r="D852" s="252"/>
      <c r="E852" s="243"/>
      <c r="F852" s="243"/>
      <c r="G852" s="243"/>
      <c r="H852" s="243"/>
      <c r="I852" s="243"/>
      <c r="J852" s="243"/>
      <c r="K852" s="243"/>
      <c r="L852" s="243"/>
      <c r="M852" s="243"/>
      <c r="N852" s="243"/>
      <c r="O852" s="243"/>
      <c r="P852" s="243"/>
      <c r="Q852" s="243"/>
      <c r="R852" s="243"/>
      <c r="S852" s="243"/>
      <c r="T852" s="243"/>
      <c r="U852" s="243"/>
      <c r="V852" s="243"/>
      <c r="W852" s="243"/>
      <c r="X852" s="243"/>
      <c r="Y852" s="243"/>
      <c r="Z852" s="243"/>
      <c r="AA852" s="243"/>
      <c r="AB852" s="243"/>
      <c r="AC852" s="243"/>
      <c r="AD852" s="243"/>
    </row>
    <row r="853" ht="33.75" customHeight="1">
      <c r="A853" s="252"/>
      <c r="B853" s="252"/>
      <c r="C853" s="243"/>
      <c r="D853" s="252"/>
      <c r="E853" s="243"/>
      <c r="F853" s="243"/>
      <c r="G853" s="243"/>
      <c r="H853" s="243"/>
      <c r="I853" s="243"/>
      <c r="J853" s="243"/>
      <c r="K853" s="243"/>
      <c r="L853" s="243"/>
      <c r="M853" s="243"/>
      <c r="N853" s="243"/>
      <c r="O853" s="243"/>
      <c r="P853" s="243"/>
      <c r="Q853" s="243"/>
      <c r="R853" s="243"/>
      <c r="S853" s="243"/>
      <c r="T853" s="243"/>
      <c r="U853" s="243"/>
      <c r="V853" s="243"/>
      <c r="W853" s="243"/>
      <c r="X853" s="243"/>
      <c r="Y853" s="243"/>
      <c r="Z853" s="243"/>
      <c r="AA853" s="243"/>
      <c r="AB853" s="243"/>
      <c r="AC853" s="243"/>
      <c r="AD853" s="243"/>
    </row>
    <row r="854" ht="33.75" customHeight="1">
      <c r="A854" s="252"/>
      <c r="B854" s="252"/>
      <c r="C854" s="243"/>
      <c r="D854" s="252"/>
      <c r="E854" s="243"/>
      <c r="F854" s="243"/>
      <c r="G854" s="243"/>
      <c r="H854" s="243"/>
      <c r="I854" s="243"/>
      <c r="J854" s="243"/>
      <c r="K854" s="243"/>
      <c r="L854" s="243"/>
      <c r="M854" s="243"/>
      <c r="N854" s="243"/>
      <c r="O854" s="243"/>
      <c r="P854" s="243"/>
      <c r="Q854" s="243"/>
      <c r="R854" s="243"/>
      <c r="S854" s="243"/>
      <c r="T854" s="243"/>
      <c r="U854" s="243"/>
      <c r="V854" s="243"/>
      <c r="W854" s="243"/>
      <c r="X854" s="243"/>
      <c r="Y854" s="243"/>
      <c r="Z854" s="243"/>
      <c r="AA854" s="243"/>
      <c r="AB854" s="243"/>
      <c r="AC854" s="243"/>
      <c r="AD854" s="243"/>
    </row>
    <row r="855" ht="33.75" customHeight="1">
      <c r="A855" s="252"/>
      <c r="B855" s="252"/>
      <c r="C855" s="243"/>
      <c r="D855" s="252"/>
      <c r="E855" s="243"/>
      <c r="F855" s="243"/>
      <c r="G855" s="243"/>
      <c r="H855" s="243"/>
      <c r="I855" s="243"/>
      <c r="J855" s="243"/>
      <c r="K855" s="243"/>
      <c r="L855" s="243"/>
      <c r="M855" s="243"/>
      <c r="N855" s="243"/>
      <c r="O855" s="243"/>
      <c r="P855" s="243"/>
      <c r="Q855" s="243"/>
      <c r="R855" s="243"/>
      <c r="S855" s="243"/>
      <c r="T855" s="243"/>
      <c r="U855" s="243"/>
      <c r="V855" s="243"/>
      <c r="W855" s="243"/>
      <c r="X855" s="243"/>
      <c r="Y855" s="243"/>
      <c r="Z855" s="243"/>
      <c r="AA855" s="243"/>
      <c r="AB855" s="243"/>
      <c r="AC855" s="243"/>
      <c r="AD855" s="243"/>
    </row>
    <row r="856" ht="33.75" customHeight="1">
      <c r="A856" s="252"/>
      <c r="B856" s="252"/>
      <c r="C856" s="243"/>
      <c r="D856" s="252"/>
      <c r="E856" s="243"/>
      <c r="F856" s="243"/>
      <c r="G856" s="243"/>
      <c r="H856" s="243"/>
      <c r="I856" s="243"/>
      <c r="J856" s="243"/>
      <c r="K856" s="243"/>
      <c r="L856" s="243"/>
      <c r="M856" s="243"/>
      <c r="N856" s="243"/>
      <c r="O856" s="243"/>
      <c r="P856" s="243"/>
      <c r="Q856" s="243"/>
      <c r="R856" s="243"/>
      <c r="S856" s="243"/>
      <c r="T856" s="243"/>
      <c r="U856" s="243"/>
      <c r="V856" s="243"/>
      <c r="W856" s="243"/>
      <c r="X856" s="243"/>
      <c r="Y856" s="243"/>
      <c r="Z856" s="243"/>
      <c r="AA856" s="243"/>
      <c r="AB856" s="243"/>
      <c r="AC856" s="243"/>
      <c r="AD856" s="243"/>
    </row>
    <row r="857" ht="33.75" customHeight="1">
      <c r="A857" s="252"/>
      <c r="B857" s="252"/>
      <c r="C857" s="243"/>
      <c r="D857" s="252"/>
      <c r="E857" s="243"/>
      <c r="F857" s="243"/>
      <c r="G857" s="243"/>
      <c r="H857" s="243"/>
      <c r="I857" s="243"/>
      <c r="J857" s="243"/>
      <c r="K857" s="243"/>
      <c r="L857" s="243"/>
      <c r="M857" s="243"/>
      <c r="N857" s="243"/>
      <c r="O857" s="243"/>
      <c r="P857" s="243"/>
      <c r="Q857" s="243"/>
      <c r="R857" s="243"/>
      <c r="S857" s="243"/>
      <c r="T857" s="243"/>
      <c r="U857" s="243"/>
      <c r="V857" s="243"/>
      <c r="W857" s="243"/>
      <c r="X857" s="243"/>
      <c r="Y857" s="243"/>
      <c r="Z857" s="243"/>
      <c r="AA857" s="243"/>
      <c r="AB857" s="243"/>
      <c r="AC857" s="243"/>
      <c r="AD857" s="243"/>
    </row>
    <row r="858" ht="33.75" customHeight="1">
      <c r="A858" s="252"/>
      <c r="B858" s="252"/>
      <c r="C858" s="243"/>
      <c r="D858" s="252"/>
      <c r="E858" s="243"/>
      <c r="F858" s="243"/>
      <c r="G858" s="243"/>
      <c r="H858" s="243"/>
      <c r="I858" s="243"/>
      <c r="J858" s="243"/>
      <c r="K858" s="243"/>
      <c r="L858" s="243"/>
      <c r="M858" s="243"/>
      <c r="N858" s="243"/>
      <c r="O858" s="243"/>
      <c r="P858" s="243"/>
      <c r="Q858" s="243"/>
      <c r="R858" s="243"/>
      <c r="S858" s="243"/>
      <c r="T858" s="243"/>
      <c r="U858" s="243"/>
      <c r="V858" s="243"/>
      <c r="W858" s="243"/>
      <c r="X858" s="243"/>
      <c r="Y858" s="243"/>
      <c r="Z858" s="243"/>
      <c r="AA858" s="243"/>
      <c r="AB858" s="243"/>
      <c r="AC858" s="243"/>
      <c r="AD858" s="243"/>
    </row>
    <row r="859" ht="33.75" customHeight="1">
      <c r="A859" s="252"/>
      <c r="B859" s="252"/>
      <c r="C859" s="243"/>
      <c r="D859" s="252"/>
      <c r="E859" s="243"/>
      <c r="F859" s="243"/>
      <c r="G859" s="243"/>
      <c r="H859" s="243"/>
      <c r="I859" s="243"/>
      <c r="J859" s="243"/>
      <c r="K859" s="243"/>
      <c r="L859" s="243"/>
      <c r="M859" s="243"/>
      <c r="N859" s="243"/>
      <c r="O859" s="243"/>
      <c r="P859" s="243"/>
      <c r="Q859" s="243"/>
      <c r="R859" s="243"/>
      <c r="S859" s="243"/>
      <c r="T859" s="243"/>
      <c r="U859" s="243"/>
      <c r="V859" s="243"/>
      <c r="W859" s="243"/>
      <c r="X859" s="243"/>
      <c r="Y859" s="243"/>
      <c r="Z859" s="243"/>
      <c r="AA859" s="243"/>
      <c r="AB859" s="243"/>
      <c r="AC859" s="243"/>
      <c r="AD859" s="243"/>
    </row>
    <row r="860" ht="33.75" customHeight="1">
      <c r="A860" s="252"/>
      <c r="B860" s="252"/>
      <c r="C860" s="243"/>
      <c r="D860" s="252"/>
      <c r="E860" s="243"/>
      <c r="F860" s="243"/>
      <c r="G860" s="243"/>
      <c r="H860" s="243"/>
      <c r="I860" s="243"/>
      <c r="J860" s="243"/>
      <c r="K860" s="243"/>
      <c r="L860" s="243"/>
      <c r="M860" s="243"/>
      <c r="N860" s="243"/>
      <c r="O860" s="243"/>
      <c r="P860" s="243"/>
      <c r="Q860" s="243"/>
      <c r="R860" s="243"/>
      <c r="S860" s="243"/>
      <c r="T860" s="243"/>
      <c r="U860" s="243"/>
      <c r="V860" s="243"/>
      <c r="W860" s="243"/>
      <c r="X860" s="243"/>
      <c r="Y860" s="243"/>
      <c r="Z860" s="243"/>
      <c r="AA860" s="243"/>
      <c r="AB860" s="243"/>
      <c r="AC860" s="243"/>
      <c r="AD860" s="243"/>
    </row>
    <row r="861" ht="33.75" customHeight="1">
      <c r="A861" s="252"/>
      <c r="B861" s="252"/>
      <c r="C861" s="243"/>
      <c r="D861" s="252"/>
      <c r="E861" s="243"/>
      <c r="F861" s="243"/>
      <c r="G861" s="243"/>
      <c r="H861" s="243"/>
      <c r="I861" s="243"/>
      <c r="J861" s="243"/>
      <c r="K861" s="243"/>
      <c r="L861" s="243"/>
      <c r="M861" s="243"/>
      <c r="N861" s="243"/>
      <c r="O861" s="243"/>
      <c r="P861" s="243"/>
      <c r="Q861" s="243"/>
      <c r="R861" s="243"/>
      <c r="S861" s="243"/>
      <c r="T861" s="243"/>
      <c r="U861" s="243"/>
      <c r="V861" s="243"/>
      <c r="W861" s="243"/>
      <c r="X861" s="243"/>
      <c r="Y861" s="243"/>
      <c r="Z861" s="243"/>
      <c r="AA861" s="243"/>
      <c r="AB861" s="243"/>
      <c r="AC861" s="243"/>
      <c r="AD861" s="243"/>
    </row>
    <row r="862" ht="33.75" customHeight="1">
      <c r="A862" s="252"/>
      <c r="B862" s="252"/>
      <c r="C862" s="243"/>
      <c r="D862" s="252"/>
      <c r="E862" s="243"/>
      <c r="F862" s="243"/>
      <c r="G862" s="243"/>
      <c r="H862" s="243"/>
      <c r="I862" s="243"/>
      <c r="J862" s="243"/>
      <c r="K862" s="243"/>
      <c r="L862" s="243"/>
      <c r="M862" s="243"/>
      <c r="N862" s="243"/>
      <c r="O862" s="243"/>
      <c r="P862" s="243"/>
      <c r="Q862" s="243"/>
      <c r="R862" s="243"/>
      <c r="S862" s="243"/>
      <c r="T862" s="243"/>
      <c r="U862" s="243"/>
      <c r="V862" s="243"/>
      <c r="W862" s="243"/>
      <c r="X862" s="243"/>
      <c r="Y862" s="243"/>
      <c r="Z862" s="243"/>
      <c r="AA862" s="243"/>
      <c r="AB862" s="243"/>
      <c r="AC862" s="243"/>
      <c r="AD862" s="243"/>
    </row>
    <row r="863" ht="33.75" customHeight="1">
      <c r="A863" s="252"/>
      <c r="B863" s="252"/>
      <c r="C863" s="243"/>
      <c r="D863" s="252"/>
      <c r="E863" s="243"/>
      <c r="F863" s="243"/>
      <c r="G863" s="243"/>
      <c r="H863" s="243"/>
      <c r="I863" s="243"/>
      <c r="J863" s="243"/>
      <c r="K863" s="243"/>
      <c r="L863" s="243"/>
      <c r="M863" s="243"/>
      <c r="N863" s="243"/>
      <c r="O863" s="243"/>
      <c r="P863" s="243"/>
      <c r="Q863" s="243"/>
      <c r="R863" s="243"/>
      <c r="S863" s="243"/>
      <c r="T863" s="243"/>
      <c r="U863" s="243"/>
      <c r="V863" s="243"/>
      <c r="W863" s="243"/>
      <c r="X863" s="243"/>
      <c r="Y863" s="243"/>
      <c r="Z863" s="243"/>
      <c r="AA863" s="243"/>
      <c r="AB863" s="243"/>
      <c r="AC863" s="243"/>
      <c r="AD863" s="243"/>
    </row>
    <row r="864" ht="33.75" customHeight="1">
      <c r="A864" s="252"/>
      <c r="B864" s="252"/>
      <c r="C864" s="243"/>
      <c r="D864" s="252"/>
      <c r="E864" s="243"/>
      <c r="F864" s="243"/>
      <c r="G864" s="243"/>
      <c r="H864" s="243"/>
      <c r="I864" s="243"/>
      <c r="J864" s="243"/>
      <c r="K864" s="243"/>
      <c r="L864" s="243"/>
      <c r="M864" s="243"/>
      <c r="N864" s="243"/>
      <c r="O864" s="243"/>
      <c r="P864" s="243"/>
      <c r="Q864" s="243"/>
      <c r="R864" s="243"/>
      <c r="S864" s="243"/>
      <c r="T864" s="243"/>
      <c r="U864" s="243"/>
      <c r="V864" s="243"/>
      <c r="W864" s="243"/>
      <c r="X864" s="243"/>
      <c r="Y864" s="243"/>
      <c r="Z864" s="243"/>
      <c r="AA864" s="243"/>
      <c r="AB864" s="243"/>
      <c r="AC864" s="243"/>
      <c r="AD864" s="243"/>
    </row>
    <row r="865" ht="33.75" customHeight="1">
      <c r="A865" s="252"/>
      <c r="B865" s="252"/>
      <c r="C865" s="243"/>
      <c r="D865" s="252"/>
      <c r="E865" s="243"/>
      <c r="F865" s="243"/>
      <c r="G865" s="243"/>
      <c r="H865" s="243"/>
      <c r="I865" s="243"/>
      <c r="J865" s="243"/>
      <c r="K865" s="243"/>
      <c r="L865" s="243"/>
      <c r="M865" s="243"/>
      <c r="N865" s="243"/>
      <c r="O865" s="243"/>
      <c r="P865" s="243"/>
      <c r="Q865" s="243"/>
      <c r="R865" s="243"/>
      <c r="S865" s="243"/>
      <c r="T865" s="243"/>
      <c r="U865" s="243"/>
      <c r="V865" s="243"/>
      <c r="W865" s="243"/>
      <c r="X865" s="243"/>
      <c r="Y865" s="243"/>
      <c r="Z865" s="243"/>
      <c r="AA865" s="243"/>
      <c r="AB865" s="243"/>
      <c r="AC865" s="243"/>
      <c r="AD865" s="243"/>
    </row>
    <row r="866" ht="33.75" customHeight="1">
      <c r="A866" s="252"/>
      <c r="B866" s="252"/>
      <c r="C866" s="243"/>
      <c r="D866" s="252"/>
      <c r="E866" s="243"/>
      <c r="F866" s="243"/>
      <c r="G866" s="243"/>
      <c r="H866" s="243"/>
      <c r="I866" s="243"/>
      <c r="J866" s="243"/>
      <c r="K866" s="243"/>
      <c r="L866" s="243"/>
      <c r="M866" s="243"/>
      <c r="N866" s="243"/>
      <c r="O866" s="243"/>
      <c r="P866" s="243"/>
      <c r="Q866" s="243"/>
      <c r="R866" s="243"/>
      <c r="S866" s="243"/>
      <c r="T866" s="243"/>
      <c r="U866" s="243"/>
      <c r="V866" s="243"/>
      <c r="W866" s="243"/>
      <c r="X866" s="243"/>
      <c r="Y866" s="243"/>
      <c r="Z866" s="243"/>
      <c r="AA866" s="243"/>
      <c r="AB866" s="243"/>
      <c r="AC866" s="243"/>
      <c r="AD866" s="243"/>
    </row>
    <row r="867" ht="33.75" customHeight="1">
      <c r="A867" s="252"/>
      <c r="B867" s="252"/>
      <c r="C867" s="243"/>
      <c r="D867" s="252"/>
      <c r="E867" s="243"/>
      <c r="F867" s="243"/>
      <c r="G867" s="243"/>
      <c r="H867" s="243"/>
      <c r="I867" s="243"/>
      <c r="J867" s="243"/>
      <c r="K867" s="243"/>
      <c r="L867" s="243"/>
      <c r="M867" s="243"/>
      <c r="N867" s="243"/>
      <c r="O867" s="243"/>
      <c r="P867" s="243"/>
      <c r="Q867" s="243"/>
      <c r="R867" s="243"/>
      <c r="S867" s="243"/>
      <c r="T867" s="243"/>
      <c r="U867" s="243"/>
      <c r="V867" s="243"/>
      <c r="W867" s="243"/>
      <c r="X867" s="243"/>
      <c r="Y867" s="243"/>
      <c r="Z867" s="243"/>
      <c r="AA867" s="243"/>
      <c r="AB867" s="243"/>
      <c r="AC867" s="243"/>
      <c r="AD867" s="243"/>
    </row>
    <row r="868" ht="33.75" customHeight="1">
      <c r="A868" s="252"/>
      <c r="B868" s="252"/>
      <c r="C868" s="243"/>
      <c r="D868" s="252"/>
      <c r="E868" s="243"/>
      <c r="F868" s="243"/>
      <c r="G868" s="243"/>
      <c r="H868" s="243"/>
      <c r="I868" s="243"/>
      <c r="J868" s="243"/>
      <c r="K868" s="243"/>
      <c r="L868" s="243"/>
      <c r="M868" s="243"/>
      <c r="N868" s="243"/>
      <c r="O868" s="243"/>
      <c r="P868" s="243"/>
      <c r="Q868" s="243"/>
      <c r="R868" s="243"/>
      <c r="S868" s="243"/>
      <c r="T868" s="243"/>
      <c r="U868" s="243"/>
      <c r="V868" s="243"/>
      <c r="W868" s="243"/>
      <c r="X868" s="243"/>
      <c r="Y868" s="243"/>
      <c r="Z868" s="243"/>
      <c r="AA868" s="243"/>
      <c r="AB868" s="243"/>
      <c r="AC868" s="243"/>
      <c r="AD868" s="243"/>
    </row>
    <row r="869" ht="33.75" customHeight="1">
      <c r="A869" s="252"/>
      <c r="B869" s="252"/>
      <c r="C869" s="243"/>
      <c r="D869" s="252"/>
      <c r="E869" s="243"/>
      <c r="F869" s="243"/>
      <c r="G869" s="243"/>
      <c r="H869" s="243"/>
      <c r="I869" s="243"/>
      <c r="J869" s="243"/>
      <c r="K869" s="243"/>
      <c r="L869" s="243"/>
      <c r="M869" s="243"/>
      <c r="N869" s="243"/>
      <c r="O869" s="243"/>
      <c r="P869" s="243"/>
      <c r="Q869" s="243"/>
      <c r="R869" s="243"/>
      <c r="S869" s="243"/>
      <c r="T869" s="243"/>
      <c r="U869" s="243"/>
      <c r="V869" s="243"/>
      <c r="W869" s="243"/>
      <c r="X869" s="243"/>
      <c r="Y869" s="243"/>
      <c r="Z869" s="243"/>
      <c r="AA869" s="243"/>
      <c r="AB869" s="243"/>
      <c r="AC869" s="243"/>
      <c r="AD869" s="243"/>
    </row>
    <row r="870" ht="33.75" customHeight="1">
      <c r="A870" s="252"/>
      <c r="B870" s="252"/>
      <c r="C870" s="243"/>
      <c r="D870" s="252"/>
      <c r="E870" s="243"/>
      <c r="F870" s="243"/>
      <c r="G870" s="243"/>
      <c r="H870" s="243"/>
      <c r="I870" s="243"/>
      <c r="J870" s="243"/>
      <c r="K870" s="243"/>
      <c r="L870" s="243"/>
      <c r="M870" s="243"/>
      <c r="N870" s="243"/>
      <c r="O870" s="243"/>
      <c r="P870" s="243"/>
      <c r="Q870" s="243"/>
      <c r="R870" s="243"/>
      <c r="S870" s="243"/>
      <c r="T870" s="243"/>
      <c r="U870" s="243"/>
      <c r="V870" s="243"/>
      <c r="W870" s="243"/>
      <c r="X870" s="243"/>
      <c r="Y870" s="243"/>
      <c r="Z870" s="243"/>
      <c r="AA870" s="243"/>
      <c r="AB870" s="243"/>
      <c r="AC870" s="243"/>
      <c r="AD870" s="243"/>
    </row>
    <row r="871" ht="33.75" customHeight="1">
      <c r="A871" s="252"/>
      <c r="B871" s="252"/>
      <c r="C871" s="243"/>
      <c r="D871" s="252"/>
      <c r="E871" s="243"/>
      <c r="F871" s="243"/>
      <c r="G871" s="243"/>
      <c r="H871" s="243"/>
      <c r="I871" s="243"/>
      <c r="J871" s="243"/>
      <c r="K871" s="243"/>
      <c r="L871" s="243"/>
      <c r="M871" s="243"/>
      <c r="N871" s="243"/>
      <c r="O871" s="243"/>
      <c r="P871" s="243"/>
      <c r="Q871" s="243"/>
      <c r="R871" s="243"/>
      <c r="S871" s="243"/>
      <c r="T871" s="243"/>
      <c r="U871" s="243"/>
      <c r="V871" s="243"/>
      <c r="W871" s="243"/>
      <c r="X871" s="243"/>
      <c r="Y871" s="243"/>
      <c r="Z871" s="243"/>
      <c r="AA871" s="243"/>
      <c r="AB871" s="243"/>
      <c r="AC871" s="243"/>
      <c r="AD871" s="243"/>
    </row>
    <row r="872" ht="33.75" customHeight="1">
      <c r="A872" s="252"/>
      <c r="B872" s="252"/>
      <c r="C872" s="243"/>
      <c r="D872" s="252"/>
      <c r="E872" s="243"/>
      <c r="F872" s="243"/>
      <c r="G872" s="243"/>
      <c r="H872" s="243"/>
      <c r="I872" s="243"/>
      <c r="J872" s="243"/>
      <c r="K872" s="243"/>
      <c r="L872" s="243"/>
      <c r="M872" s="243"/>
      <c r="N872" s="243"/>
      <c r="O872" s="243"/>
      <c r="P872" s="243"/>
      <c r="Q872" s="243"/>
      <c r="R872" s="243"/>
      <c r="S872" s="243"/>
      <c r="T872" s="243"/>
      <c r="U872" s="243"/>
      <c r="V872" s="243"/>
      <c r="W872" s="243"/>
      <c r="X872" s="243"/>
      <c r="Y872" s="243"/>
      <c r="Z872" s="243"/>
      <c r="AA872" s="243"/>
      <c r="AB872" s="243"/>
      <c r="AC872" s="243"/>
      <c r="AD872" s="243"/>
    </row>
    <row r="873" ht="33.75" customHeight="1">
      <c r="A873" s="252"/>
      <c r="B873" s="252"/>
      <c r="C873" s="243"/>
      <c r="D873" s="252"/>
      <c r="E873" s="243"/>
      <c r="F873" s="243"/>
      <c r="G873" s="243"/>
      <c r="H873" s="243"/>
      <c r="I873" s="243"/>
      <c r="J873" s="243"/>
      <c r="K873" s="243"/>
      <c r="L873" s="243"/>
      <c r="M873" s="243"/>
      <c r="N873" s="243"/>
      <c r="O873" s="243"/>
      <c r="P873" s="243"/>
      <c r="Q873" s="243"/>
      <c r="R873" s="243"/>
      <c r="S873" s="243"/>
      <c r="T873" s="243"/>
      <c r="U873" s="243"/>
      <c r="V873" s="243"/>
      <c r="W873" s="243"/>
      <c r="X873" s="243"/>
      <c r="Y873" s="243"/>
      <c r="Z873" s="243"/>
      <c r="AA873" s="243"/>
      <c r="AB873" s="243"/>
      <c r="AC873" s="243"/>
      <c r="AD873" s="243"/>
    </row>
    <row r="874" ht="33.75" customHeight="1">
      <c r="A874" s="252"/>
      <c r="B874" s="252"/>
      <c r="C874" s="243"/>
      <c r="D874" s="252"/>
      <c r="E874" s="243"/>
      <c r="F874" s="243"/>
      <c r="G874" s="243"/>
      <c r="H874" s="243"/>
      <c r="I874" s="243"/>
      <c r="J874" s="243"/>
      <c r="K874" s="243"/>
      <c r="L874" s="243"/>
      <c r="M874" s="243"/>
      <c r="N874" s="243"/>
      <c r="O874" s="243"/>
      <c r="P874" s="243"/>
      <c r="Q874" s="243"/>
      <c r="R874" s="243"/>
      <c r="S874" s="243"/>
      <c r="T874" s="243"/>
      <c r="U874" s="243"/>
      <c r="V874" s="243"/>
      <c r="W874" s="243"/>
      <c r="X874" s="243"/>
      <c r="Y874" s="243"/>
      <c r="Z874" s="243"/>
      <c r="AA874" s="243"/>
      <c r="AB874" s="243"/>
      <c r="AC874" s="243"/>
      <c r="AD874" s="243"/>
    </row>
    <row r="875" ht="33.75" customHeight="1">
      <c r="A875" s="252"/>
      <c r="B875" s="252"/>
      <c r="C875" s="243"/>
      <c r="D875" s="252"/>
      <c r="E875" s="243"/>
      <c r="F875" s="243"/>
      <c r="G875" s="243"/>
      <c r="H875" s="243"/>
      <c r="I875" s="243"/>
      <c r="J875" s="243"/>
      <c r="K875" s="243"/>
      <c r="L875" s="243"/>
      <c r="M875" s="243"/>
      <c r="N875" s="243"/>
      <c r="O875" s="243"/>
      <c r="P875" s="243"/>
      <c r="Q875" s="243"/>
      <c r="R875" s="243"/>
      <c r="S875" s="243"/>
      <c r="T875" s="243"/>
      <c r="U875" s="243"/>
      <c r="V875" s="243"/>
      <c r="W875" s="243"/>
      <c r="X875" s="243"/>
      <c r="Y875" s="243"/>
      <c r="Z875" s="243"/>
      <c r="AA875" s="243"/>
      <c r="AB875" s="243"/>
      <c r="AC875" s="243"/>
      <c r="AD875" s="243"/>
    </row>
    <row r="876" ht="33.75" customHeight="1">
      <c r="A876" s="252"/>
      <c r="B876" s="252"/>
      <c r="C876" s="243"/>
      <c r="D876" s="252"/>
      <c r="E876" s="243"/>
      <c r="F876" s="243"/>
      <c r="G876" s="243"/>
      <c r="H876" s="243"/>
      <c r="I876" s="243"/>
      <c r="J876" s="243"/>
      <c r="K876" s="243"/>
      <c r="L876" s="243"/>
      <c r="M876" s="243"/>
      <c r="N876" s="243"/>
      <c r="O876" s="243"/>
      <c r="P876" s="243"/>
      <c r="Q876" s="243"/>
      <c r="R876" s="243"/>
      <c r="S876" s="243"/>
      <c r="T876" s="243"/>
      <c r="U876" s="243"/>
      <c r="V876" s="243"/>
      <c r="W876" s="243"/>
      <c r="X876" s="243"/>
      <c r="Y876" s="243"/>
      <c r="Z876" s="243"/>
      <c r="AA876" s="243"/>
      <c r="AB876" s="243"/>
      <c r="AC876" s="243"/>
      <c r="AD876" s="243"/>
    </row>
    <row r="877" ht="33.75" customHeight="1">
      <c r="A877" s="252"/>
      <c r="B877" s="252"/>
      <c r="C877" s="243"/>
      <c r="D877" s="252"/>
      <c r="E877" s="243"/>
      <c r="F877" s="243"/>
      <c r="G877" s="243"/>
      <c r="H877" s="243"/>
      <c r="I877" s="243"/>
      <c r="J877" s="243"/>
      <c r="K877" s="243"/>
      <c r="L877" s="243"/>
      <c r="M877" s="243"/>
      <c r="N877" s="243"/>
      <c r="O877" s="243"/>
      <c r="P877" s="243"/>
      <c r="Q877" s="243"/>
      <c r="R877" s="243"/>
      <c r="S877" s="243"/>
      <c r="T877" s="243"/>
      <c r="U877" s="243"/>
      <c r="V877" s="243"/>
      <c r="W877" s="243"/>
      <c r="X877" s="243"/>
      <c r="Y877" s="243"/>
      <c r="Z877" s="243"/>
      <c r="AA877" s="243"/>
      <c r="AB877" s="243"/>
      <c r="AC877" s="243"/>
      <c r="AD877" s="243"/>
    </row>
    <row r="878" ht="33.75" customHeight="1">
      <c r="A878" s="252"/>
      <c r="B878" s="252"/>
      <c r="C878" s="243"/>
      <c r="D878" s="252"/>
      <c r="E878" s="243"/>
      <c r="F878" s="243"/>
      <c r="G878" s="243"/>
      <c r="H878" s="243"/>
      <c r="I878" s="243"/>
      <c r="J878" s="243"/>
      <c r="K878" s="243"/>
      <c r="L878" s="243"/>
      <c r="M878" s="243"/>
      <c r="N878" s="243"/>
      <c r="O878" s="243"/>
      <c r="P878" s="243"/>
      <c r="Q878" s="243"/>
      <c r="R878" s="243"/>
      <c r="S878" s="243"/>
      <c r="T878" s="243"/>
      <c r="U878" s="243"/>
      <c r="V878" s="243"/>
      <c r="W878" s="243"/>
      <c r="X878" s="243"/>
      <c r="Y878" s="243"/>
      <c r="Z878" s="243"/>
      <c r="AA878" s="243"/>
      <c r="AB878" s="243"/>
      <c r="AC878" s="243"/>
      <c r="AD878" s="243"/>
    </row>
    <row r="879" ht="33.75" customHeight="1">
      <c r="A879" s="252"/>
      <c r="B879" s="252"/>
      <c r="C879" s="243"/>
      <c r="D879" s="252"/>
      <c r="E879" s="243"/>
      <c r="F879" s="243"/>
      <c r="G879" s="243"/>
      <c r="H879" s="243"/>
      <c r="I879" s="243"/>
      <c r="J879" s="243"/>
      <c r="K879" s="243"/>
      <c r="L879" s="243"/>
      <c r="M879" s="243"/>
      <c r="N879" s="243"/>
      <c r="O879" s="243"/>
      <c r="P879" s="243"/>
      <c r="Q879" s="243"/>
      <c r="R879" s="243"/>
      <c r="S879" s="243"/>
      <c r="T879" s="243"/>
      <c r="U879" s="243"/>
      <c r="V879" s="243"/>
      <c r="W879" s="243"/>
      <c r="X879" s="243"/>
      <c r="Y879" s="243"/>
      <c r="Z879" s="243"/>
      <c r="AA879" s="243"/>
      <c r="AB879" s="243"/>
      <c r="AC879" s="243"/>
      <c r="AD879" s="243"/>
    </row>
    <row r="880" ht="33.75" customHeight="1">
      <c r="A880" s="252"/>
      <c r="B880" s="252"/>
      <c r="C880" s="243"/>
      <c r="D880" s="252"/>
      <c r="E880" s="243"/>
      <c r="F880" s="243"/>
      <c r="G880" s="243"/>
      <c r="H880" s="243"/>
      <c r="I880" s="243"/>
      <c r="J880" s="243"/>
      <c r="K880" s="243"/>
      <c r="L880" s="243"/>
      <c r="M880" s="243"/>
      <c r="N880" s="243"/>
      <c r="O880" s="243"/>
      <c r="P880" s="243"/>
      <c r="Q880" s="243"/>
      <c r="R880" s="243"/>
      <c r="S880" s="243"/>
      <c r="T880" s="243"/>
      <c r="U880" s="243"/>
      <c r="V880" s="243"/>
      <c r="W880" s="243"/>
      <c r="X880" s="243"/>
      <c r="Y880" s="243"/>
      <c r="Z880" s="243"/>
      <c r="AA880" s="243"/>
      <c r="AB880" s="243"/>
      <c r="AC880" s="243"/>
      <c r="AD880" s="243"/>
    </row>
    <row r="881" ht="33.75" customHeight="1">
      <c r="A881" s="252"/>
      <c r="B881" s="252"/>
      <c r="C881" s="243"/>
      <c r="D881" s="252"/>
      <c r="E881" s="243"/>
      <c r="F881" s="243"/>
      <c r="G881" s="243"/>
      <c r="H881" s="243"/>
      <c r="I881" s="243"/>
      <c r="J881" s="243"/>
      <c r="K881" s="243"/>
      <c r="L881" s="243"/>
      <c r="M881" s="243"/>
      <c r="N881" s="243"/>
      <c r="O881" s="243"/>
      <c r="P881" s="243"/>
      <c r="Q881" s="243"/>
      <c r="R881" s="243"/>
      <c r="S881" s="243"/>
      <c r="T881" s="243"/>
      <c r="U881" s="243"/>
      <c r="V881" s="243"/>
      <c r="W881" s="243"/>
      <c r="X881" s="243"/>
      <c r="Y881" s="243"/>
      <c r="Z881" s="243"/>
      <c r="AA881" s="243"/>
      <c r="AB881" s="243"/>
      <c r="AC881" s="243"/>
      <c r="AD881" s="243"/>
    </row>
    <row r="882" ht="33.75" customHeight="1">
      <c r="A882" s="252"/>
      <c r="B882" s="252"/>
      <c r="C882" s="243"/>
      <c r="D882" s="252"/>
      <c r="E882" s="243"/>
      <c r="F882" s="243"/>
      <c r="G882" s="243"/>
      <c r="H882" s="243"/>
      <c r="I882" s="243"/>
      <c r="J882" s="243"/>
      <c r="K882" s="243"/>
      <c r="L882" s="243"/>
      <c r="M882" s="243"/>
      <c r="N882" s="243"/>
      <c r="O882" s="243"/>
      <c r="P882" s="243"/>
      <c r="Q882" s="243"/>
      <c r="R882" s="243"/>
      <c r="S882" s="243"/>
      <c r="T882" s="243"/>
      <c r="U882" s="243"/>
      <c r="V882" s="243"/>
      <c r="W882" s="243"/>
      <c r="X882" s="243"/>
      <c r="Y882" s="243"/>
      <c r="Z882" s="243"/>
      <c r="AA882" s="243"/>
      <c r="AB882" s="243"/>
      <c r="AC882" s="243"/>
      <c r="AD882" s="243"/>
    </row>
    <row r="883" ht="33.75" customHeight="1">
      <c r="A883" s="252"/>
      <c r="B883" s="252"/>
      <c r="C883" s="243"/>
      <c r="D883" s="252"/>
      <c r="E883" s="243"/>
      <c r="F883" s="243"/>
      <c r="G883" s="243"/>
      <c r="H883" s="243"/>
      <c r="I883" s="243"/>
      <c r="J883" s="243"/>
      <c r="K883" s="243"/>
      <c r="L883" s="243"/>
      <c r="M883" s="243"/>
      <c r="N883" s="243"/>
      <c r="O883" s="243"/>
      <c r="P883" s="243"/>
      <c r="Q883" s="243"/>
      <c r="R883" s="243"/>
      <c r="S883" s="243"/>
      <c r="T883" s="243"/>
      <c r="U883" s="243"/>
      <c r="V883" s="243"/>
      <c r="W883" s="243"/>
      <c r="X883" s="243"/>
      <c r="Y883" s="243"/>
      <c r="Z883" s="243"/>
      <c r="AA883" s="243"/>
      <c r="AB883" s="243"/>
      <c r="AC883" s="243"/>
      <c r="AD883" s="243"/>
    </row>
    <row r="884" ht="33.75" customHeight="1">
      <c r="A884" s="252"/>
      <c r="B884" s="252"/>
      <c r="C884" s="243"/>
      <c r="D884" s="252"/>
      <c r="E884" s="243"/>
      <c r="F884" s="243"/>
      <c r="G884" s="243"/>
      <c r="H884" s="243"/>
      <c r="I884" s="243"/>
      <c r="J884" s="243"/>
      <c r="K884" s="243"/>
      <c r="L884" s="243"/>
      <c r="M884" s="243"/>
      <c r="N884" s="243"/>
      <c r="O884" s="243"/>
      <c r="P884" s="243"/>
      <c r="Q884" s="243"/>
      <c r="R884" s="243"/>
      <c r="S884" s="243"/>
      <c r="T884" s="243"/>
      <c r="U884" s="243"/>
      <c r="V884" s="243"/>
      <c r="W884" s="243"/>
      <c r="X884" s="243"/>
      <c r="Y884" s="243"/>
      <c r="Z884" s="243"/>
      <c r="AA884" s="243"/>
      <c r="AB884" s="243"/>
      <c r="AC884" s="243"/>
      <c r="AD884" s="243"/>
    </row>
    <row r="885" ht="33.75" customHeight="1">
      <c r="A885" s="252"/>
      <c r="B885" s="252"/>
      <c r="C885" s="243"/>
      <c r="D885" s="252"/>
      <c r="E885" s="243"/>
      <c r="F885" s="243"/>
      <c r="G885" s="243"/>
      <c r="H885" s="243"/>
      <c r="I885" s="243"/>
      <c r="J885" s="243"/>
      <c r="K885" s="243"/>
      <c r="L885" s="243"/>
      <c r="M885" s="243"/>
      <c r="N885" s="243"/>
      <c r="O885" s="243"/>
      <c r="P885" s="243"/>
      <c r="Q885" s="243"/>
      <c r="R885" s="243"/>
      <c r="S885" s="243"/>
      <c r="T885" s="243"/>
      <c r="U885" s="243"/>
      <c r="V885" s="243"/>
      <c r="W885" s="243"/>
      <c r="X885" s="243"/>
      <c r="Y885" s="243"/>
      <c r="Z885" s="243"/>
      <c r="AA885" s="243"/>
      <c r="AB885" s="243"/>
      <c r="AC885" s="243"/>
      <c r="AD885" s="243"/>
    </row>
    <row r="886" ht="33.75" customHeight="1">
      <c r="A886" s="252"/>
      <c r="B886" s="252"/>
      <c r="C886" s="243"/>
      <c r="D886" s="252"/>
      <c r="E886" s="243"/>
      <c r="F886" s="243"/>
      <c r="G886" s="243"/>
      <c r="H886" s="243"/>
      <c r="I886" s="243"/>
      <c r="J886" s="243"/>
      <c r="K886" s="243"/>
      <c r="L886" s="243"/>
      <c r="M886" s="243"/>
      <c r="N886" s="243"/>
      <c r="O886" s="243"/>
      <c r="P886" s="243"/>
      <c r="Q886" s="243"/>
      <c r="R886" s="243"/>
      <c r="S886" s="243"/>
      <c r="T886" s="243"/>
      <c r="U886" s="243"/>
      <c r="V886" s="243"/>
      <c r="W886" s="243"/>
      <c r="X886" s="243"/>
      <c r="Y886" s="243"/>
      <c r="Z886" s="243"/>
      <c r="AA886" s="243"/>
      <c r="AB886" s="243"/>
      <c r="AC886" s="243"/>
      <c r="AD886" s="243"/>
    </row>
    <row r="887" ht="33.75" customHeight="1">
      <c r="A887" s="252"/>
      <c r="B887" s="252"/>
      <c r="C887" s="243"/>
      <c r="D887" s="252"/>
      <c r="E887" s="243"/>
      <c r="F887" s="243"/>
      <c r="G887" s="243"/>
      <c r="H887" s="243"/>
      <c r="I887" s="243"/>
      <c r="J887" s="243"/>
      <c r="K887" s="243"/>
      <c r="L887" s="243"/>
      <c r="M887" s="243"/>
      <c r="N887" s="243"/>
      <c r="O887" s="243"/>
      <c r="P887" s="243"/>
      <c r="Q887" s="243"/>
      <c r="R887" s="243"/>
      <c r="S887" s="243"/>
      <c r="T887" s="243"/>
      <c r="U887" s="243"/>
      <c r="V887" s="243"/>
      <c r="W887" s="243"/>
      <c r="X887" s="243"/>
      <c r="Y887" s="243"/>
      <c r="Z887" s="243"/>
      <c r="AA887" s="243"/>
      <c r="AB887" s="243"/>
      <c r="AC887" s="243"/>
      <c r="AD887" s="243"/>
    </row>
    <row r="888" ht="33.75" customHeight="1">
      <c r="A888" s="252"/>
      <c r="B888" s="252"/>
      <c r="C888" s="243"/>
      <c r="D888" s="252"/>
      <c r="E888" s="243"/>
      <c r="F888" s="243"/>
      <c r="G888" s="243"/>
      <c r="H888" s="243"/>
      <c r="I888" s="243"/>
      <c r="J888" s="243"/>
      <c r="K888" s="243"/>
      <c r="L888" s="243"/>
      <c r="M888" s="243"/>
      <c r="N888" s="243"/>
      <c r="O888" s="243"/>
      <c r="P888" s="243"/>
      <c r="Q888" s="243"/>
      <c r="R888" s="243"/>
      <c r="S888" s="243"/>
      <c r="T888" s="243"/>
      <c r="U888" s="243"/>
      <c r="V888" s="243"/>
      <c r="W888" s="243"/>
      <c r="X888" s="243"/>
      <c r="Y888" s="243"/>
      <c r="Z888" s="243"/>
      <c r="AA888" s="243"/>
      <c r="AB888" s="243"/>
      <c r="AC888" s="243"/>
      <c r="AD888" s="243"/>
    </row>
    <row r="889" ht="33.75" customHeight="1">
      <c r="A889" s="252"/>
      <c r="B889" s="252"/>
      <c r="C889" s="243"/>
      <c r="D889" s="252"/>
      <c r="E889" s="243"/>
      <c r="F889" s="243"/>
      <c r="G889" s="243"/>
      <c r="H889" s="243"/>
      <c r="I889" s="243"/>
      <c r="J889" s="243"/>
      <c r="K889" s="243"/>
      <c r="L889" s="243"/>
      <c r="M889" s="243"/>
      <c r="N889" s="243"/>
      <c r="O889" s="243"/>
      <c r="P889" s="243"/>
      <c r="Q889" s="243"/>
      <c r="R889" s="243"/>
      <c r="S889" s="243"/>
      <c r="T889" s="243"/>
      <c r="U889" s="243"/>
      <c r="V889" s="243"/>
      <c r="W889" s="243"/>
      <c r="X889" s="243"/>
      <c r="Y889" s="243"/>
      <c r="Z889" s="243"/>
      <c r="AA889" s="243"/>
      <c r="AB889" s="243"/>
      <c r="AC889" s="243"/>
      <c r="AD889" s="243"/>
    </row>
    <row r="890" ht="33.75" customHeight="1">
      <c r="A890" s="252"/>
      <c r="B890" s="252"/>
      <c r="C890" s="243"/>
      <c r="D890" s="252"/>
      <c r="E890" s="243"/>
      <c r="F890" s="243"/>
      <c r="G890" s="243"/>
      <c r="H890" s="243"/>
      <c r="I890" s="243"/>
      <c r="J890" s="243"/>
      <c r="K890" s="243"/>
      <c r="L890" s="243"/>
      <c r="M890" s="243"/>
      <c r="N890" s="243"/>
      <c r="O890" s="243"/>
      <c r="P890" s="243"/>
      <c r="Q890" s="243"/>
      <c r="R890" s="243"/>
      <c r="S890" s="243"/>
      <c r="T890" s="243"/>
      <c r="U890" s="243"/>
      <c r="V890" s="243"/>
      <c r="W890" s="243"/>
      <c r="X890" s="243"/>
      <c r="Y890" s="243"/>
      <c r="Z890" s="243"/>
      <c r="AA890" s="243"/>
      <c r="AB890" s="243"/>
      <c r="AC890" s="243"/>
      <c r="AD890" s="243"/>
    </row>
    <row r="891" ht="33.75" customHeight="1">
      <c r="A891" s="252"/>
      <c r="B891" s="252"/>
      <c r="C891" s="243"/>
      <c r="D891" s="252"/>
      <c r="E891" s="243"/>
      <c r="F891" s="243"/>
      <c r="G891" s="243"/>
      <c r="H891" s="243"/>
      <c r="I891" s="243"/>
      <c r="J891" s="243"/>
      <c r="K891" s="243"/>
      <c r="L891" s="243"/>
      <c r="M891" s="243"/>
      <c r="N891" s="243"/>
      <c r="O891" s="243"/>
      <c r="P891" s="243"/>
      <c r="Q891" s="243"/>
      <c r="R891" s="243"/>
      <c r="S891" s="243"/>
      <c r="T891" s="243"/>
      <c r="U891" s="243"/>
      <c r="V891" s="243"/>
      <c r="W891" s="243"/>
      <c r="X891" s="243"/>
      <c r="Y891" s="243"/>
      <c r="Z891" s="243"/>
      <c r="AA891" s="243"/>
      <c r="AB891" s="243"/>
      <c r="AC891" s="243"/>
      <c r="AD891" s="243"/>
    </row>
    <row r="892" ht="33.75" customHeight="1">
      <c r="A892" s="252"/>
      <c r="B892" s="252"/>
      <c r="C892" s="243"/>
      <c r="D892" s="252"/>
      <c r="E892" s="243"/>
      <c r="F892" s="243"/>
      <c r="G892" s="243"/>
      <c r="H892" s="243"/>
      <c r="I892" s="243"/>
      <c r="J892" s="243"/>
      <c r="K892" s="243"/>
      <c r="L892" s="243"/>
      <c r="M892" s="243"/>
      <c r="N892" s="243"/>
      <c r="O892" s="243"/>
      <c r="P892" s="243"/>
      <c r="Q892" s="243"/>
      <c r="R892" s="243"/>
      <c r="S892" s="243"/>
      <c r="T892" s="243"/>
      <c r="U892" s="243"/>
      <c r="V892" s="243"/>
      <c r="W892" s="243"/>
      <c r="X892" s="243"/>
      <c r="Y892" s="243"/>
      <c r="Z892" s="243"/>
      <c r="AA892" s="243"/>
      <c r="AB892" s="243"/>
      <c r="AC892" s="243"/>
      <c r="AD892" s="243"/>
    </row>
    <row r="893" ht="33.75" customHeight="1">
      <c r="A893" s="252"/>
      <c r="B893" s="252"/>
      <c r="C893" s="243"/>
      <c r="D893" s="252"/>
      <c r="E893" s="243"/>
      <c r="F893" s="243"/>
      <c r="G893" s="243"/>
      <c r="H893" s="243"/>
      <c r="I893" s="243"/>
      <c r="J893" s="243"/>
      <c r="K893" s="243"/>
      <c r="L893" s="243"/>
      <c r="M893" s="243"/>
      <c r="N893" s="243"/>
      <c r="O893" s="243"/>
      <c r="P893" s="243"/>
      <c r="Q893" s="243"/>
      <c r="R893" s="243"/>
      <c r="S893" s="243"/>
      <c r="T893" s="243"/>
      <c r="U893" s="243"/>
      <c r="V893" s="243"/>
      <c r="W893" s="243"/>
      <c r="X893" s="243"/>
      <c r="Y893" s="243"/>
      <c r="Z893" s="243"/>
      <c r="AA893" s="243"/>
      <c r="AB893" s="243"/>
      <c r="AC893" s="243"/>
      <c r="AD893" s="243"/>
    </row>
    <row r="894" ht="33.75" customHeight="1">
      <c r="A894" s="252"/>
      <c r="B894" s="252"/>
      <c r="C894" s="243"/>
      <c r="D894" s="252"/>
      <c r="E894" s="243"/>
      <c r="F894" s="243"/>
      <c r="G894" s="243"/>
      <c r="H894" s="243"/>
      <c r="I894" s="243"/>
      <c r="J894" s="243"/>
      <c r="K894" s="243"/>
      <c r="L894" s="243"/>
      <c r="M894" s="243"/>
      <c r="N894" s="243"/>
      <c r="O894" s="243"/>
      <c r="P894" s="243"/>
      <c r="Q894" s="243"/>
      <c r="R894" s="243"/>
      <c r="S894" s="243"/>
      <c r="T894" s="243"/>
      <c r="U894" s="243"/>
      <c r="V894" s="243"/>
      <c r="W894" s="243"/>
      <c r="X894" s="243"/>
      <c r="Y894" s="243"/>
      <c r="Z894" s="243"/>
      <c r="AA894" s="243"/>
      <c r="AB894" s="243"/>
      <c r="AC894" s="243"/>
      <c r="AD894" s="243"/>
    </row>
    <row r="895" ht="33.75" customHeight="1">
      <c r="A895" s="252"/>
      <c r="B895" s="252"/>
      <c r="C895" s="243"/>
      <c r="D895" s="252"/>
      <c r="E895" s="243"/>
      <c r="F895" s="243"/>
      <c r="G895" s="243"/>
      <c r="H895" s="243"/>
      <c r="I895" s="243"/>
      <c r="J895" s="243"/>
      <c r="K895" s="243"/>
      <c r="L895" s="243"/>
      <c r="M895" s="243"/>
      <c r="N895" s="243"/>
      <c r="O895" s="243"/>
      <c r="P895" s="243"/>
      <c r="Q895" s="243"/>
      <c r="R895" s="243"/>
      <c r="S895" s="243"/>
      <c r="T895" s="243"/>
      <c r="U895" s="243"/>
      <c r="V895" s="243"/>
      <c r="W895" s="243"/>
      <c r="X895" s="243"/>
      <c r="Y895" s="243"/>
      <c r="Z895" s="243"/>
      <c r="AA895" s="243"/>
      <c r="AB895" s="243"/>
      <c r="AC895" s="243"/>
      <c r="AD895" s="243"/>
    </row>
    <row r="896" ht="33.75" customHeight="1">
      <c r="A896" s="252"/>
      <c r="B896" s="252"/>
      <c r="C896" s="243"/>
      <c r="D896" s="252"/>
      <c r="E896" s="243"/>
      <c r="F896" s="243"/>
      <c r="G896" s="243"/>
      <c r="H896" s="243"/>
      <c r="I896" s="243"/>
      <c r="J896" s="243"/>
      <c r="K896" s="243"/>
      <c r="L896" s="243"/>
      <c r="M896" s="243"/>
      <c r="N896" s="243"/>
      <c r="O896" s="243"/>
      <c r="P896" s="243"/>
      <c r="Q896" s="243"/>
      <c r="R896" s="243"/>
      <c r="S896" s="243"/>
      <c r="T896" s="243"/>
      <c r="U896" s="243"/>
      <c r="V896" s="243"/>
      <c r="W896" s="243"/>
      <c r="X896" s="243"/>
      <c r="Y896" s="243"/>
      <c r="Z896" s="243"/>
      <c r="AA896" s="243"/>
      <c r="AB896" s="243"/>
      <c r="AC896" s="243"/>
      <c r="AD896" s="243"/>
    </row>
    <row r="897" ht="33.75" customHeight="1">
      <c r="A897" s="252"/>
      <c r="B897" s="252"/>
      <c r="C897" s="243"/>
      <c r="D897" s="252"/>
      <c r="E897" s="243"/>
      <c r="F897" s="243"/>
      <c r="G897" s="243"/>
      <c r="H897" s="243"/>
      <c r="I897" s="243"/>
      <c r="J897" s="243"/>
      <c r="K897" s="243"/>
      <c r="L897" s="243"/>
      <c r="M897" s="243"/>
      <c r="N897" s="243"/>
      <c r="O897" s="243"/>
      <c r="P897" s="243"/>
      <c r="Q897" s="243"/>
      <c r="R897" s="243"/>
      <c r="S897" s="243"/>
      <c r="T897" s="243"/>
      <c r="U897" s="243"/>
      <c r="V897" s="243"/>
      <c r="W897" s="243"/>
      <c r="X897" s="243"/>
      <c r="Y897" s="243"/>
      <c r="Z897" s="243"/>
      <c r="AA897" s="243"/>
      <c r="AB897" s="243"/>
      <c r="AC897" s="243"/>
      <c r="AD897" s="243"/>
    </row>
    <row r="898" ht="33.75" customHeight="1">
      <c r="A898" s="252"/>
      <c r="B898" s="252"/>
      <c r="C898" s="243"/>
      <c r="D898" s="252"/>
      <c r="E898" s="243"/>
      <c r="F898" s="243"/>
      <c r="G898" s="243"/>
      <c r="H898" s="243"/>
      <c r="I898" s="243"/>
      <c r="J898" s="243"/>
      <c r="K898" s="243"/>
      <c r="L898" s="243"/>
      <c r="M898" s="243"/>
      <c r="N898" s="243"/>
      <c r="O898" s="243"/>
      <c r="P898" s="243"/>
      <c r="Q898" s="243"/>
      <c r="R898" s="243"/>
      <c r="S898" s="243"/>
      <c r="T898" s="243"/>
      <c r="U898" s="243"/>
      <c r="V898" s="243"/>
      <c r="W898" s="243"/>
      <c r="X898" s="243"/>
      <c r="Y898" s="243"/>
      <c r="Z898" s="243"/>
      <c r="AA898" s="243"/>
      <c r="AB898" s="243"/>
      <c r="AC898" s="243"/>
      <c r="AD898" s="243"/>
    </row>
    <row r="899" ht="33.75" customHeight="1">
      <c r="A899" s="252"/>
      <c r="B899" s="252"/>
      <c r="C899" s="243"/>
      <c r="D899" s="252"/>
      <c r="E899" s="243"/>
      <c r="F899" s="243"/>
      <c r="G899" s="243"/>
      <c r="H899" s="243"/>
      <c r="I899" s="243"/>
      <c r="J899" s="243"/>
      <c r="K899" s="243"/>
      <c r="L899" s="243"/>
      <c r="M899" s="243"/>
      <c r="N899" s="243"/>
      <c r="O899" s="243"/>
      <c r="P899" s="243"/>
      <c r="Q899" s="243"/>
      <c r="R899" s="243"/>
      <c r="S899" s="243"/>
      <c r="T899" s="243"/>
      <c r="U899" s="243"/>
      <c r="V899" s="243"/>
      <c r="W899" s="243"/>
      <c r="X899" s="243"/>
      <c r="Y899" s="243"/>
      <c r="Z899" s="243"/>
      <c r="AA899" s="243"/>
      <c r="AB899" s="243"/>
      <c r="AC899" s="243"/>
      <c r="AD899" s="243"/>
    </row>
    <row r="900" ht="33.75" customHeight="1">
      <c r="A900" s="252"/>
      <c r="B900" s="252"/>
      <c r="C900" s="243"/>
      <c r="D900" s="252"/>
      <c r="E900" s="243"/>
      <c r="F900" s="243"/>
      <c r="G900" s="243"/>
      <c r="H900" s="243"/>
      <c r="I900" s="243"/>
      <c r="J900" s="243"/>
      <c r="K900" s="243"/>
      <c r="L900" s="243"/>
      <c r="M900" s="243"/>
      <c r="N900" s="243"/>
      <c r="O900" s="243"/>
      <c r="P900" s="243"/>
      <c r="Q900" s="243"/>
      <c r="R900" s="243"/>
      <c r="S900" s="243"/>
      <c r="T900" s="243"/>
      <c r="U900" s="243"/>
      <c r="V900" s="243"/>
      <c r="W900" s="243"/>
      <c r="X900" s="243"/>
      <c r="Y900" s="243"/>
      <c r="Z900" s="243"/>
      <c r="AA900" s="243"/>
      <c r="AB900" s="243"/>
      <c r="AC900" s="243"/>
      <c r="AD900" s="243"/>
    </row>
    <row r="901" ht="33.75" customHeight="1">
      <c r="A901" s="252"/>
      <c r="B901" s="252"/>
      <c r="C901" s="243"/>
      <c r="D901" s="252"/>
      <c r="E901" s="243"/>
      <c r="F901" s="243"/>
      <c r="G901" s="243"/>
      <c r="H901" s="243"/>
      <c r="I901" s="243"/>
      <c r="J901" s="243"/>
      <c r="K901" s="243"/>
      <c r="L901" s="243"/>
      <c r="M901" s="243"/>
      <c r="N901" s="243"/>
      <c r="O901" s="243"/>
      <c r="P901" s="243"/>
      <c r="Q901" s="243"/>
      <c r="R901" s="243"/>
      <c r="S901" s="243"/>
      <c r="T901" s="243"/>
      <c r="U901" s="243"/>
      <c r="V901" s="243"/>
      <c r="W901" s="243"/>
      <c r="X901" s="243"/>
      <c r="Y901" s="243"/>
      <c r="Z901" s="243"/>
      <c r="AA901" s="243"/>
      <c r="AB901" s="243"/>
      <c r="AC901" s="243"/>
      <c r="AD901" s="243"/>
    </row>
    <row r="902" ht="33.75" customHeight="1">
      <c r="A902" s="252"/>
      <c r="B902" s="252"/>
      <c r="C902" s="243"/>
      <c r="D902" s="252"/>
      <c r="E902" s="243"/>
      <c r="F902" s="243"/>
      <c r="G902" s="243"/>
      <c r="H902" s="243"/>
      <c r="I902" s="243"/>
      <c r="J902" s="243"/>
      <c r="K902" s="243"/>
      <c r="L902" s="243"/>
      <c r="M902" s="243"/>
      <c r="N902" s="243"/>
      <c r="O902" s="243"/>
      <c r="P902" s="243"/>
      <c r="Q902" s="243"/>
      <c r="R902" s="243"/>
      <c r="S902" s="243"/>
      <c r="T902" s="243"/>
      <c r="U902" s="243"/>
      <c r="V902" s="243"/>
      <c r="W902" s="243"/>
      <c r="X902" s="243"/>
      <c r="Y902" s="243"/>
      <c r="Z902" s="243"/>
      <c r="AA902" s="243"/>
      <c r="AB902" s="243"/>
      <c r="AC902" s="243"/>
      <c r="AD902" s="243"/>
    </row>
    <row r="903" ht="33.75" customHeight="1">
      <c r="A903" s="252"/>
      <c r="B903" s="252"/>
      <c r="C903" s="243"/>
      <c r="D903" s="252"/>
      <c r="E903" s="243"/>
      <c r="F903" s="243"/>
      <c r="G903" s="243"/>
      <c r="H903" s="243"/>
      <c r="I903" s="243"/>
      <c r="J903" s="243"/>
      <c r="K903" s="243"/>
      <c r="L903" s="243"/>
      <c r="M903" s="243"/>
      <c r="N903" s="243"/>
      <c r="O903" s="243"/>
      <c r="P903" s="243"/>
      <c r="Q903" s="243"/>
      <c r="R903" s="243"/>
      <c r="S903" s="243"/>
      <c r="T903" s="243"/>
      <c r="U903" s="243"/>
      <c r="V903" s="243"/>
      <c r="W903" s="243"/>
      <c r="X903" s="243"/>
      <c r="Y903" s="243"/>
      <c r="Z903" s="243"/>
      <c r="AA903" s="243"/>
      <c r="AB903" s="243"/>
      <c r="AC903" s="243"/>
      <c r="AD903" s="243"/>
    </row>
    <row r="904" ht="33.75" customHeight="1">
      <c r="A904" s="252"/>
      <c r="B904" s="252"/>
      <c r="C904" s="243"/>
      <c r="D904" s="252"/>
      <c r="E904" s="243"/>
      <c r="F904" s="243"/>
      <c r="G904" s="243"/>
      <c r="H904" s="243"/>
      <c r="I904" s="243"/>
      <c r="J904" s="243"/>
      <c r="K904" s="243"/>
      <c r="L904" s="243"/>
      <c r="M904" s="243"/>
      <c r="N904" s="243"/>
      <c r="O904" s="243"/>
      <c r="P904" s="243"/>
      <c r="Q904" s="243"/>
      <c r="R904" s="243"/>
      <c r="S904" s="243"/>
      <c r="T904" s="243"/>
      <c r="U904" s="243"/>
      <c r="V904" s="243"/>
      <c r="W904" s="243"/>
      <c r="X904" s="243"/>
      <c r="Y904" s="243"/>
      <c r="Z904" s="243"/>
      <c r="AA904" s="243"/>
      <c r="AB904" s="243"/>
      <c r="AC904" s="243"/>
      <c r="AD904" s="243"/>
    </row>
    <row r="905" ht="33.75" customHeight="1">
      <c r="A905" s="252"/>
      <c r="B905" s="252"/>
      <c r="C905" s="243"/>
      <c r="D905" s="252"/>
      <c r="E905" s="243"/>
      <c r="F905" s="243"/>
      <c r="G905" s="243"/>
      <c r="H905" s="243"/>
      <c r="I905" s="243"/>
      <c r="J905" s="243"/>
      <c r="K905" s="243"/>
      <c r="L905" s="243"/>
      <c r="M905" s="243"/>
      <c r="N905" s="243"/>
      <c r="O905" s="243"/>
      <c r="P905" s="243"/>
      <c r="Q905" s="243"/>
      <c r="R905" s="243"/>
      <c r="S905" s="243"/>
      <c r="T905" s="243"/>
      <c r="U905" s="243"/>
      <c r="V905" s="243"/>
      <c r="W905" s="243"/>
      <c r="X905" s="243"/>
      <c r="Y905" s="243"/>
      <c r="Z905" s="243"/>
      <c r="AA905" s="243"/>
      <c r="AB905" s="243"/>
      <c r="AC905" s="243"/>
      <c r="AD905" s="243"/>
    </row>
    <row r="906" ht="33.75" customHeight="1">
      <c r="A906" s="252"/>
      <c r="B906" s="252"/>
      <c r="C906" s="243"/>
      <c r="D906" s="252"/>
      <c r="E906" s="243"/>
      <c r="F906" s="243"/>
      <c r="G906" s="243"/>
      <c r="H906" s="243"/>
      <c r="I906" s="243"/>
      <c r="J906" s="243"/>
      <c r="K906" s="243"/>
      <c r="L906" s="243"/>
      <c r="M906" s="243"/>
      <c r="N906" s="243"/>
      <c r="O906" s="243"/>
      <c r="P906" s="243"/>
      <c r="Q906" s="243"/>
      <c r="R906" s="243"/>
      <c r="S906" s="243"/>
      <c r="T906" s="243"/>
      <c r="U906" s="243"/>
      <c r="V906" s="243"/>
      <c r="W906" s="243"/>
      <c r="X906" s="243"/>
      <c r="Y906" s="243"/>
      <c r="Z906" s="243"/>
      <c r="AA906" s="243"/>
      <c r="AB906" s="243"/>
      <c r="AC906" s="243"/>
      <c r="AD906" s="243"/>
    </row>
    <row r="907" ht="33.75" customHeight="1">
      <c r="A907" s="252"/>
      <c r="B907" s="252"/>
      <c r="C907" s="243"/>
      <c r="D907" s="252"/>
      <c r="E907" s="243"/>
      <c r="F907" s="243"/>
      <c r="G907" s="243"/>
      <c r="H907" s="243"/>
      <c r="I907" s="243"/>
      <c r="J907" s="243"/>
      <c r="K907" s="243"/>
      <c r="L907" s="243"/>
      <c r="M907" s="243"/>
      <c r="N907" s="243"/>
      <c r="O907" s="243"/>
      <c r="P907" s="243"/>
      <c r="Q907" s="243"/>
      <c r="R907" s="243"/>
      <c r="S907" s="243"/>
      <c r="T907" s="243"/>
      <c r="U907" s="243"/>
      <c r="V907" s="243"/>
      <c r="W907" s="243"/>
      <c r="X907" s="243"/>
      <c r="Y907" s="243"/>
      <c r="Z907" s="243"/>
      <c r="AA907" s="243"/>
      <c r="AB907" s="243"/>
      <c r="AC907" s="243"/>
      <c r="AD907" s="243"/>
    </row>
    <row r="908" ht="33.75" customHeight="1">
      <c r="A908" s="252"/>
      <c r="B908" s="252"/>
      <c r="C908" s="243"/>
      <c r="D908" s="252"/>
      <c r="E908" s="243"/>
      <c r="F908" s="243"/>
      <c r="G908" s="243"/>
      <c r="H908" s="243"/>
      <c r="I908" s="243"/>
      <c r="J908" s="243"/>
      <c r="K908" s="243"/>
      <c r="L908" s="243"/>
      <c r="M908" s="243"/>
      <c r="N908" s="243"/>
      <c r="O908" s="243"/>
      <c r="P908" s="243"/>
      <c r="Q908" s="243"/>
      <c r="R908" s="243"/>
      <c r="S908" s="243"/>
      <c r="T908" s="243"/>
      <c r="U908" s="243"/>
      <c r="V908" s="243"/>
      <c r="W908" s="243"/>
      <c r="X908" s="243"/>
      <c r="Y908" s="243"/>
      <c r="Z908" s="243"/>
      <c r="AA908" s="243"/>
      <c r="AB908" s="243"/>
      <c r="AC908" s="243"/>
      <c r="AD908" s="243"/>
    </row>
    <row r="909" ht="33.75" customHeight="1">
      <c r="A909" s="252"/>
      <c r="B909" s="252"/>
      <c r="C909" s="243"/>
      <c r="D909" s="252"/>
      <c r="E909" s="243"/>
      <c r="F909" s="243"/>
      <c r="G909" s="243"/>
      <c r="H909" s="243"/>
      <c r="I909" s="243"/>
      <c r="J909" s="243"/>
      <c r="K909" s="243"/>
      <c r="L909" s="243"/>
      <c r="M909" s="243"/>
      <c r="N909" s="243"/>
      <c r="O909" s="243"/>
      <c r="P909" s="243"/>
      <c r="Q909" s="243"/>
      <c r="R909" s="243"/>
      <c r="S909" s="243"/>
      <c r="T909" s="243"/>
      <c r="U909" s="243"/>
      <c r="V909" s="243"/>
      <c r="W909" s="243"/>
      <c r="X909" s="243"/>
      <c r="Y909" s="243"/>
      <c r="Z909" s="243"/>
      <c r="AA909" s="243"/>
      <c r="AB909" s="243"/>
      <c r="AC909" s="243"/>
      <c r="AD909" s="243"/>
    </row>
    <row r="910" ht="33.75" customHeight="1">
      <c r="A910" s="252"/>
      <c r="B910" s="252"/>
      <c r="C910" s="243"/>
      <c r="D910" s="252"/>
      <c r="E910" s="243"/>
      <c r="F910" s="243"/>
      <c r="G910" s="243"/>
      <c r="H910" s="243"/>
      <c r="I910" s="243"/>
      <c r="J910" s="243"/>
      <c r="K910" s="243"/>
      <c r="L910" s="243"/>
      <c r="M910" s="243"/>
      <c r="N910" s="243"/>
      <c r="O910" s="243"/>
      <c r="P910" s="243"/>
      <c r="Q910" s="243"/>
      <c r="R910" s="243"/>
      <c r="S910" s="243"/>
      <c r="T910" s="243"/>
      <c r="U910" s="243"/>
      <c r="V910" s="243"/>
      <c r="W910" s="243"/>
      <c r="X910" s="243"/>
      <c r="Y910" s="243"/>
      <c r="Z910" s="243"/>
      <c r="AA910" s="243"/>
      <c r="AB910" s="243"/>
      <c r="AC910" s="243"/>
      <c r="AD910" s="243"/>
    </row>
    <row r="911" ht="33.75" customHeight="1">
      <c r="A911" s="252"/>
      <c r="B911" s="252"/>
      <c r="C911" s="243"/>
      <c r="D911" s="252"/>
      <c r="E911" s="243"/>
      <c r="F911" s="243"/>
      <c r="G911" s="243"/>
      <c r="H911" s="243"/>
      <c r="I911" s="243"/>
      <c r="J911" s="243"/>
      <c r="K911" s="243"/>
      <c r="L911" s="243"/>
      <c r="M911" s="243"/>
      <c r="N911" s="243"/>
      <c r="O911" s="243"/>
      <c r="P911" s="243"/>
      <c r="Q911" s="243"/>
      <c r="R911" s="243"/>
      <c r="S911" s="243"/>
      <c r="T911" s="243"/>
      <c r="U911" s="243"/>
      <c r="V911" s="243"/>
      <c r="W911" s="243"/>
      <c r="X911" s="243"/>
      <c r="Y911" s="243"/>
      <c r="Z911" s="243"/>
      <c r="AA911" s="243"/>
      <c r="AB911" s="243"/>
      <c r="AC911" s="243"/>
      <c r="AD911" s="243"/>
    </row>
    <row r="912" ht="33.75" customHeight="1">
      <c r="A912" s="252"/>
      <c r="B912" s="252"/>
      <c r="C912" s="243"/>
      <c r="D912" s="252"/>
      <c r="E912" s="243"/>
      <c r="F912" s="243"/>
      <c r="G912" s="243"/>
      <c r="H912" s="243"/>
      <c r="I912" s="243"/>
      <c r="J912" s="243"/>
      <c r="K912" s="243"/>
      <c r="L912" s="243"/>
      <c r="M912" s="243"/>
      <c r="N912" s="243"/>
      <c r="O912" s="243"/>
      <c r="P912" s="243"/>
      <c r="Q912" s="243"/>
      <c r="R912" s="243"/>
      <c r="S912" s="243"/>
      <c r="T912" s="243"/>
      <c r="U912" s="243"/>
      <c r="V912" s="243"/>
      <c r="W912" s="243"/>
      <c r="X912" s="243"/>
      <c r="Y912" s="243"/>
      <c r="Z912" s="243"/>
      <c r="AA912" s="243"/>
      <c r="AB912" s="243"/>
      <c r="AC912" s="243"/>
      <c r="AD912" s="243"/>
    </row>
    <row r="913" ht="33.75" customHeight="1">
      <c r="A913" s="252"/>
      <c r="B913" s="252"/>
      <c r="C913" s="243"/>
      <c r="D913" s="252"/>
      <c r="E913" s="243"/>
      <c r="F913" s="243"/>
      <c r="G913" s="243"/>
      <c r="H913" s="243"/>
      <c r="I913" s="243"/>
      <c r="J913" s="243"/>
      <c r="K913" s="243"/>
      <c r="L913" s="243"/>
      <c r="M913" s="243"/>
      <c r="N913" s="243"/>
      <c r="O913" s="243"/>
      <c r="P913" s="243"/>
      <c r="Q913" s="243"/>
      <c r="R913" s="243"/>
      <c r="S913" s="243"/>
      <c r="T913" s="243"/>
      <c r="U913" s="243"/>
      <c r="V913" s="243"/>
      <c r="W913" s="243"/>
      <c r="X913" s="243"/>
      <c r="Y913" s="243"/>
      <c r="Z913" s="243"/>
      <c r="AA913" s="243"/>
      <c r="AB913" s="243"/>
      <c r="AC913" s="243"/>
      <c r="AD913" s="243"/>
    </row>
    <row r="914" ht="33.75" customHeight="1">
      <c r="A914" s="252"/>
      <c r="B914" s="252"/>
      <c r="C914" s="243"/>
      <c r="D914" s="252"/>
      <c r="E914" s="243"/>
      <c r="F914" s="243"/>
      <c r="G914" s="243"/>
      <c r="H914" s="243"/>
      <c r="I914" s="243"/>
      <c r="J914" s="243"/>
      <c r="K914" s="243"/>
      <c r="L914" s="243"/>
      <c r="M914" s="243"/>
      <c r="N914" s="243"/>
      <c r="O914" s="243"/>
      <c r="P914" s="243"/>
      <c r="Q914" s="243"/>
      <c r="R914" s="243"/>
      <c r="S914" s="243"/>
      <c r="T914" s="243"/>
      <c r="U914" s="243"/>
      <c r="V914" s="243"/>
      <c r="W914" s="243"/>
      <c r="X914" s="243"/>
      <c r="Y914" s="243"/>
      <c r="Z914" s="243"/>
      <c r="AA914" s="243"/>
      <c r="AB914" s="243"/>
      <c r="AC914" s="243"/>
      <c r="AD914" s="243"/>
    </row>
    <row r="915" ht="33.75" customHeight="1">
      <c r="A915" s="252"/>
      <c r="B915" s="252"/>
      <c r="C915" s="243"/>
      <c r="D915" s="252"/>
      <c r="E915" s="243"/>
      <c r="F915" s="243"/>
      <c r="G915" s="243"/>
      <c r="H915" s="243"/>
      <c r="I915" s="243"/>
      <c r="J915" s="243"/>
      <c r="K915" s="243"/>
      <c r="L915" s="243"/>
      <c r="M915" s="243"/>
      <c r="N915" s="243"/>
      <c r="O915" s="243"/>
      <c r="P915" s="243"/>
      <c r="Q915" s="243"/>
      <c r="R915" s="243"/>
      <c r="S915" s="243"/>
      <c r="T915" s="243"/>
      <c r="U915" s="243"/>
      <c r="V915" s="243"/>
      <c r="W915" s="243"/>
      <c r="X915" s="243"/>
      <c r="Y915" s="243"/>
      <c r="Z915" s="243"/>
      <c r="AA915" s="243"/>
      <c r="AB915" s="243"/>
      <c r="AC915" s="243"/>
      <c r="AD915" s="243"/>
    </row>
    <row r="916" ht="33.75" customHeight="1">
      <c r="A916" s="252"/>
      <c r="B916" s="252"/>
      <c r="C916" s="243"/>
      <c r="D916" s="252"/>
      <c r="E916" s="243"/>
      <c r="F916" s="243"/>
      <c r="G916" s="243"/>
      <c r="H916" s="243"/>
      <c r="I916" s="243"/>
      <c r="J916" s="243"/>
      <c r="K916" s="243"/>
      <c r="L916" s="243"/>
      <c r="M916" s="243"/>
      <c r="N916" s="243"/>
      <c r="O916" s="243"/>
      <c r="P916" s="243"/>
      <c r="Q916" s="243"/>
      <c r="R916" s="243"/>
      <c r="S916" s="243"/>
      <c r="T916" s="243"/>
      <c r="U916" s="243"/>
      <c r="V916" s="243"/>
      <c r="W916" s="243"/>
      <c r="X916" s="243"/>
      <c r="Y916" s="243"/>
      <c r="Z916" s="243"/>
      <c r="AA916" s="243"/>
      <c r="AB916" s="243"/>
      <c r="AC916" s="243"/>
      <c r="AD916" s="243"/>
    </row>
    <row r="917" ht="33.75" customHeight="1">
      <c r="A917" s="252"/>
      <c r="B917" s="252"/>
      <c r="C917" s="243"/>
      <c r="D917" s="252"/>
      <c r="E917" s="243"/>
      <c r="F917" s="243"/>
      <c r="G917" s="243"/>
      <c r="H917" s="243"/>
      <c r="I917" s="243"/>
      <c r="J917" s="243"/>
      <c r="K917" s="243"/>
      <c r="L917" s="243"/>
      <c r="M917" s="243"/>
      <c r="N917" s="243"/>
      <c r="O917" s="243"/>
      <c r="P917" s="243"/>
      <c r="Q917" s="243"/>
      <c r="R917" s="243"/>
      <c r="S917" s="243"/>
      <c r="T917" s="243"/>
      <c r="U917" s="243"/>
      <c r="V917" s="243"/>
      <c r="W917" s="243"/>
      <c r="X917" s="243"/>
      <c r="Y917" s="243"/>
      <c r="Z917" s="243"/>
      <c r="AA917" s="243"/>
      <c r="AB917" s="243"/>
      <c r="AC917" s="243"/>
      <c r="AD917" s="243"/>
    </row>
    <row r="918" ht="33.75" customHeight="1">
      <c r="A918" s="252"/>
      <c r="B918" s="252"/>
      <c r="C918" s="243"/>
      <c r="D918" s="252"/>
      <c r="E918" s="243"/>
      <c r="F918" s="243"/>
      <c r="G918" s="243"/>
      <c r="H918" s="243"/>
      <c r="I918" s="243"/>
      <c r="J918" s="243"/>
      <c r="K918" s="243"/>
      <c r="L918" s="243"/>
      <c r="M918" s="243"/>
      <c r="N918" s="243"/>
      <c r="O918" s="243"/>
      <c r="P918" s="243"/>
      <c r="Q918" s="243"/>
      <c r="R918" s="243"/>
      <c r="S918" s="243"/>
      <c r="T918" s="243"/>
      <c r="U918" s="243"/>
      <c r="V918" s="243"/>
      <c r="W918" s="243"/>
      <c r="X918" s="243"/>
      <c r="Y918" s="243"/>
      <c r="Z918" s="243"/>
      <c r="AA918" s="243"/>
      <c r="AB918" s="243"/>
      <c r="AC918" s="243"/>
      <c r="AD918" s="243"/>
    </row>
    <row r="919" ht="33.75" customHeight="1">
      <c r="A919" s="252"/>
      <c r="B919" s="252"/>
      <c r="C919" s="243"/>
      <c r="D919" s="252"/>
      <c r="E919" s="243"/>
      <c r="F919" s="243"/>
      <c r="G919" s="243"/>
      <c r="H919" s="243"/>
      <c r="I919" s="243"/>
      <c r="J919" s="243"/>
      <c r="K919" s="243"/>
      <c r="L919" s="243"/>
      <c r="M919" s="243"/>
      <c r="N919" s="243"/>
      <c r="O919" s="243"/>
      <c r="P919" s="243"/>
      <c r="Q919" s="243"/>
      <c r="R919" s="243"/>
      <c r="S919" s="243"/>
      <c r="T919" s="243"/>
      <c r="U919" s="243"/>
      <c r="V919" s="243"/>
      <c r="W919" s="243"/>
      <c r="X919" s="243"/>
      <c r="Y919" s="243"/>
      <c r="Z919" s="243"/>
      <c r="AA919" s="243"/>
      <c r="AB919" s="243"/>
      <c r="AC919" s="243"/>
      <c r="AD919" s="243"/>
    </row>
    <row r="920" ht="33.75" customHeight="1">
      <c r="A920" s="252"/>
      <c r="B920" s="252"/>
      <c r="C920" s="243"/>
      <c r="D920" s="252"/>
      <c r="E920" s="243"/>
      <c r="F920" s="243"/>
      <c r="G920" s="243"/>
      <c r="H920" s="243"/>
      <c r="I920" s="243"/>
      <c r="J920" s="243"/>
      <c r="K920" s="243"/>
      <c r="L920" s="243"/>
      <c r="M920" s="243"/>
      <c r="N920" s="243"/>
      <c r="O920" s="243"/>
      <c r="P920" s="243"/>
      <c r="Q920" s="243"/>
      <c r="R920" s="243"/>
      <c r="S920" s="243"/>
      <c r="T920" s="243"/>
      <c r="U920" s="243"/>
      <c r="V920" s="243"/>
      <c r="W920" s="243"/>
      <c r="X920" s="243"/>
      <c r="Y920" s="243"/>
      <c r="Z920" s="243"/>
      <c r="AA920" s="243"/>
      <c r="AB920" s="243"/>
      <c r="AC920" s="243"/>
      <c r="AD920" s="243"/>
    </row>
    <row r="921" ht="33.75" customHeight="1">
      <c r="A921" s="252"/>
      <c r="B921" s="252"/>
      <c r="C921" s="243"/>
      <c r="D921" s="252"/>
      <c r="E921" s="243"/>
      <c r="F921" s="243"/>
      <c r="G921" s="243"/>
      <c r="H921" s="243"/>
      <c r="I921" s="243"/>
      <c r="J921" s="243"/>
      <c r="K921" s="243"/>
      <c r="L921" s="243"/>
      <c r="M921" s="243"/>
      <c r="N921" s="243"/>
      <c r="O921" s="243"/>
      <c r="P921" s="243"/>
      <c r="Q921" s="243"/>
      <c r="R921" s="243"/>
      <c r="S921" s="243"/>
      <c r="T921" s="243"/>
      <c r="U921" s="243"/>
      <c r="V921" s="243"/>
      <c r="W921" s="243"/>
      <c r="X921" s="243"/>
      <c r="Y921" s="243"/>
      <c r="Z921" s="243"/>
      <c r="AA921" s="243"/>
      <c r="AB921" s="243"/>
      <c r="AC921" s="243"/>
      <c r="AD921" s="243"/>
    </row>
    <row r="922" ht="33.75" customHeight="1">
      <c r="A922" s="252"/>
      <c r="B922" s="252"/>
      <c r="C922" s="243"/>
      <c r="D922" s="252"/>
      <c r="E922" s="243"/>
      <c r="F922" s="243"/>
      <c r="G922" s="243"/>
      <c r="H922" s="243"/>
      <c r="I922" s="243"/>
      <c r="J922" s="243"/>
      <c r="K922" s="243"/>
      <c r="L922" s="243"/>
      <c r="M922" s="243"/>
      <c r="N922" s="243"/>
      <c r="O922" s="243"/>
      <c r="P922" s="243"/>
      <c r="Q922" s="243"/>
      <c r="R922" s="243"/>
      <c r="S922" s="243"/>
      <c r="T922" s="243"/>
      <c r="U922" s="243"/>
      <c r="V922" s="243"/>
      <c r="W922" s="243"/>
      <c r="X922" s="243"/>
      <c r="Y922" s="243"/>
      <c r="Z922" s="243"/>
      <c r="AA922" s="243"/>
      <c r="AB922" s="243"/>
      <c r="AC922" s="243"/>
      <c r="AD922" s="243"/>
    </row>
    <row r="923" ht="33.75" customHeight="1">
      <c r="A923" s="252"/>
      <c r="B923" s="252"/>
      <c r="C923" s="243"/>
      <c r="D923" s="252"/>
      <c r="E923" s="243"/>
      <c r="F923" s="243"/>
      <c r="G923" s="243"/>
      <c r="H923" s="243"/>
      <c r="I923" s="243"/>
      <c r="J923" s="243"/>
      <c r="K923" s="243"/>
      <c r="L923" s="243"/>
      <c r="M923" s="243"/>
      <c r="N923" s="243"/>
      <c r="O923" s="243"/>
      <c r="P923" s="243"/>
      <c r="Q923" s="243"/>
      <c r="R923" s="243"/>
      <c r="S923" s="243"/>
      <c r="T923" s="243"/>
      <c r="U923" s="243"/>
      <c r="V923" s="243"/>
      <c r="W923" s="243"/>
      <c r="X923" s="243"/>
      <c r="Y923" s="243"/>
      <c r="Z923" s="243"/>
      <c r="AA923" s="243"/>
      <c r="AB923" s="243"/>
      <c r="AC923" s="243"/>
      <c r="AD923" s="243"/>
    </row>
    <row r="924" ht="33.75" customHeight="1">
      <c r="A924" s="252"/>
      <c r="B924" s="252"/>
      <c r="C924" s="243"/>
      <c r="D924" s="252"/>
      <c r="E924" s="243"/>
      <c r="F924" s="243"/>
      <c r="G924" s="243"/>
      <c r="H924" s="243"/>
      <c r="I924" s="243"/>
      <c r="J924" s="243"/>
      <c r="K924" s="243"/>
      <c r="L924" s="243"/>
      <c r="M924" s="243"/>
      <c r="N924" s="243"/>
      <c r="O924" s="243"/>
      <c r="P924" s="243"/>
      <c r="Q924" s="243"/>
      <c r="R924" s="243"/>
      <c r="S924" s="243"/>
      <c r="T924" s="243"/>
      <c r="U924" s="243"/>
      <c r="V924" s="243"/>
      <c r="W924" s="243"/>
      <c r="X924" s="243"/>
      <c r="Y924" s="243"/>
      <c r="Z924" s="243"/>
      <c r="AA924" s="243"/>
      <c r="AB924" s="243"/>
      <c r="AC924" s="243"/>
      <c r="AD924" s="243"/>
    </row>
    <row r="925" ht="33.75" customHeight="1">
      <c r="A925" s="252"/>
      <c r="B925" s="252"/>
      <c r="C925" s="243"/>
      <c r="D925" s="252"/>
      <c r="E925" s="243"/>
      <c r="F925" s="243"/>
      <c r="G925" s="243"/>
      <c r="H925" s="243"/>
      <c r="I925" s="243"/>
      <c r="J925" s="243"/>
      <c r="K925" s="243"/>
      <c r="L925" s="243"/>
      <c r="M925" s="243"/>
      <c r="N925" s="243"/>
      <c r="O925" s="243"/>
      <c r="P925" s="243"/>
      <c r="Q925" s="243"/>
      <c r="R925" s="243"/>
      <c r="S925" s="243"/>
      <c r="T925" s="243"/>
      <c r="U925" s="243"/>
      <c r="V925" s="243"/>
      <c r="W925" s="243"/>
      <c r="X925" s="243"/>
      <c r="Y925" s="243"/>
      <c r="Z925" s="243"/>
      <c r="AA925" s="243"/>
      <c r="AB925" s="243"/>
      <c r="AC925" s="243"/>
      <c r="AD925" s="243"/>
    </row>
    <row r="926" ht="33.75" customHeight="1">
      <c r="A926" s="252"/>
      <c r="B926" s="252"/>
      <c r="C926" s="243"/>
      <c r="D926" s="252"/>
      <c r="E926" s="243"/>
      <c r="F926" s="243"/>
      <c r="G926" s="243"/>
      <c r="H926" s="243"/>
      <c r="I926" s="243"/>
      <c r="J926" s="243"/>
      <c r="K926" s="243"/>
      <c r="L926" s="243"/>
      <c r="M926" s="243"/>
      <c r="N926" s="243"/>
      <c r="O926" s="243"/>
      <c r="P926" s="243"/>
      <c r="Q926" s="243"/>
      <c r="R926" s="243"/>
      <c r="S926" s="243"/>
      <c r="T926" s="243"/>
      <c r="U926" s="243"/>
      <c r="V926" s="243"/>
      <c r="W926" s="243"/>
      <c r="X926" s="243"/>
      <c r="Y926" s="243"/>
      <c r="Z926" s="243"/>
      <c r="AA926" s="243"/>
      <c r="AB926" s="243"/>
      <c r="AC926" s="243"/>
      <c r="AD926" s="243"/>
    </row>
    <row r="927" ht="33.75" customHeight="1">
      <c r="A927" s="252"/>
      <c r="B927" s="252"/>
      <c r="C927" s="243"/>
      <c r="D927" s="252"/>
      <c r="E927" s="243"/>
      <c r="F927" s="243"/>
      <c r="G927" s="243"/>
      <c r="H927" s="243"/>
      <c r="I927" s="243"/>
      <c r="J927" s="243"/>
      <c r="K927" s="243"/>
      <c r="L927" s="243"/>
      <c r="M927" s="243"/>
      <c r="N927" s="243"/>
      <c r="O927" s="243"/>
      <c r="P927" s="243"/>
      <c r="Q927" s="243"/>
      <c r="R927" s="243"/>
      <c r="S927" s="243"/>
      <c r="T927" s="243"/>
      <c r="U927" s="243"/>
      <c r="V927" s="243"/>
      <c r="W927" s="243"/>
      <c r="X927" s="243"/>
      <c r="Y927" s="243"/>
      <c r="Z927" s="243"/>
      <c r="AA927" s="243"/>
      <c r="AB927" s="243"/>
      <c r="AC927" s="243"/>
      <c r="AD927" s="243"/>
    </row>
    <row r="928" ht="33.75" customHeight="1">
      <c r="A928" s="252"/>
      <c r="B928" s="252"/>
      <c r="C928" s="243"/>
      <c r="D928" s="252"/>
      <c r="E928" s="243"/>
      <c r="F928" s="243"/>
      <c r="G928" s="243"/>
      <c r="H928" s="243"/>
      <c r="I928" s="243"/>
      <c r="J928" s="243"/>
      <c r="K928" s="243"/>
      <c r="L928" s="243"/>
      <c r="M928" s="243"/>
      <c r="N928" s="243"/>
      <c r="O928" s="243"/>
      <c r="P928" s="243"/>
      <c r="Q928" s="243"/>
      <c r="R928" s="243"/>
      <c r="S928" s="243"/>
      <c r="T928" s="243"/>
      <c r="U928" s="243"/>
      <c r="V928" s="243"/>
      <c r="W928" s="243"/>
      <c r="X928" s="243"/>
      <c r="Y928" s="243"/>
      <c r="Z928" s="243"/>
      <c r="AA928" s="243"/>
      <c r="AB928" s="243"/>
      <c r="AC928" s="243"/>
      <c r="AD928" s="243"/>
    </row>
    <row r="929" ht="33.75" customHeight="1">
      <c r="A929" s="252"/>
      <c r="B929" s="252"/>
      <c r="C929" s="243"/>
      <c r="D929" s="252"/>
      <c r="E929" s="243"/>
      <c r="F929" s="243"/>
      <c r="G929" s="243"/>
      <c r="H929" s="243"/>
      <c r="I929" s="243"/>
      <c r="J929" s="243"/>
      <c r="K929" s="243"/>
      <c r="L929" s="243"/>
      <c r="M929" s="243"/>
      <c r="N929" s="243"/>
      <c r="O929" s="243"/>
      <c r="P929" s="243"/>
      <c r="Q929" s="243"/>
      <c r="R929" s="243"/>
      <c r="S929" s="243"/>
      <c r="T929" s="243"/>
      <c r="U929" s="243"/>
      <c r="V929" s="243"/>
      <c r="W929" s="243"/>
      <c r="X929" s="243"/>
      <c r="Y929" s="243"/>
      <c r="Z929" s="243"/>
      <c r="AA929" s="243"/>
      <c r="AB929" s="243"/>
      <c r="AC929" s="243"/>
      <c r="AD929" s="243"/>
    </row>
    <row r="930" ht="33.75" customHeight="1">
      <c r="A930" s="252"/>
      <c r="B930" s="252"/>
      <c r="C930" s="243"/>
      <c r="D930" s="252"/>
      <c r="E930" s="243"/>
      <c r="F930" s="243"/>
      <c r="G930" s="243"/>
      <c r="H930" s="243"/>
      <c r="I930" s="243"/>
      <c r="J930" s="243"/>
      <c r="K930" s="243"/>
      <c r="L930" s="243"/>
      <c r="M930" s="243"/>
      <c r="N930" s="243"/>
      <c r="O930" s="243"/>
      <c r="P930" s="243"/>
      <c r="Q930" s="243"/>
      <c r="R930" s="243"/>
      <c r="S930" s="243"/>
      <c r="T930" s="243"/>
      <c r="U930" s="243"/>
      <c r="V930" s="243"/>
      <c r="W930" s="243"/>
      <c r="X930" s="243"/>
      <c r="Y930" s="243"/>
      <c r="Z930" s="243"/>
      <c r="AA930" s="243"/>
      <c r="AB930" s="243"/>
      <c r="AC930" s="243"/>
      <c r="AD930" s="243"/>
    </row>
    <row r="931" ht="33.75" customHeight="1">
      <c r="A931" s="252"/>
      <c r="B931" s="252"/>
      <c r="C931" s="243"/>
      <c r="D931" s="252"/>
      <c r="E931" s="243"/>
      <c r="F931" s="243"/>
      <c r="G931" s="243"/>
      <c r="H931" s="243"/>
      <c r="I931" s="243"/>
      <c r="J931" s="243"/>
      <c r="K931" s="243"/>
      <c r="L931" s="243"/>
      <c r="M931" s="243"/>
      <c r="N931" s="243"/>
      <c r="O931" s="243"/>
      <c r="P931" s="243"/>
      <c r="Q931" s="243"/>
      <c r="R931" s="243"/>
      <c r="S931" s="243"/>
      <c r="T931" s="243"/>
      <c r="U931" s="243"/>
      <c r="V931" s="243"/>
      <c r="W931" s="243"/>
      <c r="X931" s="243"/>
      <c r="Y931" s="243"/>
      <c r="Z931" s="243"/>
      <c r="AA931" s="243"/>
      <c r="AB931" s="243"/>
      <c r="AC931" s="243"/>
      <c r="AD931" s="243"/>
    </row>
    <row r="932" ht="33.75" customHeight="1">
      <c r="A932" s="252"/>
      <c r="B932" s="252"/>
      <c r="C932" s="243"/>
      <c r="D932" s="252"/>
      <c r="E932" s="243"/>
      <c r="F932" s="243"/>
      <c r="G932" s="243"/>
      <c r="H932" s="243"/>
      <c r="I932" s="243"/>
      <c r="J932" s="243"/>
      <c r="K932" s="243"/>
      <c r="L932" s="243"/>
      <c r="M932" s="243"/>
      <c r="N932" s="243"/>
      <c r="O932" s="243"/>
      <c r="P932" s="243"/>
      <c r="Q932" s="243"/>
      <c r="R932" s="243"/>
      <c r="S932" s="243"/>
      <c r="T932" s="243"/>
      <c r="U932" s="243"/>
      <c r="V932" s="243"/>
      <c r="W932" s="243"/>
      <c r="X932" s="243"/>
      <c r="Y932" s="243"/>
      <c r="Z932" s="243"/>
      <c r="AA932" s="243"/>
      <c r="AB932" s="243"/>
      <c r="AC932" s="243"/>
      <c r="AD932" s="243"/>
    </row>
    <row r="933" ht="33.75" customHeight="1">
      <c r="A933" s="252"/>
      <c r="B933" s="252"/>
      <c r="C933" s="243"/>
      <c r="D933" s="252"/>
      <c r="E933" s="243"/>
      <c r="F933" s="243"/>
      <c r="G933" s="243"/>
      <c r="H933" s="243"/>
      <c r="I933" s="243"/>
      <c r="J933" s="243"/>
      <c r="K933" s="243"/>
      <c r="L933" s="243"/>
      <c r="M933" s="243"/>
      <c r="N933" s="243"/>
      <c r="O933" s="243"/>
      <c r="P933" s="243"/>
      <c r="Q933" s="243"/>
      <c r="R933" s="243"/>
      <c r="S933" s="243"/>
      <c r="T933" s="243"/>
      <c r="U933" s="243"/>
      <c r="V933" s="243"/>
      <c r="W933" s="243"/>
      <c r="X933" s="243"/>
      <c r="Y933" s="243"/>
      <c r="Z933" s="243"/>
      <c r="AA933" s="243"/>
      <c r="AB933" s="243"/>
      <c r="AC933" s="243"/>
      <c r="AD933" s="243"/>
    </row>
    <row r="934" ht="33.75" customHeight="1">
      <c r="A934" s="252"/>
      <c r="B934" s="252"/>
      <c r="C934" s="243"/>
      <c r="D934" s="252"/>
      <c r="E934" s="243"/>
      <c r="F934" s="243"/>
      <c r="G934" s="243"/>
      <c r="H934" s="243"/>
      <c r="I934" s="243"/>
      <c r="J934" s="243"/>
      <c r="K934" s="243"/>
      <c r="L934" s="243"/>
      <c r="M934" s="243"/>
      <c r="N934" s="243"/>
      <c r="O934" s="243"/>
      <c r="P934" s="243"/>
      <c r="Q934" s="243"/>
      <c r="R934" s="243"/>
      <c r="S934" s="243"/>
      <c r="T934" s="243"/>
      <c r="U934" s="243"/>
      <c r="V934" s="243"/>
      <c r="W934" s="243"/>
      <c r="X934" s="243"/>
      <c r="Y934" s="243"/>
      <c r="Z934" s="243"/>
      <c r="AA934" s="243"/>
      <c r="AB934" s="243"/>
      <c r="AC934" s="243"/>
      <c r="AD934" s="243"/>
    </row>
    <row r="935" ht="33.75" customHeight="1">
      <c r="A935" s="252"/>
      <c r="B935" s="252"/>
      <c r="C935" s="243"/>
      <c r="D935" s="252"/>
      <c r="E935" s="243"/>
      <c r="F935" s="243"/>
      <c r="G935" s="243"/>
      <c r="H935" s="243"/>
      <c r="I935" s="243"/>
      <c r="J935" s="243"/>
      <c r="K935" s="243"/>
      <c r="L935" s="243"/>
      <c r="M935" s="243"/>
      <c r="N935" s="243"/>
      <c r="O935" s="243"/>
      <c r="P935" s="243"/>
      <c r="Q935" s="243"/>
      <c r="R935" s="243"/>
      <c r="S935" s="243"/>
      <c r="T935" s="243"/>
      <c r="U935" s="243"/>
      <c r="V935" s="243"/>
      <c r="W935" s="243"/>
      <c r="X935" s="243"/>
      <c r="Y935" s="243"/>
      <c r="Z935" s="243"/>
      <c r="AA935" s="243"/>
      <c r="AB935" s="243"/>
      <c r="AC935" s="243"/>
      <c r="AD935" s="243"/>
    </row>
    <row r="936" ht="33.75" customHeight="1">
      <c r="A936" s="252"/>
      <c r="B936" s="252"/>
      <c r="C936" s="243"/>
      <c r="D936" s="252"/>
      <c r="E936" s="243"/>
      <c r="F936" s="243"/>
      <c r="G936" s="243"/>
      <c r="H936" s="243"/>
      <c r="I936" s="243"/>
      <c r="J936" s="243"/>
      <c r="K936" s="243"/>
      <c r="L936" s="243"/>
      <c r="M936" s="243"/>
      <c r="N936" s="243"/>
      <c r="O936" s="243"/>
      <c r="P936" s="243"/>
      <c r="Q936" s="243"/>
      <c r="R936" s="243"/>
      <c r="S936" s="243"/>
      <c r="T936" s="243"/>
      <c r="U936" s="243"/>
      <c r="V936" s="243"/>
      <c r="W936" s="243"/>
      <c r="X936" s="243"/>
      <c r="Y936" s="243"/>
      <c r="Z936" s="243"/>
      <c r="AA936" s="243"/>
      <c r="AB936" s="243"/>
      <c r="AC936" s="243"/>
      <c r="AD936" s="243"/>
    </row>
    <row r="937" ht="33.75" customHeight="1">
      <c r="A937" s="252"/>
      <c r="B937" s="252"/>
      <c r="C937" s="243"/>
      <c r="D937" s="252"/>
      <c r="E937" s="243"/>
      <c r="F937" s="243"/>
      <c r="G937" s="243"/>
      <c r="H937" s="243"/>
      <c r="I937" s="243"/>
      <c r="J937" s="243"/>
      <c r="K937" s="243"/>
      <c r="L937" s="243"/>
      <c r="M937" s="243"/>
      <c r="N937" s="243"/>
      <c r="O937" s="243"/>
      <c r="P937" s="243"/>
      <c r="Q937" s="243"/>
      <c r="R937" s="243"/>
      <c r="S937" s="243"/>
      <c r="T937" s="243"/>
      <c r="U937" s="243"/>
      <c r="V937" s="243"/>
      <c r="W937" s="243"/>
      <c r="X937" s="243"/>
      <c r="Y937" s="243"/>
      <c r="Z937" s="243"/>
      <c r="AA937" s="243"/>
      <c r="AB937" s="243"/>
      <c r="AC937" s="243"/>
      <c r="AD937" s="243"/>
    </row>
    <row r="938" ht="33.75" customHeight="1">
      <c r="A938" s="252"/>
      <c r="B938" s="252"/>
      <c r="C938" s="243"/>
      <c r="D938" s="252"/>
      <c r="E938" s="243"/>
      <c r="F938" s="243"/>
      <c r="G938" s="243"/>
      <c r="H938" s="243"/>
      <c r="I938" s="243"/>
      <c r="J938" s="243"/>
      <c r="K938" s="243"/>
      <c r="L938" s="243"/>
      <c r="M938" s="243"/>
      <c r="N938" s="243"/>
      <c r="O938" s="243"/>
      <c r="P938" s="243"/>
      <c r="Q938" s="243"/>
      <c r="R938" s="243"/>
      <c r="S938" s="243"/>
      <c r="T938" s="243"/>
      <c r="U938" s="243"/>
      <c r="V938" s="243"/>
      <c r="W938" s="243"/>
      <c r="X938" s="243"/>
      <c r="Y938" s="243"/>
      <c r="Z938" s="243"/>
      <c r="AA938" s="243"/>
      <c r="AB938" s="243"/>
      <c r="AC938" s="243"/>
      <c r="AD938" s="243"/>
    </row>
    <row r="939" ht="33.75" customHeight="1">
      <c r="A939" s="252"/>
      <c r="B939" s="252"/>
      <c r="C939" s="243"/>
      <c r="D939" s="252"/>
      <c r="E939" s="243"/>
      <c r="F939" s="243"/>
      <c r="G939" s="243"/>
      <c r="H939" s="243"/>
      <c r="I939" s="243"/>
      <c r="J939" s="243"/>
      <c r="K939" s="243"/>
      <c r="L939" s="243"/>
      <c r="M939" s="243"/>
      <c r="N939" s="243"/>
      <c r="O939" s="243"/>
      <c r="P939" s="243"/>
      <c r="Q939" s="243"/>
      <c r="R939" s="243"/>
      <c r="S939" s="243"/>
      <c r="T939" s="243"/>
      <c r="U939" s="243"/>
      <c r="V939" s="243"/>
      <c r="W939" s="243"/>
      <c r="X939" s="243"/>
      <c r="Y939" s="243"/>
      <c r="Z939" s="243"/>
      <c r="AA939" s="243"/>
      <c r="AB939" s="243"/>
      <c r="AC939" s="243"/>
      <c r="AD939" s="243"/>
    </row>
    <row r="940" ht="33.75" customHeight="1">
      <c r="A940" s="252"/>
      <c r="B940" s="252"/>
      <c r="C940" s="243"/>
      <c r="D940" s="252"/>
      <c r="E940" s="243"/>
      <c r="F940" s="243"/>
      <c r="G940" s="243"/>
      <c r="H940" s="243"/>
      <c r="I940" s="243"/>
      <c r="J940" s="243"/>
      <c r="K940" s="243"/>
      <c r="L940" s="243"/>
      <c r="M940" s="243"/>
      <c r="N940" s="243"/>
      <c r="O940" s="243"/>
      <c r="P940" s="243"/>
      <c r="Q940" s="243"/>
      <c r="R940" s="243"/>
      <c r="S940" s="243"/>
      <c r="T940" s="243"/>
      <c r="U940" s="243"/>
      <c r="V940" s="243"/>
      <c r="W940" s="243"/>
      <c r="X940" s="243"/>
      <c r="Y940" s="243"/>
      <c r="Z940" s="243"/>
      <c r="AA940" s="243"/>
      <c r="AB940" s="243"/>
      <c r="AC940" s="243"/>
      <c r="AD940" s="243"/>
    </row>
    <row r="941" ht="33.75" customHeight="1">
      <c r="A941" s="252"/>
      <c r="B941" s="252"/>
      <c r="C941" s="243"/>
      <c r="D941" s="252"/>
      <c r="E941" s="243"/>
      <c r="F941" s="243"/>
      <c r="G941" s="243"/>
      <c r="H941" s="243"/>
      <c r="I941" s="243"/>
      <c r="J941" s="243"/>
      <c r="K941" s="243"/>
      <c r="L941" s="243"/>
      <c r="M941" s="243"/>
      <c r="N941" s="243"/>
      <c r="O941" s="243"/>
      <c r="P941" s="243"/>
      <c r="Q941" s="243"/>
      <c r="R941" s="243"/>
      <c r="S941" s="243"/>
      <c r="T941" s="243"/>
      <c r="U941" s="243"/>
      <c r="V941" s="243"/>
      <c r="W941" s="243"/>
      <c r="X941" s="243"/>
      <c r="Y941" s="243"/>
      <c r="Z941" s="243"/>
      <c r="AA941" s="243"/>
      <c r="AB941" s="243"/>
      <c r="AC941" s="243"/>
      <c r="AD941" s="243"/>
    </row>
    <row r="942" ht="33.75" customHeight="1">
      <c r="A942" s="252"/>
      <c r="B942" s="252"/>
      <c r="C942" s="243"/>
      <c r="D942" s="252"/>
      <c r="E942" s="243"/>
      <c r="F942" s="243"/>
      <c r="G942" s="243"/>
      <c r="H942" s="243"/>
      <c r="I942" s="243"/>
      <c r="J942" s="243"/>
      <c r="K942" s="243"/>
      <c r="L942" s="243"/>
      <c r="M942" s="243"/>
      <c r="N942" s="243"/>
      <c r="O942" s="243"/>
      <c r="P942" s="243"/>
      <c r="Q942" s="243"/>
      <c r="R942" s="243"/>
      <c r="S942" s="243"/>
      <c r="T942" s="243"/>
      <c r="U942" s="243"/>
      <c r="V942" s="243"/>
      <c r="W942" s="243"/>
      <c r="X942" s="243"/>
      <c r="Y942" s="243"/>
      <c r="Z942" s="243"/>
      <c r="AA942" s="243"/>
      <c r="AB942" s="243"/>
      <c r="AC942" s="243"/>
      <c r="AD942" s="243"/>
    </row>
    <row r="943" ht="33.75" customHeight="1">
      <c r="A943" s="252"/>
      <c r="B943" s="252"/>
      <c r="C943" s="243"/>
      <c r="D943" s="252"/>
      <c r="E943" s="243"/>
      <c r="F943" s="243"/>
      <c r="G943" s="243"/>
      <c r="H943" s="243"/>
      <c r="I943" s="243"/>
      <c r="J943" s="243"/>
      <c r="K943" s="243"/>
      <c r="L943" s="243"/>
      <c r="M943" s="243"/>
      <c r="N943" s="243"/>
      <c r="O943" s="243"/>
      <c r="P943" s="243"/>
      <c r="Q943" s="243"/>
      <c r="R943" s="243"/>
      <c r="S943" s="243"/>
      <c r="T943" s="243"/>
      <c r="U943" s="243"/>
      <c r="V943" s="243"/>
      <c r="W943" s="243"/>
      <c r="X943" s="243"/>
      <c r="Y943" s="243"/>
      <c r="Z943" s="243"/>
      <c r="AA943" s="243"/>
      <c r="AB943" s="243"/>
      <c r="AC943" s="243"/>
      <c r="AD943" s="243"/>
    </row>
    <row r="944" ht="33.75" customHeight="1">
      <c r="A944" s="252"/>
      <c r="B944" s="252"/>
      <c r="C944" s="243"/>
      <c r="D944" s="252"/>
      <c r="E944" s="243"/>
      <c r="F944" s="243"/>
      <c r="G944" s="243"/>
      <c r="H944" s="243"/>
      <c r="I944" s="243"/>
      <c r="J944" s="243"/>
      <c r="K944" s="243"/>
      <c r="L944" s="243"/>
      <c r="M944" s="243"/>
      <c r="N944" s="243"/>
      <c r="O944" s="243"/>
      <c r="P944" s="243"/>
      <c r="Q944" s="243"/>
      <c r="R944" s="243"/>
      <c r="S944" s="243"/>
      <c r="T944" s="243"/>
      <c r="U944" s="243"/>
      <c r="V944" s="243"/>
      <c r="W944" s="243"/>
      <c r="X944" s="243"/>
      <c r="Y944" s="243"/>
      <c r="Z944" s="243"/>
      <c r="AA944" s="243"/>
      <c r="AB944" s="243"/>
      <c r="AC944" s="243"/>
      <c r="AD944" s="243"/>
    </row>
    <row r="945" ht="33.75" customHeight="1">
      <c r="A945" s="252"/>
      <c r="B945" s="252"/>
      <c r="C945" s="243"/>
      <c r="D945" s="252"/>
      <c r="E945" s="243"/>
      <c r="F945" s="243"/>
      <c r="G945" s="243"/>
      <c r="H945" s="243"/>
      <c r="I945" s="243"/>
      <c r="J945" s="243"/>
      <c r="K945" s="243"/>
      <c r="L945" s="243"/>
      <c r="M945" s="243"/>
      <c r="N945" s="243"/>
      <c r="O945" s="243"/>
      <c r="P945" s="243"/>
      <c r="Q945" s="243"/>
      <c r="R945" s="243"/>
      <c r="S945" s="243"/>
      <c r="T945" s="243"/>
      <c r="U945" s="243"/>
      <c r="V945" s="243"/>
      <c r="W945" s="243"/>
      <c r="X945" s="243"/>
      <c r="Y945" s="243"/>
      <c r="Z945" s="243"/>
      <c r="AA945" s="243"/>
      <c r="AB945" s="243"/>
      <c r="AC945" s="243"/>
      <c r="AD945" s="243"/>
    </row>
    <row r="946" ht="33.75" customHeight="1">
      <c r="A946" s="252"/>
      <c r="B946" s="252"/>
      <c r="C946" s="243"/>
      <c r="D946" s="252"/>
      <c r="E946" s="243"/>
      <c r="F946" s="243"/>
      <c r="G946" s="243"/>
      <c r="H946" s="243"/>
      <c r="I946" s="243"/>
      <c r="J946" s="243"/>
      <c r="K946" s="243"/>
      <c r="L946" s="243"/>
      <c r="M946" s="243"/>
      <c r="N946" s="243"/>
      <c r="O946" s="243"/>
      <c r="P946" s="243"/>
      <c r="Q946" s="243"/>
      <c r="R946" s="243"/>
      <c r="S946" s="243"/>
      <c r="T946" s="243"/>
      <c r="U946" s="243"/>
      <c r="V946" s="243"/>
      <c r="W946" s="243"/>
      <c r="X946" s="243"/>
      <c r="Y946" s="243"/>
      <c r="Z946" s="243"/>
      <c r="AA946" s="243"/>
      <c r="AB946" s="243"/>
      <c r="AC946" s="243"/>
      <c r="AD946" s="243"/>
    </row>
    <row r="947" ht="33.75" customHeight="1">
      <c r="A947" s="252"/>
      <c r="B947" s="252"/>
      <c r="C947" s="243"/>
      <c r="D947" s="252"/>
      <c r="E947" s="243"/>
      <c r="F947" s="243"/>
      <c r="G947" s="243"/>
      <c r="H947" s="243"/>
      <c r="I947" s="243"/>
      <c r="J947" s="243"/>
      <c r="K947" s="243"/>
      <c r="L947" s="243"/>
      <c r="M947" s="243"/>
      <c r="N947" s="243"/>
      <c r="O947" s="243"/>
      <c r="P947" s="243"/>
      <c r="Q947" s="243"/>
      <c r="R947" s="243"/>
      <c r="S947" s="243"/>
      <c r="T947" s="243"/>
      <c r="U947" s="243"/>
      <c r="V947" s="243"/>
      <c r="W947" s="243"/>
      <c r="X947" s="243"/>
      <c r="Y947" s="243"/>
      <c r="Z947" s="243"/>
      <c r="AA947" s="243"/>
      <c r="AB947" s="243"/>
      <c r="AC947" s="243"/>
      <c r="AD947" s="243"/>
    </row>
    <row r="948" ht="33.75" customHeight="1">
      <c r="A948" s="252"/>
      <c r="B948" s="252"/>
      <c r="C948" s="243"/>
      <c r="D948" s="252"/>
      <c r="E948" s="243"/>
      <c r="F948" s="243"/>
      <c r="G948" s="243"/>
      <c r="H948" s="243"/>
      <c r="I948" s="243"/>
      <c r="J948" s="243"/>
      <c r="K948" s="243"/>
      <c r="L948" s="243"/>
      <c r="M948" s="243"/>
      <c r="N948" s="243"/>
      <c r="O948" s="243"/>
      <c r="P948" s="243"/>
      <c r="Q948" s="243"/>
      <c r="R948" s="243"/>
      <c r="S948" s="243"/>
      <c r="T948" s="243"/>
      <c r="U948" s="243"/>
      <c r="V948" s="243"/>
      <c r="W948" s="243"/>
      <c r="X948" s="243"/>
      <c r="Y948" s="243"/>
      <c r="Z948" s="243"/>
      <c r="AA948" s="243"/>
      <c r="AB948" s="243"/>
      <c r="AC948" s="243"/>
      <c r="AD948" s="243"/>
    </row>
    <row r="949" ht="33.75" customHeight="1">
      <c r="A949" s="252"/>
      <c r="B949" s="252"/>
      <c r="C949" s="243"/>
      <c r="D949" s="252"/>
      <c r="E949" s="243"/>
      <c r="F949" s="243"/>
      <c r="G949" s="243"/>
      <c r="H949" s="243"/>
      <c r="I949" s="243"/>
      <c r="J949" s="243"/>
      <c r="K949" s="243"/>
      <c r="L949" s="243"/>
      <c r="M949" s="243"/>
      <c r="N949" s="243"/>
      <c r="O949" s="243"/>
      <c r="P949" s="243"/>
      <c r="Q949" s="243"/>
      <c r="R949" s="243"/>
      <c r="S949" s="243"/>
      <c r="T949" s="243"/>
      <c r="U949" s="243"/>
      <c r="V949" s="243"/>
      <c r="W949" s="243"/>
      <c r="X949" s="243"/>
      <c r="Y949" s="243"/>
      <c r="Z949" s="243"/>
      <c r="AA949" s="243"/>
      <c r="AB949" s="243"/>
      <c r="AC949" s="243"/>
      <c r="AD949" s="243"/>
    </row>
    <row r="950" ht="33.75" customHeight="1">
      <c r="A950" s="252"/>
      <c r="B950" s="252"/>
      <c r="C950" s="243"/>
      <c r="D950" s="252"/>
      <c r="E950" s="243"/>
      <c r="F950" s="243"/>
      <c r="G950" s="243"/>
      <c r="H950" s="243"/>
      <c r="I950" s="243"/>
      <c r="J950" s="243"/>
      <c r="K950" s="243"/>
      <c r="L950" s="243"/>
      <c r="M950" s="243"/>
      <c r="N950" s="243"/>
      <c r="O950" s="243"/>
      <c r="P950" s="243"/>
      <c r="Q950" s="243"/>
      <c r="R950" s="243"/>
      <c r="S950" s="243"/>
      <c r="T950" s="243"/>
      <c r="U950" s="243"/>
      <c r="V950" s="243"/>
      <c r="W950" s="243"/>
      <c r="X950" s="243"/>
      <c r="Y950" s="243"/>
      <c r="Z950" s="243"/>
      <c r="AA950" s="243"/>
      <c r="AB950" s="243"/>
      <c r="AC950" s="243"/>
      <c r="AD950" s="243"/>
    </row>
    <row r="951" ht="33.75" customHeight="1">
      <c r="A951" s="252"/>
      <c r="B951" s="252"/>
      <c r="C951" s="243"/>
      <c r="D951" s="252"/>
      <c r="E951" s="243"/>
      <c r="F951" s="243"/>
      <c r="G951" s="243"/>
      <c r="H951" s="243"/>
      <c r="I951" s="243"/>
      <c r="J951" s="243"/>
      <c r="K951" s="243"/>
      <c r="L951" s="243"/>
      <c r="M951" s="243"/>
      <c r="N951" s="243"/>
      <c r="O951" s="243"/>
      <c r="P951" s="243"/>
      <c r="Q951" s="243"/>
      <c r="R951" s="243"/>
      <c r="S951" s="243"/>
      <c r="T951" s="243"/>
      <c r="U951" s="243"/>
      <c r="V951" s="243"/>
      <c r="W951" s="243"/>
      <c r="X951" s="243"/>
      <c r="Y951" s="243"/>
      <c r="Z951" s="243"/>
      <c r="AA951" s="243"/>
      <c r="AB951" s="243"/>
      <c r="AC951" s="243"/>
      <c r="AD951" s="243"/>
    </row>
    <row r="952" ht="33.75" customHeight="1">
      <c r="A952" s="252"/>
      <c r="B952" s="252"/>
      <c r="C952" s="243"/>
      <c r="D952" s="252"/>
      <c r="E952" s="243"/>
      <c r="F952" s="243"/>
      <c r="G952" s="243"/>
      <c r="H952" s="243"/>
      <c r="I952" s="243"/>
      <c r="J952" s="243"/>
      <c r="K952" s="243"/>
      <c r="L952" s="243"/>
      <c r="M952" s="243"/>
      <c r="N952" s="243"/>
      <c r="O952" s="243"/>
      <c r="P952" s="243"/>
      <c r="Q952" s="243"/>
      <c r="R952" s="243"/>
      <c r="S952" s="243"/>
      <c r="T952" s="243"/>
      <c r="U952" s="243"/>
      <c r="V952" s="243"/>
      <c r="W952" s="243"/>
      <c r="X952" s="243"/>
      <c r="Y952" s="243"/>
      <c r="Z952" s="243"/>
      <c r="AA952" s="243"/>
      <c r="AB952" s="243"/>
      <c r="AC952" s="243"/>
      <c r="AD952" s="243"/>
    </row>
    <row r="953" ht="33.75" customHeight="1">
      <c r="A953" s="252"/>
      <c r="B953" s="252"/>
      <c r="C953" s="243"/>
      <c r="D953" s="252"/>
      <c r="E953" s="243"/>
      <c r="F953" s="243"/>
      <c r="G953" s="243"/>
      <c r="H953" s="243"/>
      <c r="I953" s="243"/>
      <c r="J953" s="243"/>
      <c r="K953" s="243"/>
      <c r="L953" s="243"/>
      <c r="M953" s="243"/>
      <c r="N953" s="243"/>
      <c r="O953" s="243"/>
      <c r="P953" s="243"/>
      <c r="Q953" s="243"/>
      <c r="R953" s="243"/>
      <c r="S953" s="243"/>
      <c r="T953" s="243"/>
      <c r="U953" s="243"/>
      <c r="V953" s="243"/>
      <c r="W953" s="243"/>
      <c r="X953" s="243"/>
      <c r="Y953" s="243"/>
      <c r="Z953" s="243"/>
      <c r="AA953" s="243"/>
      <c r="AB953" s="243"/>
      <c r="AC953" s="243"/>
      <c r="AD953" s="243"/>
    </row>
    <row r="954" ht="33.75" customHeight="1">
      <c r="A954" s="252"/>
      <c r="B954" s="252"/>
      <c r="C954" s="243"/>
      <c r="D954" s="252"/>
      <c r="E954" s="243"/>
      <c r="F954" s="243"/>
      <c r="G954" s="243"/>
      <c r="H954" s="243"/>
      <c r="I954" s="243"/>
      <c r="J954" s="243"/>
      <c r="K954" s="243"/>
      <c r="L954" s="243"/>
      <c r="M954" s="243"/>
      <c r="N954" s="243"/>
      <c r="O954" s="243"/>
      <c r="P954" s="243"/>
      <c r="Q954" s="243"/>
      <c r="R954" s="243"/>
      <c r="S954" s="243"/>
      <c r="T954" s="243"/>
      <c r="U954" s="243"/>
      <c r="V954" s="243"/>
      <c r="W954" s="243"/>
      <c r="X954" s="243"/>
      <c r="Y954" s="243"/>
      <c r="Z954" s="243"/>
      <c r="AA954" s="243"/>
      <c r="AB954" s="243"/>
      <c r="AC954" s="243"/>
      <c r="AD954" s="243"/>
    </row>
    <row r="955" ht="33.75" customHeight="1">
      <c r="A955" s="252"/>
      <c r="B955" s="252"/>
      <c r="C955" s="243"/>
      <c r="D955" s="252"/>
      <c r="E955" s="243"/>
      <c r="F955" s="243"/>
      <c r="G955" s="243"/>
      <c r="H955" s="243"/>
      <c r="I955" s="243"/>
      <c r="J955" s="243"/>
      <c r="K955" s="243"/>
      <c r="L955" s="243"/>
      <c r="M955" s="243"/>
      <c r="N955" s="243"/>
      <c r="O955" s="243"/>
      <c r="P955" s="243"/>
      <c r="Q955" s="243"/>
      <c r="R955" s="243"/>
      <c r="S955" s="243"/>
      <c r="T955" s="243"/>
      <c r="U955" s="243"/>
      <c r="V955" s="243"/>
      <c r="W955" s="243"/>
      <c r="X955" s="243"/>
      <c r="Y955" s="243"/>
      <c r="Z955" s="243"/>
      <c r="AA955" s="243"/>
      <c r="AB955" s="243"/>
      <c r="AC955" s="243"/>
      <c r="AD955" s="243"/>
    </row>
    <row r="956" ht="33.75" customHeight="1">
      <c r="A956" s="252"/>
      <c r="B956" s="252"/>
      <c r="C956" s="243"/>
      <c r="D956" s="252"/>
      <c r="E956" s="243"/>
      <c r="F956" s="243"/>
      <c r="G956" s="243"/>
      <c r="H956" s="243"/>
      <c r="I956" s="243"/>
      <c r="J956" s="243"/>
      <c r="K956" s="243"/>
      <c r="L956" s="243"/>
      <c r="M956" s="243"/>
      <c r="N956" s="243"/>
      <c r="O956" s="243"/>
      <c r="P956" s="243"/>
      <c r="Q956" s="243"/>
      <c r="R956" s="243"/>
      <c r="S956" s="243"/>
      <c r="T956" s="243"/>
      <c r="U956" s="243"/>
      <c r="V956" s="243"/>
      <c r="W956" s="243"/>
      <c r="X956" s="243"/>
      <c r="Y956" s="243"/>
      <c r="Z956" s="243"/>
      <c r="AA956" s="243"/>
      <c r="AB956" s="243"/>
      <c r="AC956" s="243"/>
      <c r="AD956" s="243"/>
    </row>
    <row r="957" ht="33.75" customHeight="1">
      <c r="A957" s="252"/>
      <c r="B957" s="252"/>
      <c r="C957" s="243"/>
      <c r="D957" s="252"/>
      <c r="E957" s="243"/>
      <c r="F957" s="243"/>
      <c r="G957" s="243"/>
      <c r="H957" s="243"/>
      <c r="I957" s="243"/>
      <c r="J957" s="243"/>
      <c r="K957" s="243"/>
      <c r="L957" s="243"/>
      <c r="M957" s="243"/>
      <c r="N957" s="243"/>
      <c r="O957" s="243"/>
      <c r="P957" s="243"/>
      <c r="Q957" s="243"/>
      <c r="R957" s="243"/>
      <c r="S957" s="243"/>
      <c r="T957" s="243"/>
      <c r="U957" s="243"/>
      <c r="V957" s="243"/>
      <c r="W957" s="243"/>
      <c r="X957" s="243"/>
      <c r="Y957" s="243"/>
      <c r="Z957" s="243"/>
      <c r="AA957" s="243"/>
      <c r="AB957" s="243"/>
      <c r="AC957" s="243"/>
      <c r="AD957" s="243"/>
    </row>
    <row r="958" ht="33.75" customHeight="1">
      <c r="A958" s="252"/>
      <c r="B958" s="252"/>
      <c r="C958" s="243"/>
      <c r="D958" s="252"/>
      <c r="E958" s="243"/>
      <c r="F958" s="243"/>
      <c r="G958" s="243"/>
      <c r="H958" s="243"/>
      <c r="I958" s="243"/>
      <c r="J958" s="243"/>
      <c r="K958" s="243"/>
      <c r="L958" s="243"/>
      <c r="M958" s="243"/>
      <c r="N958" s="243"/>
      <c r="O958" s="243"/>
      <c r="P958" s="243"/>
      <c r="Q958" s="243"/>
      <c r="R958" s="243"/>
      <c r="S958" s="243"/>
      <c r="T958" s="243"/>
      <c r="U958" s="243"/>
      <c r="V958" s="243"/>
      <c r="W958" s="243"/>
      <c r="X958" s="243"/>
      <c r="Y958" s="243"/>
      <c r="Z958" s="243"/>
      <c r="AA958" s="243"/>
      <c r="AB958" s="243"/>
      <c r="AC958" s="243"/>
      <c r="AD958" s="243"/>
    </row>
    <row r="959" ht="33.75" customHeight="1">
      <c r="A959" s="252"/>
      <c r="B959" s="252"/>
      <c r="C959" s="243"/>
      <c r="D959" s="252"/>
      <c r="E959" s="243"/>
      <c r="F959" s="243"/>
      <c r="G959" s="243"/>
      <c r="H959" s="243"/>
      <c r="I959" s="243"/>
      <c r="J959" s="243"/>
      <c r="K959" s="243"/>
      <c r="L959" s="243"/>
      <c r="M959" s="243"/>
      <c r="N959" s="243"/>
      <c r="O959" s="243"/>
      <c r="P959" s="243"/>
      <c r="Q959" s="243"/>
      <c r="R959" s="243"/>
      <c r="S959" s="243"/>
      <c r="T959" s="243"/>
      <c r="U959" s="243"/>
      <c r="V959" s="243"/>
      <c r="W959" s="243"/>
      <c r="X959" s="243"/>
      <c r="Y959" s="243"/>
      <c r="Z959" s="243"/>
      <c r="AA959" s="243"/>
      <c r="AB959" s="243"/>
      <c r="AC959" s="243"/>
      <c r="AD959" s="243"/>
    </row>
    <row r="960" ht="33.75" customHeight="1">
      <c r="A960" s="252"/>
      <c r="B960" s="252"/>
      <c r="C960" s="243"/>
      <c r="D960" s="252"/>
      <c r="E960" s="243"/>
      <c r="F960" s="243"/>
      <c r="G960" s="243"/>
      <c r="H960" s="243"/>
      <c r="I960" s="243"/>
      <c r="J960" s="243"/>
      <c r="K960" s="243"/>
      <c r="L960" s="243"/>
      <c r="M960" s="243"/>
      <c r="N960" s="243"/>
      <c r="O960" s="243"/>
      <c r="P960" s="243"/>
      <c r="Q960" s="243"/>
      <c r="R960" s="243"/>
      <c r="S960" s="243"/>
      <c r="T960" s="243"/>
      <c r="U960" s="243"/>
      <c r="V960" s="243"/>
      <c r="W960" s="243"/>
      <c r="X960" s="243"/>
      <c r="Y960" s="243"/>
      <c r="Z960" s="243"/>
      <c r="AA960" s="243"/>
      <c r="AB960" s="243"/>
      <c r="AC960" s="243"/>
      <c r="AD960" s="243"/>
    </row>
    <row r="961" ht="33.75" customHeight="1">
      <c r="A961" s="252"/>
      <c r="B961" s="252"/>
      <c r="C961" s="243"/>
      <c r="D961" s="252"/>
      <c r="E961" s="243"/>
      <c r="F961" s="243"/>
      <c r="G961" s="243"/>
      <c r="H961" s="243"/>
      <c r="I961" s="243"/>
      <c r="J961" s="243"/>
      <c r="K961" s="243"/>
      <c r="L961" s="243"/>
      <c r="M961" s="243"/>
      <c r="N961" s="243"/>
      <c r="O961" s="243"/>
      <c r="P961" s="243"/>
      <c r="Q961" s="243"/>
      <c r="R961" s="243"/>
      <c r="S961" s="243"/>
      <c r="T961" s="243"/>
      <c r="U961" s="243"/>
      <c r="V961" s="243"/>
      <c r="W961" s="243"/>
      <c r="X961" s="243"/>
      <c r="Y961" s="243"/>
      <c r="Z961" s="243"/>
      <c r="AA961" s="243"/>
      <c r="AB961" s="243"/>
      <c r="AC961" s="243"/>
      <c r="AD961" s="243"/>
    </row>
    <row r="962" ht="33.75" customHeight="1">
      <c r="A962" s="252"/>
      <c r="B962" s="252"/>
      <c r="C962" s="243"/>
      <c r="D962" s="252"/>
      <c r="E962" s="243"/>
      <c r="F962" s="243"/>
      <c r="G962" s="243"/>
      <c r="H962" s="243"/>
      <c r="I962" s="243"/>
      <c r="J962" s="243"/>
      <c r="K962" s="243"/>
      <c r="L962" s="243"/>
      <c r="M962" s="243"/>
      <c r="N962" s="243"/>
      <c r="O962" s="243"/>
      <c r="P962" s="243"/>
      <c r="Q962" s="243"/>
      <c r="R962" s="243"/>
      <c r="S962" s="243"/>
      <c r="T962" s="243"/>
      <c r="U962" s="243"/>
      <c r="V962" s="243"/>
      <c r="W962" s="243"/>
      <c r="X962" s="243"/>
      <c r="Y962" s="243"/>
      <c r="Z962" s="243"/>
      <c r="AA962" s="243"/>
      <c r="AB962" s="243"/>
      <c r="AC962" s="243"/>
      <c r="AD962" s="243"/>
    </row>
    <row r="963" ht="33.75" customHeight="1">
      <c r="A963" s="252"/>
      <c r="B963" s="252"/>
      <c r="C963" s="243"/>
      <c r="D963" s="252"/>
      <c r="E963" s="243"/>
      <c r="F963" s="243"/>
      <c r="G963" s="243"/>
      <c r="H963" s="243"/>
      <c r="I963" s="243"/>
      <c r="J963" s="243"/>
      <c r="K963" s="243"/>
      <c r="L963" s="243"/>
      <c r="M963" s="243"/>
      <c r="N963" s="243"/>
      <c r="O963" s="243"/>
      <c r="P963" s="243"/>
      <c r="Q963" s="243"/>
      <c r="R963" s="243"/>
      <c r="S963" s="243"/>
      <c r="T963" s="243"/>
      <c r="U963" s="243"/>
      <c r="V963" s="243"/>
      <c r="W963" s="243"/>
      <c r="X963" s="243"/>
      <c r="Y963" s="243"/>
      <c r="Z963" s="243"/>
      <c r="AA963" s="243"/>
      <c r="AB963" s="243"/>
      <c r="AC963" s="243"/>
      <c r="AD963" s="243"/>
    </row>
    <row r="964" ht="33.75" customHeight="1">
      <c r="A964" s="252"/>
      <c r="B964" s="252"/>
      <c r="C964" s="243"/>
      <c r="D964" s="252"/>
      <c r="E964" s="243"/>
      <c r="F964" s="243"/>
      <c r="G964" s="243"/>
      <c r="H964" s="243"/>
      <c r="I964" s="243"/>
      <c r="J964" s="243"/>
      <c r="K964" s="243"/>
      <c r="L964" s="243"/>
      <c r="M964" s="243"/>
      <c r="N964" s="243"/>
      <c r="O964" s="243"/>
      <c r="P964" s="243"/>
      <c r="Q964" s="243"/>
      <c r="R964" s="243"/>
      <c r="S964" s="243"/>
      <c r="T964" s="243"/>
      <c r="U964" s="243"/>
      <c r="V964" s="243"/>
      <c r="W964" s="243"/>
      <c r="X964" s="243"/>
      <c r="Y964" s="243"/>
      <c r="Z964" s="243"/>
      <c r="AA964" s="243"/>
      <c r="AB964" s="243"/>
      <c r="AC964" s="243"/>
      <c r="AD964" s="243"/>
    </row>
    <row r="965" ht="33.75" customHeight="1">
      <c r="A965" s="252"/>
      <c r="B965" s="252"/>
      <c r="C965" s="243"/>
      <c r="D965" s="252"/>
      <c r="E965" s="243"/>
      <c r="F965" s="243"/>
      <c r="G965" s="243"/>
      <c r="H965" s="243"/>
      <c r="I965" s="243"/>
      <c r="J965" s="243"/>
      <c r="K965" s="243"/>
      <c r="L965" s="243"/>
      <c r="M965" s="243"/>
      <c r="N965" s="243"/>
      <c r="O965" s="243"/>
      <c r="P965" s="243"/>
      <c r="Q965" s="243"/>
      <c r="R965" s="243"/>
      <c r="S965" s="243"/>
      <c r="T965" s="243"/>
      <c r="U965" s="243"/>
      <c r="V965" s="243"/>
      <c r="W965" s="243"/>
      <c r="X965" s="243"/>
      <c r="Y965" s="243"/>
      <c r="Z965" s="243"/>
      <c r="AA965" s="243"/>
      <c r="AB965" s="243"/>
      <c r="AC965" s="243"/>
      <c r="AD965" s="243"/>
    </row>
    <row r="966" ht="33.75" customHeight="1">
      <c r="A966" s="252"/>
      <c r="B966" s="252"/>
      <c r="C966" s="243"/>
      <c r="D966" s="252"/>
      <c r="E966" s="243"/>
      <c r="F966" s="243"/>
      <c r="G966" s="243"/>
      <c r="H966" s="243"/>
      <c r="I966" s="243"/>
      <c r="J966" s="243"/>
      <c r="K966" s="243"/>
      <c r="L966" s="243"/>
      <c r="M966" s="243"/>
      <c r="N966" s="243"/>
      <c r="O966" s="243"/>
      <c r="P966" s="243"/>
      <c r="Q966" s="243"/>
      <c r="R966" s="243"/>
      <c r="S966" s="243"/>
      <c r="T966" s="243"/>
      <c r="U966" s="243"/>
      <c r="V966" s="243"/>
      <c r="W966" s="243"/>
      <c r="X966" s="243"/>
      <c r="Y966" s="243"/>
      <c r="Z966" s="243"/>
      <c r="AA966" s="243"/>
      <c r="AB966" s="243"/>
      <c r="AC966" s="243"/>
      <c r="AD966" s="243"/>
    </row>
    <row r="967" ht="33.75" customHeight="1">
      <c r="A967" s="252"/>
      <c r="B967" s="252"/>
      <c r="C967" s="243"/>
      <c r="D967" s="252"/>
      <c r="E967" s="243"/>
      <c r="F967" s="243"/>
      <c r="G967" s="243"/>
      <c r="H967" s="243"/>
      <c r="I967" s="243"/>
      <c r="J967" s="243"/>
      <c r="K967" s="243"/>
      <c r="L967" s="243"/>
      <c r="M967" s="243"/>
      <c r="N967" s="243"/>
      <c r="O967" s="243"/>
      <c r="P967" s="243"/>
      <c r="Q967" s="243"/>
      <c r="R967" s="243"/>
      <c r="S967" s="243"/>
      <c r="T967" s="243"/>
      <c r="U967" s="243"/>
      <c r="V967" s="243"/>
      <c r="W967" s="243"/>
      <c r="X967" s="243"/>
      <c r="Y967" s="243"/>
      <c r="Z967" s="243"/>
      <c r="AA967" s="243"/>
      <c r="AB967" s="243"/>
      <c r="AC967" s="243"/>
      <c r="AD967" s="243"/>
    </row>
    <row r="968" ht="33.75" customHeight="1">
      <c r="A968" s="252"/>
      <c r="B968" s="252"/>
      <c r="C968" s="243"/>
      <c r="D968" s="252"/>
      <c r="E968" s="243"/>
      <c r="F968" s="243"/>
      <c r="G968" s="243"/>
      <c r="H968" s="243"/>
      <c r="I968" s="243"/>
      <c r="J968" s="243"/>
      <c r="K968" s="243"/>
      <c r="L968" s="243"/>
      <c r="M968" s="243"/>
      <c r="N968" s="243"/>
      <c r="O968" s="243"/>
      <c r="P968" s="243"/>
      <c r="Q968" s="243"/>
      <c r="R968" s="243"/>
      <c r="S968" s="243"/>
      <c r="T968" s="243"/>
      <c r="U968" s="243"/>
      <c r="V968" s="243"/>
      <c r="W968" s="243"/>
      <c r="X968" s="243"/>
      <c r="Y968" s="243"/>
      <c r="Z968" s="243"/>
      <c r="AA968" s="243"/>
      <c r="AB968" s="243"/>
      <c r="AC968" s="243"/>
      <c r="AD968" s="243"/>
    </row>
    <row r="969" ht="33.75" customHeight="1">
      <c r="A969" s="252"/>
      <c r="B969" s="252"/>
      <c r="C969" s="243"/>
      <c r="D969" s="252"/>
      <c r="E969" s="243"/>
      <c r="F969" s="243"/>
      <c r="G969" s="243"/>
      <c r="H969" s="243"/>
      <c r="I969" s="243"/>
      <c r="J969" s="243"/>
      <c r="K969" s="243"/>
      <c r="L969" s="243"/>
      <c r="M969" s="243"/>
      <c r="N969" s="243"/>
      <c r="O969" s="243"/>
      <c r="P969" s="243"/>
      <c r="Q969" s="243"/>
      <c r="R969" s="243"/>
      <c r="S969" s="243"/>
      <c r="T969" s="243"/>
      <c r="U969" s="243"/>
      <c r="V969" s="243"/>
      <c r="W969" s="243"/>
      <c r="X969" s="243"/>
      <c r="Y969" s="243"/>
      <c r="Z969" s="243"/>
      <c r="AA969" s="243"/>
      <c r="AB969" s="243"/>
      <c r="AC969" s="243"/>
      <c r="AD969" s="243"/>
    </row>
    <row r="970" ht="33.75" customHeight="1">
      <c r="A970" s="252"/>
      <c r="B970" s="252"/>
      <c r="C970" s="243"/>
      <c r="D970" s="252"/>
      <c r="E970" s="243"/>
      <c r="F970" s="243"/>
      <c r="G970" s="243"/>
      <c r="H970" s="243"/>
      <c r="I970" s="243"/>
      <c r="J970" s="243"/>
      <c r="K970" s="243"/>
      <c r="L970" s="243"/>
      <c r="M970" s="243"/>
      <c r="N970" s="243"/>
      <c r="O970" s="243"/>
      <c r="P970" s="243"/>
      <c r="Q970" s="243"/>
      <c r="R970" s="243"/>
      <c r="S970" s="243"/>
      <c r="T970" s="243"/>
      <c r="U970" s="243"/>
      <c r="V970" s="243"/>
      <c r="W970" s="243"/>
      <c r="X970" s="243"/>
      <c r="Y970" s="243"/>
      <c r="Z970" s="243"/>
      <c r="AA970" s="243"/>
      <c r="AB970" s="243"/>
      <c r="AC970" s="243"/>
      <c r="AD970" s="243"/>
    </row>
    <row r="971" ht="33.75" customHeight="1">
      <c r="A971" s="252"/>
      <c r="B971" s="252"/>
      <c r="C971" s="243"/>
      <c r="D971" s="252"/>
      <c r="E971" s="243"/>
      <c r="F971" s="243"/>
      <c r="G971" s="243"/>
      <c r="H971" s="243"/>
      <c r="I971" s="243"/>
      <c r="J971" s="243"/>
      <c r="K971" s="243"/>
      <c r="L971" s="243"/>
      <c r="M971" s="243"/>
      <c r="N971" s="243"/>
      <c r="O971" s="243"/>
      <c r="P971" s="243"/>
      <c r="Q971" s="243"/>
      <c r="R971" s="243"/>
      <c r="S971" s="243"/>
      <c r="T971" s="243"/>
      <c r="U971" s="243"/>
      <c r="V971" s="243"/>
      <c r="W971" s="243"/>
      <c r="X971" s="243"/>
      <c r="Y971" s="243"/>
      <c r="Z971" s="243"/>
      <c r="AA971" s="243"/>
      <c r="AB971" s="243"/>
      <c r="AC971" s="243"/>
      <c r="AD971" s="243"/>
    </row>
    <row r="972" ht="33.75" customHeight="1">
      <c r="A972" s="252"/>
      <c r="B972" s="252"/>
      <c r="C972" s="243"/>
      <c r="D972" s="252"/>
      <c r="E972" s="243"/>
      <c r="F972" s="243"/>
      <c r="G972" s="243"/>
      <c r="H972" s="243"/>
      <c r="I972" s="243"/>
      <c r="J972" s="243"/>
      <c r="K972" s="243"/>
      <c r="L972" s="243"/>
      <c r="M972" s="243"/>
      <c r="N972" s="243"/>
      <c r="O972" s="243"/>
      <c r="P972" s="243"/>
      <c r="Q972" s="243"/>
      <c r="R972" s="243"/>
      <c r="S972" s="243"/>
      <c r="T972" s="243"/>
      <c r="U972" s="243"/>
      <c r="V972" s="243"/>
      <c r="W972" s="243"/>
      <c r="X972" s="243"/>
      <c r="Y972" s="243"/>
      <c r="Z972" s="243"/>
      <c r="AA972" s="243"/>
      <c r="AB972" s="243"/>
      <c r="AC972" s="243"/>
      <c r="AD972" s="243"/>
    </row>
    <row r="973" ht="33.75" customHeight="1">
      <c r="A973" s="252"/>
      <c r="B973" s="252"/>
      <c r="C973" s="243"/>
      <c r="D973" s="252"/>
      <c r="E973" s="243"/>
      <c r="F973" s="243"/>
      <c r="G973" s="243"/>
      <c r="H973" s="243"/>
      <c r="I973" s="243"/>
      <c r="J973" s="243"/>
      <c r="K973" s="243"/>
      <c r="L973" s="243"/>
      <c r="M973" s="243"/>
      <c r="N973" s="243"/>
      <c r="O973" s="243"/>
      <c r="P973" s="243"/>
      <c r="Q973" s="243"/>
      <c r="R973" s="243"/>
      <c r="S973" s="243"/>
      <c r="T973" s="243"/>
      <c r="U973" s="243"/>
      <c r="V973" s="243"/>
      <c r="W973" s="243"/>
      <c r="X973" s="243"/>
      <c r="Y973" s="243"/>
      <c r="Z973" s="243"/>
      <c r="AA973" s="243"/>
      <c r="AB973" s="243"/>
      <c r="AC973" s="243"/>
      <c r="AD973" s="243"/>
    </row>
    <row r="974" ht="33.75" customHeight="1">
      <c r="A974" s="252"/>
      <c r="B974" s="252"/>
      <c r="C974" s="243"/>
      <c r="D974" s="252"/>
      <c r="E974" s="243"/>
      <c r="F974" s="243"/>
      <c r="G974" s="243"/>
      <c r="H974" s="243"/>
      <c r="I974" s="243"/>
      <c r="J974" s="243"/>
      <c r="K974" s="243"/>
      <c r="L974" s="243"/>
      <c r="M974" s="243"/>
      <c r="N974" s="243"/>
      <c r="O974" s="243"/>
      <c r="P974" s="243"/>
      <c r="Q974" s="243"/>
      <c r="R974" s="243"/>
      <c r="S974" s="243"/>
      <c r="T974" s="243"/>
      <c r="U974" s="243"/>
      <c r="V974" s="243"/>
      <c r="W974" s="243"/>
      <c r="X974" s="243"/>
      <c r="Y974" s="243"/>
      <c r="Z974" s="243"/>
      <c r="AA974" s="243"/>
      <c r="AB974" s="243"/>
      <c r="AC974" s="243"/>
      <c r="AD974" s="243"/>
    </row>
    <row r="975" ht="33.75" customHeight="1">
      <c r="A975" s="252"/>
      <c r="B975" s="252"/>
      <c r="C975" s="243"/>
      <c r="D975" s="252"/>
      <c r="E975" s="243"/>
      <c r="F975" s="243"/>
      <c r="G975" s="243"/>
      <c r="H975" s="243"/>
      <c r="I975" s="243"/>
      <c r="J975" s="243"/>
      <c r="K975" s="243"/>
      <c r="L975" s="243"/>
      <c r="M975" s="243"/>
      <c r="N975" s="243"/>
      <c r="O975" s="243"/>
      <c r="P975" s="243"/>
      <c r="Q975" s="243"/>
      <c r="R975" s="243"/>
      <c r="S975" s="243"/>
      <c r="T975" s="243"/>
      <c r="U975" s="243"/>
      <c r="V975" s="243"/>
      <c r="W975" s="243"/>
      <c r="X975" s="243"/>
      <c r="Y975" s="243"/>
      <c r="Z975" s="243"/>
      <c r="AA975" s="243"/>
      <c r="AB975" s="243"/>
      <c r="AC975" s="243"/>
      <c r="AD975" s="243"/>
    </row>
    <row r="976" ht="33.75" customHeight="1">
      <c r="A976" s="252"/>
      <c r="B976" s="252"/>
      <c r="C976" s="243"/>
      <c r="D976" s="252"/>
      <c r="E976" s="243"/>
      <c r="F976" s="243"/>
      <c r="G976" s="243"/>
      <c r="H976" s="243"/>
      <c r="I976" s="243"/>
      <c r="J976" s="243"/>
      <c r="K976" s="243"/>
      <c r="L976" s="243"/>
      <c r="M976" s="243"/>
      <c r="N976" s="243"/>
      <c r="O976" s="243"/>
      <c r="P976" s="243"/>
      <c r="Q976" s="243"/>
      <c r="R976" s="243"/>
      <c r="S976" s="243"/>
      <c r="T976" s="243"/>
      <c r="U976" s="243"/>
      <c r="V976" s="243"/>
      <c r="W976" s="243"/>
      <c r="X976" s="243"/>
      <c r="Y976" s="243"/>
      <c r="Z976" s="243"/>
      <c r="AA976" s="243"/>
      <c r="AB976" s="243"/>
      <c r="AC976" s="243"/>
      <c r="AD976" s="243"/>
    </row>
    <row r="977" ht="33.75" customHeight="1">
      <c r="A977" s="252"/>
      <c r="B977" s="252"/>
      <c r="C977" s="243"/>
      <c r="D977" s="252"/>
      <c r="E977" s="243"/>
      <c r="F977" s="243"/>
      <c r="G977" s="243"/>
      <c r="H977" s="243"/>
      <c r="I977" s="243"/>
      <c r="J977" s="243"/>
      <c r="K977" s="243"/>
      <c r="L977" s="243"/>
      <c r="M977" s="243"/>
      <c r="N977" s="243"/>
      <c r="O977" s="243"/>
      <c r="P977" s="243"/>
      <c r="Q977" s="243"/>
      <c r="R977" s="243"/>
      <c r="S977" s="243"/>
      <c r="T977" s="243"/>
      <c r="U977" s="243"/>
      <c r="V977" s="243"/>
      <c r="W977" s="243"/>
      <c r="X977" s="243"/>
      <c r="Y977" s="243"/>
      <c r="Z977" s="243"/>
      <c r="AA977" s="243"/>
      <c r="AB977" s="243"/>
      <c r="AC977" s="243"/>
      <c r="AD977" s="243"/>
    </row>
    <row r="978" ht="33.75" customHeight="1">
      <c r="A978" s="252"/>
      <c r="B978" s="252"/>
      <c r="C978" s="243"/>
      <c r="D978" s="252"/>
      <c r="E978" s="243"/>
      <c r="F978" s="243"/>
      <c r="G978" s="243"/>
      <c r="H978" s="243"/>
      <c r="I978" s="243"/>
      <c r="J978" s="243"/>
      <c r="K978" s="243"/>
      <c r="L978" s="243"/>
      <c r="M978" s="243"/>
      <c r="N978" s="243"/>
      <c r="O978" s="243"/>
      <c r="P978" s="243"/>
      <c r="Q978" s="243"/>
      <c r="R978" s="243"/>
      <c r="S978" s="243"/>
      <c r="T978" s="243"/>
      <c r="U978" s="243"/>
      <c r="V978" s="243"/>
      <c r="W978" s="243"/>
      <c r="X978" s="243"/>
      <c r="Y978" s="243"/>
      <c r="Z978" s="243"/>
      <c r="AA978" s="243"/>
      <c r="AB978" s="243"/>
      <c r="AC978" s="243"/>
      <c r="AD978" s="243"/>
    </row>
    <row r="979" ht="33.75" customHeight="1">
      <c r="A979" s="252"/>
      <c r="B979" s="252"/>
      <c r="C979" s="243"/>
      <c r="D979" s="252"/>
      <c r="E979" s="243"/>
      <c r="F979" s="243"/>
      <c r="G979" s="243"/>
      <c r="H979" s="243"/>
      <c r="I979" s="243"/>
      <c r="J979" s="243"/>
      <c r="K979" s="243"/>
      <c r="L979" s="243"/>
      <c r="M979" s="243"/>
      <c r="N979" s="243"/>
      <c r="O979" s="243"/>
      <c r="P979" s="243"/>
      <c r="Q979" s="243"/>
      <c r="R979" s="243"/>
      <c r="S979" s="243"/>
      <c r="T979" s="243"/>
      <c r="U979" s="243"/>
      <c r="V979" s="243"/>
      <c r="W979" s="243"/>
      <c r="X979" s="243"/>
      <c r="Y979" s="243"/>
      <c r="Z979" s="243"/>
      <c r="AA979" s="243"/>
      <c r="AB979" s="243"/>
      <c r="AC979" s="243"/>
      <c r="AD979" s="243"/>
    </row>
    <row r="980" ht="33.75" customHeight="1">
      <c r="A980" s="252"/>
      <c r="B980" s="252"/>
      <c r="C980" s="243"/>
      <c r="D980" s="252"/>
      <c r="E980" s="243"/>
      <c r="F980" s="243"/>
      <c r="G980" s="243"/>
      <c r="H980" s="243"/>
      <c r="I980" s="243"/>
      <c r="J980" s="243"/>
      <c r="K980" s="243"/>
      <c r="L980" s="243"/>
      <c r="M980" s="243"/>
      <c r="N980" s="243"/>
      <c r="O980" s="243"/>
      <c r="P980" s="243"/>
      <c r="Q980" s="243"/>
      <c r="R980" s="243"/>
      <c r="S980" s="243"/>
      <c r="T980" s="243"/>
      <c r="U980" s="243"/>
      <c r="V980" s="243"/>
      <c r="W980" s="243"/>
      <c r="X980" s="243"/>
      <c r="Y980" s="243"/>
      <c r="Z980" s="243"/>
      <c r="AA980" s="243"/>
      <c r="AB980" s="243"/>
      <c r="AC980" s="243"/>
      <c r="AD980" s="243"/>
    </row>
    <row r="981" ht="33.75" customHeight="1">
      <c r="A981" s="252"/>
      <c r="B981" s="252"/>
      <c r="C981" s="243"/>
      <c r="D981" s="252"/>
      <c r="E981" s="243"/>
      <c r="F981" s="243"/>
      <c r="G981" s="243"/>
      <c r="H981" s="243"/>
      <c r="I981" s="243"/>
      <c r="J981" s="243"/>
      <c r="K981" s="243"/>
      <c r="L981" s="243"/>
      <c r="M981" s="243"/>
      <c r="N981" s="243"/>
      <c r="O981" s="243"/>
      <c r="P981" s="243"/>
      <c r="Q981" s="243"/>
      <c r="R981" s="243"/>
      <c r="S981" s="243"/>
      <c r="T981" s="243"/>
      <c r="U981" s="243"/>
      <c r="V981" s="243"/>
      <c r="W981" s="243"/>
      <c r="X981" s="243"/>
      <c r="Y981" s="243"/>
      <c r="Z981" s="243"/>
      <c r="AA981" s="243"/>
      <c r="AB981" s="243"/>
      <c r="AC981" s="243"/>
      <c r="AD981" s="243"/>
    </row>
    <row r="982" ht="33.75" customHeight="1">
      <c r="A982" s="252"/>
      <c r="B982" s="252"/>
      <c r="C982" s="243"/>
      <c r="D982" s="252"/>
      <c r="E982" s="243"/>
      <c r="F982" s="243"/>
      <c r="G982" s="243"/>
      <c r="H982" s="243"/>
      <c r="I982" s="243"/>
      <c r="J982" s="243"/>
      <c r="K982" s="243"/>
      <c r="L982" s="243"/>
      <c r="M982" s="243"/>
      <c r="N982" s="243"/>
      <c r="O982" s="243"/>
      <c r="P982" s="243"/>
      <c r="Q982" s="243"/>
      <c r="R982" s="243"/>
      <c r="S982" s="243"/>
      <c r="T982" s="243"/>
      <c r="U982" s="243"/>
      <c r="V982" s="243"/>
      <c r="W982" s="243"/>
      <c r="X982" s="243"/>
      <c r="Y982" s="243"/>
      <c r="Z982" s="243"/>
      <c r="AA982" s="243"/>
      <c r="AB982" s="243"/>
      <c r="AC982" s="243"/>
      <c r="AD982" s="243"/>
    </row>
    <row r="983" ht="33.75" customHeight="1">
      <c r="A983" s="252"/>
      <c r="B983" s="252"/>
      <c r="C983" s="243"/>
      <c r="D983" s="252"/>
      <c r="E983" s="243"/>
      <c r="F983" s="243"/>
      <c r="G983" s="243"/>
      <c r="H983" s="243"/>
      <c r="I983" s="243"/>
      <c r="J983" s="243"/>
      <c r="K983" s="243"/>
      <c r="L983" s="243"/>
      <c r="M983" s="243"/>
      <c r="N983" s="243"/>
      <c r="O983" s="243"/>
      <c r="P983" s="243"/>
      <c r="Q983" s="243"/>
      <c r="R983" s="243"/>
      <c r="S983" s="243"/>
      <c r="T983" s="243"/>
      <c r="U983" s="243"/>
      <c r="V983" s="243"/>
      <c r="W983" s="243"/>
      <c r="X983" s="243"/>
      <c r="Y983" s="243"/>
      <c r="Z983" s="243"/>
      <c r="AA983" s="243"/>
      <c r="AB983" s="243"/>
      <c r="AC983" s="243"/>
      <c r="AD983" s="243"/>
    </row>
    <row r="984" ht="33.75" customHeight="1">
      <c r="A984" s="252"/>
      <c r="B984" s="252"/>
      <c r="C984" s="243"/>
      <c r="D984" s="252"/>
      <c r="E984" s="243"/>
      <c r="F984" s="243"/>
      <c r="G984" s="243"/>
      <c r="H984" s="243"/>
      <c r="I984" s="243"/>
      <c r="J984" s="243"/>
      <c r="K984" s="243"/>
      <c r="L984" s="243"/>
      <c r="M984" s="243"/>
      <c r="N984" s="243"/>
      <c r="O984" s="243"/>
      <c r="P984" s="243"/>
      <c r="Q984" s="243"/>
      <c r="R984" s="243"/>
      <c r="S984" s="243"/>
      <c r="T984" s="243"/>
      <c r="U984" s="243"/>
      <c r="V984" s="243"/>
      <c r="W984" s="243"/>
      <c r="X984" s="243"/>
      <c r="Y984" s="243"/>
      <c r="Z984" s="243"/>
      <c r="AA984" s="243"/>
      <c r="AB984" s="243"/>
      <c r="AC984" s="243"/>
      <c r="AD984" s="243"/>
    </row>
    <row r="985" ht="33.75" customHeight="1">
      <c r="A985" s="252"/>
      <c r="B985" s="252"/>
      <c r="C985" s="243"/>
      <c r="D985" s="252"/>
      <c r="E985" s="243"/>
      <c r="F985" s="243"/>
      <c r="G985" s="243"/>
      <c r="H985" s="243"/>
      <c r="I985" s="243"/>
      <c r="J985" s="243"/>
      <c r="K985" s="243"/>
      <c r="L985" s="243"/>
      <c r="M985" s="243"/>
      <c r="N985" s="243"/>
      <c r="O985" s="243"/>
      <c r="P985" s="243"/>
      <c r="Q985" s="243"/>
      <c r="R985" s="243"/>
      <c r="S985" s="243"/>
      <c r="T985" s="243"/>
      <c r="U985" s="243"/>
      <c r="V985" s="243"/>
      <c r="W985" s="243"/>
      <c r="X985" s="243"/>
      <c r="Y985" s="243"/>
      <c r="Z985" s="243"/>
      <c r="AA985" s="243"/>
      <c r="AB985" s="243"/>
      <c r="AC985" s="243"/>
      <c r="AD985" s="243"/>
    </row>
    <row r="986" ht="33.75" customHeight="1">
      <c r="A986" s="252"/>
      <c r="B986" s="252"/>
      <c r="C986" s="243"/>
      <c r="D986" s="252"/>
      <c r="E986" s="243"/>
      <c r="F986" s="243"/>
      <c r="G986" s="243"/>
      <c r="H986" s="243"/>
      <c r="I986" s="243"/>
      <c r="J986" s="243"/>
      <c r="K986" s="243"/>
      <c r="L986" s="243"/>
      <c r="M986" s="243"/>
      <c r="N986" s="243"/>
      <c r="O986" s="243"/>
      <c r="P986" s="243"/>
      <c r="Q986" s="243"/>
      <c r="R986" s="243"/>
      <c r="S986" s="243"/>
      <c r="T986" s="243"/>
      <c r="U986" s="243"/>
      <c r="V986" s="243"/>
      <c r="W986" s="243"/>
      <c r="X986" s="243"/>
      <c r="Y986" s="243"/>
      <c r="Z986" s="243"/>
      <c r="AA986" s="243"/>
      <c r="AB986" s="243"/>
      <c r="AC986" s="243"/>
      <c r="AD986" s="243"/>
    </row>
    <row r="987" ht="33.75" customHeight="1">
      <c r="A987" s="252"/>
      <c r="B987" s="252"/>
      <c r="C987" s="243"/>
      <c r="D987" s="252"/>
      <c r="E987" s="243"/>
      <c r="F987" s="243"/>
      <c r="G987" s="243"/>
      <c r="H987" s="243"/>
      <c r="I987" s="243"/>
      <c r="J987" s="243"/>
      <c r="K987" s="243"/>
      <c r="L987" s="243"/>
      <c r="M987" s="243"/>
      <c r="N987" s="243"/>
      <c r="O987" s="243"/>
      <c r="P987" s="243"/>
      <c r="Q987" s="243"/>
      <c r="R987" s="243"/>
      <c r="S987" s="243"/>
      <c r="T987" s="243"/>
      <c r="U987" s="243"/>
      <c r="V987" s="243"/>
      <c r="W987" s="243"/>
      <c r="X987" s="243"/>
      <c r="Y987" s="243"/>
      <c r="Z987" s="243"/>
      <c r="AA987" s="243"/>
      <c r="AB987" s="243"/>
      <c r="AC987" s="243"/>
      <c r="AD987" s="243"/>
    </row>
    <row r="988" ht="33.75" customHeight="1">
      <c r="A988" s="252"/>
      <c r="B988" s="252"/>
      <c r="C988" s="243"/>
      <c r="D988" s="252"/>
      <c r="E988" s="243"/>
      <c r="F988" s="243"/>
      <c r="G988" s="243"/>
      <c r="H988" s="243"/>
      <c r="I988" s="243"/>
      <c r="J988" s="243"/>
      <c r="K988" s="243"/>
      <c r="L988" s="243"/>
      <c r="M988" s="243"/>
      <c r="N988" s="243"/>
      <c r="O988" s="243"/>
      <c r="P988" s="243"/>
      <c r="Q988" s="243"/>
      <c r="R988" s="243"/>
      <c r="S988" s="243"/>
      <c r="T988" s="243"/>
      <c r="U988" s="243"/>
      <c r="V988" s="243"/>
      <c r="W988" s="243"/>
      <c r="X988" s="243"/>
      <c r="Y988" s="243"/>
      <c r="Z988" s="243"/>
      <c r="AA988" s="243"/>
      <c r="AB988" s="243"/>
      <c r="AC988" s="243"/>
      <c r="AD988" s="243"/>
    </row>
    <row r="989" ht="33.75" customHeight="1">
      <c r="A989" s="252"/>
      <c r="B989" s="252"/>
      <c r="C989" s="243"/>
      <c r="D989" s="252"/>
      <c r="E989" s="243"/>
      <c r="F989" s="243"/>
      <c r="G989" s="243"/>
      <c r="H989" s="243"/>
      <c r="I989" s="243"/>
      <c r="J989" s="243"/>
      <c r="K989" s="243"/>
      <c r="L989" s="243"/>
      <c r="M989" s="243"/>
      <c r="N989" s="243"/>
      <c r="O989" s="243"/>
      <c r="P989" s="243"/>
      <c r="Q989" s="243"/>
      <c r="R989" s="243"/>
      <c r="S989" s="243"/>
      <c r="T989" s="243"/>
      <c r="U989" s="243"/>
      <c r="V989" s="243"/>
      <c r="W989" s="243"/>
      <c r="X989" s="243"/>
      <c r="Y989" s="243"/>
      <c r="Z989" s="243"/>
      <c r="AA989" s="243"/>
      <c r="AB989" s="243"/>
      <c r="AC989" s="243"/>
      <c r="AD989" s="243"/>
    </row>
    <row r="990" ht="33.75" customHeight="1">
      <c r="A990" s="252"/>
      <c r="B990" s="252"/>
      <c r="C990" s="243"/>
      <c r="D990" s="252"/>
      <c r="E990" s="243"/>
      <c r="F990" s="243"/>
      <c r="G990" s="243"/>
      <c r="H990" s="243"/>
      <c r="I990" s="243"/>
      <c r="J990" s="243"/>
      <c r="K990" s="243"/>
      <c r="L990" s="243"/>
      <c r="M990" s="243"/>
      <c r="N990" s="243"/>
      <c r="O990" s="243"/>
      <c r="P990" s="243"/>
      <c r="Q990" s="243"/>
      <c r="R990" s="243"/>
      <c r="S990" s="243"/>
      <c r="T990" s="243"/>
      <c r="U990" s="243"/>
      <c r="V990" s="243"/>
      <c r="W990" s="243"/>
      <c r="X990" s="243"/>
      <c r="Y990" s="243"/>
      <c r="Z990" s="243"/>
      <c r="AA990" s="243"/>
      <c r="AB990" s="243"/>
      <c r="AC990" s="243"/>
      <c r="AD990" s="243"/>
    </row>
    <row r="991" ht="33.75" customHeight="1">
      <c r="A991" s="252"/>
      <c r="B991" s="252"/>
      <c r="C991" s="243"/>
      <c r="D991" s="252"/>
      <c r="E991" s="243"/>
      <c r="F991" s="243"/>
      <c r="G991" s="243"/>
      <c r="H991" s="243"/>
      <c r="I991" s="243"/>
      <c r="J991" s="243"/>
      <c r="K991" s="243"/>
      <c r="L991" s="243"/>
      <c r="M991" s="243"/>
      <c r="N991" s="243"/>
      <c r="O991" s="243"/>
      <c r="P991" s="243"/>
      <c r="Q991" s="243"/>
      <c r="R991" s="243"/>
      <c r="S991" s="243"/>
      <c r="T991" s="243"/>
      <c r="U991" s="243"/>
      <c r="V991" s="243"/>
      <c r="W991" s="243"/>
      <c r="X991" s="243"/>
      <c r="Y991" s="243"/>
      <c r="Z991" s="243"/>
      <c r="AA991" s="243"/>
      <c r="AB991" s="243"/>
      <c r="AC991" s="243"/>
      <c r="AD991" s="243"/>
    </row>
    <row r="992" ht="33.75" customHeight="1">
      <c r="A992" s="252"/>
      <c r="B992" s="252"/>
      <c r="C992" s="243"/>
      <c r="D992" s="252"/>
      <c r="E992" s="243"/>
      <c r="F992" s="243"/>
      <c r="G992" s="243"/>
      <c r="H992" s="243"/>
      <c r="I992" s="243"/>
      <c r="J992" s="243"/>
      <c r="K992" s="243"/>
      <c r="L992" s="243"/>
      <c r="M992" s="243"/>
      <c r="N992" s="243"/>
      <c r="O992" s="243"/>
      <c r="P992" s="243"/>
      <c r="Q992" s="243"/>
      <c r="R992" s="243"/>
      <c r="S992" s="243"/>
      <c r="T992" s="243"/>
      <c r="U992" s="243"/>
      <c r="V992" s="243"/>
      <c r="W992" s="243"/>
      <c r="X992" s="243"/>
      <c r="Y992" s="243"/>
      <c r="Z992" s="243"/>
      <c r="AA992" s="243"/>
      <c r="AB992" s="243"/>
      <c r="AC992" s="243"/>
      <c r="AD992" s="243"/>
    </row>
    <row r="993" ht="33.75" customHeight="1">
      <c r="A993" s="252"/>
      <c r="B993" s="252"/>
      <c r="C993" s="243"/>
      <c r="D993" s="252"/>
      <c r="E993" s="243"/>
      <c r="F993" s="243"/>
      <c r="G993" s="243"/>
      <c r="H993" s="243"/>
      <c r="I993" s="243"/>
      <c r="J993" s="243"/>
      <c r="K993" s="243"/>
      <c r="L993" s="243"/>
      <c r="M993" s="243"/>
      <c r="N993" s="243"/>
      <c r="O993" s="243"/>
      <c r="P993" s="243"/>
      <c r="Q993" s="243"/>
      <c r="R993" s="243"/>
      <c r="S993" s="243"/>
      <c r="T993" s="243"/>
      <c r="U993" s="243"/>
      <c r="V993" s="243"/>
      <c r="W993" s="243"/>
      <c r="X993" s="243"/>
      <c r="Y993" s="243"/>
      <c r="Z993" s="243"/>
      <c r="AA993" s="243"/>
      <c r="AB993" s="243"/>
      <c r="AC993" s="243"/>
      <c r="AD993" s="243"/>
    </row>
    <row r="994" ht="33.75" customHeight="1">
      <c r="A994" s="252"/>
      <c r="B994" s="252"/>
      <c r="C994" s="243"/>
      <c r="D994" s="252"/>
      <c r="E994" s="243"/>
      <c r="F994" s="243"/>
      <c r="G994" s="243"/>
      <c r="H994" s="243"/>
      <c r="I994" s="243"/>
      <c r="J994" s="243"/>
      <c r="K994" s="243"/>
      <c r="L994" s="243"/>
      <c r="M994" s="243"/>
      <c r="N994" s="243"/>
      <c r="O994" s="243"/>
      <c r="P994" s="243"/>
      <c r="Q994" s="243"/>
      <c r="R994" s="243"/>
      <c r="S994" s="243"/>
      <c r="T994" s="243"/>
      <c r="U994" s="243"/>
      <c r="V994" s="243"/>
      <c r="W994" s="243"/>
      <c r="X994" s="243"/>
      <c r="Y994" s="243"/>
      <c r="Z994" s="243"/>
      <c r="AA994" s="243"/>
      <c r="AB994" s="243"/>
      <c r="AC994" s="243"/>
      <c r="AD994" s="243"/>
    </row>
    <row r="995" ht="33.75" customHeight="1">
      <c r="A995" s="252"/>
      <c r="B995" s="252"/>
      <c r="C995" s="243"/>
      <c r="D995" s="252"/>
      <c r="E995" s="243"/>
      <c r="F995" s="243"/>
      <c r="G995" s="243"/>
      <c r="H995" s="243"/>
      <c r="I995" s="243"/>
      <c r="J995" s="243"/>
      <c r="K995" s="243"/>
      <c r="L995" s="243"/>
      <c r="M995" s="243"/>
      <c r="N995" s="243"/>
      <c r="O995" s="243"/>
      <c r="P995" s="243"/>
      <c r="Q995" s="243"/>
      <c r="R995" s="243"/>
      <c r="S995" s="243"/>
      <c r="T995" s="243"/>
      <c r="U995" s="243"/>
      <c r="V995" s="243"/>
      <c r="W995" s="243"/>
      <c r="X995" s="243"/>
      <c r="Y995" s="243"/>
      <c r="Z995" s="243"/>
      <c r="AA995" s="243"/>
      <c r="AB995" s="243"/>
      <c r="AC995" s="243"/>
      <c r="AD995" s="243"/>
    </row>
    <row r="996" ht="33.75" customHeight="1">
      <c r="A996" s="252"/>
      <c r="B996" s="252"/>
      <c r="C996" s="243"/>
      <c r="D996" s="252"/>
      <c r="E996" s="243"/>
      <c r="F996" s="243"/>
      <c r="G996" s="243"/>
      <c r="H996" s="243"/>
      <c r="I996" s="243"/>
      <c r="J996" s="243"/>
      <c r="K996" s="243"/>
      <c r="L996" s="243"/>
      <c r="M996" s="243"/>
      <c r="N996" s="243"/>
      <c r="O996" s="243"/>
      <c r="P996" s="243"/>
      <c r="Q996" s="243"/>
      <c r="R996" s="243"/>
      <c r="S996" s="243"/>
      <c r="T996" s="243"/>
      <c r="U996" s="243"/>
      <c r="V996" s="243"/>
      <c r="W996" s="243"/>
      <c r="X996" s="243"/>
      <c r="Y996" s="243"/>
      <c r="Z996" s="243"/>
      <c r="AA996" s="243"/>
      <c r="AB996" s="243"/>
      <c r="AC996" s="243"/>
      <c r="AD996" s="243"/>
    </row>
    <row r="997" ht="33.75" customHeight="1">
      <c r="A997" s="252"/>
      <c r="B997" s="252"/>
      <c r="C997" s="243"/>
      <c r="D997" s="252"/>
      <c r="E997" s="243"/>
      <c r="F997" s="243"/>
      <c r="G997" s="243"/>
      <c r="H997" s="243"/>
      <c r="I997" s="243"/>
      <c r="J997" s="243"/>
      <c r="K997" s="243"/>
      <c r="L997" s="243"/>
      <c r="M997" s="243"/>
      <c r="N997" s="243"/>
      <c r="O997" s="243"/>
      <c r="P997" s="243"/>
      <c r="Q997" s="243"/>
      <c r="R997" s="243"/>
      <c r="S997" s="243"/>
      <c r="T997" s="243"/>
      <c r="U997" s="243"/>
      <c r="V997" s="243"/>
      <c r="W997" s="243"/>
      <c r="X997" s="243"/>
      <c r="Y997" s="243"/>
      <c r="Z997" s="243"/>
      <c r="AA997" s="243"/>
      <c r="AB997" s="243"/>
      <c r="AC997" s="243"/>
      <c r="AD997" s="243"/>
    </row>
    <row r="998" ht="33.75" customHeight="1">
      <c r="A998" s="252"/>
      <c r="B998" s="252"/>
      <c r="C998" s="243"/>
      <c r="D998" s="252"/>
      <c r="E998" s="243"/>
      <c r="F998" s="243"/>
      <c r="G998" s="243"/>
      <c r="H998" s="243"/>
      <c r="I998" s="243"/>
      <c r="J998" s="243"/>
      <c r="K998" s="243"/>
      <c r="L998" s="243"/>
      <c r="M998" s="243"/>
      <c r="N998" s="243"/>
      <c r="O998" s="243"/>
      <c r="P998" s="243"/>
      <c r="Q998" s="243"/>
      <c r="R998" s="243"/>
      <c r="S998" s="243"/>
      <c r="T998" s="243"/>
      <c r="U998" s="243"/>
      <c r="V998" s="243"/>
      <c r="W998" s="243"/>
      <c r="X998" s="243"/>
      <c r="Y998" s="243"/>
      <c r="Z998" s="243"/>
      <c r="AA998" s="243"/>
      <c r="AB998" s="243"/>
      <c r="AC998" s="243"/>
      <c r="AD998" s="243"/>
    </row>
    <row r="999" ht="33.75" customHeight="1">
      <c r="A999" s="252"/>
      <c r="B999" s="252"/>
      <c r="C999" s="243"/>
      <c r="D999" s="252"/>
      <c r="E999" s="243"/>
      <c r="F999" s="243"/>
      <c r="G999" s="243"/>
      <c r="H999" s="243"/>
      <c r="I999" s="243"/>
      <c r="J999" s="243"/>
      <c r="K999" s="243"/>
      <c r="L999" s="243"/>
      <c r="M999" s="243"/>
      <c r="N999" s="243"/>
      <c r="O999" s="243"/>
      <c r="P999" s="243"/>
      <c r="Q999" s="243"/>
      <c r="R999" s="243"/>
      <c r="S999" s="243"/>
      <c r="T999" s="243"/>
      <c r="U999" s="243"/>
      <c r="V999" s="243"/>
      <c r="W999" s="243"/>
      <c r="X999" s="243"/>
      <c r="Y999" s="243"/>
      <c r="Z999" s="243"/>
      <c r="AA999" s="243"/>
      <c r="AB999" s="243"/>
      <c r="AC999" s="243"/>
      <c r="AD999" s="243"/>
    </row>
    <row r="1000" ht="33.75" customHeight="1">
      <c r="A1000" s="252"/>
      <c r="B1000" s="252"/>
      <c r="C1000" s="243"/>
      <c r="D1000" s="252"/>
      <c r="E1000" s="243"/>
      <c r="F1000" s="243"/>
      <c r="G1000" s="243"/>
      <c r="H1000" s="243"/>
      <c r="I1000" s="243"/>
      <c r="J1000" s="243"/>
      <c r="K1000" s="243"/>
      <c r="L1000" s="243"/>
      <c r="M1000" s="243"/>
      <c r="N1000" s="243"/>
      <c r="O1000" s="243"/>
      <c r="P1000" s="243"/>
      <c r="Q1000" s="243"/>
      <c r="R1000" s="243"/>
      <c r="S1000" s="243"/>
      <c r="T1000" s="243"/>
      <c r="U1000" s="243"/>
      <c r="V1000" s="243"/>
      <c r="W1000" s="243"/>
      <c r="X1000" s="243"/>
      <c r="Y1000" s="243"/>
      <c r="Z1000" s="243"/>
      <c r="AA1000" s="243"/>
      <c r="AB1000" s="243"/>
      <c r="AC1000" s="243"/>
      <c r="AD1000" s="243"/>
    </row>
    <row r="1001" ht="33.75" customHeight="1">
      <c r="A1001" s="252"/>
      <c r="B1001" s="252"/>
      <c r="C1001" s="243"/>
      <c r="D1001" s="252"/>
      <c r="E1001" s="243"/>
      <c r="F1001" s="243"/>
      <c r="G1001" s="243"/>
      <c r="H1001" s="243"/>
      <c r="I1001" s="243"/>
      <c r="J1001" s="243"/>
      <c r="K1001" s="243"/>
      <c r="L1001" s="243"/>
      <c r="M1001" s="243"/>
      <c r="N1001" s="243"/>
      <c r="O1001" s="243"/>
      <c r="P1001" s="243"/>
      <c r="Q1001" s="243"/>
      <c r="R1001" s="243"/>
      <c r="S1001" s="243"/>
      <c r="T1001" s="243"/>
      <c r="U1001" s="243"/>
      <c r="V1001" s="243"/>
      <c r="W1001" s="243"/>
      <c r="X1001" s="243"/>
      <c r="Y1001" s="243"/>
      <c r="Z1001" s="243"/>
      <c r="AA1001" s="243"/>
      <c r="AB1001" s="243"/>
      <c r="AC1001" s="243"/>
      <c r="AD1001" s="243"/>
    </row>
    <row r="1002" ht="33.75" customHeight="1">
      <c r="A1002" s="252"/>
      <c r="B1002" s="252"/>
      <c r="C1002" s="243"/>
      <c r="D1002" s="252"/>
      <c r="E1002" s="243"/>
      <c r="F1002" s="243"/>
      <c r="G1002" s="243"/>
      <c r="H1002" s="243"/>
      <c r="I1002" s="243"/>
      <c r="J1002" s="243"/>
      <c r="K1002" s="243"/>
      <c r="L1002" s="243"/>
      <c r="M1002" s="243"/>
      <c r="N1002" s="243"/>
      <c r="O1002" s="243"/>
      <c r="P1002" s="243"/>
      <c r="Q1002" s="243"/>
      <c r="R1002" s="243"/>
      <c r="S1002" s="243"/>
      <c r="T1002" s="243"/>
      <c r="U1002" s="243"/>
      <c r="V1002" s="243"/>
      <c r="W1002" s="243"/>
      <c r="X1002" s="243"/>
      <c r="Y1002" s="243"/>
      <c r="Z1002" s="243"/>
      <c r="AA1002" s="243"/>
      <c r="AB1002" s="243"/>
      <c r="AC1002" s="243"/>
      <c r="AD1002" s="243"/>
    </row>
    <row r="1003" ht="33.75" customHeight="1">
      <c r="A1003" s="252"/>
      <c r="B1003" s="252"/>
      <c r="C1003" s="243"/>
      <c r="D1003" s="252"/>
      <c r="E1003" s="243"/>
      <c r="F1003" s="243"/>
      <c r="G1003" s="243"/>
      <c r="H1003" s="243"/>
      <c r="I1003" s="243"/>
      <c r="J1003" s="243"/>
      <c r="K1003" s="243"/>
      <c r="L1003" s="243"/>
      <c r="M1003" s="243"/>
      <c r="N1003" s="243"/>
      <c r="O1003" s="243"/>
      <c r="P1003" s="243"/>
      <c r="Q1003" s="243"/>
      <c r="R1003" s="243"/>
      <c r="S1003" s="243"/>
      <c r="T1003" s="243"/>
      <c r="U1003" s="243"/>
      <c r="V1003" s="243"/>
      <c r="W1003" s="243"/>
      <c r="X1003" s="243"/>
      <c r="Y1003" s="243"/>
      <c r="Z1003" s="243"/>
      <c r="AA1003" s="243"/>
      <c r="AB1003" s="243"/>
      <c r="AC1003" s="243"/>
      <c r="AD1003" s="243"/>
    </row>
    <row r="1004" ht="33.75" customHeight="1">
      <c r="A1004" s="252"/>
      <c r="B1004" s="252"/>
      <c r="C1004" s="243"/>
      <c r="D1004" s="252"/>
      <c r="E1004" s="243"/>
      <c r="F1004" s="243"/>
      <c r="G1004" s="243"/>
      <c r="H1004" s="243"/>
      <c r="I1004" s="243"/>
      <c r="J1004" s="243"/>
      <c r="K1004" s="243"/>
      <c r="L1004" s="243"/>
      <c r="M1004" s="243"/>
      <c r="N1004" s="243"/>
      <c r="O1004" s="243"/>
      <c r="P1004" s="243"/>
      <c r="Q1004" s="243"/>
      <c r="R1004" s="243"/>
      <c r="S1004" s="243"/>
      <c r="T1004" s="243"/>
      <c r="U1004" s="243"/>
      <c r="V1004" s="243"/>
      <c r="W1004" s="243"/>
      <c r="X1004" s="243"/>
      <c r="Y1004" s="243"/>
      <c r="Z1004" s="243"/>
      <c r="AA1004" s="243"/>
      <c r="AB1004" s="243"/>
      <c r="AC1004" s="243"/>
      <c r="AD1004" s="243"/>
    </row>
    <row r="1005" ht="33.75" customHeight="1">
      <c r="A1005" s="252"/>
      <c r="B1005" s="252"/>
      <c r="C1005" s="243"/>
      <c r="D1005" s="252"/>
      <c r="E1005" s="243"/>
      <c r="F1005" s="243"/>
      <c r="G1005" s="243"/>
      <c r="H1005" s="243"/>
      <c r="I1005" s="243"/>
      <c r="J1005" s="243"/>
      <c r="K1005" s="243"/>
      <c r="L1005" s="243"/>
      <c r="M1005" s="243"/>
      <c r="N1005" s="243"/>
      <c r="O1005" s="243"/>
      <c r="P1005" s="243"/>
      <c r="Q1005" s="243"/>
      <c r="R1005" s="243"/>
      <c r="S1005" s="243"/>
      <c r="T1005" s="243"/>
      <c r="U1005" s="243"/>
      <c r="V1005" s="243"/>
      <c r="W1005" s="243"/>
      <c r="X1005" s="243"/>
      <c r="Y1005" s="243"/>
      <c r="Z1005" s="243"/>
      <c r="AA1005" s="243"/>
      <c r="AB1005" s="243"/>
      <c r="AC1005" s="243"/>
      <c r="AD1005" s="243"/>
    </row>
    <row r="1006" ht="33.75" customHeight="1">
      <c r="A1006" s="252"/>
      <c r="B1006" s="252"/>
      <c r="C1006" s="243"/>
      <c r="D1006" s="252"/>
      <c r="E1006" s="243"/>
      <c r="F1006" s="243"/>
      <c r="G1006" s="243"/>
      <c r="H1006" s="243"/>
      <c r="I1006" s="243"/>
      <c r="J1006" s="243"/>
      <c r="K1006" s="243"/>
      <c r="L1006" s="243"/>
      <c r="M1006" s="243"/>
      <c r="N1006" s="243"/>
      <c r="O1006" s="243"/>
      <c r="P1006" s="243"/>
      <c r="Q1006" s="243"/>
      <c r="R1006" s="243"/>
      <c r="S1006" s="243"/>
      <c r="T1006" s="243"/>
      <c r="U1006" s="243"/>
      <c r="V1006" s="243"/>
      <c r="W1006" s="243"/>
      <c r="X1006" s="243"/>
      <c r="Y1006" s="243"/>
      <c r="Z1006" s="243"/>
      <c r="AA1006" s="243"/>
      <c r="AB1006" s="243"/>
      <c r="AC1006" s="243"/>
      <c r="AD1006" s="243"/>
    </row>
    <row r="1007" ht="33.75" customHeight="1">
      <c r="A1007" s="252"/>
      <c r="B1007" s="252"/>
      <c r="C1007" s="243"/>
      <c r="D1007" s="252"/>
      <c r="E1007" s="243"/>
      <c r="F1007" s="243"/>
      <c r="G1007" s="243"/>
      <c r="H1007" s="243"/>
      <c r="I1007" s="243"/>
      <c r="J1007" s="243"/>
      <c r="K1007" s="243"/>
      <c r="L1007" s="243"/>
      <c r="M1007" s="243"/>
      <c r="N1007" s="243"/>
      <c r="O1007" s="243"/>
      <c r="P1007" s="243"/>
      <c r="Q1007" s="243"/>
      <c r="R1007" s="243"/>
      <c r="S1007" s="243"/>
      <c r="T1007" s="243"/>
      <c r="U1007" s="243"/>
      <c r="V1007" s="243"/>
      <c r="W1007" s="243"/>
      <c r="X1007" s="243"/>
      <c r="Y1007" s="243"/>
      <c r="Z1007" s="243"/>
      <c r="AA1007" s="243"/>
      <c r="AB1007" s="243"/>
      <c r="AC1007" s="243"/>
      <c r="AD1007" s="243"/>
    </row>
    <row r="1008" ht="33.75" customHeight="1">
      <c r="A1008" s="252"/>
      <c r="B1008" s="252"/>
      <c r="C1008" s="243"/>
      <c r="D1008" s="252"/>
      <c r="E1008" s="243"/>
      <c r="F1008" s="243"/>
      <c r="G1008" s="243"/>
      <c r="H1008" s="243"/>
      <c r="I1008" s="243"/>
      <c r="J1008" s="243"/>
      <c r="K1008" s="243"/>
      <c r="L1008" s="243"/>
      <c r="M1008" s="243"/>
      <c r="N1008" s="243"/>
      <c r="O1008" s="243"/>
      <c r="P1008" s="243"/>
      <c r="Q1008" s="243"/>
      <c r="R1008" s="243"/>
      <c r="S1008" s="243"/>
      <c r="T1008" s="243"/>
      <c r="U1008" s="243"/>
      <c r="V1008" s="243"/>
      <c r="W1008" s="243"/>
      <c r="X1008" s="243"/>
      <c r="Y1008" s="243"/>
      <c r="Z1008" s="243"/>
      <c r="AA1008" s="243"/>
      <c r="AB1008" s="243"/>
      <c r="AC1008" s="243"/>
      <c r="AD1008" s="243"/>
    </row>
    <row r="1009" ht="33.75" customHeight="1">
      <c r="A1009" s="252"/>
      <c r="B1009" s="252"/>
      <c r="C1009" s="243"/>
      <c r="D1009" s="252"/>
      <c r="E1009" s="243"/>
      <c r="F1009" s="243"/>
      <c r="G1009" s="243"/>
      <c r="H1009" s="243"/>
      <c r="I1009" s="243"/>
      <c r="J1009" s="243"/>
      <c r="K1009" s="243"/>
      <c r="L1009" s="243"/>
      <c r="M1009" s="243"/>
      <c r="N1009" s="243"/>
      <c r="O1009" s="243"/>
      <c r="P1009" s="243"/>
      <c r="Q1009" s="243"/>
      <c r="R1009" s="243"/>
      <c r="S1009" s="243"/>
      <c r="T1009" s="243"/>
      <c r="U1009" s="243"/>
      <c r="V1009" s="243"/>
      <c r="W1009" s="243"/>
      <c r="X1009" s="243"/>
      <c r="Y1009" s="243"/>
      <c r="Z1009" s="243"/>
      <c r="AA1009" s="243"/>
      <c r="AB1009" s="243"/>
      <c r="AC1009" s="243"/>
      <c r="AD1009" s="243"/>
    </row>
    <row r="1010" ht="33.75" customHeight="1">
      <c r="A1010" s="252"/>
      <c r="B1010" s="252"/>
      <c r="C1010" s="243"/>
      <c r="D1010" s="252"/>
      <c r="E1010" s="243"/>
      <c r="F1010" s="243"/>
      <c r="G1010" s="243"/>
      <c r="H1010" s="243"/>
      <c r="I1010" s="243"/>
      <c r="J1010" s="243"/>
      <c r="K1010" s="243"/>
      <c r="L1010" s="243"/>
      <c r="M1010" s="243"/>
      <c r="N1010" s="243"/>
      <c r="O1010" s="243"/>
      <c r="P1010" s="243"/>
      <c r="Q1010" s="243"/>
      <c r="R1010" s="243"/>
      <c r="S1010" s="243"/>
      <c r="T1010" s="243"/>
      <c r="U1010" s="243"/>
      <c r="V1010" s="243"/>
      <c r="W1010" s="243"/>
      <c r="X1010" s="243"/>
      <c r="Y1010" s="243"/>
      <c r="Z1010" s="243"/>
      <c r="AA1010" s="243"/>
      <c r="AB1010" s="243"/>
      <c r="AC1010" s="243"/>
      <c r="AD1010" s="243"/>
    </row>
    <row r="1011" ht="33.75" customHeight="1">
      <c r="A1011" s="252"/>
      <c r="B1011" s="252"/>
      <c r="C1011" s="243"/>
      <c r="D1011" s="252"/>
      <c r="E1011" s="243"/>
      <c r="F1011" s="243"/>
      <c r="G1011" s="243"/>
      <c r="H1011" s="243"/>
      <c r="I1011" s="243"/>
      <c r="J1011" s="243"/>
      <c r="K1011" s="243"/>
      <c r="L1011" s="243"/>
      <c r="M1011" s="243"/>
      <c r="N1011" s="243"/>
      <c r="O1011" s="243"/>
      <c r="P1011" s="243"/>
      <c r="Q1011" s="243"/>
      <c r="R1011" s="243"/>
      <c r="S1011" s="243"/>
      <c r="T1011" s="243"/>
      <c r="U1011" s="243"/>
      <c r="V1011" s="243"/>
      <c r="W1011" s="243"/>
      <c r="X1011" s="243"/>
      <c r="Y1011" s="243"/>
      <c r="Z1011" s="243"/>
      <c r="AA1011" s="243"/>
      <c r="AB1011" s="243"/>
      <c r="AC1011" s="243"/>
      <c r="AD1011" s="243"/>
    </row>
    <row r="1012" ht="33.75" customHeight="1">
      <c r="A1012" s="252"/>
      <c r="B1012" s="252"/>
      <c r="C1012" s="243"/>
      <c r="D1012" s="252"/>
      <c r="E1012" s="243"/>
      <c r="F1012" s="243"/>
      <c r="G1012" s="243"/>
      <c r="H1012" s="243"/>
      <c r="I1012" s="243"/>
      <c r="J1012" s="243"/>
      <c r="K1012" s="243"/>
      <c r="L1012" s="243"/>
      <c r="M1012" s="243"/>
      <c r="N1012" s="243"/>
      <c r="O1012" s="243"/>
      <c r="P1012" s="243"/>
      <c r="Q1012" s="243"/>
      <c r="R1012" s="243"/>
      <c r="S1012" s="243"/>
      <c r="T1012" s="243"/>
      <c r="U1012" s="243"/>
      <c r="V1012" s="243"/>
      <c r="W1012" s="243"/>
      <c r="X1012" s="243"/>
      <c r="Y1012" s="243"/>
      <c r="Z1012" s="243"/>
      <c r="AA1012" s="243"/>
      <c r="AB1012" s="243"/>
      <c r="AC1012" s="243"/>
      <c r="AD1012" s="243"/>
    </row>
    <row r="1013" ht="33.75" customHeight="1">
      <c r="A1013" s="252"/>
      <c r="B1013" s="252"/>
      <c r="C1013" s="243"/>
      <c r="D1013" s="252"/>
      <c r="E1013" s="243"/>
      <c r="F1013" s="243"/>
      <c r="G1013" s="243"/>
      <c r="H1013" s="243"/>
      <c r="I1013" s="243"/>
      <c r="J1013" s="243"/>
      <c r="K1013" s="243"/>
      <c r="L1013" s="243"/>
      <c r="M1013" s="243"/>
      <c r="N1013" s="243"/>
      <c r="O1013" s="243"/>
      <c r="P1013" s="243"/>
      <c r="Q1013" s="243"/>
      <c r="R1013" s="243"/>
      <c r="S1013" s="243"/>
      <c r="T1013" s="243"/>
      <c r="U1013" s="243"/>
      <c r="V1013" s="243"/>
      <c r="W1013" s="243"/>
      <c r="X1013" s="243"/>
      <c r="Y1013" s="243"/>
      <c r="Z1013" s="243"/>
      <c r="AA1013" s="243"/>
      <c r="AB1013" s="243"/>
      <c r="AC1013" s="243"/>
      <c r="AD1013" s="243"/>
    </row>
    <row r="1014" ht="33.75" customHeight="1">
      <c r="A1014" s="252"/>
      <c r="B1014" s="252"/>
      <c r="C1014" s="243"/>
      <c r="D1014" s="252"/>
      <c r="E1014" s="243"/>
      <c r="F1014" s="243"/>
      <c r="G1014" s="243"/>
      <c r="H1014" s="243"/>
      <c r="I1014" s="243"/>
      <c r="J1014" s="243"/>
      <c r="K1014" s="243"/>
      <c r="L1014" s="243"/>
      <c r="M1014" s="243"/>
      <c r="N1014" s="243"/>
      <c r="O1014" s="243"/>
      <c r="P1014" s="243"/>
      <c r="Q1014" s="243"/>
      <c r="R1014" s="243"/>
      <c r="S1014" s="243"/>
      <c r="T1014" s="243"/>
      <c r="U1014" s="243"/>
      <c r="V1014" s="243"/>
      <c r="W1014" s="243"/>
      <c r="X1014" s="243"/>
      <c r="Y1014" s="243"/>
      <c r="Z1014" s="243"/>
      <c r="AA1014" s="243"/>
      <c r="AB1014" s="243"/>
      <c r="AC1014" s="243"/>
      <c r="AD1014" s="243"/>
    </row>
    <row r="1015" ht="33.75" customHeight="1">
      <c r="A1015" s="252"/>
      <c r="B1015" s="252"/>
      <c r="C1015" s="243"/>
      <c r="D1015" s="252"/>
      <c r="E1015" s="243"/>
      <c r="F1015" s="243"/>
      <c r="G1015" s="243"/>
      <c r="H1015" s="243"/>
      <c r="I1015" s="243"/>
      <c r="J1015" s="243"/>
      <c r="K1015" s="243"/>
      <c r="L1015" s="243"/>
      <c r="M1015" s="243"/>
      <c r="N1015" s="243"/>
      <c r="O1015" s="243"/>
      <c r="P1015" s="243"/>
      <c r="Q1015" s="243"/>
      <c r="R1015" s="243"/>
      <c r="S1015" s="243"/>
      <c r="T1015" s="243"/>
      <c r="U1015" s="243"/>
      <c r="V1015" s="243"/>
      <c r="W1015" s="243"/>
      <c r="X1015" s="243"/>
      <c r="Y1015" s="243"/>
      <c r="Z1015" s="243"/>
      <c r="AA1015" s="243"/>
      <c r="AB1015" s="243"/>
      <c r="AC1015" s="243"/>
      <c r="AD1015" s="243"/>
    </row>
    <row r="1016" ht="33.75" customHeight="1">
      <c r="A1016" s="252"/>
      <c r="B1016" s="252"/>
      <c r="C1016" s="243"/>
      <c r="D1016" s="252"/>
      <c r="E1016" s="243"/>
      <c r="F1016" s="243"/>
      <c r="G1016" s="243"/>
      <c r="H1016" s="243"/>
      <c r="I1016" s="243"/>
      <c r="J1016" s="243"/>
      <c r="K1016" s="243"/>
      <c r="L1016" s="243"/>
      <c r="M1016" s="243"/>
      <c r="N1016" s="243"/>
      <c r="O1016" s="243"/>
      <c r="P1016" s="243"/>
      <c r="Q1016" s="243"/>
      <c r="R1016" s="243"/>
      <c r="S1016" s="243"/>
      <c r="T1016" s="243"/>
      <c r="U1016" s="243"/>
      <c r="V1016" s="243"/>
      <c r="W1016" s="243"/>
      <c r="X1016" s="243"/>
      <c r="Y1016" s="243"/>
      <c r="Z1016" s="243"/>
      <c r="AA1016" s="243"/>
      <c r="AB1016" s="243"/>
      <c r="AC1016" s="243"/>
      <c r="AD1016" s="243"/>
    </row>
    <row r="1017" ht="33.75" customHeight="1">
      <c r="A1017" s="252"/>
      <c r="B1017" s="252"/>
      <c r="C1017" s="243"/>
      <c r="D1017" s="252"/>
      <c r="E1017" s="243"/>
      <c r="F1017" s="243"/>
      <c r="G1017" s="243"/>
      <c r="H1017" s="243"/>
      <c r="I1017" s="243"/>
      <c r="J1017" s="243"/>
      <c r="K1017" s="243"/>
      <c r="L1017" s="243"/>
      <c r="M1017" s="243"/>
      <c r="N1017" s="243"/>
      <c r="O1017" s="243"/>
      <c r="P1017" s="243"/>
      <c r="Q1017" s="243"/>
      <c r="R1017" s="243"/>
      <c r="S1017" s="243"/>
      <c r="T1017" s="243"/>
      <c r="U1017" s="243"/>
      <c r="V1017" s="243"/>
      <c r="W1017" s="243"/>
      <c r="X1017" s="243"/>
      <c r="Y1017" s="243"/>
      <c r="Z1017" s="243"/>
      <c r="AA1017" s="243"/>
      <c r="AB1017" s="243"/>
      <c r="AC1017" s="243"/>
      <c r="AD1017" s="243"/>
    </row>
    <row r="1018" ht="33.75" customHeight="1">
      <c r="A1018" s="252"/>
      <c r="B1018" s="252"/>
      <c r="C1018" s="243"/>
      <c r="D1018" s="252"/>
      <c r="E1018" s="243"/>
      <c r="F1018" s="243"/>
      <c r="G1018" s="243"/>
      <c r="H1018" s="243"/>
      <c r="I1018" s="243"/>
      <c r="J1018" s="243"/>
      <c r="K1018" s="243"/>
      <c r="L1018" s="243"/>
      <c r="M1018" s="243"/>
      <c r="N1018" s="243"/>
      <c r="O1018" s="243"/>
      <c r="P1018" s="243"/>
      <c r="Q1018" s="243"/>
      <c r="R1018" s="243"/>
      <c r="S1018" s="243"/>
      <c r="T1018" s="243"/>
      <c r="U1018" s="243"/>
      <c r="V1018" s="243"/>
      <c r="W1018" s="243"/>
      <c r="X1018" s="243"/>
      <c r="Y1018" s="243"/>
      <c r="Z1018" s="243"/>
      <c r="AA1018" s="243"/>
      <c r="AB1018" s="243"/>
      <c r="AC1018" s="243"/>
      <c r="AD1018" s="243"/>
    </row>
    <row r="1019" ht="33.75" customHeight="1">
      <c r="A1019" s="252"/>
      <c r="B1019" s="252"/>
      <c r="C1019" s="243"/>
      <c r="D1019" s="252"/>
      <c r="E1019" s="243"/>
      <c r="F1019" s="243"/>
      <c r="G1019" s="243"/>
      <c r="H1019" s="243"/>
      <c r="I1019" s="243"/>
      <c r="J1019" s="243"/>
      <c r="K1019" s="243"/>
      <c r="L1019" s="243"/>
      <c r="M1019" s="243"/>
      <c r="N1019" s="243"/>
      <c r="O1019" s="243"/>
      <c r="P1019" s="243"/>
      <c r="Q1019" s="243"/>
      <c r="R1019" s="243"/>
      <c r="S1019" s="243"/>
      <c r="T1019" s="243"/>
      <c r="U1019" s="243"/>
      <c r="V1019" s="243"/>
      <c r="W1019" s="243"/>
      <c r="X1019" s="243"/>
      <c r="Y1019" s="243"/>
      <c r="Z1019" s="243"/>
      <c r="AA1019" s="243"/>
      <c r="AB1019" s="243"/>
      <c r="AC1019" s="243"/>
      <c r="AD1019" s="243"/>
    </row>
    <row r="1020" ht="33.75" customHeight="1">
      <c r="A1020" s="252"/>
      <c r="B1020" s="252"/>
      <c r="C1020" s="243"/>
      <c r="D1020" s="252"/>
      <c r="E1020" s="243"/>
      <c r="F1020" s="243"/>
      <c r="G1020" s="243"/>
      <c r="H1020" s="243"/>
      <c r="I1020" s="243"/>
      <c r="J1020" s="243"/>
      <c r="K1020" s="243"/>
      <c r="L1020" s="243"/>
      <c r="M1020" s="243"/>
      <c r="N1020" s="243"/>
      <c r="O1020" s="243"/>
      <c r="P1020" s="243"/>
      <c r="Q1020" s="243"/>
      <c r="R1020" s="243"/>
      <c r="S1020" s="243"/>
      <c r="T1020" s="243"/>
      <c r="U1020" s="243"/>
      <c r="V1020" s="243"/>
      <c r="W1020" s="243"/>
      <c r="X1020" s="243"/>
      <c r="Y1020" s="243"/>
      <c r="Z1020" s="243"/>
      <c r="AA1020" s="243"/>
      <c r="AB1020" s="243"/>
      <c r="AC1020" s="243"/>
      <c r="AD1020" s="243"/>
    </row>
    <row r="1021" ht="33.75" customHeight="1">
      <c r="A1021" s="252"/>
      <c r="B1021" s="252"/>
      <c r="C1021" s="243"/>
      <c r="D1021" s="252"/>
      <c r="E1021" s="243"/>
      <c r="F1021" s="243"/>
      <c r="G1021" s="243"/>
      <c r="H1021" s="243"/>
      <c r="I1021" s="243"/>
      <c r="J1021" s="243"/>
      <c r="K1021" s="243"/>
      <c r="L1021" s="243"/>
      <c r="M1021" s="243"/>
      <c r="N1021" s="243"/>
      <c r="O1021" s="243"/>
      <c r="P1021" s="243"/>
      <c r="Q1021" s="243"/>
      <c r="R1021" s="243"/>
      <c r="S1021" s="243"/>
      <c r="T1021" s="243"/>
      <c r="U1021" s="243"/>
      <c r="V1021" s="243"/>
      <c r="W1021" s="243"/>
      <c r="X1021" s="243"/>
      <c r="Y1021" s="243"/>
      <c r="Z1021" s="243"/>
      <c r="AA1021" s="243"/>
      <c r="AB1021" s="243"/>
      <c r="AC1021" s="243"/>
      <c r="AD1021" s="243"/>
    </row>
    <row r="1022" ht="33.75" customHeight="1">
      <c r="A1022" s="252"/>
      <c r="B1022" s="252"/>
      <c r="C1022" s="243"/>
      <c r="D1022" s="252"/>
      <c r="E1022" s="243"/>
      <c r="F1022" s="243"/>
      <c r="G1022" s="243"/>
      <c r="H1022" s="243"/>
      <c r="I1022" s="243"/>
      <c r="J1022" s="243"/>
      <c r="K1022" s="243"/>
      <c r="L1022" s="243"/>
      <c r="M1022" s="243"/>
      <c r="N1022" s="243"/>
      <c r="O1022" s="243"/>
      <c r="P1022" s="243"/>
      <c r="Q1022" s="243"/>
      <c r="R1022" s="243"/>
      <c r="S1022" s="243"/>
      <c r="T1022" s="243"/>
      <c r="U1022" s="243"/>
      <c r="V1022" s="243"/>
      <c r="W1022" s="243"/>
      <c r="X1022" s="243"/>
      <c r="Y1022" s="243"/>
      <c r="Z1022" s="243"/>
      <c r="AA1022" s="243"/>
      <c r="AB1022" s="243"/>
      <c r="AC1022" s="243"/>
      <c r="AD1022" s="243"/>
    </row>
    <row r="1023" ht="33.75" customHeight="1">
      <c r="A1023" s="252"/>
      <c r="B1023" s="252"/>
      <c r="C1023" s="243"/>
      <c r="D1023" s="252"/>
      <c r="E1023" s="243"/>
      <c r="F1023" s="243"/>
      <c r="G1023" s="243"/>
      <c r="H1023" s="243"/>
      <c r="I1023" s="243"/>
      <c r="J1023" s="243"/>
      <c r="K1023" s="243"/>
      <c r="L1023" s="243"/>
      <c r="M1023" s="243"/>
      <c r="N1023" s="243"/>
      <c r="O1023" s="243"/>
      <c r="P1023" s="243"/>
      <c r="Q1023" s="243"/>
      <c r="R1023" s="243"/>
      <c r="S1023" s="243"/>
      <c r="T1023" s="243"/>
      <c r="U1023" s="243"/>
      <c r="V1023" s="243"/>
      <c r="W1023" s="243"/>
      <c r="X1023" s="243"/>
      <c r="Y1023" s="243"/>
      <c r="Z1023" s="243"/>
      <c r="AA1023" s="243"/>
      <c r="AB1023" s="243"/>
      <c r="AC1023" s="243"/>
      <c r="AD1023" s="243"/>
    </row>
    <row r="1024" ht="33.75" customHeight="1">
      <c r="A1024" s="252"/>
      <c r="B1024" s="252"/>
      <c r="C1024" s="243"/>
      <c r="D1024" s="252"/>
      <c r="E1024" s="243"/>
      <c r="F1024" s="243"/>
      <c r="G1024" s="243"/>
      <c r="H1024" s="243"/>
      <c r="I1024" s="243"/>
      <c r="J1024" s="243"/>
      <c r="K1024" s="243"/>
      <c r="L1024" s="243"/>
      <c r="M1024" s="243"/>
      <c r="N1024" s="243"/>
      <c r="O1024" s="243"/>
      <c r="P1024" s="243"/>
      <c r="Q1024" s="243"/>
      <c r="R1024" s="243"/>
      <c r="S1024" s="243"/>
      <c r="T1024" s="243"/>
      <c r="U1024" s="243"/>
      <c r="V1024" s="243"/>
      <c r="W1024" s="243"/>
      <c r="X1024" s="243"/>
      <c r="Y1024" s="243"/>
      <c r="Z1024" s="243"/>
      <c r="AA1024" s="243"/>
      <c r="AB1024" s="243"/>
      <c r="AC1024" s="243"/>
      <c r="AD1024" s="243"/>
    </row>
    <row r="1025" ht="33.75" customHeight="1">
      <c r="A1025" s="252"/>
      <c r="B1025" s="252"/>
      <c r="C1025" s="243"/>
      <c r="D1025" s="252"/>
      <c r="E1025" s="243"/>
      <c r="F1025" s="243"/>
      <c r="G1025" s="243"/>
      <c r="H1025" s="243"/>
      <c r="I1025" s="243"/>
      <c r="J1025" s="243"/>
      <c r="K1025" s="243"/>
      <c r="L1025" s="243"/>
      <c r="M1025" s="243"/>
      <c r="N1025" s="243"/>
      <c r="O1025" s="243"/>
      <c r="P1025" s="243"/>
      <c r="Q1025" s="243"/>
      <c r="R1025" s="243"/>
      <c r="S1025" s="243"/>
      <c r="T1025" s="243"/>
      <c r="U1025" s="243"/>
      <c r="V1025" s="243"/>
      <c r="W1025" s="243"/>
      <c r="X1025" s="243"/>
      <c r="Y1025" s="243"/>
      <c r="Z1025" s="243"/>
      <c r="AA1025" s="243"/>
      <c r="AB1025" s="243"/>
      <c r="AC1025" s="243"/>
      <c r="AD1025" s="243"/>
    </row>
    <row r="1026" ht="33.75" customHeight="1">
      <c r="A1026" s="252"/>
      <c r="B1026" s="252"/>
      <c r="C1026" s="243"/>
      <c r="D1026" s="252"/>
      <c r="E1026" s="243"/>
      <c r="F1026" s="243"/>
      <c r="G1026" s="243"/>
      <c r="H1026" s="243"/>
      <c r="I1026" s="243"/>
      <c r="J1026" s="243"/>
      <c r="K1026" s="243"/>
      <c r="L1026" s="243"/>
      <c r="M1026" s="243"/>
      <c r="N1026" s="243"/>
      <c r="O1026" s="243"/>
      <c r="P1026" s="243"/>
      <c r="Q1026" s="243"/>
      <c r="R1026" s="243"/>
      <c r="S1026" s="243"/>
      <c r="T1026" s="243"/>
      <c r="U1026" s="243"/>
      <c r="V1026" s="243"/>
      <c r="W1026" s="243"/>
      <c r="X1026" s="243"/>
      <c r="Y1026" s="243"/>
      <c r="Z1026" s="243"/>
      <c r="AA1026" s="243"/>
      <c r="AB1026" s="243"/>
      <c r="AC1026" s="243"/>
      <c r="AD1026" s="243"/>
    </row>
    <row r="1027" ht="33.75" customHeight="1">
      <c r="A1027" s="252"/>
      <c r="B1027" s="252"/>
      <c r="C1027" s="243"/>
      <c r="D1027" s="252"/>
      <c r="E1027" s="243"/>
      <c r="F1027" s="243"/>
      <c r="G1027" s="243"/>
      <c r="H1027" s="243"/>
      <c r="I1027" s="243"/>
      <c r="J1027" s="243"/>
      <c r="K1027" s="243"/>
      <c r="L1027" s="243"/>
      <c r="M1027" s="243"/>
      <c r="N1027" s="243"/>
      <c r="O1027" s="243"/>
      <c r="P1027" s="243"/>
      <c r="Q1027" s="243"/>
      <c r="R1027" s="243"/>
      <c r="S1027" s="243"/>
      <c r="T1027" s="243"/>
      <c r="U1027" s="243"/>
      <c r="V1027" s="243"/>
      <c r="W1027" s="243"/>
      <c r="X1027" s="243"/>
      <c r="Y1027" s="243"/>
      <c r="Z1027" s="243"/>
      <c r="AA1027" s="243"/>
      <c r="AB1027" s="243"/>
      <c r="AC1027" s="243"/>
      <c r="AD1027" s="243"/>
    </row>
  </sheetData>
  <autoFilter ref="$A$4:$F$57">
    <filterColumn colId="2">
      <filters>
        <filter val="Vigilância e Controle das  Endemias"/>
        <filter val="PERFORSM - Percursos Formativos no Campo da Saúde Mental"/>
      </filters>
    </filterColumn>
  </autoFilter>
  <dataValidations>
    <dataValidation type="list" allowBlank="1" sqref="E22">
      <formula1>Dados!$E$2:$E$201</formula1>
    </dataValidation>
    <dataValidation type="list" allowBlank="1" showErrorMessage="1" sqref="D5:D57">
      <formula1>"Mudanças em cursos (nome,  local, turmas, etc),Inclusão de cursos e/ou turmas,Mudanças em processos (pagamentos, fluxos, etc),Cancelamento/Exclusão de cursos e/ou turmas"</formula1>
    </dataValidation>
    <dataValidation type="list" allowBlank="1" showErrorMessage="1" sqref="A5:A57">
      <formula1>Dados!$AG$2:$AG$13</formula1>
    </dataValidation>
    <dataValidation type="list" allowBlank="1" showErrorMessage="1" sqref="C5:C57">
      <formula1>Dados!$A$1:$V$1</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24.0"/>
    <col customWidth="1" min="2" max="2" width="44.88"/>
    <col customWidth="1" min="3" max="3" width="18.13"/>
    <col customWidth="1" min="4" max="4" width="11.25"/>
    <col customWidth="1" min="5" max="5" width="14.63"/>
    <col customWidth="1" min="6" max="6" width="17.25"/>
    <col customWidth="1" min="7" max="7" width="22.13"/>
    <col customWidth="1" min="8" max="8" width="18.88"/>
    <col customWidth="1" min="9" max="9" width="21.25"/>
    <col customWidth="1" min="10" max="10" width="12.75"/>
    <col customWidth="1" hidden="1" min="11" max="12" width="11.75"/>
    <col customWidth="1" min="13" max="13" width="15.25"/>
    <col customWidth="1" min="14" max="14" width="11.75"/>
    <col customWidth="1" min="15" max="15" width="13.75"/>
    <col customWidth="1" min="16" max="16" width="16.0"/>
    <col customWidth="1" min="17" max="17" width="13.75"/>
    <col customWidth="1" min="18" max="19" width="18.13"/>
    <col customWidth="1" min="20" max="20" width="19.38"/>
    <col customWidth="1" min="21" max="22" width="17.13"/>
    <col customWidth="1" min="23" max="23" width="44.0"/>
    <col customWidth="1" min="24" max="25" width="48.63"/>
    <col customWidth="1" min="26" max="26" width="21.88"/>
    <col customWidth="1" min="27" max="27" width="33.5"/>
    <col customWidth="1" min="28" max="30" width="47.0"/>
    <col customWidth="1" min="31" max="31" width="38.63"/>
  </cols>
  <sheetData>
    <row r="1">
      <c r="A1" s="108"/>
      <c r="C1" s="109"/>
      <c r="D1" s="110"/>
      <c r="E1" s="110"/>
      <c r="F1" s="109"/>
      <c r="G1" s="109"/>
      <c r="H1" s="110"/>
      <c r="I1" s="109"/>
      <c r="J1" s="109"/>
      <c r="K1" s="110"/>
      <c r="L1" s="110"/>
      <c r="M1" s="110"/>
      <c r="N1" s="110"/>
      <c r="O1" s="109"/>
      <c r="P1" s="109"/>
      <c r="Q1" s="109"/>
      <c r="R1" s="111"/>
      <c r="S1" s="109"/>
      <c r="T1" s="109"/>
      <c r="U1" s="109"/>
      <c r="V1" s="109"/>
      <c r="W1" s="109"/>
      <c r="X1" s="109"/>
      <c r="Y1" s="109"/>
      <c r="Z1" s="109"/>
      <c r="AA1" s="109"/>
      <c r="AB1" s="109"/>
      <c r="AC1" s="109"/>
      <c r="AD1" s="110"/>
      <c r="AE1" s="110"/>
      <c r="AF1" s="112"/>
      <c r="AG1" s="112"/>
      <c r="AH1" s="112"/>
    </row>
    <row r="2">
      <c r="A2" s="110"/>
      <c r="B2" s="109"/>
      <c r="C2" s="109"/>
      <c r="D2" s="110"/>
      <c r="E2" s="113" t="s">
        <v>175</v>
      </c>
      <c r="F2" s="109"/>
      <c r="G2" s="109"/>
      <c r="H2" s="110"/>
      <c r="I2" s="109"/>
      <c r="J2" s="109"/>
      <c r="K2" s="110"/>
      <c r="L2" s="110"/>
      <c r="M2" s="110"/>
      <c r="N2" s="110"/>
      <c r="O2" s="109"/>
      <c r="P2" s="109"/>
      <c r="Q2" s="109"/>
      <c r="R2" s="111"/>
      <c r="S2" s="109"/>
      <c r="T2" s="109"/>
      <c r="U2" s="109"/>
      <c r="V2" s="109"/>
      <c r="W2" s="109"/>
      <c r="X2" s="109"/>
      <c r="Y2" s="109"/>
      <c r="Z2" s="109"/>
      <c r="AA2" s="109"/>
      <c r="AB2" s="109"/>
      <c r="AC2" s="109"/>
      <c r="AD2" s="110"/>
      <c r="AE2" s="110"/>
      <c r="AF2" s="112"/>
      <c r="AG2" s="112"/>
      <c r="AH2" s="112"/>
    </row>
    <row r="3">
      <c r="A3" s="110"/>
      <c r="B3" s="109"/>
      <c r="C3" s="109"/>
      <c r="D3" s="110"/>
      <c r="E3" s="114" t="s">
        <v>176</v>
      </c>
      <c r="F3" s="115" t="s">
        <v>177</v>
      </c>
      <c r="G3" s="110"/>
      <c r="H3" s="110"/>
      <c r="I3" s="109"/>
      <c r="J3" s="109"/>
      <c r="K3" s="110"/>
      <c r="L3" s="110"/>
      <c r="M3" s="110"/>
      <c r="N3" s="110"/>
      <c r="O3" s="109"/>
      <c r="P3" s="109"/>
      <c r="Q3" s="109"/>
      <c r="R3" s="111"/>
      <c r="S3" s="109"/>
      <c r="T3" s="109"/>
      <c r="U3" s="109"/>
      <c r="V3" s="109"/>
      <c r="W3" s="109"/>
      <c r="X3" s="109"/>
      <c r="Y3" s="109"/>
      <c r="Z3" s="109"/>
      <c r="AA3" s="109"/>
      <c r="AB3" s="109"/>
      <c r="AC3" s="109"/>
      <c r="AD3" s="110"/>
      <c r="AE3" s="110"/>
      <c r="AF3" s="112"/>
      <c r="AG3" s="112"/>
      <c r="AH3" s="112"/>
    </row>
    <row r="4" ht="21.0" customHeight="1">
      <c r="A4" s="110"/>
      <c r="B4" s="109"/>
      <c r="C4" s="109"/>
      <c r="D4" s="110"/>
      <c r="E4" s="110"/>
      <c r="F4" s="110"/>
      <c r="G4" s="110"/>
      <c r="H4" s="110"/>
      <c r="I4" s="109"/>
      <c r="J4" s="109"/>
      <c r="K4" s="110"/>
      <c r="L4" s="110"/>
      <c r="M4" s="110"/>
      <c r="N4" s="110"/>
      <c r="O4" s="110"/>
      <c r="P4" s="110"/>
      <c r="Q4" s="110"/>
      <c r="R4" s="110"/>
      <c r="S4" s="110"/>
      <c r="T4" s="110"/>
      <c r="U4" s="110"/>
      <c r="V4" s="110"/>
      <c r="W4" s="110"/>
      <c r="X4" s="110"/>
      <c r="Y4" s="110"/>
      <c r="Z4" s="110"/>
      <c r="AA4" s="110"/>
      <c r="AB4" s="110"/>
      <c r="AC4" s="110"/>
      <c r="AD4" s="110"/>
      <c r="AE4" s="110"/>
      <c r="AF4" s="112"/>
      <c r="AG4" s="112"/>
      <c r="AH4" s="112"/>
    </row>
    <row r="5" ht="48.75" customHeight="1">
      <c r="A5" s="116" t="s">
        <v>151</v>
      </c>
      <c r="B5" s="117" t="s">
        <v>178</v>
      </c>
      <c r="C5" s="117" t="s">
        <v>179</v>
      </c>
      <c r="D5" s="117" t="s">
        <v>180</v>
      </c>
      <c r="E5" s="116" t="s">
        <v>181</v>
      </c>
      <c r="F5" s="117" t="s">
        <v>182</v>
      </c>
      <c r="G5" s="117" t="s">
        <v>183</v>
      </c>
      <c r="H5" s="117" t="s">
        <v>184</v>
      </c>
      <c r="I5" s="118" t="s">
        <v>185</v>
      </c>
      <c r="J5" s="117" t="s">
        <v>186</v>
      </c>
      <c r="K5" s="119" t="s">
        <v>187</v>
      </c>
      <c r="L5" s="119" t="s">
        <v>188</v>
      </c>
      <c r="M5" s="119" t="s">
        <v>189</v>
      </c>
      <c r="N5" s="117" t="s">
        <v>190</v>
      </c>
      <c r="O5" s="120" t="s">
        <v>191</v>
      </c>
      <c r="P5" s="120" t="s">
        <v>192</v>
      </c>
      <c r="Q5" s="117" t="s">
        <v>193</v>
      </c>
      <c r="R5" s="121" t="s">
        <v>194</v>
      </c>
      <c r="S5" s="122" t="s">
        <v>195</v>
      </c>
      <c r="T5" s="117" t="s">
        <v>196</v>
      </c>
      <c r="U5" s="117" t="s">
        <v>197</v>
      </c>
      <c r="V5" s="117" t="s">
        <v>198</v>
      </c>
      <c r="W5" s="117" t="s">
        <v>199</v>
      </c>
      <c r="X5" s="117" t="s">
        <v>200</v>
      </c>
      <c r="Y5" s="117" t="s">
        <v>201</v>
      </c>
      <c r="Z5" s="117" t="s">
        <v>202</v>
      </c>
      <c r="AA5" s="117" t="s">
        <v>203</v>
      </c>
      <c r="AB5" s="117" t="s">
        <v>204</v>
      </c>
      <c r="AC5" s="117" t="s">
        <v>205</v>
      </c>
      <c r="AD5" s="116" t="s">
        <v>206</v>
      </c>
      <c r="AE5" s="116" t="s">
        <v>207</v>
      </c>
      <c r="AF5" s="112"/>
      <c r="AG5" s="112"/>
      <c r="AH5" s="112"/>
    </row>
    <row r="6" hidden="1">
      <c r="A6" s="123" t="s">
        <v>4</v>
      </c>
      <c r="B6" s="124" t="s">
        <v>27</v>
      </c>
      <c r="C6" s="125" t="str">
        <f>IF(D6="","Digite a CH", IF(D6&lt;80,Dados!$AC$2,IF(D6=80,Dados!$AC$3,IF(D6&lt;179,Dados!$AC$3,IF(D6&gt;179,Dados!$AC$4)))))</f>
        <v>Básico (Até 79h)</v>
      </c>
      <c r="D6" s="126">
        <v>40.0</v>
      </c>
      <c r="E6" s="126" t="s">
        <v>208</v>
      </c>
      <c r="F6" s="125" t="s">
        <v>209</v>
      </c>
      <c r="G6" s="127" t="s">
        <v>210</v>
      </c>
      <c r="H6" s="128" t="s">
        <v>211</v>
      </c>
      <c r="I6" s="125" t="s">
        <v>105</v>
      </c>
      <c r="J6" s="125" t="s">
        <v>212</v>
      </c>
      <c r="K6" s="129">
        <v>45474.0</v>
      </c>
      <c r="L6" s="129">
        <v>45478.0</v>
      </c>
      <c r="M6" s="152" t="s">
        <v>27</v>
      </c>
      <c r="N6" s="126">
        <v>35.0</v>
      </c>
      <c r="O6" s="125">
        <v>38.0</v>
      </c>
      <c r="P6" s="125">
        <v>33.0</v>
      </c>
      <c r="Q6" s="126" t="s">
        <v>73</v>
      </c>
      <c r="R6" s="131">
        <f t="shared" ref="R6:R159" si="1">IF(((N6-P6)/N6)=100%,0, (N6-P6)/N6)</f>
        <v>0.05714285714</v>
      </c>
      <c r="S6" s="131">
        <f t="shared" ref="S6:S159" si="2">IF(((O6-P6)/O6)=100%,0, (O6-P6)/O6)</f>
        <v>0.1315789474</v>
      </c>
      <c r="T6" s="126" t="s">
        <v>213</v>
      </c>
      <c r="U6" s="126"/>
      <c r="V6" s="126" t="s">
        <v>214</v>
      </c>
      <c r="W6" s="132" t="s">
        <v>215</v>
      </c>
      <c r="X6" s="125" t="s">
        <v>216</v>
      </c>
      <c r="Y6" s="125" t="s">
        <v>856</v>
      </c>
      <c r="Z6" s="125" t="s">
        <v>218</v>
      </c>
      <c r="AA6" s="125"/>
      <c r="AB6" s="125" t="s">
        <v>220</v>
      </c>
      <c r="AC6" s="125"/>
      <c r="AD6" s="125"/>
      <c r="AE6" s="133" t="s">
        <v>222</v>
      </c>
      <c r="AF6" s="112"/>
      <c r="AG6" s="112"/>
      <c r="AH6" s="112"/>
    </row>
    <row r="7" hidden="1">
      <c r="A7" s="135" t="s">
        <v>4</v>
      </c>
      <c r="B7" s="124" t="s">
        <v>48</v>
      </c>
      <c r="C7" s="125" t="str">
        <f>IF(D7=0,"Digite a CH", IF(D7&lt;80,Dados!$AC$2,IF(D7=80,Dados!$AC$3,IF(D7&lt;179,Dados!$AC$3,IF(D7&gt;179,Dados!$AC$4)))))</f>
        <v>Básico (Até 79h)</v>
      </c>
      <c r="D7" s="126">
        <v>40.0</v>
      </c>
      <c r="E7" s="126" t="s">
        <v>208</v>
      </c>
      <c r="F7" s="125" t="s">
        <v>209</v>
      </c>
      <c r="G7" s="136" t="s">
        <v>231</v>
      </c>
      <c r="H7" s="128" t="s">
        <v>211</v>
      </c>
      <c r="I7" s="125" t="s">
        <v>113</v>
      </c>
      <c r="J7" s="125" t="s">
        <v>233</v>
      </c>
      <c r="K7" s="126"/>
      <c r="L7" s="126"/>
      <c r="M7" s="126"/>
      <c r="N7" s="126">
        <v>35.0</v>
      </c>
      <c r="O7" s="125"/>
      <c r="P7" s="125"/>
      <c r="Q7" s="126" t="s">
        <v>42</v>
      </c>
      <c r="R7" s="131">
        <f t="shared" si="1"/>
        <v>0</v>
      </c>
      <c r="S7" s="131" t="str">
        <f t="shared" si="2"/>
        <v>#DIV/0!</v>
      </c>
      <c r="T7" s="126" t="s">
        <v>213</v>
      </c>
      <c r="U7" s="126"/>
      <c r="V7" s="126" t="s">
        <v>214</v>
      </c>
      <c r="W7" s="132" t="s">
        <v>234</v>
      </c>
      <c r="X7" s="125" t="s">
        <v>42</v>
      </c>
      <c r="Y7" s="125"/>
      <c r="Z7" s="125"/>
      <c r="AA7" s="125"/>
      <c r="AB7" s="125"/>
      <c r="AC7" s="125"/>
      <c r="AD7" s="125"/>
      <c r="AE7" s="254"/>
      <c r="AF7" s="112"/>
      <c r="AG7" s="112"/>
      <c r="AH7" s="112"/>
    </row>
    <row r="8" hidden="1">
      <c r="A8" s="135" t="s">
        <v>5</v>
      </c>
      <c r="B8" s="125" t="s">
        <v>28</v>
      </c>
      <c r="C8" s="125" t="str">
        <f>IF(D8=0,"Digite a CH", IF(D8&lt;80,Dados!$AC$2,IF(D8=80,Dados!$AC$3,IF(D8&lt;179,Dados!$AC$3,IF(D8&gt;179,Dados!$AC$4)))))</f>
        <v>Básico (Até 79h)</v>
      </c>
      <c r="D8" s="126">
        <v>45.0</v>
      </c>
      <c r="E8" s="126" t="s">
        <v>208</v>
      </c>
      <c r="F8" s="125" t="s">
        <v>209</v>
      </c>
      <c r="G8" s="125" t="s">
        <v>223</v>
      </c>
      <c r="H8" s="128" t="s">
        <v>211</v>
      </c>
      <c r="I8" s="138" t="s">
        <v>238</v>
      </c>
      <c r="J8" s="125" t="s">
        <v>239</v>
      </c>
      <c r="K8" s="129">
        <v>45502.0</v>
      </c>
      <c r="L8" s="129">
        <v>45506.0</v>
      </c>
      <c r="M8" s="152" t="s">
        <v>28</v>
      </c>
      <c r="N8" s="126">
        <v>30.0</v>
      </c>
      <c r="O8" s="126"/>
      <c r="P8" s="126"/>
      <c r="Q8" s="126" t="s">
        <v>42</v>
      </c>
      <c r="R8" s="131">
        <f t="shared" si="1"/>
        <v>0</v>
      </c>
      <c r="S8" s="131" t="str">
        <f t="shared" si="2"/>
        <v>#DIV/0!</v>
      </c>
      <c r="T8" s="125" t="s">
        <v>240</v>
      </c>
      <c r="U8" s="125"/>
      <c r="V8" s="125" t="s">
        <v>226</v>
      </c>
      <c r="W8" s="139" t="s">
        <v>241</v>
      </c>
      <c r="X8" s="140" t="s">
        <v>227</v>
      </c>
      <c r="Z8" s="125"/>
      <c r="AA8" s="125"/>
      <c r="AB8" s="125"/>
      <c r="AC8" s="125"/>
      <c r="AD8" s="125"/>
      <c r="AE8" s="255"/>
      <c r="AF8" s="112"/>
      <c r="AG8" s="112"/>
      <c r="AH8" s="112"/>
    </row>
    <row r="9" hidden="1">
      <c r="A9" s="135" t="s">
        <v>5</v>
      </c>
      <c r="B9" s="124" t="s">
        <v>49</v>
      </c>
      <c r="C9" s="125" t="str">
        <f>IF(D9=0,"Digite a CH", IF(D9&lt;80,Dados!$AC$2,IF(D9=80,Dados!$AC$3,IF(D9&lt;179,Dados!$AC$3,IF(D9&gt;179,Dados!$AC$4)))))</f>
        <v>Básico (Até 79h)</v>
      </c>
      <c r="D9" s="126">
        <v>40.0</v>
      </c>
      <c r="E9" s="126" t="s">
        <v>208</v>
      </c>
      <c r="F9" s="125" t="s">
        <v>209</v>
      </c>
      <c r="G9" s="125" t="s">
        <v>210</v>
      </c>
      <c r="H9" s="128" t="s">
        <v>232</v>
      </c>
      <c r="I9" s="125" t="s">
        <v>105</v>
      </c>
      <c r="J9" s="125" t="s">
        <v>247</v>
      </c>
      <c r="K9" s="129">
        <v>45474.0</v>
      </c>
      <c r="L9" s="129">
        <v>45476.0</v>
      </c>
      <c r="M9" s="152" t="s">
        <v>49</v>
      </c>
      <c r="N9" s="126">
        <v>35.0</v>
      </c>
      <c r="O9" s="125">
        <v>36.0</v>
      </c>
      <c r="P9" s="117" t="s">
        <v>857</v>
      </c>
      <c r="Q9" s="126" t="s">
        <v>60</v>
      </c>
      <c r="R9" s="131" t="str">
        <f t="shared" si="1"/>
        <v>#VALUE!</v>
      </c>
      <c r="S9" s="131" t="str">
        <f t="shared" si="2"/>
        <v>#VALUE!</v>
      </c>
      <c r="T9" s="126" t="s">
        <v>240</v>
      </c>
      <c r="U9" s="126"/>
      <c r="V9" s="143" t="s">
        <v>226</v>
      </c>
      <c r="W9" s="144" t="s">
        <v>248</v>
      </c>
      <c r="X9" s="143" t="s">
        <v>249</v>
      </c>
      <c r="Y9" s="140" t="s">
        <v>250</v>
      </c>
      <c r="Z9" s="126" t="s">
        <v>218</v>
      </c>
      <c r="AA9" s="125" t="s">
        <v>219</v>
      </c>
      <c r="AB9" s="125" t="s">
        <v>858</v>
      </c>
      <c r="AC9" s="125" t="s">
        <v>252</v>
      </c>
      <c r="AD9" s="125" t="s">
        <v>253</v>
      </c>
      <c r="AE9" s="130" t="s">
        <v>254</v>
      </c>
      <c r="AF9" s="112"/>
      <c r="AG9" s="112"/>
      <c r="AH9" s="112"/>
    </row>
    <row r="10" hidden="1">
      <c r="A10" s="145" t="s">
        <v>1</v>
      </c>
      <c r="B10" s="124" t="s">
        <v>24</v>
      </c>
      <c r="C10" s="125" t="str">
        <f>IF(D10=0,"Digite a CH", IF(D10&lt;80,Dados!$AC$2,IF(D10=80,Dados!$AC$3,IF(D10&lt;179,Dados!$AC$3,IF(D10&gt;179,Dados!$AC$4)))))</f>
        <v>Básico (Até 79h)</v>
      </c>
      <c r="D10" s="126">
        <v>40.0</v>
      </c>
      <c r="E10" s="126" t="s">
        <v>208</v>
      </c>
      <c r="F10" s="125" t="s">
        <v>255</v>
      </c>
      <c r="G10" s="125" t="s">
        <v>256</v>
      </c>
      <c r="H10" s="146" t="s">
        <v>232</v>
      </c>
      <c r="I10" s="125" t="s">
        <v>109</v>
      </c>
      <c r="J10" s="125" t="s">
        <v>257</v>
      </c>
      <c r="K10" s="126"/>
      <c r="L10" s="126"/>
      <c r="M10" s="126"/>
      <c r="N10" s="126">
        <v>15.0</v>
      </c>
      <c r="O10" s="126"/>
      <c r="P10" s="126"/>
      <c r="Q10" s="126" t="s">
        <v>42</v>
      </c>
      <c r="R10" s="131">
        <f t="shared" si="1"/>
        <v>0</v>
      </c>
      <c r="S10" s="131" t="str">
        <f t="shared" si="2"/>
        <v>#DIV/0!</v>
      </c>
      <c r="T10" s="126" t="s">
        <v>258</v>
      </c>
      <c r="U10" s="126"/>
      <c r="V10" s="143" t="s">
        <v>226</v>
      </c>
      <c r="W10" s="147" t="s">
        <v>259</v>
      </c>
      <c r="X10" s="143" t="s">
        <v>260</v>
      </c>
      <c r="Y10" s="153"/>
      <c r="Z10" s="153"/>
      <c r="AA10" s="153"/>
      <c r="AB10" s="126"/>
      <c r="AC10" s="153"/>
      <c r="AD10" s="153"/>
      <c r="AE10" s="153"/>
      <c r="AF10" s="149"/>
      <c r="AG10" s="149"/>
      <c r="AH10" s="149"/>
    </row>
    <row r="11" hidden="1">
      <c r="A11" s="150" t="s">
        <v>1</v>
      </c>
      <c r="B11" s="124" t="s">
        <v>24</v>
      </c>
      <c r="C11" s="125" t="str">
        <f>IF(D11=0,"Digite a CH", IF(D11&lt;80,Dados!$AC$2,IF(D11=80,Dados!$AC$3,IF(D11&lt;179,Dados!$AC$3,IF(D11&gt;179,Dados!$AC$4)))))</f>
        <v>Básico (Até 79h)</v>
      </c>
      <c r="D11" s="126">
        <v>40.0</v>
      </c>
      <c r="E11" s="126" t="s">
        <v>266</v>
      </c>
      <c r="F11" s="125" t="s">
        <v>267</v>
      </c>
      <c r="G11" s="125" t="s">
        <v>268</v>
      </c>
      <c r="H11" s="128" t="s">
        <v>232</v>
      </c>
      <c r="I11" s="125" t="s">
        <v>113</v>
      </c>
      <c r="J11" s="125" t="s">
        <v>269</v>
      </c>
      <c r="K11" s="129">
        <v>45509.0</v>
      </c>
      <c r="L11" s="129">
        <v>45513.0</v>
      </c>
      <c r="M11" s="126"/>
      <c r="N11" s="126">
        <v>15.0</v>
      </c>
      <c r="O11" s="125"/>
      <c r="P11" s="125"/>
      <c r="Q11" s="126" t="s">
        <v>42</v>
      </c>
      <c r="R11" s="131">
        <f t="shared" si="1"/>
        <v>0</v>
      </c>
      <c r="S11" s="131" t="str">
        <f t="shared" si="2"/>
        <v>#DIV/0!</v>
      </c>
      <c r="T11" s="126" t="s">
        <v>258</v>
      </c>
      <c r="U11" s="126"/>
      <c r="V11" s="143" t="s">
        <v>226</v>
      </c>
      <c r="W11" s="147" t="s">
        <v>259</v>
      </c>
      <c r="X11" s="143" t="s">
        <v>260</v>
      </c>
      <c r="Y11" s="125"/>
      <c r="Z11" s="125"/>
      <c r="AA11" s="125"/>
      <c r="AB11" s="125"/>
      <c r="AC11" s="125"/>
      <c r="AD11" s="125"/>
      <c r="AE11" s="254"/>
      <c r="AF11" s="112"/>
      <c r="AG11" s="112"/>
      <c r="AH11" s="112"/>
    </row>
    <row r="12" hidden="1">
      <c r="A12" s="135" t="s">
        <v>1</v>
      </c>
      <c r="B12" s="124" t="s">
        <v>46</v>
      </c>
      <c r="C12" s="125" t="str">
        <f>IF(D12=0,"Digite a CH", IF(D12&lt;80,Dados!$AC$2,IF(D12=80,Dados!$AC$3,IF(D12&lt;179,Dados!$AC$3,IF(D12&gt;179,Dados!$AC$4)))))</f>
        <v>Básico (Até 79h)</v>
      </c>
      <c r="D12" s="126">
        <v>40.0</v>
      </c>
      <c r="E12" s="126" t="s">
        <v>208</v>
      </c>
      <c r="F12" s="125" t="s">
        <v>209</v>
      </c>
      <c r="G12" s="125" t="s">
        <v>268</v>
      </c>
      <c r="H12" s="128" t="s">
        <v>211</v>
      </c>
      <c r="I12" s="125" t="s">
        <v>105</v>
      </c>
      <c r="J12" s="125" t="s">
        <v>274</v>
      </c>
      <c r="K12" s="129">
        <v>45488.0</v>
      </c>
      <c r="L12" s="129">
        <v>45492.0</v>
      </c>
      <c r="M12" s="152" t="s">
        <v>46</v>
      </c>
      <c r="N12" s="126">
        <v>15.0</v>
      </c>
      <c r="O12" s="125">
        <v>16.0</v>
      </c>
      <c r="P12" s="125">
        <v>14.0</v>
      </c>
      <c r="Q12" s="126" t="s">
        <v>73</v>
      </c>
      <c r="R12" s="131">
        <f t="shared" si="1"/>
        <v>0.06666666667</v>
      </c>
      <c r="S12" s="131">
        <f t="shared" si="2"/>
        <v>0.125</v>
      </c>
      <c r="T12" s="125" t="s">
        <v>225</v>
      </c>
      <c r="U12" s="125"/>
      <c r="V12" s="143" t="s">
        <v>226</v>
      </c>
      <c r="W12" s="139" t="s">
        <v>275</v>
      </c>
      <c r="X12" s="143" t="s">
        <v>227</v>
      </c>
      <c r="Y12" s="125" t="s">
        <v>276</v>
      </c>
      <c r="Z12" s="125" t="s">
        <v>218</v>
      </c>
      <c r="AA12" s="125" t="s">
        <v>219</v>
      </c>
      <c r="AB12" s="125" t="s">
        <v>277</v>
      </c>
      <c r="AC12" s="140" t="s">
        <v>278</v>
      </c>
      <c r="AD12" s="125" t="s">
        <v>279</v>
      </c>
      <c r="AE12" s="152" t="s">
        <v>280</v>
      </c>
      <c r="AF12" s="112"/>
      <c r="AG12" s="112"/>
      <c r="AH12" s="112"/>
    </row>
    <row r="13" hidden="1">
      <c r="A13" s="135" t="s">
        <v>1</v>
      </c>
      <c r="B13" s="124" t="s">
        <v>46</v>
      </c>
      <c r="C13" s="125" t="str">
        <f>IF(D13=0,"Digite a CH", IF(D13&lt;80,Dados!$AC$2,IF(D13=80,Dados!$AC$3,IF(D13&lt;179,Dados!$AC$3,IF(D13&gt;179,Dados!$AC$4)))))</f>
        <v>Básico (Até 79h)</v>
      </c>
      <c r="D13" s="126">
        <v>40.0</v>
      </c>
      <c r="E13" s="126" t="s">
        <v>266</v>
      </c>
      <c r="F13" s="125" t="s">
        <v>209</v>
      </c>
      <c r="G13" s="125" t="s">
        <v>256</v>
      </c>
      <c r="H13" s="128" t="s">
        <v>211</v>
      </c>
      <c r="I13" s="125" t="s">
        <v>105</v>
      </c>
      <c r="J13" s="125" t="s">
        <v>281</v>
      </c>
      <c r="K13" s="129">
        <v>45495.0</v>
      </c>
      <c r="L13" s="129">
        <v>45499.0</v>
      </c>
      <c r="M13" s="152" t="s">
        <v>46</v>
      </c>
      <c r="N13" s="126">
        <v>15.0</v>
      </c>
      <c r="O13" s="126">
        <v>17.0</v>
      </c>
      <c r="P13" s="117" t="s">
        <v>857</v>
      </c>
      <c r="Q13" s="126" t="s">
        <v>60</v>
      </c>
      <c r="R13" s="131" t="str">
        <f t="shared" si="1"/>
        <v>#VALUE!</v>
      </c>
      <c r="S13" s="131" t="str">
        <f t="shared" si="2"/>
        <v>#VALUE!</v>
      </c>
      <c r="T13" s="125" t="s">
        <v>225</v>
      </c>
      <c r="U13" s="153"/>
      <c r="V13" s="143" t="s">
        <v>226</v>
      </c>
      <c r="W13" s="139" t="s">
        <v>275</v>
      </c>
      <c r="X13" s="126" t="s">
        <v>282</v>
      </c>
      <c r="Y13" s="125" t="s">
        <v>276</v>
      </c>
      <c r="Z13" s="126" t="s">
        <v>283</v>
      </c>
      <c r="AA13" s="153"/>
      <c r="AB13" s="125" t="s">
        <v>277</v>
      </c>
      <c r="AC13" s="125" t="s">
        <v>284</v>
      </c>
      <c r="AD13" s="125" t="s">
        <v>279</v>
      </c>
      <c r="AE13" s="152" t="s">
        <v>285</v>
      </c>
      <c r="AF13" s="112"/>
      <c r="AG13" s="112"/>
      <c r="AH13" s="112"/>
    </row>
    <row r="14">
      <c r="A14" s="135" t="s">
        <v>1</v>
      </c>
      <c r="B14" s="135" t="s">
        <v>64</v>
      </c>
      <c r="C14" s="125" t="str">
        <f>IF(D14=0,"Digite a CH", IF(D14&lt;80,Dados!$AC$2,IF(D14=80,Dados!$AC$3,IF(D14&lt;179,Dados!$AC$3,IF(D14&gt;179,Dados!$AC$4)))))</f>
        <v>Básico (Até 79h)</v>
      </c>
      <c r="D14" s="126">
        <v>40.0</v>
      </c>
      <c r="E14" s="126" t="s">
        <v>208</v>
      </c>
      <c r="F14" s="125" t="s">
        <v>209</v>
      </c>
      <c r="G14" s="125" t="s">
        <v>286</v>
      </c>
      <c r="H14" s="128" t="s">
        <v>232</v>
      </c>
      <c r="I14" s="138" t="s">
        <v>84</v>
      </c>
      <c r="J14" s="125" t="s">
        <v>281</v>
      </c>
      <c r="K14" s="129">
        <v>45404.0</v>
      </c>
      <c r="L14" s="129">
        <v>45408.0</v>
      </c>
      <c r="M14" s="152" t="s">
        <v>287</v>
      </c>
      <c r="N14" s="126">
        <v>30.0</v>
      </c>
      <c r="O14" s="126">
        <v>23.0</v>
      </c>
      <c r="P14" s="126">
        <v>17.0</v>
      </c>
      <c r="Q14" s="126" t="s">
        <v>73</v>
      </c>
      <c r="R14" s="131">
        <f t="shared" si="1"/>
        <v>0.4333333333</v>
      </c>
      <c r="S14" s="131">
        <f t="shared" si="2"/>
        <v>0.2608695652</v>
      </c>
      <c r="T14" s="125" t="s">
        <v>225</v>
      </c>
      <c r="U14" s="125"/>
      <c r="V14" s="143" t="s">
        <v>226</v>
      </c>
      <c r="W14" s="147" t="s">
        <v>288</v>
      </c>
      <c r="X14" s="143" t="s">
        <v>260</v>
      </c>
      <c r="Y14" s="125" t="s">
        <v>289</v>
      </c>
      <c r="Z14" s="125" t="s">
        <v>218</v>
      </c>
      <c r="AA14" s="125" t="s">
        <v>290</v>
      </c>
      <c r="AB14" s="125" t="s">
        <v>291</v>
      </c>
      <c r="AC14" s="125" t="s">
        <v>292</v>
      </c>
      <c r="AD14" s="125" t="s">
        <v>293</v>
      </c>
      <c r="AE14" s="152" t="s">
        <v>294</v>
      </c>
      <c r="AF14" s="112"/>
      <c r="AG14" s="112"/>
      <c r="AH14" s="112"/>
    </row>
    <row r="15" ht="31.5" customHeight="1">
      <c r="A15" s="135" t="s">
        <v>1</v>
      </c>
      <c r="B15" s="125" t="s">
        <v>64</v>
      </c>
      <c r="C15" s="125" t="str">
        <f>IF(D15=0,"Digite a CH", IF(D15&lt;80,Dados!$AC$2,IF(D15=80,Dados!$AC$3,IF(D15&lt;179,Dados!$AC$3,IF(D15&gt;179,Dados!$AC$4)))))</f>
        <v>Básico (Até 79h)</v>
      </c>
      <c r="D15" s="126">
        <v>40.0</v>
      </c>
      <c r="E15" s="126" t="s">
        <v>266</v>
      </c>
      <c r="F15" s="125" t="s">
        <v>295</v>
      </c>
      <c r="G15" s="126" t="s">
        <v>296</v>
      </c>
      <c r="H15" s="128" t="s">
        <v>232</v>
      </c>
      <c r="I15" s="138" t="s">
        <v>91</v>
      </c>
      <c r="J15" s="125" t="s">
        <v>297</v>
      </c>
      <c r="K15" s="129">
        <v>45418.0</v>
      </c>
      <c r="L15" s="129">
        <v>45422.0</v>
      </c>
      <c r="M15" s="152" t="s">
        <v>64</v>
      </c>
      <c r="N15" s="126">
        <v>30.0</v>
      </c>
      <c r="O15" s="125">
        <v>32.0</v>
      </c>
      <c r="P15" s="125">
        <v>24.0</v>
      </c>
      <c r="Q15" s="126" t="s">
        <v>73</v>
      </c>
      <c r="R15" s="131">
        <f t="shared" si="1"/>
        <v>0.2</v>
      </c>
      <c r="S15" s="131">
        <f t="shared" si="2"/>
        <v>0.25</v>
      </c>
      <c r="T15" s="125" t="s">
        <v>225</v>
      </c>
      <c r="U15" s="125"/>
      <c r="V15" s="143" t="s">
        <v>226</v>
      </c>
      <c r="W15" s="147" t="s">
        <v>288</v>
      </c>
      <c r="X15" s="125" t="s">
        <v>282</v>
      </c>
      <c r="Y15" s="125" t="s">
        <v>289</v>
      </c>
      <c r="Z15" s="125" t="s">
        <v>283</v>
      </c>
      <c r="AA15" s="125"/>
      <c r="AB15" s="125" t="s">
        <v>298</v>
      </c>
      <c r="AC15" s="125" t="s">
        <v>299</v>
      </c>
      <c r="AD15" s="125" t="s">
        <v>300</v>
      </c>
      <c r="AE15" s="152" t="s">
        <v>301</v>
      </c>
      <c r="AF15" s="112"/>
      <c r="AG15" s="112"/>
      <c r="AH15" s="112"/>
    </row>
    <row r="16">
      <c r="A16" s="135" t="s">
        <v>1</v>
      </c>
      <c r="B16" s="125" t="s">
        <v>77</v>
      </c>
      <c r="C16" s="125" t="str">
        <f>IF(D16=0,"Digite a CH", IF(D16&lt;80,Dados!$AC$2,IF(D16=80,Dados!$AC$3,IF(D16&lt;179,Dados!$AC$3,IF(D16&gt;179,Dados!$AC$4)))))</f>
        <v>Básico (Até 79h)</v>
      </c>
      <c r="D16" s="126">
        <v>40.0</v>
      </c>
      <c r="E16" s="126" t="s">
        <v>208</v>
      </c>
      <c r="F16" s="125" t="s">
        <v>209</v>
      </c>
      <c r="G16" s="135" t="s">
        <v>302</v>
      </c>
      <c r="H16" s="128" t="s">
        <v>211</v>
      </c>
      <c r="I16" s="138" t="s">
        <v>100</v>
      </c>
      <c r="J16" s="125" t="s">
        <v>303</v>
      </c>
      <c r="K16" s="129">
        <v>45467.0</v>
      </c>
      <c r="L16" s="129">
        <v>45471.0</v>
      </c>
      <c r="M16" s="152" t="s">
        <v>77</v>
      </c>
      <c r="N16" s="126">
        <v>30.0</v>
      </c>
      <c r="O16" s="125">
        <v>23.0</v>
      </c>
      <c r="P16" s="125">
        <v>18.0</v>
      </c>
      <c r="Q16" s="126" t="s">
        <v>73</v>
      </c>
      <c r="R16" s="131">
        <f t="shared" si="1"/>
        <v>0.4</v>
      </c>
      <c r="S16" s="131">
        <f t="shared" si="2"/>
        <v>0.2173913043</v>
      </c>
      <c r="T16" s="126" t="s">
        <v>240</v>
      </c>
      <c r="U16" s="125"/>
      <c r="V16" s="143" t="s">
        <v>226</v>
      </c>
      <c r="W16" s="147" t="s">
        <v>288</v>
      </c>
      <c r="X16" s="125" t="s">
        <v>227</v>
      </c>
      <c r="Y16" s="125" t="s">
        <v>304</v>
      </c>
      <c r="Z16" s="125" t="s">
        <v>218</v>
      </c>
      <c r="AA16" s="125" t="s">
        <v>290</v>
      </c>
      <c r="AB16" s="125" t="s">
        <v>305</v>
      </c>
      <c r="AC16" s="125" t="s">
        <v>306</v>
      </c>
      <c r="AD16" s="125" t="s">
        <v>307</v>
      </c>
      <c r="AE16" s="152" t="s">
        <v>308</v>
      </c>
      <c r="AF16" s="112"/>
      <c r="AG16" s="112"/>
      <c r="AH16" s="112"/>
    </row>
    <row r="17">
      <c r="A17" s="135" t="s">
        <v>1</v>
      </c>
      <c r="B17" s="125" t="s">
        <v>86</v>
      </c>
      <c r="C17" s="125" t="str">
        <f>IF(D17=0,"Digite a CH", IF(D17&lt;80,Dados!$AC$2,IF(D17=80,Dados!$AC$3,IF(D17&lt;179,Dados!$AC$3,IF(D17&gt;179,Dados!$AC$4)))))</f>
        <v>Básico (Até 79h)</v>
      </c>
      <c r="D17" s="126">
        <v>40.0</v>
      </c>
      <c r="E17" s="126" t="s">
        <v>208</v>
      </c>
      <c r="F17" s="125" t="s">
        <v>209</v>
      </c>
      <c r="G17" s="126" t="s">
        <v>309</v>
      </c>
      <c r="H17" s="128" t="s">
        <v>211</v>
      </c>
      <c r="I17" s="138" t="s">
        <v>100</v>
      </c>
      <c r="J17" s="125" t="s">
        <v>310</v>
      </c>
      <c r="K17" s="129">
        <v>45446.0</v>
      </c>
      <c r="L17" s="129">
        <v>45450.0</v>
      </c>
      <c r="M17" s="152" t="s">
        <v>86</v>
      </c>
      <c r="N17" s="126">
        <v>30.0</v>
      </c>
      <c r="O17" s="126">
        <v>56.0</v>
      </c>
      <c r="P17" s="126">
        <v>41.0</v>
      </c>
      <c r="Q17" s="126" t="s">
        <v>73</v>
      </c>
      <c r="R17" s="131">
        <f t="shared" si="1"/>
        <v>-0.3666666667</v>
      </c>
      <c r="S17" s="131">
        <f t="shared" si="2"/>
        <v>0.2678571429</v>
      </c>
      <c r="T17" s="125" t="s">
        <v>225</v>
      </c>
      <c r="U17" s="125"/>
      <c r="V17" s="143" t="s">
        <v>226</v>
      </c>
      <c r="W17" s="147" t="s">
        <v>288</v>
      </c>
      <c r="X17" s="125" t="s">
        <v>227</v>
      </c>
      <c r="Y17" s="125" t="s">
        <v>311</v>
      </c>
      <c r="Z17" s="125" t="s">
        <v>218</v>
      </c>
      <c r="AA17" s="125" t="s">
        <v>290</v>
      </c>
      <c r="AB17" s="125" t="s">
        <v>312</v>
      </c>
      <c r="AC17" s="125" t="s">
        <v>313</v>
      </c>
      <c r="AD17" s="125" t="s">
        <v>314</v>
      </c>
      <c r="AE17" s="130" t="s">
        <v>315</v>
      </c>
      <c r="AF17" s="112"/>
      <c r="AG17" s="112"/>
      <c r="AH17" s="112"/>
    </row>
    <row r="18">
      <c r="A18" s="135" t="s">
        <v>1</v>
      </c>
      <c r="B18" s="125" t="s">
        <v>96</v>
      </c>
      <c r="C18" s="125" t="str">
        <f>IF(D18=0,"Digite a CH", IF(D18&lt;80,Dados!$AC$2,IF(D18=80,Dados!$AC$3,IF(D18&lt;179,Dados!$AC$3,IF(D18&gt;179,Dados!$AC$4)))))</f>
        <v>Básico (Até 79h)</v>
      </c>
      <c r="D18" s="126">
        <v>40.0</v>
      </c>
      <c r="E18" s="126" t="s">
        <v>208</v>
      </c>
      <c r="F18" s="125" t="s">
        <v>316</v>
      </c>
      <c r="G18" s="126" t="s">
        <v>317</v>
      </c>
      <c r="H18" s="128" t="s">
        <v>232</v>
      </c>
      <c r="I18" s="138" t="s">
        <v>84</v>
      </c>
      <c r="J18" s="154" t="s">
        <v>318</v>
      </c>
      <c r="K18" s="129">
        <v>45390.0</v>
      </c>
      <c r="L18" s="129">
        <v>45394.0</v>
      </c>
      <c r="M18" s="152" t="s">
        <v>96</v>
      </c>
      <c r="N18" s="126">
        <v>30.0</v>
      </c>
      <c r="O18" s="126">
        <v>30.0</v>
      </c>
      <c r="P18" s="126">
        <v>20.0</v>
      </c>
      <c r="Q18" s="126" t="s">
        <v>73</v>
      </c>
      <c r="R18" s="131">
        <f t="shared" si="1"/>
        <v>0.3333333333</v>
      </c>
      <c r="S18" s="131">
        <f t="shared" si="2"/>
        <v>0.3333333333</v>
      </c>
      <c r="T18" s="126" t="s">
        <v>258</v>
      </c>
      <c r="U18" s="125"/>
      <c r="V18" s="143" t="s">
        <v>226</v>
      </c>
      <c r="W18" s="155" t="s">
        <v>319</v>
      </c>
      <c r="X18" s="143" t="s">
        <v>260</v>
      </c>
      <c r="Y18" s="156" t="s">
        <v>320</v>
      </c>
      <c r="Z18" s="125" t="s">
        <v>218</v>
      </c>
      <c r="AA18" s="125"/>
      <c r="AB18" s="125" t="s">
        <v>291</v>
      </c>
      <c r="AC18" s="125" t="s">
        <v>321</v>
      </c>
      <c r="AD18" s="125" t="s">
        <v>322</v>
      </c>
      <c r="AE18" s="148" t="s">
        <v>323</v>
      </c>
      <c r="AF18" s="112"/>
      <c r="AG18" s="112"/>
      <c r="AH18" s="112"/>
    </row>
    <row r="19" hidden="1">
      <c r="A19" s="135" t="s">
        <v>1</v>
      </c>
      <c r="B19" s="125" t="s">
        <v>324</v>
      </c>
      <c r="C19" s="125" t="str">
        <f>IF(D19=0,"Digite a CH", IF(D19&lt;80,Dados!$AC$2,IF(D19=80,Dados!$AC$3,IF(D19&lt;179,Dados!$AC$3,IF(D19&gt;179,Dados!$AC$4)))))</f>
        <v>Básico (Até 79h)</v>
      </c>
      <c r="D19" s="126">
        <v>40.0</v>
      </c>
      <c r="E19" s="126" t="s">
        <v>208</v>
      </c>
      <c r="F19" s="125" t="s">
        <v>209</v>
      </c>
      <c r="G19" s="158" t="s">
        <v>325</v>
      </c>
      <c r="H19" s="128" t="s">
        <v>211</v>
      </c>
      <c r="I19" s="138" t="s">
        <v>115</v>
      </c>
      <c r="J19" s="138" t="s">
        <v>326</v>
      </c>
      <c r="K19" s="129">
        <v>45523.0</v>
      </c>
      <c r="L19" s="129">
        <v>45527.0</v>
      </c>
      <c r="M19" s="152" t="s">
        <v>324</v>
      </c>
      <c r="N19" s="126">
        <v>30.0</v>
      </c>
      <c r="O19" s="126"/>
      <c r="P19" s="126"/>
      <c r="Q19" s="126" t="s">
        <v>42</v>
      </c>
      <c r="R19" s="131">
        <f t="shared" si="1"/>
        <v>0</v>
      </c>
      <c r="S19" s="131" t="str">
        <f t="shared" si="2"/>
        <v>#DIV/0!</v>
      </c>
      <c r="T19" s="126" t="s">
        <v>258</v>
      </c>
      <c r="U19" s="125"/>
      <c r="V19" s="143" t="s">
        <v>226</v>
      </c>
      <c r="W19" s="155" t="s">
        <v>327</v>
      </c>
      <c r="X19" s="143" t="s">
        <v>859</v>
      </c>
      <c r="Y19" s="125"/>
      <c r="Z19" s="125"/>
      <c r="AA19" s="125"/>
      <c r="AB19" s="125"/>
      <c r="AC19" s="125"/>
      <c r="AD19" s="125"/>
      <c r="AE19" s="126"/>
      <c r="AF19" s="112"/>
      <c r="AG19" s="112"/>
      <c r="AH19" s="112"/>
    </row>
    <row r="20">
      <c r="A20" s="135" t="s">
        <v>2</v>
      </c>
      <c r="B20" s="125" t="s">
        <v>25</v>
      </c>
      <c r="C20" s="125" t="str">
        <f>IF(D20=0,"Digite a CH", IF(D20&lt;80,Dados!$AC$2,IF(D20=80,Dados!$AC$3,IF(D20&lt;179,Dados!$AC$3,IF(D20&gt;179,Dados!$AC$4)))))</f>
        <v>Básico (Até 79h)</v>
      </c>
      <c r="D20" s="126">
        <v>40.0</v>
      </c>
      <c r="E20" s="126" t="s">
        <v>208</v>
      </c>
      <c r="F20" s="125" t="s">
        <v>316</v>
      </c>
      <c r="G20" s="125" t="s">
        <v>333</v>
      </c>
      <c r="H20" s="128" t="s">
        <v>211</v>
      </c>
      <c r="I20" s="138" t="s">
        <v>91</v>
      </c>
      <c r="J20" s="125" t="s">
        <v>334</v>
      </c>
      <c r="K20" s="129">
        <v>45432.0</v>
      </c>
      <c r="L20" s="129">
        <v>45436.0</v>
      </c>
      <c r="M20" s="152" t="s">
        <v>25</v>
      </c>
      <c r="N20" s="126">
        <v>30.0</v>
      </c>
      <c r="O20" s="126">
        <v>41.0</v>
      </c>
      <c r="P20" s="126">
        <v>26.0</v>
      </c>
      <c r="Q20" s="126" t="s">
        <v>73</v>
      </c>
      <c r="R20" s="131">
        <f t="shared" si="1"/>
        <v>0.1333333333</v>
      </c>
      <c r="S20" s="131">
        <f t="shared" si="2"/>
        <v>0.3658536585</v>
      </c>
      <c r="T20" s="126" t="s">
        <v>240</v>
      </c>
      <c r="U20" s="125" t="s">
        <v>335</v>
      </c>
      <c r="V20" s="143" t="s">
        <v>226</v>
      </c>
      <c r="W20" s="147" t="s">
        <v>336</v>
      </c>
      <c r="X20" s="125" t="s">
        <v>260</v>
      </c>
      <c r="Y20" s="156" t="s">
        <v>860</v>
      </c>
      <c r="Z20" s="125" t="s">
        <v>218</v>
      </c>
      <c r="AA20" s="125" t="s">
        <v>290</v>
      </c>
      <c r="AB20" s="125" t="s">
        <v>338</v>
      </c>
      <c r="AC20" s="125" t="s">
        <v>339</v>
      </c>
      <c r="AD20" s="125"/>
      <c r="AE20" s="130" t="s">
        <v>341</v>
      </c>
      <c r="AF20" s="112"/>
      <c r="AG20" s="112"/>
      <c r="AH20" s="112"/>
    </row>
    <row r="21" hidden="1">
      <c r="A21" s="135" t="s">
        <v>2</v>
      </c>
      <c r="B21" s="125" t="s">
        <v>25</v>
      </c>
      <c r="C21" s="125" t="str">
        <f>IF(D21=0,"Digite a CH", IF(D21&lt;80,Dados!$AC$2,IF(D21=80,Dados!$AC$3,IF(D21&lt;179,Dados!$AC$3,IF(D21&gt;179,Dados!$AC$4)))))</f>
        <v>Básico (Até 79h)</v>
      </c>
      <c r="D21" s="126">
        <v>40.0</v>
      </c>
      <c r="E21" s="126" t="s">
        <v>266</v>
      </c>
      <c r="F21" s="125" t="s">
        <v>342</v>
      </c>
      <c r="G21" s="125" t="s">
        <v>268</v>
      </c>
      <c r="H21" s="128" t="s">
        <v>211</v>
      </c>
      <c r="I21" s="125" t="s">
        <v>238</v>
      </c>
      <c r="J21" s="125" t="s">
        <v>343</v>
      </c>
      <c r="K21" s="129">
        <v>45502.0</v>
      </c>
      <c r="L21" s="129">
        <v>45506.0</v>
      </c>
      <c r="M21" s="152" t="s">
        <v>25</v>
      </c>
      <c r="N21" s="126">
        <v>30.0</v>
      </c>
      <c r="O21" s="125"/>
      <c r="P21" s="125"/>
      <c r="Q21" s="126" t="s">
        <v>42</v>
      </c>
      <c r="R21" s="131">
        <f t="shared" si="1"/>
        <v>0</v>
      </c>
      <c r="S21" s="131" t="str">
        <f t="shared" si="2"/>
        <v>#DIV/0!</v>
      </c>
      <c r="T21" s="126" t="s">
        <v>240</v>
      </c>
      <c r="U21" s="126"/>
      <c r="V21" s="143" t="s">
        <v>226</v>
      </c>
      <c r="W21" s="147" t="s">
        <v>336</v>
      </c>
      <c r="X21" s="125" t="s">
        <v>227</v>
      </c>
      <c r="Y21" s="125"/>
      <c r="Z21" s="125"/>
      <c r="AA21" s="125"/>
      <c r="AB21" s="125"/>
      <c r="AC21" s="126"/>
      <c r="AD21" s="125"/>
      <c r="AE21" s="254"/>
      <c r="AF21" s="112"/>
      <c r="AG21" s="112"/>
      <c r="AH21" s="112"/>
    </row>
    <row r="22">
      <c r="A22" s="135" t="s">
        <v>0</v>
      </c>
      <c r="B22" s="124" t="s">
        <v>23</v>
      </c>
      <c r="C22" s="125" t="str">
        <f>IF(D22=0,"Digite a CH", IF(D22&lt;80,Dados!$AC$2,IF(D22=80,Dados!$AC$3,IF(D22&lt;179,Dados!$AC$3,IF(D22&gt;179,Dados!$AC$4)))))</f>
        <v>Básico (Até 79h)</v>
      </c>
      <c r="D22" s="126">
        <v>40.0</v>
      </c>
      <c r="E22" s="126" t="s">
        <v>208</v>
      </c>
      <c r="F22" s="125" t="s">
        <v>209</v>
      </c>
      <c r="G22" s="124" t="s">
        <v>349</v>
      </c>
      <c r="H22" s="128" t="s">
        <v>211</v>
      </c>
      <c r="I22" s="125" t="s">
        <v>91</v>
      </c>
      <c r="J22" s="125" t="s">
        <v>334</v>
      </c>
      <c r="K22" s="129">
        <v>45432.0</v>
      </c>
      <c r="L22" s="129">
        <v>45436.0</v>
      </c>
      <c r="M22" s="152" t="s">
        <v>23</v>
      </c>
      <c r="N22" s="126">
        <v>15.0</v>
      </c>
      <c r="O22" s="125">
        <v>17.0</v>
      </c>
      <c r="P22" s="125">
        <v>12.0</v>
      </c>
      <c r="Q22" s="126" t="s">
        <v>73</v>
      </c>
      <c r="R22" s="131">
        <f t="shared" si="1"/>
        <v>0.2</v>
      </c>
      <c r="S22" s="131">
        <f t="shared" si="2"/>
        <v>0.2941176471</v>
      </c>
      <c r="T22" s="126" t="s">
        <v>350</v>
      </c>
      <c r="U22" s="126" t="s">
        <v>351</v>
      </c>
      <c r="V22" s="143" t="s">
        <v>226</v>
      </c>
      <c r="W22" s="125" t="s">
        <v>352</v>
      </c>
      <c r="X22" s="125" t="s">
        <v>260</v>
      </c>
      <c r="Y22" s="126"/>
      <c r="Z22" s="126"/>
      <c r="AA22" s="126"/>
      <c r="AB22" s="126"/>
      <c r="AC22" s="126"/>
      <c r="AD22" s="126"/>
      <c r="AE22" s="126"/>
      <c r="AF22" s="112"/>
      <c r="AG22" s="112"/>
      <c r="AH22" s="112"/>
    </row>
    <row r="23" hidden="1">
      <c r="A23" s="135" t="s">
        <v>0</v>
      </c>
      <c r="B23" s="125" t="s">
        <v>369</v>
      </c>
      <c r="C23" s="125" t="str">
        <f>IF(D23=0,"Digite a CH", IF(D23&lt;80,Dados!$AC$2,IF(D23=80,Dados!$AC$3,IF(D23&lt;179,Dados!$AC$3,IF(D23&gt;179,Dados!$AC$4)))))</f>
        <v>Atualização (80h-179h)</v>
      </c>
      <c r="D23" s="126">
        <v>80.0</v>
      </c>
      <c r="E23" s="126" t="s">
        <v>208</v>
      </c>
      <c r="F23" s="125" t="s">
        <v>209</v>
      </c>
      <c r="G23" s="126"/>
      <c r="H23" s="128" t="s">
        <v>211</v>
      </c>
      <c r="I23" s="138" t="s">
        <v>861</v>
      </c>
      <c r="J23" s="125" t="s">
        <v>862</v>
      </c>
      <c r="K23" s="161">
        <v>45579.0</v>
      </c>
      <c r="L23" s="161">
        <v>45604.0</v>
      </c>
      <c r="M23" s="152" t="s">
        <v>369</v>
      </c>
      <c r="N23" s="126">
        <v>12.0</v>
      </c>
      <c r="O23" s="125"/>
      <c r="P23" s="125"/>
      <c r="Q23" s="126" t="s">
        <v>42</v>
      </c>
      <c r="R23" s="131">
        <f t="shared" si="1"/>
        <v>0</v>
      </c>
      <c r="S23" s="131" t="str">
        <f t="shared" si="2"/>
        <v>#DIV/0!</v>
      </c>
      <c r="T23" s="125" t="s">
        <v>350</v>
      </c>
      <c r="U23" s="125" t="s">
        <v>351</v>
      </c>
      <c r="V23" s="143" t="s">
        <v>226</v>
      </c>
      <c r="W23" s="156" t="s">
        <v>863</v>
      </c>
      <c r="X23" s="143" t="s">
        <v>864</v>
      </c>
      <c r="Y23" s="125"/>
      <c r="Z23" s="125"/>
      <c r="AA23" s="125"/>
      <c r="AB23" s="125"/>
      <c r="AC23" s="125"/>
      <c r="AD23" s="126"/>
      <c r="AE23" s="126"/>
      <c r="AF23" s="112"/>
      <c r="AG23" s="112"/>
      <c r="AH23" s="112"/>
    </row>
    <row r="24">
      <c r="A24" s="135" t="s">
        <v>0</v>
      </c>
      <c r="B24" s="124" t="s">
        <v>63</v>
      </c>
      <c r="C24" s="125" t="str">
        <f>IF(D24=0,"Digite a CH", IF(D24&lt;80,Dados!$AC$2,IF(D24=80,Dados!$AC$3,IF(D24&lt;179,Dados!$AC$3,IF(D24&gt;179,Dados!$AC$4)))))</f>
        <v>Básico (Até 79h)</v>
      </c>
      <c r="D24" s="126">
        <v>40.0</v>
      </c>
      <c r="E24" s="126" t="s">
        <v>208</v>
      </c>
      <c r="F24" s="125" t="s">
        <v>209</v>
      </c>
      <c r="G24" s="125" t="s">
        <v>373</v>
      </c>
      <c r="H24" s="128" t="s">
        <v>374</v>
      </c>
      <c r="I24" s="138" t="s">
        <v>100</v>
      </c>
      <c r="J24" s="125" t="s">
        <v>375</v>
      </c>
      <c r="K24" s="129">
        <v>45448.0</v>
      </c>
      <c r="L24" s="129">
        <v>45463.0</v>
      </c>
      <c r="M24" s="152" t="s">
        <v>63</v>
      </c>
      <c r="N24" s="126">
        <v>200.0</v>
      </c>
      <c r="O24" s="125">
        <v>264.0</v>
      </c>
      <c r="P24" s="125"/>
      <c r="Q24" s="126" t="s">
        <v>73</v>
      </c>
      <c r="R24" s="131">
        <f t="shared" si="1"/>
        <v>0</v>
      </c>
      <c r="S24" s="131">
        <f t="shared" si="2"/>
        <v>0</v>
      </c>
      <c r="T24" s="125" t="s">
        <v>350</v>
      </c>
      <c r="U24" s="125" t="s">
        <v>351</v>
      </c>
      <c r="V24" s="143" t="s">
        <v>226</v>
      </c>
      <c r="W24" s="156" t="s">
        <v>376</v>
      </c>
      <c r="X24" s="125" t="s">
        <v>227</v>
      </c>
      <c r="Y24" s="125"/>
      <c r="Z24" s="125"/>
      <c r="AA24" s="125"/>
      <c r="AB24" s="125"/>
      <c r="AC24" s="125"/>
      <c r="AD24" s="125"/>
      <c r="AE24" s="126"/>
      <c r="AF24" s="112"/>
      <c r="AG24" s="112"/>
      <c r="AH24" s="112"/>
    </row>
    <row r="25">
      <c r="A25" s="135" t="s">
        <v>0</v>
      </c>
      <c r="B25" s="124" t="s">
        <v>76</v>
      </c>
      <c r="C25" s="125" t="str">
        <f>IF(D25=0,"Digite a CH", IF(D25&lt;80,Dados!$AC$2,IF(D25=80,Dados!$AC$3,IF(D25&lt;179,Dados!$AC$3,IF(D25&gt;179,Dados!$AC$4)))))</f>
        <v>Básico (Até 79h)</v>
      </c>
      <c r="D25" s="126">
        <v>40.0</v>
      </c>
      <c r="E25" s="126" t="s">
        <v>208</v>
      </c>
      <c r="F25" s="125" t="s">
        <v>209</v>
      </c>
      <c r="G25" s="125" t="s">
        <v>381</v>
      </c>
      <c r="H25" s="128" t="s">
        <v>211</v>
      </c>
      <c r="I25" s="138" t="s">
        <v>91</v>
      </c>
      <c r="J25" s="125" t="s">
        <v>382</v>
      </c>
      <c r="K25" s="129">
        <v>45425.0</v>
      </c>
      <c r="L25" s="129">
        <v>45429.0</v>
      </c>
      <c r="M25" s="152" t="s">
        <v>76</v>
      </c>
      <c r="N25" s="126">
        <v>15.0</v>
      </c>
      <c r="O25" s="125">
        <v>29.0</v>
      </c>
      <c r="P25" s="138">
        <v>23.0</v>
      </c>
      <c r="Q25" s="126" t="s">
        <v>73</v>
      </c>
      <c r="R25" s="131">
        <f t="shared" si="1"/>
        <v>-0.5333333333</v>
      </c>
      <c r="S25" s="131">
        <f t="shared" si="2"/>
        <v>0.2068965517</v>
      </c>
      <c r="T25" s="125" t="s">
        <v>350</v>
      </c>
      <c r="U25" s="125" t="s">
        <v>383</v>
      </c>
      <c r="V25" s="143" t="s">
        <v>226</v>
      </c>
      <c r="W25" s="156" t="s">
        <v>384</v>
      </c>
      <c r="X25" s="140" t="s">
        <v>227</v>
      </c>
      <c r="Y25" s="162"/>
      <c r="Z25" s="125"/>
      <c r="AA25" s="125"/>
      <c r="AB25" s="125"/>
      <c r="AC25" s="125"/>
      <c r="AD25" s="125"/>
      <c r="AE25" s="126"/>
      <c r="AF25" s="112"/>
      <c r="AG25" s="112"/>
      <c r="AH25" s="112"/>
    </row>
    <row r="26" hidden="1">
      <c r="A26" s="135" t="s">
        <v>0</v>
      </c>
      <c r="B26" s="124" t="s">
        <v>85</v>
      </c>
      <c r="C26" s="125" t="str">
        <f>IF(D26=0,"Digite a CH", IF(D26&lt;80,Dados!$AC$2,IF(D26=80,Dados!$AC$3,IF(D26&lt;179,Dados!$AC$3,IF(D26&gt;179,Dados!$AC$4)))))</f>
        <v>Básico (Até 79h)</v>
      </c>
      <c r="D26" s="126">
        <v>16.0</v>
      </c>
      <c r="E26" s="126" t="s">
        <v>208</v>
      </c>
      <c r="F26" s="125" t="s">
        <v>255</v>
      </c>
      <c r="G26" s="124" t="s">
        <v>388</v>
      </c>
      <c r="H26" s="128" t="s">
        <v>211</v>
      </c>
      <c r="I26" s="138" t="s">
        <v>109</v>
      </c>
      <c r="J26" s="125" t="s">
        <v>389</v>
      </c>
      <c r="K26" s="129">
        <v>45497.0</v>
      </c>
      <c r="L26" s="129">
        <v>45498.0</v>
      </c>
      <c r="M26" s="152" t="s">
        <v>85</v>
      </c>
      <c r="N26" s="126">
        <v>100.0</v>
      </c>
      <c r="O26" s="125"/>
      <c r="P26" s="125"/>
      <c r="Q26" s="126" t="s">
        <v>42</v>
      </c>
      <c r="R26" s="131">
        <f t="shared" si="1"/>
        <v>0</v>
      </c>
      <c r="S26" s="131" t="str">
        <f t="shared" si="2"/>
        <v>#DIV/0!</v>
      </c>
      <c r="T26" s="125" t="s">
        <v>350</v>
      </c>
      <c r="U26" s="125" t="s">
        <v>383</v>
      </c>
      <c r="V26" s="143" t="s">
        <v>226</v>
      </c>
      <c r="W26" s="10" t="s">
        <v>390</v>
      </c>
      <c r="X26" s="125" t="s">
        <v>391</v>
      </c>
      <c r="Y26" s="125"/>
      <c r="Z26" s="125"/>
      <c r="AA26" s="125"/>
      <c r="AB26" s="125"/>
      <c r="AC26" s="125"/>
      <c r="AD26" s="125"/>
      <c r="AE26" s="256"/>
      <c r="AF26" s="112"/>
      <c r="AG26" s="112"/>
      <c r="AH26" s="112"/>
    </row>
    <row r="27" hidden="1">
      <c r="A27" s="135" t="s">
        <v>0</v>
      </c>
      <c r="B27" s="125" t="s">
        <v>95</v>
      </c>
      <c r="C27" s="125" t="str">
        <f>IF(D27=0,"Digite a CH", IF(D27&lt;80,Dados!$AC$2,IF(D27=80,Dados!$AC$3,IF(D27&lt;179,Dados!$AC$3,IF(D27&gt;179,Dados!$AC$4)))))</f>
        <v>Básico (Até 79h)</v>
      </c>
      <c r="D27" s="126">
        <v>40.0</v>
      </c>
      <c r="E27" s="126" t="s">
        <v>208</v>
      </c>
      <c r="F27" s="125" t="s">
        <v>316</v>
      </c>
      <c r="G27" s="125" t="s">
        <v>333</v>
      </c>
      <c r="H27" s="128" t="s">
        <v>211</v>
      </c>
      <c r="I27" s="138" t="s">
        <v>105</v>
      </c>
      <c r="J27" s="125" t="s">
        <v>274</v>
      </c>
      <c r="K27" s="129">
        <v>45488.0</v>
      </c>
      <c r="L27" s="129">
        <v>45492.0</v>
      </c>
      <c r="M27" s="152" t="s">
        <v>95</v>
      </c>
      <c r="N27" s="126">
        <v>30.0</v>
      </c>
      <c r="O27" s="125"/>
      <c r="P27" s="125"/>
      <c r="Q27" s="126" t="s">
        <v>73</v>
      </c>
      <c r="R27" s="131">
        <f t="shared" si="1"/>
        <v>0</v>
      </c>
      <c r="S27" s="131" t="str">
        <f t="shared" si="2"/>
        <v>#DIV/0!</v>
      </c>
      <c r="T27" s="125" t="s">
        <v>350</v>
      </c>
      <c r="U27" s="125" t="s">
        <v>383</v>
      </c>
      <c r="V27" s="143" t="s">
        <v>226</v>
      </c>
      <c r="W27" s="164" t="s">
        <v>865</v>
      </c>
      <c r="X27" s="143" t="s">
        <v>395</v>
      </c>
      <c r="Y27" s="125"/>
      <c r="Z27" s="125"/>
      <c r="AA27" s="125"/>
      <c r="AB27" s="125"/>
      <c r="AC27" s="125"/>
      <c r="AD27" s="126"/>
      <c r="AE27" s="126"/>
      <c r="AF27" s="112"/>
      <c r="AG27" s="112"/>
      <c r="AH27" s="112"/>
    </row>
    <row r="28" hidden="1">
      <c r="A28" s="135" t="s">
        <v>3</v>
      </c>
      <c r="B28" s="124" t="s">
        <v>26</v>
      </c>
      <c r="C28" s="125" t="str">
        <f>IF(D28=0,"Digite a CH", IF(D28&lt;80,Dados!$AC$2,IF(D28=80,Dados!$AC$3,IF(D28&lt;179,Dados!$AC$3,IF(D28&gt;179,Dados!$AC$4)))))</f>
        <v>Básico (Até 79h)</v>
      </c>
      <c r="D28" s="126">
        <v>60.0</v>
      </c>
      <c r="E28" s="126" t="s">
        <v>208</v>
      </c>
      <c r="F28" s="125" t="s">
        <v>209</v>
      </c>
      <c r="G28" s="125" t="s">
        <v>210</v>
      </c>
      <c r="H28" s="128" t="s">
        <v>211</v>
      </c>
      <c r="I28" s="125" t="s">
        <v>109</v>
      </c>
      <c r="J28" s="125" t="s">
        <v>399</v>
      </c>
      <c r="K28" s="129">
        <v>45512.0</v>
      </c>
      <c r="L28" s="129">
        <v>45527.0</v>
      </c>
      <c r="M28" s="152" t="s">
        <v>26</v>
      </c>
      <c r="N28" s="126">
        <v>30.0</v>
      </c>
      <c r="O28" s="125"/>
      <c r="P28" s="125"/>
      <c r="Q28" s="126" t="s">
        <v>42</v>
      </c>
      <c r="R28" s="131">
        <f t="shared" si="1"/>
        <v>0</v>
      </c>
      <c r="S28" s="131" t="str">
        <f t="shared" si="2"/>
        <v>#DIV/0!</v>
      </c>
      <c r="T28" s="125" t="s">
        <v>400</v>
      </c>
      <c r="U28" s="126" t="s">
        <v>383</v>
      </c>
      <c r="V28" s="126" t="s">
        <v>401</v>
      </c>
      <c r="W28" s="165" t="s">
        <v>402</v>
      </c>
      <c r="X28" s="143" t="s">
        <v>395</v>
      </c>
      <c r="Y28" s="125"/>
      <c r="Z28" s="125"/>
      <c r="AA28" s="125"/>
      <c r="AB28" s="125"/>
      <c r="AC28" s="125"/>
      <c r="AD28" s="125"/>
      <c r="AE28" s="257"/>
      <c r="AF28" s="112"/>
      <c r="AG28" s="112"/>
      <c r="AH28" s="112"/>
    </row>
    <row r="29" hidden="1">
      <c r="A29" s="135" t="s">
        <v>3</v>
      </c>
      <c r="B29" s="125" t="s">
        <v>26</v>
      </c>
      <c r="C29" s="125" t="str">
        <f>IF(D29=0,"Digite a CH", IF(D29&lt;80,Dados!$AC$2,IF(D29=80,Dados!$AC$3,IF(D29&lt;179,Dados!$AC$3,IF(D29&gt;179,Dados!$AC$4)))))</f>
        <v>Básico (Até 79h)</v>
      </c>
      <c r="D29" s="126">
        <v>60.0</v>
      </c>
      <c r="E29" s="126" t="s">
        <v>208</v>
      </c>
      <c r="F29" s="125" t="s">
        <v>209</v>
      </c>
      <c r="G29" s="125" t="s">
        <v>210</v>
      </c>
      <c r="H29" s="128" t="s">
        <v>211</v>
      </c>
      <c r="I29" s="125" t="s">
        <v>105</v>
      </c>
      <c r="J29" s="125" t="s">
        <v>408</v>
      </c>
      <c r="K29" s="129">
        <v>45483.0</v>
      </c>
      <c r="L29" s="129">
        <v>45492.0</v>
      </c>
      <c r="M29" s="152" t="s">
        <v>26</v>
      </c>
      <c r="N29" s="126">
        <v>30.0</v>
      </c>
      <c r="O29" s="126">
        <v>71.0</v>
      </c>
      <c r="P29" s="126"/>
      <c r="Q29" s="126" t="s">
        <v>60</v>
      </c>
      <c r="R29" s="131">
        <f t="shared" si="1"/>
        <v>0</v>
      </c>
      <c r="S29" s="131">
        <f t="shared" si="2"/>
        <v>0</v>
      </c>
      <c r="T29" s="125" t="s">
        <v>400</v>
      </c>
      <c r="U29" s="126" t="s">
        <v>383</v>
      </c>
      <c r="V29" s="143" t="s">
        <v>401</v>
      </c>
      <c r="W29" s="165" t="s">
        <v>402</v>
      </c>
      <c r="X29" s="143" t="s">
        <v>395</v>
      </c>
      <c r="Y29" s="125"/>
      <c r="Z29" s="125" t="s">
        <v>218</v>
      </c>
      <c r="AA29" s="125"/>
      <c r="AB29" s="125"/>
      <c r="AC29" s="125"/>
      <c r="AD29" s="125"/>
      <c r="AE29" s="254"/>
      <c r="AF29" s="112"/>
      <c r="AG29" s="112"/>
      <c r="AH29" s="112"/>
    </row>
    <row r="30" hidden="1">
      <c r="A30" s="135" t="s">
        <v>3</v>
      </c>
      <c r="B30" s="169" t="s">
        <v>47</v>
      </c>
      <c r="C30" s="125" t="str">
        <f>IF(D30=0,"Digite a CH", IF(D30&lt;80,Dados!$AC$2,IF(D30=80,Dados!$AC$3,IF(D30&lt;179,Dados!$AC$3,IF(D30&gt;179,Dados!$AC$4)))))</f>
        <v>Básico (Até 79h)</v>
      </c>
      <c r="D30" s="126">
        <v>40.0</v>
      </c>
      <c r="E30" s="126" t="s">
        <v>208</v>
      </c>
      <c r="F30" s="125" t="s">
        <v>209</v>
      </c>
      <c r="G30" s="125" t="s">
        <v>223</v>
      </c>
      <c r="H30" s="128" t="s">
        <v>211</v>
      </c>
      <c r="I30" s="125" t="s">
        <v>238</v>
      </c>
      <c r="J30" s="125" t="s">
        <v>239</v>
      </c>
      <c r="K30" s="129">
        <v>45502.0</v>
      </c>
      <c r="L30" s="129">
        <v>45506.0</v>
      </c>
      <c r="M30" s="152" t="s">
        <v>412</v>
      </c>
      <c r="N30" s="170">
        <v>40.0</v>
      </c>
      <c r="O30" s="126"/>
      <c r="P30" s="126"/>
      <c r="Q30" s="126" t="s">
        <v>42</v>
      </c>
      <c r="R30" s="131">
        <f t="shared" si="1"/>
        <v>0</v>
      </c>
      <c r="S30" s="131" t="str">
        <f t="shared" si="2"/>
        <v>#DIV/0!</v>
      </c>
      <c r="T30" s="125" t="s">
        <v>400</v>
      </c>
      <c r="U30" s="126" t="s">
        <v>383</v>
      </c>
      <c r="V30" s="143" t="s">
        <v>401</v>
      </c>
      <c r="W30" s="171" t="s">
        <v>413</v>
      </c>
      <c r="X30" s="143" t="s">
        <v>395</v>
      </c>
      <c r="Y30" s="125"/>
      <c r="Z30" s="125"/>
      <c r="AA30" s="125"/>
      <c r="AB30" s="125"/>
      <c r="AC30" s="125"/>
      <c r="AD30" s="125"/>
      <c r="AE30" s="126"/>
      <c r="AF30" s="112"/>
      <c r="AG30" s="112"/>
      <c r="AH30" s="112"/>
    </row>
    <row r="31" hidden="1">
      <c r="A31" s="135" t="s">
        <v>3</v>
      </c>
      <c r="B31" s="169" t="s">
        <v>65</v>
      </c>
      <c r="C31" s="125" t="str">
        <f>IF(D31=0,"Digite a CH", IF(D31&lt;80,Dados!$AC$2,IF(D31=80,Dados!$AC$3,IF(D31&lt;179,Dados!$AC$3,IF(D31&gt;179,Dados!$AC$4)))))</f>
        <v>Básico (Até 79h)</v>
      </c>
      <c r="D31" s="126">
        <v>40.0</v>
      </c>
      <c r="E31" s="126" t="s">
        <v>208</v>
      </c>
      <c r="F31" s="125" t="s">
        <v>295</v>
      </c>
      <c r="G31" s="125" t="s">
        <v>296</v>
      </c>
      <c r="H31" s="128" t="s">
        <v>211</v>
      </c>
      <c r="I31" s="125" t="s">
        <v>105</v>
      </c>
      <c r="J31" s="125" t="s">
        <v>419</v>
      </c>
      <c r="K31" s="129">
        <v>45474.0</v>
      </c>
      <c r="L31" s="129">
        <v>45478.0</v>
      </c>
      <c r="M31" s="152" t="s">
        <v>420</v>
      </c>
      <c r="N31" s="170">
        <v>40.0</v>
      </c>
      <c r="O31" s="126">
        <v>89.0</v>
      </c>
      <c r="P31" s="126"/>
      <c r="Q31" s="126" t="s">
        <v>73</v>
      </c>
      <c r="R31" s="131">
        <f t="shared" si="1"/>
        <v>0</v>
      </c>
      <c r="S31" s="131">
        <f t="shared" si="2"/>
        <v>0</v>
      </c>
      <c r="T31" s="125" t="s">
        <v>400</v>
      </c>
      <c r="U31" s="126" t="s">
        <v>383</v>
      </c>
      <c r="V31" s="143" t="s">
        <v>401</v>
      </c>
      <c r="W31" s="174" t="s">
        <v>421</v>
      </c>
      <c r="X31" s="143" t="s">
        <v>395</v>
      </c>
      <c r="Y31" s="125"/>
      <c r="Z31" s="125" t="s">
        <v>283</v>
      </c>
      <c r="AA31" s="125"/>
      <c r="AB31" s="125"/>
      <c r="AC31" s="125"/>
      <c r="AD31" s="125"/>
      <c r="AE31" s="258"/>
      <c r="AF31" s="112"/>
      <c r="AG31" s="112"/>
      <c r="AH31" s="112"/>
    </row>
    <row r="32" hidden="1">
      <c r="A32" s="135" t="s">
        <v>3</v>
      </c>
      <c r="B32" s="125" t="s">
        <v>78</v>
      </c>
      <c r="C32" s="125" t="str">
        <f>IF(D32=0,"Digite a CH", IF(D32&lt;80,Dados!$AC$2,IF(D32=80,Dados!$AC$3,IF(D32&lt;179,Dados!$AC$3,IF(D32&gt;179,Dados!$AC$4)))))</f>
        <v>Básico (Até 79h)</v>
      </c>
      <c r="D32" s="170">
        <v>60.0</v>
      </c>
      <c r="E32" s="126" t="s">
        <v>208</v>
      </c>
      <c r="F32" s="125" t="s">
        <v>342</v>
      </c>
      <c r="G32" s="125" t="s">
        <v>426</v>
      </c>
      <c r="H32" s="128" t="s">
        <v>211</v>
      </c>
      <c r="I32" s="125" t="s">
        <v>109</v>
      </c>
      <c r="J32" s="125" t="s">
        <v>427</v>
      </c>
      <c r="K32" s="129">
        <v>45516.0</v>
      </c>
      <c r="L32" s="129">
        <v>45520.0</v>
      </c>
      <c r="M32" s="152" t="s">
        <v>78</v>
      </c>
      <c r="N32" s="126">
        <v>40.0</v>
      </c>
      <c r="O32" s="126"/>
      <c r="P32" s="126"/>
      <c r="Q32" s="126" t="s">
        <v>42</v>
      </c>
      <c r="R32" s="131">
        <f t="shared" si="1"/>
        <v>0</v>
      </c>
      <c r="S32" s="131" t="str">
        <f t="shared" si="2"/>
        <v>#DIV/0!</v>
      </c>
      <c r="T32" s="125" t="s">
        <v>400</v>
      </c>
      <c r="U32" s="126" t="s">
        <v>383</v>
      </c>
      <c r="V32" s="143" t="s">
        <v>401</v>
      </c>
      <c r="W32" s="165" t="s">
        <v>428</v>
      </c>
      <c r="X32" s="143" t="s">
        <v>395</v>
      </c>
      <c r="Y32" s="125"/>
      <c r="Z32" s="125"/>
      <c r="AA32" s="125"/>
      <c r="AB32" s="125"/>
      <c r="AC32" s="125"/>
      <c r="AD32" s="125"/>
      <c r="AE32" s="259"/>
      <c r="AF32" s="112"/>
      <c r="AG32" s="112"/>
      <c r="AH32" s="112"/>
    </row>
    <row r="33">
      <c r="A33" s="135" t="s">
        <v>3</v>
      </c>
      <c r="B33" s="125" t="s">
        <v>78</v>
      </c>
      <c r="C33" s="125" t="str">
        <f>IF(D33=0,"Digite a CH", IF(D33&lt;80,Dados!$AC$2,IF(D33=80,Dados!$AC$3,IF(D33&lt;179,Dados!$AC$3,IF(D33&gt;179,Dados!$AC$4)))))</f>
        <v>Básico (Até 79h)</v>
      </c>
      <c r="D33" s="170">
        <v>60.0</v>
      </c>
      <c r="E33" s="126" t="s">
        <v>266</v>
      </c>
      <c r="F33" s="125" t="s">
        <v>316</v>
      </c>
      <c r="G33" s="125" t="s">
        <v>333</v>
      </c>
      <c r="H33" s="128" t="s">
        <v>211</v>
      </c>
      <c r="I33" s="125" t="s">
        <v>100</v>
      </c>
      <c r="J33" s="125" t="s">
        <v>434</v>
      </c>
      <c r="K33" s="129">
        <v>45453.0</v>
      </c>
      <c r="L33" s="129">
        <v>45457.0</v>
      </c>
      <c r="M33" s="152" t="s">
        <v>78</v>
      </c>
      <c r="N33" s="126">
        <v>40.0</v>
      </c>
      <c r="O33" s="126">
        <v>32.0</v>
      </c>
      <c r="P33" s="177">
        <v>15.0</v>
      </c>
      <c r="Q33" s="126" t="s">
        <v>73</v>
      </c>
      <c r="R33" s="131">
        <f t="shared" si="1"/>
        <v>0.625</v>
      </c>
      <c r="S33" s="131">
        <f t="shared" si="2"/>
        <v>0.53125</v>
      </c>
      <c r="T33" s="125" t="s">
        <v>400</v>
      </c>
      <c r="U33" s="126" t="s">
        <v>383</v>
      </c>
      <c r="V33" s="143" t="s">
        <v>401</v>
      </c>
      <c r="W33" s="165" t="s">
        <v>428</v>
      </c>
      <c r="X33" s="143" t="s">
        <v>395</v>
      </c>
      <c r="Y33" s="125"/>
      <c r="Z33" s="125" t="s">
        <v>218</v>
      </c>
      <c r="AA33" s="125"/>
      <c r="AB33" s="125"/>
      <c r="AC33" s="125"/>
      <c r="AD33" s="126"/>
      <c r="AE33" s="126"/>
      <c r="AF33" s="112"/>
      <c r="AG33" s="112"/>
      <c r="AH33" s="112"/>
    </row>
    <row r="34" ht="38.25" hidden="1" customHeight="1">
      <c r="A34" s="135" t="s">
        <v>6</v>
      </c>
      <c r="B34" s="124" t="s">
        <v>29</v>
      </c>
      <c r="C34" s="125" t="str">
        <f>IF(D34=0,"Digite a CH", IF(D34&lt;80,Dados!$AC$2,IF(D34=80,Dados!$AC$3,IF(D34&lt;179,Dados!$AC$3,IF(D34&gt;179,Dados!$AC$4)))))</f>
        <v>Atualização (80h-179h)</v>
      </c>
      <c r="D34" s="126">
        <v>80.0</v>
      </c>
      <c r="E34" s="126" t="s">
        <v>208</v>
      </c>
      <c r="F34" s="125" t="s">
        <v>209</v>
      </c>
      <c r="G34" s="125" t="s">
        <v>440</v>
      </c>
      <c r="H34" s="128" t="s">
        <v>211</v>
      </c>
      <c r="I34" s="125" t="s">
        <v>441</v>
      </c>
      <c r="J34" s="125" t="s">
        <v>442</v>
      </c>
      <c r="K34" s="129">
        <v>45460.0</v>
      </c>
      <c r="L34" s="129">
        <v>45464.0</v>
      </c>
      <c r="M34" s="152" t="s">
        <v>136</v>
      </c>
      <c r="N34" s="126">
        <v>40.0</v>
      </c>
      <c r="O34" s="125">
        <v>38.0</v>
      </c>
      <c r="P34" s="125">
        <v>25.0</v>
      </c>
      <c r="Q34" s="126" t="s">
        <v>73</v>
      </c>
      <c r="R34" s="131">
        <f t="shared" si="1"/>
        <v>0.375</v>
      </c>
      <c r="S34" s="131">
        <f t="shared" si="2"/>
        <v>0.3421052632</v>
      </c>
      <c r="T34" s="126" t="s">
        <v>213</v>
      </c>
      <c r="U34" s="126"/>
      <c r="V34" s="126" t="s">
        <v>226</v>
      </c>
      <c r="W34" s="179" t="s">
        <v>443</v>
      </c>
      <c r="X34" s="126" t="s">
        <v>260</v>
      </c>
      <c r="Y34" s="125" t="s">
        <v>444</v>
      </c>
      <c r="Z34" s="126" t="s">
        <v>218</v>
      </c>
      <c r="AA34" s="126"/>
      <c r="AB34" s="125" t="s">
        <v>866</v>
      </c>
      <c r="AC34" s="125" t="s">
        <v>867</v>
      </c>
      <c r="AD34" s="125"/>
      <c r="AE34" s="130" t="s">
        <v>447</v>
      </c>
      <c r="AF34" s="112"/>
      <c r="AG34" s="112"/>
      <c r="AH34" s="112"/>
    </row>
    <row r="35" ht="38.25" hidden="1" customHeight="1">
      <c r="A35" s="182" t="s">
        <v>6</v>
      </c>
      <c r="B35" s="124" t="s">
        <v>29</v>
      </c>
      <c r="C35" s="125" t="str">
        <f>IF(D35=0,"Digite a CH", IF(D35&lt;80,Dados!$AC$2,IF(D35=80,Dados!$AC$3,IF(D35&lt;179,Dados!$AC$3,IF(D35&gt;179,Dados!$AC$4)))))</f>
        <v>Atualização (80h-179h)</v>
      </c>
      <c r="D35" s="126">
        <v>80.0</v>
      </c>
      <c r="E35" s="126" t="s">
        <v>266</v>
      </c>
      <c r="F35" s="125" t="s">
        <v>209</v>
      </c>
      <c r="G35" s="125" t="s">
        <v>448</v>
      </c>
      <c r="H35" s="128" t="s">
        <v>211</v>
      </c>
      <c r="I35" s="125" t="s">
        <v>449</v>
      </c>
      <c r="J35" s="125" t="s">
        <v>450</v>
      </c>
      <c r="K35" s="129">
        <v>45523.0</v>
      </c>
      <c r="L35" s="129">
        <v>45527.0</v>
      </c>
      <c r="M35" s="152" t="s">
        <v>136</v>
      </c>
      <c r="N35" s="126">
        <v>40.0</v>
      </c>
      <c r="O35" s="125"/>
      <c r="P35" s="125"/>
      <c r="Q35" s="126" t="s">
        <v>42</v>
      </c>
      <c r="R35" s="131">
        <f t="shared" si="1"/>
        <v>0</v>
      </c>
      <c r="S35" s="131" t="str">
        <f t="shared" si="2"/>
        <v>#DIV/0!</v>
      </c>
      <c r="T35" s="126" t="s">
        <v>213</v>
      </c>
      <c r="U35" s="126"/>
      <c r="V35" s="126" t="s">
        <v>226</v>
      </c>
      <c r="W35" s="144" t="s">
        <v>443</v>
      </c>
      <c r="X35" s="126" t="s">
        <v>282</v>
      </c>
      <c r="Y35" s="125" t="s">
        <v>444</v>
      </c>
      <c r="Z35" s="126" t="s">
        <v>218</v>
      </c>
      <c r="AA35" s="126"/>
      <c r="AB35" s="126"/>
      <c r="AC35" s="125"/>
      <c r="AD35" s="125"/>
      <c r="AE35" s="125"/>
      <c r="AF35" s="112"/>
      <c r="AG35" s="112"/>
      <c r="AH35" s="112"/>
    </row>
    <row r="36">
      <c r="A36" s="135" t="s">
        <v>14</v>
      </c>
      <c r="B36" s="124" t="s">
        <v>37</v>
      </c>
      <c r="C36" s="125" t="str">
        <f>IF(D36=0,"Digite a CH", IF(D36&lt;80,Dados!$AC$2,IF(D36=80,Dados!$AC$3,IF(D36&lt;179,Dados!$AC$3,IF(D36&gt;179,Dados!$AC$4)))))</f>
        <v>Básico (Até 79h)</v>
      </c>
      <c r="D36" s="126">
        <v>40.0</v>
      </c>
      <c r="E36" s="126" t="s">
        <v>454</v>
      </c>
      <c r="F36" s="125" t="s">
        <v>209</v>
      </c>
      <c r="G36" s="125" t="s">
        <v>455</v>
      </c>
      <c r="H36" s="125" t="s">
        <v>211</v>
      </c>
      <c r="I36" s="125" t="s">
        <v>456</v>
      </c>
      <c r="J36" s="125" t="s">
        <v>457</v>
      </c>
      <c r="K36" s="126"/>
      <c r="L36" s="126"/>
      <c r="M36" s="260" t="s">
        <v>458</v>
      </c>
      <c r="N36" s="126">
        <v>20.0</v>
      </c>
      <c r="O36" s="126">
        <v>26.0</v>
      </c>
      <c r="P36" s="177">
        <v>17.0</v>
      </c>
      <c r="Q36" s="126" t="s">
        <v>73</v>
      </c>
      <c r="R36" s="131">
        <f t="shared" si="1"/>
        <v>0.15</v>
      </c>
      <c r="S36" s="131">
        <f t="shared" si="2"/>
        <v>0.3461538462</v>
      </c>
      <c r="T36" s="126" t="s">
        <v>459</v>
      </c>
      <c r="U36" s="126" t="s">
        <v>335</v>
      </c>
      <c r="V36" s="126" t="s">
        <v>401</v>
      </c>
      <c r="W36" s="144" t="s">
        <v>460</v>
      </c>
      <c r="X36" s="160" t="s">
        <v>260</v>
      </c>
      <c r="Y36" s="125"/>
      <c r="Z36" s="184"/>
      <c r="AA36" s="184"/>
      <c r="AB36" s="184"/>
      <c r="AC36" s="125"/>
      <c r="AD36" s="126"/>
      <c r="AE36" s="153"/>
      <c r="AF36" s="112"/>
      <c r="AG36" s="112"/>
      <c r="AH36" s="112"/>
    </row>
    <row r="37" hidden="1">
      <c r="A37" s="135" t="s">
        <v>14</v>
      </c>
      <c r="B37" s="124" t="s">
        <v>37</v>
      </c>
      <c r="C37" s="125" t="str">
        <f>IF(D37=0,"Digite a CH", IF(D37&lt;80,Dados!$AC$2,IF(D37=80,Dados!$AC$3,IF(D37&lt;179,Dados!$AC$3,IF(D37&gt;179,Dados!$AC$4)))))</f>
        <v>Básico (Até 79h)</v>
      </c>
      <c r="D37" s="126">
        <v>40.0</v>
      </c>
      <c r="E37" s="126" t="s">
        <v>467</v>
      </c>
      <c r="F37" s="125" t="s">
        <v>209</v>
      </c>
      <c r="G37" s="125" t="s">
        <v>455</v>
      </c>
      <c r="H37" s="125" t="s">
        <v>211</v>
      </c>
      <c r="I37" s="125" t="s">
        <v>115</v>
      </c>
      <c r="J37" s="187" t="s">
        <v>468</v>
      </c>
      <c r="K37" s="126"/>
      <c r="L37" s="126"/>
      <c r="M37" s="126"/>
      <c r="N37" s="126">
        <v>20.0</v>
      </c>
      <c r="O37" s="126"/>
      <c r="P37" s="126"/>
      <c r="Q37" s="126" t="s">
        <v>42</v>
      </c>
      <c r="R37" s="131">
        <f t="shared" si="1"/>
        <v>0</v>
      </c>
      <c r="S37" s="131" t="str">
        <f t="shared" si="2"/>
        <v>#DIV/0!</v>
      </c>
      <c r="T37" s="126" t="s">
        <v>459</v>
      </c>
      <c r="U37" s="126" t="s">
        <v>335</v>
      </c>
      <c r="V37" s="126" t="s">
        <v>401</v>
      </c>
      <c r="W37" s="144" t="s">
        <v>460</v>
      </c>
      <c r="X37" s="160" t="s">
        <v>260</v>
      </c>
      <c r="Y37" s="125"/>
      <c r="Z37" s="184"/>
      <c r="AA37" s="184"/>
      <c r="AB37" s="184"/>
      <c r="AC37" s="125"/>
      <c r="AD37" s="126"/>
      <c r="AE37" s="153"/>
      <c r="AF37" s="112"/>
      <c r="AG37" s="112"/>
      <c r="AH37" s="112"/>
    </row>
    <row r="38">
      <c r="A38" s="135" t="s">
        <v>14</v>
      </c>
      <c r="B38" s="124" t="s">
        <v>54</v>
      </c>
      <c r="C38" s="125" t="str">
        <f>IF(D38=0,"Digite a CH", IF(D38&lt;80,Dados!$AC$2,IF(D38=80,Dados!$AC$3,IF(D38&lt;179,Dados!$AC$3,IF(D38&gt;179,Dados!$AC$4)))))</f>
        <v>Básico (Até 79h)</v>
      </c>
      <c r="D38" s="126">
        <v>8.0</v>
      </c>
      <c r="E38" s="126" t="s">
        <v>472</v>
      </c>
      <c r="F38" s="125" t="s">
        <v>209</v>
      </c>
      <c r="G38" s="125" t="s">
        <v>455</v>
      </c>
      <c r="H38" s="125" t="s">
        <v>211</v>
      </c>
      <c r="I38" s="125" t="s">
        <v>91</v>
      </c>
      <c r="J38" s="189">
        <v>45429.0</v>
      </c>
      <c r="K38" s="129">
        <v>45429.0</v>
      </c>
      <c r="L38" s="129">
        <v>45429.0</v>
      </c>
      <c r="M38" s="152" t="s">
        <v>54</v>
      </c>
      <c r="N38" s="126">
        <v>32.0</v>
      </c>
      <c r="O38" s="126">
        <v>48.0</v>
      </c>
      <c r="P38" s="177">
        <v>41.0</v>
      </c>
      <c r="Q38" s="126" t="s">
        <v>73</v>
      </c>
      <c r="R38" s="131">
        <f t="shared" si="1"/>
        <v>-0.28125</v>
      </c>
      <c r="S38" s="131">
        <f t="shared" si="2"/>
        <v>0.1458333333</v>
      </c>
      <c r="T38" s="126" t="s">
        <v>459</v>
      </c>
      <c r="U38" s="126" t="s">
        <v>335</v>
      </c>
      <c r="V38" s="126" t="s">
        <v>401</v>
      </c>
      <c r="W38" s="144" t="s">
        <v>473</v>
      </c>
      <c r="X38" s="160" t="s">
        <v>260</v>
      </c>
      <c r="Y38" s="125" t="s">
        <v>868</v>
      </c>
      <c r="Z38" s="184" t="s">
        <v>218</v>
      </c>
      <c r="AA38" s="190" t="s">
        <v>462</v>
      </c>
      <c r="AB38" s="190" t="s">
        <v>475</v>
      </c>
      <c r="AC38" s="125" t="s">
        <v>869</v>
      </c>
      <c r="AD38" s="125" t="s">
        <v>870</v>
      </c>
      <c r="AE38" s="152" t="s">
        <v>478</v>
      </c>
      <c r="AF38" s="112"/>
      <c r="AG38" s="112"/>
      <c r="AH38" s="112"/>
    </row>
    <row r="39">
      <c r="A39" s="135" t="s">
        <v>14</v>
      </c>
      <c r="B39" s="124" t="s">
        <v>54</v>
      </c>
      <c r="C39" s="125" t="str">
        <f>IF(D39=0,"Digite a CH", IF(D39&lt;80,Dados!$AC$2,IF(D39=80,Dados!$AC$3,IF(D39&lt;179,Dados!$AC$3,IF(D39&gt;179,Dados!$AC$4)))))</f>
        <v>Básico (Até 79h)</v>
      </c>
      <c r="D39" s="126">
        <v>8.0</v>
      </c>
      <c r="E39" s="126" t="s">
        <v>208</v>
      </c>
      <c r="F39" s="125" t="s">
        <v>209</v>
      </c>
      <c r="G39" s="125" t="s">
        <v>455</v>
      </c>
      <c r="H39" s="125" t="s">
        <v>211</v>
      </c>
      <c r="I39" s="125" t="s">
        <v>100</v>
      </c>
      <c r="J39" s="189">
        <v>45471.0</v>
      </c>
      <c r="K39" s="129">
        <v>45471.0</v>
      </c>
      <c r="L39" s="129">
        <v>45471.0</v>
      </c>
      <c r="M39" s="152" t="s">
        <v>54</v>
      </c>
      <c r="N39" s="126">
        <v>32.0</v>
      </c>
      <c r="O39" s="126">
        <v>37.0</v>
      </c>
      <c r="P39" s="177">
        <v>29.0</v>
      </c>
      <c r="Q39" s="126" t="s">
        <v>73</v>
      </c>
      <c r="R39" s="131">
        <f t="shared" si="1"/>
        <v>0.09375</v>
      </c>
      <c r="S39" s="131">
        <f t="shared" si="2"/>
        <v>0.2162162162</v>
      </c>
      <c r="T39" s="126" t="s">
        <v>459</v>
      </c>
      <c r="U39" s="126" t="s">
        <v>335</v>
      </c>
      <c r="V39" s="126" t="s">
        <v>401</v>
      </c>
      <c r="W39" s="144" t="s">
        <v>473</v>
      </c>
      <c r="X39" s="160" t="s">
        <v>560</v>
      </c>
      <c r="Y39" s="125"/>
      <c r="Z39" s="184"/>
      <c r="AA39" s="184"/>
      <c r="AB39" s="184"/>
      <c r="AC39" s="125"/>
      <c r="AD39" s="126"/>
      <c r="AE39" s="153"/>
      <c r="AF39" s="112"/>
      <c r="AG39" s="112"/>
      <c r="AH39" s="112"/>
    </row>
    <row r="40" hidden="1">
      <c r="A40" s="135" t="s">
        <v>14</v>
      </c>
      <c r="B40" s="124" t="s">
        <v>54</v>
      </c>
      <c r="C40" s="125" t="str">
        <f>IF(D40=0,"Digite a CH", IF(D40&lt;80,Dados!$AC$2,IF(D40=80,Dados!$AC$3,IF(D40&lt;179,Dados!$AC$3,IF(D40&gt;179,Dados!$AC$4)))))</f>
        <v>Básico (Até 79h)</v>
      </c>
      <c r="D40" s="126">
        <v>8.0</v>
      </c>
      <c r="E40" s="126" t="s">
        <v>266</v>
      </c>
      <c r="F40" s="125" t="s">
        <v>209</v>
      </c>
      <c r="G40" s="125" t="s">
        <v>455</v>
      </c>
      <c r="H40" s="125" t="s">
        <v>211</v>
      </c>
      <c r="I40" s="125" t="s">
        <v>113</v>
      </c>
      <c r="J40" s="195">
        <v>45548.0</v>
      </c>
      <c r="K40" s="126"/>
      <c r="L40" s="126"/>
      <c r="M40" s="126"/>
      <c r="N40" s="126">
        <v>32.0</v>
      </c>
      <c r="O40" s="126"/>
      <c r="P40" s="126"/>
      <c r="Q40" s="126" t="s">
        <v>42</v>
      </c>
      <c r="R40" s="131">
        <f t="shared" si="1"/>
        <v>0</v>
      </c>
      <c r="S40" s="131" t="str">
        <f t="shared" si="2"/>
        <v>#DIV/0!</v>
      </c>
      <c r="T40" s="126" t="s">
        <v>459</v>
      </c>
      <c r="U40" s="126" t="s">
        <v>335</v>
      </c>
      <c r="V40" s="126" t="s">
        <v>401</v>
      </c>
      <c r="W40" s="144" t="s">
        <v>473</v>
      </c>
      <c r="X40" s="160" t="s">
        <v>560</v>
      </c>
      <c r="Y40" s="125"/>
      <c r="Z40" s="184"/>
      <c r="AA40" s="184"/>
      <c r="AB40" s="184"/>
      <c r="AC40" s="125"/>
      <c r="AD40" s="126"/>
      <c r="AE40" s="153"/>
      <c r="AF40" s="112"/>
      <c r="AG40" s="112"/>
      <c r="AH40" s="112"/>
    </row>
    <row r="41" hidden="1">
      <c r="A41" s="135" t="s">
        <v>14</v>
      </c>
      <c r="B41" s="124" t="s">
        <v>103</v>
      </c>
      <c r="C41" s="125" t="str">
        <f>IF(D41=0,"Digite a CH", IF(D41&lt;80,Dados!$AC$2,IF(D41=80,Dados!$AC$3,IF(D41&lt;179,Dados!$AC$3,IF(D41&gt;179,Dados!$AC$4)))))</f>
        <v>Básico (Até 79h)</v>
      </c>
      <c r="D41" s="126">
        <v>40.0</v>
      </c>
      <c r="E41" s="126" t="s">
        <v>208</v>
      </c>
      <c r="F41" s="125" t="s">
        <v>209</v>
      </c>
      <c r="G41" s="125" t="s">
        <v>455</v>
      </c>
      <c r="H41" s="125" t="s">
        <v>211</v>
      </c>
      <c r="I41" s="125" t="s">
        <v>522</v>
      </c>
      <c r="J41" s="189"/>
      <c r="K41" s="126"/>
      <c r="L41" s="126"/>
      <c r="M41" s="126"/>
      <c r="N41" s="126">
        <v>10.0</v>
      </c>
      <c r="O41" s="126"/>
      <c r="P41" s="126"/>
      <c r="Q41" s="126" t="s">
        <v>42</v>
      </c>
      <c r="R41" s="131">
        <f t="shared" si="1"/>
        <v>0</v>
      </c>
      <c r="S41" s="131" t="str">
        <f t="shared" si="2"/>
        <v>#DIV/0!</v>
      </c>
      <c r="T41" s="126" t="s">
        <v>459</v>
      </c>
      <c r="U41" s="126" t="s">
        <v>335</v>
      </c>
      <c r="V41" s="126" t="s">
        <v>401</v>
      </c>
      <c r="W41" s="144" t="s">
        <v>488</v>
      </c>
      <c r="X41" s="160" t="s">
        <v>560</v>
      </c>
      <c r="Y41" s="125"/>
      <c r="Z41" s="184"/>
      <c r="AA41" s="184"/>
      <c r="AB41" s="184"/>
      <c r="AC41" s="125"/>
      <c r="AD41" s="126"/>
      <c r="AE41" s="153"/>
      <c r="AF41" s="112"/>
      <c r="AG41" s="112"/>
      <c r="AH41" s="112"/>
    </row>
    <row r="42" hidden="1">
      <c r="A42" s="135" t="s">
        <v>14</v>
      </c>
      <c r="B42" s="124" t="s">
        <v>103</v>
      </c>
      <c r="C42" s="125" t="str">
        <f>IF(D42=0,"Digite a CH", IF(D42&lt;80,Dados!$AC$2,IF(D42=80,Dados!$AC$3,IF(D42&lt;179,Dados!$AC$3,IF(D42&gt;179,Dados!$AC$4)))))</f>
        <v>Básico (Até 79h)</v>
      </c>
      <c r="D42" s="126">
        <v>40.0</v>
      </c>
      <c r="E42" s="126" t="s">
        <v>266</v>
      </c>
      <c r="F42" s="125" t="s">
        <v>209</v>
      </c>
      <c r="G42" s="140" t="s">
        <v>455</v>
      </c>
      <c r="H42" s="125" t="s">
        <v>211</v>
      </c>
      <c r="I42" s="125"/>
      <c r="J42" s="160"/>
      <c r="K42" s="126"/>
      <c r="L42" s="126"/>
      <c r="M42" s="126"/>
      <c r="N42" s="126">
        <v>10.0</v>
      </c>
      <c r="O42" s="126"/>
      <c r="P42" s="126"/>
      <c r="Q42" s="126" t="s">
        <v>83</v>
      </c>
      <c r="R42" s="131">
        <f t="shared" si="1"/>
        <v>0</v>
      </c>
      <c r="S42" s="131" t="str">
        <f t="shared" si="2"/>
        <v>#DIV/0!</v>
      </c>
      <c r="T42" s="126" t="s">
        <v>459</v>
      </c>
      <c r="U42" s="126" t="s">
        <v>335</v>
      </c>
      <c r="V42" s="126" t="s">
        <v>401</v>
      </c>
      <c r="W42" s="144" t="s">
        <v>488</v>
      </c>
      <c r="X42" s="160" t="s">
        <v>560</v>
      </c>
      <c r="Y42" s="125"/>
      <c r="Z42" s="184"/>
      <c r="AA42" s="184"/>
      <c r="AB42" s="184"/>
      <c r="AC42" s="125"/>
      <c r="AD42" s="126"/>
      <c r="AE42" s="153"/>
      <c r="AF42" s="112"/>
      <c r="AG42" s="112"/>
      <c r="AH42" s="112"/>
    </row>
    <row r="43">
      <c r="A43" s="135" t="s">
        <v>14</v>
      </c>
      <c r="B43" s="124" t="s">
        <v>107</v>
      </c>
      <c r="C43" s="125" t="str">
        <f>IF(D43=0,"Digite a CH", IF(D43&lt;80,Dados!$AC$2,IF(D43=80,Dados!$AC$3,IF(D43&lt;179,Dados!$AC$3,IF(D43&gt;179,Dados!$AC$4)))))</f>
        <v>Básico (Até 79h)</v>
      </c>
      <c r="D43" s="126">
        <v>8.0</v>
      </c>
      <c r="E43" s="126" t="s">
        <v>208</v>
      </c>
      <c r="F43" s="125" t="s">
        <v>209</v>
      </c>
      <c r="G43" s="125" t="s">
        <v>538</v>
      </c>
      <c r="H43" s="125" t="s">
        <v>211</v>
      </c>
      <c r="I43" s="125" t="s">
        <v>91</v>
      </c>
      <c r="J43" s="189">
        <v>45441.0</v>
      </c>
      <c r="K43" s="126"/>
      <c r="L43" s="126"/>
      <c r="M43" s="126"/>
      <c r="N43" s="126">
        <v>10.0</v>
      </c>
      <c r="O43" s="126">
        <v>10.0</v>
      </c>
      <c r="P43" s="177">
        <v>10.0</v>
      </c>
      <c r="Q43" s="126" t="s">
        <v>73</v>
      </c>
      <c r="R43" s="131">
        <f t="shared" si="1"/>
        <v>0</v>
      </c>
      <c r="S43" s="131">
        <f t="shared" si="2"/>
        <v>0</v>
      </c>
      <c r="T43" s="126" t="s">
        <v>459</v>
      </c>
      <c r="U43" s="126" t="s">
        <v>335</v>
      </c>
      <c r="V43" s="126" t="s">
        <v>401</v>
      </c>
      <c r="W43" s="144" t="s">
        <v>497</v>
      </c>
      <c r="X43" s="160" t="s">
        <v>260</v>
      </c>
      <c r="Y43" s="125" t="s">
        <v>871</v>
      </c>
      <c r="Z43" s="184"/>
      <c r="AA43" s="184"/>
      <c r="AB43" s="190" t="s">
        <v>872</v>
      </c>
      <c r="AC43" s="125" t="s">
        <v>873</v>
      </c>
      <c r="AD43" s="125" t="s">
        <v>874</v>
      </c>
      <c r="AE43" s="152" t="s">
        <v>502</v>
      </c>
      <c r="AF43" s="112"/>
      <c r="AG43" s="112"/>
      <c r="AH43" s="112"/>
    </row>
    <row r="44">
      <c r="A44" s="135" t="s">
        <v>14</v>
      </c>
      <c r="B44" s="124" t="s">
        <v>107</v>
      </c>
      <c r="C44" s="125" t="str">
        <f>IF(D44=0,"Digite a CH", IF(D44&lt;80,Dados!$AC$2,IF(D44=80,Dados!$AC$3,IF(D44&lt;179,Dados!$AC$3,IF(D44&gt;179,Dados!$AC$4)))))</f>
        <v>Básico (Até 79h)</v>
      </c>
      <c r="D44" s="143">
        <v>8.0</v>
      </c>
      <c r="E44" s="126" t="s">
        <v>266</v>
      </c>
      <c r="F44" s="125" t="s">
        <v>209</v>
      </c>
      <c r="G44" s="125" t="s">
        <v>538</v>
      </c>
      <c r="H44" s="125" t="s">
        <v>211</v>
      </c>
      <c r="I44" s="125" t="s">
        <v>100</v>
      </c>
      <c r="J44" s="189">
        <v>45461.0</v>
      </c>
      <c r="K44" s="126"/>
      <c r="L44" s="126"/>
      <c r="M44" s="261" t="s">
        <v>504</v>
      </c>
      <c r="N44" s="126">
        <v>10.0</v>
      </c>
      <c r="O44" s="126">
        <v>16.0</v>
      </c>
      <c r="P44" s="177">
        <v>11.0</v>
      </c>
      <c r="Q44" s="126" t="s">
        <v>73</v>
      </c>
      <c r="R44" s="131">
        <f t="shared" si="1"/>
        <v>-0.1</v>
      </c>
      <c r="S44" s="131">
        <f t="shared" si="2"/>
        <v>0.3125</v>
      </c>
      <c r="T44" s="126" t="s">
        <v>459</v>
      </c>
      <c r="U44" s="126" t="s">
        <v>335</v>
      </c>
      <c r="V44" s="126" t="s">
        <v>401</v>
      </c>
      <c r="W44" s="144" t="s">
        <v>497</v>
      </c>
      <c r="X44" s="160" t="s">
        <v>260</v>
      </c>
      <c r="Y44" s="125"/>
      <c r="Z44" s="184"/>
      <c r="AA44" s="184"/>
      <c r="AB44" s="184"/>
      <c r="AC44" s="125"/>
      <c r="AD44" s="126"/>
      <c r="AE44" s="153"/>
      <c r="AF44" s="112"/>
      <c r="AG44" s="112"/>
      <c r="AH44" s="112"/>
    </row>
    <row r="45">
      <c r="A45" s="135" t="s">
        <v>14</v>
      </c>
      <c r="B45" s="124" t="s">
        <v>107</v>
      </c>
      <c r="C45" s="125" t="str">
        <f>IF(D45=0,"Digite a CH", IF(D45&lt;80,Dados!$AC$2,IF(D45=80,Dados!$AC$3,IF(D45&lt;179,Dados!$AC$3,IF(D45&gt;179,Dados!$AC$4)))))</f>
        <v>Básico (Até 79h)</v>
      </c>
      <c r="D45" s="143">
        <v>8.0</v>
      </c>
      <c r="E45" s="126" t="s">
        <v>507</v>
      </c>
      <c r="F45" s="125" t="s">
        <v>209</v>
      </c>
      <c r="G45" s="125" t="s">
        <v>538</v>
      </c>
      <c r="H45" s="125" t="s">
        <v>211</v>
      </c>
      <c r="I45" s="125" t="s">
        <v>100</v>
      </c>
      <c r="J45" s="189">
        <v>45468.0</v>
      </c>
      <c r="K45" s="126"/>
      <c r="L45" s="126"/>
      <c r="M45" s="126"/>
      <c r="N45" s="126">
        <v>10.0</v>
      </c>
      <c r="O45" s="126">
        <v>19.0</v>
      </c>
      <c r="P45" s="177">
        <v>12.0</v>
      </c>
      <c r="Q45" s="126" t="s">
        <v>73</v>
      </c>
      <c r="R45" s="131">
        <f t="shared" si="1"/>
        <v>-0.2</v>
      </c>
      <c r="S45" s="131">
        <f t="shared" si="2"/>
        <v>0.3684210526</v>
      </c>
      <c r="T45" s="126" t="s">
        <v>459</v>
      </c>
      <c r="U45" s="126" t="s">
        <v>335</v>
      </c>
      <c r="V45" s="126" t="s">
        <v>401</v>
      </c>
      <c r="W45" s="144" t="s">
        <v>497</v>
      </c>
      <c r="X45" s="160" t="s">
        <v>260</v>
      </c>
      <c r="Y45" s="125"/>
      <c r="Z45" s="184"/>
      <c r="AA45" s="184"/>
      <c r="AB45" s="184"/>
      <c r="AC45" s="125"/>
      <c r="AD45" s="126"/>
      <c r="AE45" s="153"/>
      <c r="AF45" s="112"/>
      <c r="AG45" s="112"/>
      <c r="AH45" s="112"/>
    </row>
    <row r="46">
      <c r="A46" s="135" t="s">
        <v>14</v>
      </c>
      <c r="B46" s="124" t="s">
        <v>107</v>
      </c>
      <c r="C46" s="125" t="str">
        <f>IF(D46=0,"Digite a CH", IF(D46&lt;80,Dados!$AC$2,IF(D46=80,Dados!$AC$3,IF(D46&lt;179,Dados!$AC$3,IF(D46&gt;179,Dados!$AC$4)))))</f>
        <v>Básico (Até 79h)</v>
      </c>
      <c r="D46" s="126">
        <v>8.0</v>
      </c>
      <c r="E46" s="126" t="s">
        <v>511</v>
      </c>
      <c r="F46" s="125" t="s">
        <v>209</v>
      </c>
      <c r="G46" s="125" t="s">
        <v>538</v>
      </c>
      <c r="H46" s="125" t="s">
        <v>211</v>
      </c>
      <c r="I46" s="125" t="s">
        <v>100</v>
      </c>
      <c r="J46" s="189">
        <v>45469.0</v>
      </c>
      <c r="K46" s="126"/>
      <c r="L46" s="126"/>
      <c r="M46" s="126"/>
      <c r="N46" s="126">
        <v>10.0</v>
      </c>
      <c r="O46" s="126">
        <v>12.0</v>
      </c>
      <c r="P46" s="177">
        <v>9.0</v>
      </c>
      <c r="Q46" s="126" t="s">
        <v>73</v>
      </c>
      <c r="R46" s="131">
        <f t="shared" si="1"/>
        <v>0.1</v>
      </c>
      <c r="S46" s="131">
        <f t="shared" si="2"/>
        <v>0.25</v>
      </c>
      <c r="T46" s="126" t="s">
        <v>459</v>
      </c>
      <c r="U46" s="126" t="s">
        <v>335</v>
      </c>
      <c r="V46" s="126" t="s">
        <v>401</v>
      </c>
      <c r="W46" s="144" t="s">
        <v>497</v>
      </c>
      <c r="X46" s="160" t="s">
        <v>260</v>
      </c>
      <c r="Y46" s="125"/>
      <c r="Z46" s="184"/>
      <c r="AA46" s="184"/>
      <c r="AB46" s="184"/>
      <c r="AC46" s="125"/>
      <c r="AD46" s="126"/>
      <c r="AE46" s="153"/>
      <c r="AF46" s="112"/>
      <c r="AG46" s="112"/>
      <c r="AH46" s="112"/>
    </row>
    <row r="47" hidden="1">
      <c r="A47" s="135" t="s">
        <v>14</v>
      </c>
      <c r="B47" s="124" t="s">
        <v>107</v>
      </c>
      <c r="C47" s="125" t="str">
        <f>IF(D47=0,"Digite a CH", IF(D47&lt;80,Dados!$AC$2,IF(D47=80,Dados!$AC$3,IF(D47&lt;179,Dados!$AC$3,IF(D47&gt;179,Dados!$AC$4)))))</f>
        <v>Básico (Até 79h)</v>
      </c>
      <c r="D47" s="143">
        <v>8.0</v>
      </c>
      <c r="E47" s="126" t="s">
        <v>514</v>
      </c>
      <c r="F47" s="125" t="s">
        <v>209</v>
      </c>
      <c r="G47" s="125" t="s">
        <v>538</v>
      </c>
      <c r="H47" s="125" t="s">
        <v>211</v>
      </c>
      <c r="I47" s="125" t="s">
        <v>109</v>
      </c>
      <c r="J47" s="125" t="s">
        <v>525</v>
      </c>
      <c r="K47" s="126"/>
      <c r="L47" s="126"/>
      <c r="M47" s="126"/>
      <c r="N47" s="126">
        <v>10.0</v>
      </c>
      <c r="O47" s="126"/>
      <c r="P47" s="126"/>
      <c r="Q47" s="126" t="s">
        <v>42</v>
      </c>
      <c r="R47" s="131">
        <f t="shared" si="1"/>
        <v>0</v>
      </c>
      <c r="S47" s="131" t="str">
        <f t="shared" si="2"/>
        <v>#DIV/0!</v>
      </c>
      <c r="T47" s="126" t="s">
        <v>459</v>
      </c>
      <c r="U47" s="126" t="s">
        <v>335</v>
      </c>
      <c r="V47" s="126" t="s">
        <v>401</v>
      </c>
      <c r="W47" s="144" t="s">
        <v>497</v>
      </c>
      <c r="X47" s="160" t="s">
        <v>260</v>
      </c>
      <c r="Y47" s="125"/>
      <c r="Z47" s="184"/>
      <c r="AA47" s="184"/>
      <c r="AB47" s="184"/>
      <c r="AC47" s="125"/>
      <c r="AD47" s="126"/>
      <c r="AE47" s="153"/>
      <c r="AF47" s="112"/>
      <c r="AG47" s="112"/>
      <c r="AH47" s="112"/>
    </row>
    <row r="48" hidden="1">
      <c r="A48" s="135" t="s">
        <v>14</v>
      </c>
      <c r="B48" s="124" t="s">
        <v>107</v>
      </c>
      <c r="C48" s="125" t="str">
        <f>IF(D48=0,"Digite a CH", IF(D48&lt;80,Dados!$AC$2,IF(D48=80,Dados!$AC$3,IF(D48&lt;179,Dados!$AC$3,IF(D48&gt;179,Dados!$AC$4)))))</f>
        <v>Básico (Até 79h)</v>
      </c>
      <c r="D48" s="143">
        <v>8.0</v>
      </c>
      <c r="E48" s="126" t="s">
        <v>519</v>
      </c>
      <c r="F48" s="125" t="s">
        <v>209</v>
      </c>
      <c r="G48" s="125" t="s">
        <v>538</v>
      </c>
      <c r="H48" s="125" t="s">
        <v>211</v>
      </c>
      <c r="I48" s="125" t="s">
        <v>109</v>
      </c>
      <c r="J48" s="125" t="s">
        <v>525</v>
      </c>
      <c r="K48" s="126"/>
      <c r="L48" s="126"/>
      <c r="M48" s="126"/>
      <c r="N48" s="126">
        <v>10.0</v>
      </c>
      <c r="O48" s="126"/>
      <c r="P48" s="126"/>
      <c r="Q48" s="126" t="s">
        <v>42</v>
      </c>
      <c r="R48" s="131">
        <f t="shared" si="1"/>
        <v>0</v>
      </c>
      <c r="S48" s="131" t="str">
        <f t="shared" si="2"/>
        <v>#DIV/0!</v>
      </c>
      <c r="T48" s="126" t="s">
        <v>459</v>
      </c>
      <c r="U48" s="126" t="s">
        <v>335</v>
      </c>
      <c r="V48" s="126" t="s">
        <v>401</v>
      </c>
      <c r="W48" s="144" t="s">
        <v>497</v>
      </c>
      <c r="X48" s="160" t="s">
        <v>260</v>
      </c>
      <c r="Y48" s="125"/>
      <c r="Z48" s="184"/>
      <c r="AA48" s="184"/>
      <c r="AB48" s="184"/>
      <c r="AC48" s="125"/>
      <c r="AD48" s="126"/>
      <c r="AE48" s="153"/>
      <c r="AF48" s="112"/>
      <c r="AG48" s="112"/>
      <c r="AH48" s="112"/>
    </row>
    <row r="49" hidden="1">
      <c r="A49" s="135" t="s">
        <v>14</v>
      </c>
      <c r="B49" s="124" t="s">
        <v>107</v>
      </c>
      <c r="C49" s="125" t="str">
        <f>IF(D49=0,"Digite a CH", IF(D49&lt;80,Dados!$AC$2,IF(D49=80,Dados!$AC$3,IF(D49&lt;179,Dados!$AC$3,IF(D49&gt;179,Dados!$AC$4)))))</f>
        <v>Básico (Até 79h)</v>
      </c>
      <c r="D49" s="143">
        <v>8.0</v>
      </c>
      <c r="E49" s="126" t="s">
        <v>454</v>
      </c>
      <c r="F49" s="125" t="s">
        <v>316</v>
      </c>
      <c r="G49" s="125" t="s">
        <v>333</v>
      </c>
      <c r="H49" s="125" t="s">
        <v>211</v>
      </c>
      <c r="I49" s="125" t="s">
        <v>113</v>
      </c>
      <c r="J49" s="125" t="s">
        <v>525</v>
      </c>
      <c r="K49" s="126"/>
      <c r="L49" s="126"/>
      <c r="M49" s="126"/>
      <c r="N49" s="126">
        <v>10.0</v>
      </c>
      <c r="O49" s="126"/>
      <c r="P49" s="126"/>
      <c r="Q49" s="126" t="s">
        <v>42</v>
      </c>
      <c r="R49" s="131">
        <f t="shared" si="1"/>
        <v>0</v>
      </c>
      <c r="S49" s="131" t="str">
        <f t="shared" si="2"/>
        <v>#DIV/0!</v>
      </c>
      <c r="T49" s="126" t="s">
        <v>459</v>
      </c>
      <c r="U49" s="126" t="s">
        <v>335</v>
      </c>
      <c r="V49" s="126" t="s">
        <v>401</v>
      </c>
      <c r="W49" s="144" t="s">
        <v>497</v>
      </c>
      <c r="X49" s="160" t="s">
        <v>260</v>
      </c>
      <c r="Y49" s="125"/>
      <c r="Z49" s="184"/>
      <c r="AA49" s="184"/>
      <c r="AB49" s="184"/>
      <c r="AC49" s="125"/>
      <c r="AD49" s="126"/>
      <c r="AE49" s="153"/>
      <c r="AF49" s="112"/>
      <c r="AG49" s="112"/>
      <c r="AH49" s="112"/>
    </row>
    <row r="50" hidden="1">
      <c r="A50" s="135" t="s">
        <v>14</v>
      </c>
      <c r="B50" s="124" t="s">
        <v>107</v>
      </c>
      <c r="C50" s="125" t="str">
        <f>IF(D50=0,"Digite a CH", IF(D50&lt;80,Dados!$AC$2,IF(D50=80,Dados!$AC$3,IF(D50&lt;179,Dados!$AC$3,IF(D50&gt;179,Dados!$AC$4)))))</f>
        <v>Básico (Até 79h)</v>
      </c>
      <c r="D50" s="143">
        <v>8.0</v>
      </c>
      <c r="E50" s="126" t="s">
        <v>467</v>
      </c>
      <c r="F50" s="125" t="s">
        <v>522</v>
      </c>
      <c r="G50" s="125" t="s">
        <v>875</v>
      </c>
      <c r="H50" s="125" t="s">
        <v>211</v>
      </c>
      <c r="I50" s="125" t="s">
        <v>113</v>
      </c>
      <c r="J50" s="125" t="s">
        <v>525</v>
      </c>
      <c r="K50" s="126"/>
      <c r="L50" s="126"/>
      <c r="M50" s="126"/>
      <c r="N50" s="126">
        <v>10.0</v>
      </c>
      <c r="O50" s="126"/>
      <c r="P50" s="126"/>
      <c r="Q50" s="126" t="s">
        <v>42</v>
      </c>
      <c r="R50" s="131">
        <f t="shared" si="1"/>
        <v>0</v>
      </c>
      <c r="S50" s="131" t="str">
        <f t="shared" si="2"/>
        <v>#DIV/0!</v>
      </c>
      <c r="T50" s="126" t="s">
        <v>459</v>
      </c>
      <c r="U50" s="126" t="s">
        <v>335</v>
      </c>
      <c r="V50" s="126" t="s">
        <v>401</v>
      </c>
      <c r="W50" s="144" t="s">
        <v>497</v>
      </c>
      <c r="X50" s="160" t="s">
        <v>260</v>
      </c>
      <c r="Y50" s="125"/>
      <c r="Z50" s="184"/>
      <c r="AA50" s="184"/>
      <c r="AB50" s="184"/>
      <c r="AC50" s="125"/>
      <c r="AD50" s="126"/>
      <c r="AE50" s="153"/>
      <c r="AF50" s="112"/>
      <c r="AG50" s="112"/>
      <c r="AH50" s="112"/>
    </row>
    <row r="51" hidden="1">
      <c r="A51" s="135" t="s">
        <v>14</v>
      </c>
      <c r="B51" s="124" t="s">
        <v>107</v>
      </c>
      <c r="C51" s="125" t="str">
        <f>IF(D51=0,"Digite a CH", IF(D51&lt;80,Dados!$AC$2,IF(D51=80,Dados!$AC$3,IF(D51&lt;179,Dados!$AC$3,IF(D51&gt;179,Dados!$AC$4)))))</f>
        <v>Básico (Até 79h)</v>
      </c>
      <c r="D51" s="143">
        <v>8.0</v>
      </c>
      <c r="E51" s="126" t="s">
        <v>523</v>
      </c>
      <c r="F51" s="125" t="s">
        <v>522</v>
      </c>
      <c r="G51" s="125" t="s">
        <v>524</v>
      </c>
      <c r="H51" s="125" t="s">
        <v>211</v>
      </c>
      <c r="I51" s="125" t="s">
        <v>115</v>
      </c>
      <c r="J51" s="125" t="s">
        <v>525</v>
      </c>
      <c r="K51" s="126"/>
      <c r="L51" s="126"/>
      <c r="M51" s="126"/>
      <c r="N51" s="126">
        <v>10.0</v>
      </c>
      <c r="O51" s="126"/>
      <c r="P51" s="126"/>
      <c r="Q51" s="126" t="s">
        <v>42</v>
      </c>
      <c r="R51" s="131">
        <f t="shared" si="1"/>
        <v>0</v>
      </c>
      <c r="S51" s="131" t="str">
        <f t="shared" si="2"/>
        <v>#DIV/0!</v>
      </c>
      <c r="T51" s="126" t="s">
        <v>459</v>
      </c>
      <c r="U51" s="126" t="s">
        <v>335</v>
      </c>
      <c r="V51" s="126" t="s">
        <v>401</v>
      </c>
      <c r="W51" s="144" t="s">
        <v>497</v>
      </c>
      <c r="X51" s="160" t="s">
        <v>260</v>
      </c>
      <c r="Y51" s="125"/>
      <c r="Z51" s="184"/>
      <c r="AA51" s="184"/>
      <c r="AB51" s="184"/>
      <c r="AC51" s="125"/>
      <c r="AD51" s="126"/>
      <c r="AE51" s="153"/>
      <c r="AF51" s="112"/>
      <c r="AG51" s="112"/>
      <c r="AH51" s="112"/>
    </row>
    <row r="52" hidden="1">
      <c r="A52" s="135" t="s">
        <v>14</v>
      </c>
      <c r="B52" s="124" t="s">
        <v>107</v>
      </c>
      <c r="C52" s="125" t="str">
        <f>IF(D52=0,"Digite a CH", IF(D52&lt;80,Dados!$AC$2,IF(D52=80,Dados!$AC$3,IF(D52&lt;179,Dados!$AC$3,IF(D52&gt;179,Dados!$AC$4)))))</f>
        <v>Básico (Até 79h)</v>
      </c>
      <c r="D52" s="143">
        <v>8.0</v>
      </c>
      <c r="E52" s="126" t="s">
        <v>526</v>
      </c>
      <c r="F52" s="125" t="s">
        <v>522</v>
      </c>
      <c r="G52" s="125" t="s">
        <v>296</v>
      </c>
      <c r="H52" s="125" t="s">
        <v>211</v>
      </c>
      <c r="I52" s="125" t="s">
        <v>115</v>
      </c>
      <c r="J52" s="125" t="s">
        <v>525</v>
      </c>
      <c r="K52" s="126"/>
      <c r="L52" s="126"/>
      <c r="M52" s="126"/>
      <c r="N52" s="126">
        <v>10.0</v>
      </c>
      <c r="O52" s="126"/>
      <c r="P52" s="126"/>
      <c r="Q52" s="126" t="s">
        <v>42</v>
      </c>
      <c r="R52" s="131">
        <f t="shared" si="1"/>
        <v>0</v>
      </c>
      <c r="S52" s="131" t="str">
        <f t="shared" si="2"/>
        <v>#DIV/0!</v>
      </c>
      <c r="T52" s="126" t="s">
        <v>459</v>
      </c>
      <c r="U52" s="126" t="s">
        <v>335</v>
      </c>
      <c r="V52" s="126" t="s">
        <v>401</v>
      </c>
      <c r="W52" s="144" t="s">
        <v>497</v>
      </c>
      <c r="X52" s="160" t="s">
        <v>260</v>
      </c>
      <c r="Y52" s="125"/>
      <c r="Z52" s="184"/>
      <c r="AA52" s="184"/>
      <c r="AB52" s="184"/>
      <c r="AC52" s="125"/>
      <c r="AD52" s="126"/>
      <c r="AE52" s="153"/>
      <c r="AF52" s="112"/>
      <c r="AG52" s="112"/>
      <c r="AH52" s="112"/>
    </row>
    <row r="53" hidden="1">
      <c r="A53" s="135" t="s">
        <v>14</v>
      </c>
      <c r="B53" s="124" t="s">
        <v>107</v>
      </c>
      <c r="C53" s="125" t="str">
        <f>IF(D53=0,"Digite a CH", IF(D53&lt;80,Dados!$AC$2,IF(D53=80,Dados!$AC$3,IF(D53&lt;179,Dados!$AC$3,IF(D53&gt;179,Dados!$AC$4)))))</f>
        <v>Básico (Até 79h)</v>
      </c>
      <c r="D53" s="143">
        <v>8.0</v>
      </c>
      <c r="E53" s="126" t="s">
        <v>527</v>
      </c>
      <c r="F53" s="125" t="s">
        <v>522</v>
      </c>
      <c r="G53" s="125" t="s">
        <v>522</v>
      </c>
      <c r="H53" s="125" t="s">
        <v>211</v>
      </c>
      <c r="I53" s="125" t="s">
        <v>117</v>
      </c>
      <c r="J53" s="125" t="s">
        <v>525</v>
      </c>
      <c r="K53" s="126"/>
      <c r="L53" s="126"/>
      <c r="M53" s="126"/>
      <c r="N53" s="126">
        <v>10.0</v>
      </c>
      <c r="O53" s="126"/>
      <c r="P53" s="126"/>
      <c r="Q53" s="126" t="s">
        <v>42</v>
      </c>
      <c r="R53" s="131">
        <f t="shared" si="1"/>
        <v>0</v>
      </c>
      <c r="S53" s="131" t="str">
        <f t="shared" si="2"/>
        <v>#DIV/0!</v>
      </c>
      <c r="T53" s="126" t="s">
        <v>459</v>
      </c>
      <c r="U53" s="126" t="s">
        <v>335</v>
      </c>
      <c r="V53" s="126" t="s">
        <v>401</v>
      </c>
      <c r="W53" s="144" t="s">
        <v>497</v>
      </c>
      <c r="X53" s="160" t="s">
        <v>260</v>
      </c>
      <c r="Y53" s="125"/>
      <c r="Z53" s="184"/>
      <c r="AA53" s="184"/>
      <c r="AB53" s="184"/>
      <c r="AC53" s="125"/>
      <c r="AD53" s="126"/>
      <c r="AE53" s="153"/>
      <c r="AF53" s="112"/>
      <c r="AG53" s="112"/>
      <c r="AH53" s="112"/>
    </row>
    <row r="54" hidden="1">
      <c r="A54" s="135" t="s">
        <v>14</v>
      </c>
      <c r="B54" s="124" t="s">
        <v>107</v>
      </c>
      <c r="C54" s="125" t="str">
        <f>IF(D54=0,"Digite a CH", IF(D54&lt;80,Dados!$AC$2,IF(D54=80,Dados!$AC$3,IF(D54&lt;179,Dados!$AC$3,IF(D54&gt;179,Dados!$AC$4)))))</f>
        <v>Básico (Até 79h)</v>
      </c>
      <c r="D54" s="143">
        <v>8.0</v>
      </c>
      <c r="E54" s="126" t="s">
        <v>528</v>
      </c>
      <c r="F54" s="125" t="s">
        <v>522</v>
      </c>
      <c r="G54" s="143" t="s">
        <v>522</v>
      </c>
      <c r="H54" s="125" t="s">
        <v>211</v>
      </c>
      <c r="I54" s="125" t="s">
        <v>117</v>
      </c>
      <c r="J54" s="125" t="s">
        <v>525</v>
      </c>
      <c r="K54" s="126"/>
      <c r="L54" s="126"/>
      <c r="M54" s="126"/>
      <c r="N54" s="126">
        <v>10.0</v>
      </c>
      <c r="O54" s="126"/>
      <c r="P54" s="126"/>
      <c r="Q54" s="126" t="s">
        <v>42</v>
      </c>
      <c r="R54" s="131">
        <f t="shared" si="1"/>
        <v>0</v>
      </c>
      <c r="S54" s="131" t="str">
        <f t="shared" si="2"/>
        <v>#DIV/0!</v>
      </c>
      <c r="T54" s="126" t="s">
        <v>459</v>
      </c>
      <c r="U54" s="126" t="s">
        <v>335</v>
      </c>
      <c r="V54" s="126" t="s">
        <v>401</v>
      </c>
      <c r="W54" s="144" t="s">
        <v>497</v>
      </c>
      <c r="X54" s="160" t="s">
        <v>260</v>
      </c>
      <c r="Y54" s="125"/>
      <c r="Z54" s="184"/>
      <c r="AA54" s="184"/>
      <c r="AB54" s="184"/>
      <c r="AC54" s="125"/>
      <c r="AD54" s="126"/>
      <c r="AE54" s="153"/>
      <c r="AF54" s="112"/>
      <c r="AG54" s="112"/>
      <c r="AH54" s="112"/>
    </row>
    <row r="55" hidden="1">
      <c r="A55" s="135" t="s">
        <v>14</v>
      </c>
      <c r="B55" s="124" t="s">
        <v>107</v>
      </c>
      <c r="C55" s="125" t="str">
        <f>IF(D55=0,"Digite a CH", IF(D55&lt;80,Dados!$AC$2,IF(D55=80,Dados!$AC$3,IF(D55&lt;179,Dados!$AC$3,IF(D55&gt;179,Dados!$AC$4)))))</f>
        <v>Básico (Até 79h)</v>
      </c>
      <c r="D55" s="143">
        <v>8.0</v>
      </c>
      <c r="E55" s="126" t="s">
        <v>529</v>
      </c>
      <c r="F55" s="125" t="s">
        <v>522</v>
      </c>
      <c r="G55" s="143" t="s">
        <v>522</v>
      </c>
      <c r="H55" s="125" t="s">
        <v>211</v>
      </c>
      <c r="I55" s="125" t="s">
        <v>522</v>
      </c>
      <c r="J55" s="125" t="s">
        <v>525</v>
      </c>
      <c r="K55" s="126"/>
      <c r="L55" s="126"/>
      <c r="M55" s="126"/>
      <c r="N55" s="126">
        <v>10.0</v>
      </c>
      <c r="O55" s="126"/>
      <c r="P55" s="126"/>
      <c r="Q55" s="126" t="s">
        <v>42</v>
      </c>
      <c r="R55" s="131">
        <f t="shared" si="1"/>
        <v>0</v>
      </c>
      <c r="S55" s="131" t="str">
        <f t="shared" si="2"/>
        <v>#DIV/0!</v>
      </c>
      <c r="T55" s="126" t="s">
        <v>459</v>
      </c>
      <c r="U55" s="126" t="s">
        <v>335</v>
      </c>
      <c r="V55" s="126" t="s">
        <v>401</v>
      </c>
      <c r="W55" s="144" t="s">
        <v>497</v>
      </c>
      <c r="X55" s="160" t="s">
        <v>260</v>
      </c>
      <c r="Y55" s="125"/>
      <c r="Z55" s="184"/>
      <c r="AA55" s="184"/>
      <c r="AB55" s="184"/>
      <c r="AC55" s="125"/>
      <c r="AD55" s="126"/>
      <c r="AE55" s="153"/>
      <c r="AF55" s="112"/>
      <c r="AG55" s="112"/>
      <c r="AH55" s="112"/>
    </row>
    <row r="56" hidden="1">
      <c r="A56" s="135" t="s">
        <v>14</v>
      </c>
      <c r="B56" s="124" t="s">
        <v>107</v>
      </c>
      <c r="C56" s="125" t="str">
        <f>IF(D56=0,"Digite a CH", IF(D56&lt;80,Dados!$AC$2,IF(D56=80,Dados!$AC$3,IF(D56&lt;179,Dados!$AC$3,IF(D56&gt;179,Dados!$AC$4)))))</f>
        <v>Básico (Até 79h)</v>
      </c>
      <c r="D56" s="143">
        <v>8.0</v>
      </c>
      <c r="E56" s="126" t="s">
        <v>530</v>
      </c>
      <c r="F56" s="125" t="s">
        <v>522</v>
      </c>
      <c r="G56" s="143" t="s">
        <v>522</v>
      </c>
      <c r="H56" s="125" t="s">
        <v>211</v>
      </c>
      <c r="I56" s="125" t="s">
        <v>522</v>
      </c>
      <c r="J56" s="125" t="s">
        <v>525</v>
      </c>
      <c r="K56" s="126"/>
      <c r="L56" s="126"/>
      <c r="M56" s="126"/>
      <c r="N56" s="126">
        <v>10.0</v>
      </c>
      <c r="O56" s="126"/>
      <c r="P56" s="126"/>
      <c r="Q56" s="126" t="s">
        <v>42</v>
      </c>
      <c r="R56" s="131">
        <f t="shared" si="1"/>
        <v>0</v>
      </c>
      <c r="S56" s="131" t="str">
        <f t="shared" si="2"/>
        <v>#DIV/0!</v>
      </c>
      <c r="T56" s="126" t="s">
        <v>459</v>
      </c>
      <c r="U56" s="126" t="s">
        <v>335</v>
      </c>
      <c r="V56" s="126" t="s">
        <v>401</v>
      </c>
      <c r="W56" s="144" t="s">
        <v>497</v>
      </c>
      <c r="X56" s="160" t="s">
        <v>260</v>
      </c>
      <c r="Y56" s="125"/>
      <c r="Z56" s="184"/>
      <c r="AA56" s="184"/>
      <c r="AB56" s="184"/>
      <c r="AC56" s="125"/>
      <c r="AD56" s="126"/>
      <c r="AE56" s="153"/>
      <c r="AF56" s="112"/>
      <c r="AG56" s="112"/>
      <c r="AH56" s="112"/>
    </row>
    <row r="57" hidden="1">
      <c r="A57" s="135" t="s">
        <v>14</v>
      </c>
      <c r="B57" s="124" t="s">
        <v>98</v>
      </c>
      <c r="C57" s="125" t="str">
        <f>IF(D57=0,"Digite a CH", IF(D57&lt;80,Dados!$AC$2,IF(D57=80,Dados!$AC$3,IF(D57&lt;179,Dados!$AC$3,IF(D57&gt;179,Dados!$AC$4)))))</f>
        <v>Básico (Até 79h)</v>
      </c>
      <c r="D57" s="143">
        <v>8.0</v>
      </c>
      <c r="E57" s="126" t="s">
        <v>208</v>
      </c>
      <c r="F57" s="125" t="s">
        <v>209</v>
      </c>
      <c r="G57" s="143" t="s">
        <v>522</v>
      </c>
      <c r="H57" s="125" t="s">
        <v>211</v>
      </c>
      <c r="I57" s="125" t="s">
        <v>113</v>
      </c>
      <c r="J57" s="189">
        <v>45538.0</v>
      </c>
      <c r="K57" s="126"/>
      <c r="L57" s="126"/>
      <c r="M57" s="126"/>
      <c r="N57" s="126">
        <v>60.0</v>
      </c>
      <c r="O57" s="126"/>
      <c r="P57" s="126"/>
      <c r="Q57" s="126" t="s">
        <v>42</v>
      </c>
      <c r="R57" s="131">
        <f t="shared" si="1"/>
        <v>0</v>
      </c>
      <c r="S57" s="131" t="str">
        <f t="shared" si="2"/>
        <v>#DIV/0!</v>
      </c>
      <c r="T57" s="126" t="s">
        <v>459</v>
      </c>
      <c r="U57" s="126" t="s">
        <v>335</v>
      </c>
      <c r="V57" s="126" t="s">
        <v>401</v>
      </c>
      <c r="W57" s="144" t="s">
        <v>531</v>
      </c>
      <c r="X57" s="160" t="s">
        <v>560</v>
      </c>
      <c r="Y57" s="125"/>
      <c r="Z57" s="184"/>
      <c r="AA57" s="184"/>
      <c r="AB57" s="184"/>
      <c r="AC57" s="125"/>
      <c r="AD57" s="126"/>
      <c r="AE57" s="153"/>
      <c r="AF57" s="112"/>
      <c r="AG57" s="112"/>
      <c r="AH57" s="112"/>
    </row>
    <row r="58" hidden="1">
      <c r="A58" s="135" t="s">
        <v>14</v>
      </c>
      <c r="B58" s="124" t="s">
        <v>69</v>
      </c>
      <c r="C58" s="125" t="str">
        <f>IF(D58=0,"Digite a CH", IF(D58&lt;80,Dados!$AC$2,IF(D58=80,Dados!$AC$3,IF(D58&lt;179,Dados!$AC$3,IF(D58&gt;179,Dados!$AC$4)))))</f>
        <v>Básico (Até 79h)</v>
      </c>
      <c r="D58" s="126">
        <v>8.0</v>
      </c>
      <c r="E58" s="126" t="s">
        <v>519</v>
      </c>
      <c r="F58" s="125" t="s">
        <v>209</v>
      </c>
      <c r="G58" s="125" t="s">
        <v>538</v>
      </c>
      <c r="H58" s="125" t="s">
        <v>211</v>
      </c>
      <c r="I58" s="125"/>
      <c r="J58" s="189"/>
      <c r="K58" s="126"/>
      <c r="L58" s="126"/>
      <c r="M58" s="126"/>
      <c r="N58" s="126">
        <v>20.0</v>
      </c>
      <c r="O58" s="126"/>
      <c r="P58" s="126"/>
      <c r="Q58" s="126" t="s">
        <v>42</v>
      </c>
      <c r="R58" s="131">
        <f t="shared" si="1"/>
        <v>0</v>
      </c>
      <c r="S58" s="131" t="str">
        <f t="shared" si="2"/>
        <v>#DIV/0!</v>
      </c>
      <c r="T58" s="126" t="s">
        <v>459</v>
      </c>
      <c r="U58" s="126" t="s">
        <v>335</v>
      </c>
      <c r="V58" s="126" t="s">
        <v>401</v>
      </c>
      <c r="W58" s="144" t="s">
        <v>541</v>
      </c>
      <c r="X58" s="160" t="s">
        <v>560</v>
      </c>
      <c r="Y58" s="125"/>
      <c r="Z58" s="184"/>
      <c r="AA58" s="184"/>
      <c r="AB58" s="184"/>
      <c r="AC58" s="125"/>
      <c r="AD58" s="126"/>
      <c r="AE58" s="153"/>
      <c r="AF58" s="112"/>
      <c r="AG58" s="112"/>
      <c r="AH58" s="112"/>
    </row>
    <row r="59" hidden="1">
      <c r="A59" s="135" t="s">
        <v>14</v>
      </c>
      <c r="B59" s="124" t="s">
        <v>69</v>
      </c>
      <c r="C59" s="125" t="str">
        <f>IF(D59=0,"Digite a CH", IF(D59&lt;80,Dados!$AC$2,IF(D59=80,Dados!$AC$3,IF(D59&lt;179,Dados!$AC$3,IF(D59&gt;179,Dados!$AC$4)))))</f>
        <v>Básico (Até 79h)</v>
      </c>
      <c r="D59" s="126">
        <v>8.0</v>
      </c>
      <c r="E59" s="126" t="s">
        <v>454</v>
      </c>
      <c r="F59" s="125" t="s">
        <v>547</v>
      </c>
      <c r="G59" s="125" t="s">
        <v>333</v>
      </c>
      <c r="H59" s="125" t="s">
        <v>211</v>
      </c>
      <c r="I59" s="125"/>
      <c r="J59" s="189"/>
      <c r="K59" s="126"/>
      <c r="L59" s="126"/>
      <c r="M59" s="126"/>
      <c r="N59" s="126">
        <v>20.0</v>
      </c>
      <c r="O59" s="126"/>
      <c r="P59" s="126"/>
      <c r="Q59" s="126" t="s">
        <v>42</v>
      </c>
      <c r="R59" s="131">
        <f t="shared" si="1"/>
        <v>0</v>
      </c>
      <c r="S59" s="131" t="str">
        <f t="shared" si="2"/>
        <v>#DIV/0!</v>
      </c>
      <c r="T59" s="126" t="s">
        <v>459</v>
      </c>
      <c r="U59" s="126" t="s">
        <v>335</v>
      </c>
      <c r="V59" s="126" t="s">
        <v>401</v>
      </c>
      <c r="W59" s="144" t="s">
        <v>541</v>
      </c>
      <c r="X59" s="160" t="s">
        <v>560</v>
      </c>
      <c r="Y59" s="125"/>
      <c r="Z59" s="184"/>
      <c r="AA59" s="184"/>
      <c r="AB59" s="184"/>
      <c r="AC59" s="125"/>
      <c r="AD59" s="126"/>
      <c r="AE59" s="153"/>
      <c r="AF59" s="112"/>
      <c r="AG59" s="112"/>
      <c r="AH59" s="112"/>
    </row>
    <row r="60" hidden="1">
      <c r="A60" s="135" t="s">
        <v>14</v>
      </c>
      <c r="B60" s="124" t="s">
        <v>89</v>
      </c>
      <c r="C60" s="125" t="str">
        <f>IF(D60=0,"Digite a CH", IF(D60&lt;80,Dados!$AC$2,IF(D60=80,Dados!$AC$3,IF(D60&lt;179,Dados!$AC$3,IF(D60&gt;179,Dados!$AC$4)))))</f>
        <v>Básico (Até 79h)</v>
      </c>
      <c r="D60" s="126">
        <v>8.0</v>
      </c>
      <c r="E60" s="126" t="s">
        <v>507</v>
      </c>
      <c r="F60" s="125" t="s">
        <v>209</v>
      </c>
      <c r="G60" s="125" t="s">
        <v>455</v>
      </c>
      <c r="H60" s="125" t="s">
        <v>211</v>
      </c>
      <c r="I60" s="125" t="s">
        <v>117</v>
      </c>
      <c r="J60" s="189">
        <v>45618.0</v>
      </c>
      <c r="K60" s="161">
        <v>45618.0</v>
      </c>
      <c r="L60" s="161">
        <v>45618.0</v>
      </c>
      <c r="M60" s="152" t="s">
        <v>876</v>
      </c>
      <c r="N60" s="126">
        <v>40.0</v>
      </c>
      <c r="O60" s="126"/>
      <c r="P60" s="126"/>
      <c r="Q60" s="126" t="s">
        <v>42</v>
      </c>
      <c r="R60" s="131">
        <f t="shared" si="1"/>
        <v>0</v>
      </c>
      <c r="S60" s="131" t="str">
        <f t="shared" si="2"/>
        <v>#DIV/0!</v>
      </c>
      <c r="T60" s="126" t="s">
        <v>459</v>
      </c>
      <c r="U60" s="126" t="s">
        <v>335</v>
      </c>
      <c r="V60" s="126" t="s">
        <v>401</v>
      </c>
      <c r="W60" s="144" t="s">
        <v>552</v>
      </c>
      <c r="X60" s="160" t="s">
        <v>560</v>
      </c>
      <c r="Y60" s="125"/>
      <c r="Z60" s="184"/>
      <c r="AA60" s="184"/>
      <c r="AB60" s="184"/>
      <c r="AC60" s="125"/>
      <c r="AD60" s="126"/>
      <c r="AE60" s="153"/>
      <c r="AF60" s="112"/>
      <c r="AG60" s="112"/>
      <c r="AH60" s="112"/>
    </row>
    <row r="61" hidden="1">
      <c r="A61" s="135" t="s">
        <v>14</v>
      </c>
      <c r="B61" s="124" t="s">
        <v>111</v>
      </c>
      <c r="C61" s="125" t="str">
        <f>IF(D61=0,"Digite a CH", IF(D61&lt;80,Dados!$AC$2,IF(D61=80,Dados!$AC$3,IF(D61&lt;179,Dados!$AC$3,IF(D61&gt;179,Dados!$AC$4)))))</f>
        <v>Básico (Até 79h)</v>
      </c>
      <c r="D61" s="126">
        <v>8.0</v>
      </c>
      <c r="E61" s="126" t="s">
        <v>208</v>
      </c>
      <c r="F61" s="125" t="s">
        <v>209</v>
      </c>
      <c r="G61" s="125" t="s">
        <v>455</v>
      </c>
      <c r="H61" s="125" t="s">
        <v>211</v>
      </c>
      <c r="I61" s="125" t="s">
        <v>109</v>
      </c>
      <c r="J61" s="189">
        <v>45520.0</v>
      </c>
      <c r="K61" s="126"/>
      <c r="L61" s="126"/>
      <c r="M61" s="126"/>
      <c r="N61" s="126">
        <v>22.0</v>
      </c>
      <c r="O61" s="126"/>
      <c r="P61" s="126"/>
      <c r="Q61" s="126" t="s">
        <v>83</v>
      </c>
      <c r="R61" s="131">
        <f t="shared" si="1"/>
        <v>0</v>
      </c>
      <c r="S61" s="131" t="str">
        <f t="shared" si="2"/>
        <v>#DIV/0!</v>
      </c>
      <c r="T61" s="126" t="s">
        <v>459</v>
      </c>
      <c r="U61" s="126" t="s">
        <v>335</v>
      </c>
      <c r="V61" s="126" t="s">
        <v>401</v>
      </c>
      <c r="W61" s="144" t="s">
        <v>552</v>
      </c>
      <c r="X61" s="160" t="s">
        <v>560</v>
      </c>
      <c r="Y61" s="125"/>
      <c r="Z61" s="184"/>
      <c r="AA61" s="184"/>
      <c r="AB61" s="184"/>
      <c r="AC61" s="125"/>
      <c r="AD61" s="126"/>
      <c r="AE61" s="153"/>
      <c r="AF61" s="112"/>
      <c r="AG61" s="112"/>
      <c r="AH61" s="112"/>
    </row>
    <row r="62" hidden="1">
      <c r="A62" s="135" t="s">
        <v>14</v>
      </c>
      <c r="B62" s="124" t="s">
        <v>111</v>
      </c>
      <c r="C62" s="125" t="str">
        <f>IF(D62=0,"Digite a CH", IF(D62&lt;80,Dados!$AC$2,IF(D62=80,Dados!$AC$3,IF(D62&lt;179,Dados!$AC$3,IF(D62&gt;179,Dados!$AC$4)))))</f>
        <v>Básico (Até 79h)</v>
      </c>
      <c r="D62" s="126">
        <v>8.0</v>
      </c>
      <c r="E62" s="126" t="s">
        <v>266</v>
      </c>
      <c r="F62" s="125" t="s">
        <v>209</v>
      </c>
      <c r="G62" s="125" t="s">
        <v>455</v>
      </c>
      <c r="H62" s="125" t="s">
        <v>211</v>
      </c>
      <c r="I62" s="125" t="s">
        <v>109</v>
      </c>
      <c r="J62" s="189">
        <v>45520.0</v>
      </c>
      <c r="K62" s="126"/>
      <c r="L62" s="126"/>
      <c r="M62" s="126"/>
      <c r="N62" s="126">
        <v>22.0</v>
      </c>
      <c r="O62" s="126"/>
      <c r="P62" s="126"/>
      <c r="Q62" s="126" t="s">
        <v>83</v>
      </c>
      <c r="R62" s="131">
        <f t="shared" si="1"/>
        <v>0</v>
      </c>
      <c r="S62" s="131" t="str">
        <f t="shared" si="2"/>
        <v>#DIV/0!</v>
      </c>
      <c r="T62" s="126" t="s">
        <v>459</v>
      </c>
      <c r="U62" s="126" t="s">
        <v>335</v>
      </c>
      <c r="V62" s="126" t="s">
        <v>401</v>
      </c>
      <c r="W62" s="144" t="s">
        <v>562</v>
      </c>
      <c r="X62" s="160" t="s">
        <v>560</v>
      </c>
      <c r="Y62" s="125"/>
      <c r="Z62" s="184"/>
      <c r="AA62" s="184"/>
      <c r="AB62" s="184"/>
      <c r="AC62" s="125"/>
      <c r="AD62" s="126"/>
      <c r="AE62" s="153"/>
      <c r="AF62" s="112"/>
      <c r="AG62" s="112"/>
      <c r="AH62" s="112"/>
    </row>
    <row r="63" hidden="1">
      <c r="A63" s="135" t="s">
        <v>14</v>
      </c>
      <c r="B63" s="124" t="s">
        <v>111</v>
      </c>
      <c r="C63" s="125" t="str">
        <f>IF(D63=0,"Digite a CH", IF(D63&lt;80,Dados!$AC$2,IF(D63=80,Dados!$AC$3,IF(D63&lt;179,Dados!$AC$3,IF(D63&gt;179,Dados!$AC$4)))))</f>
        <v>Básico (Até 79h)</v>
      </c>
      <c r="D63" s="126">
        <v>8.0</v>
      </c>
      <c r="E63" s="126" t="s">
        <v>529</v>
      </c>
      <c r="F63" s="125" t="s">
        <v>209</v>
      </c>
      <c r="G63" s="125" t="s">
        <v>455</v>
      </c>
      <c r="H63" s="125" t="s">
        <v>211</v>
      </c>
      <c r="I63" s="125" t="s">
        <v>109</v>
      </c>
      <c r="J63" s="189">
        <v>45521.0</v>
      </c>
      <c r="K63" s="126"/>
      <c r="L63" s="126"/>
      <c r="M63" s="126"/>
      <c r="N63" s="126">
        <v>22.0</v>
      </c>
      <c r="O63" s="126"/>
      <c r="P63" s="126"/>
      <c r="Q63" s="126" t="s">
        <v>83</v>
      </c>
      <c r="R63" s="131">
        <f t="shared" si="1"/>
        <v>0</v>
      </c>
      <c r="S63" s="131" t="str">
        <f t="shared" si="2"/>
        <v>#DIV/0!</v>
      </c>
      <c r="T63" s="126" t="s">
        <v>459</v>
      </c>
      <c r="U63" s="126" t="s">
        <v>335</v>
      </c>
      <c r="V63" s="126" t="s">
        <v>401</v>
      </c>
      <c r="W63" s="144" t="s">
        <v>562</v>
      </c>
      <c r="X63" s="160" t="s">
        <v>560</v>
      </c>
      <c r="Y63" s="125"/>
      <c r="Z63" s="184"/>
      <c r="AA63" s="184"/>
      <c r="AB63" s="184"/>
      <c r="AC63" s="125"/>
      <c r="AD63" s="126"/>
      <c r="AE63" s="153"/>
      <c r="AF63" s="112"/>
      <c r="AG63" s="112"/>
      <c r="AH63" s="112"/>
    </row>
    <row r="64" hidden="1">
      <c r="A64" s="135" t="s">
        <v>14</v>
      </c>
      <c r="B64" s="124" t="s">
        <v>111</v>
      </c>
      <c r="C64" s="125" t="str">
        <f>IF(D64=0,"Digite a CH", IF(D64&lt;80,Dados!$AC$2,IF(D64=80,Dados!$AC$3,IF(D64&lt;179,Dados!$AC$3,IF(D64&gt;179,Dados!$AC$4)))))</f>
        <v>Básico (Até 79h)</v>
      </c>
      <c r="D64" s="126">
        <v>8.0</v>
      </c>
      <c r="E64" s="126" t="s">
        <v>511</v>
      </c>
      <c r="F64" s="125" t="s">
        <v>209</v>
      </c>
      <c r="G64" s="125" t="s">
        <v>455</v>
      </c>
      <c r="H64" s="125" t="s">
        <v>211</v>
      </c>
      <c r="I64" s="125" t="s">
        <v>109</v>
      </c>
      <c r="J64" s="203">
        <v>45521.0</v>
      </c>
      <c r="K64" s="126"/>
      <c r="L64" s="126"/>
      <c r="M64" s="126"/>
      <c r="N64" s="126">
        <v>22.0</v>
      </c>
      <c r="O64" s="126"/>
      <c r="P64" s="126"/>
      <c r="Q64" s="126" t="s">
        <v>83</v>
      </c>
      <c r="R64" s="131">
        <f t="shared" si="1"/>
        <v>0</v>
      </c>
      <c r="S64" s="131" t="str">
        <f t="shared" si="2"/>
        <v>#DIV/0!</v>
      </c>
      <c r="T64" s="126" t="s">
        <v>459</v>
      </c>
      <c r="U64" s="126" t="s">
        <v>335</v>
      </c>
      <c r="V64" s="126" t="s">
        <v>401</v>
      </c>
      <c r="W64" s="144" t="s">
        <v>562</v>
      </c>
      <c r="X64" s="160" t="s">
        <v>560</v>
      </c>
      <c r="Y64" s="125"/>
      <c r="Z64" s="184"/>
      <c r="AA64" s="184"/>
      <c r="AB64" s="184"/>
      <c r="AC64" s="125"/>
      <c r="AD64" s="126"/>
      <c r="AE64" s="153"/>
      <c r="AF64" s="112"/>
      <c r="AG64" s="112"/>
      <c r="AH64" s="112"/>
    </row>
    <row r="65" hidden="1">
      <c r="A65" s="135" t="s">
        <v>14</v>
      </c>
      <c r="B65" s="124" t="s">
        <v>81</v>
      </c>
      <c r="C65" s="125" t="str">
        <f>IF(D65=0,"Digite a CH", IF(D65&lt;80,Dados!$AC$2,IF(D65=80,Dados!$AC$3,IF(D65&lt;179,Dados!$AC$3,IF(D65&gt;179,Dados!$AC$4)))))</f>
        <v>Básico (Até 79h)</v>
      </c>
      <c r="D65" s="126">
        <v>8.0</v>
      </c>
      <c r="E65" s="126" t="s">
        <v>208</v>
      </c>
      <c r="F65" s="125" t="s">
        <v>209</v>
      </c>
      <c r="G65" s="125" t="s">
        <v>455</v>
      </c>
      <c r="H65" s="125" t="s">
        <v>211</v>
      </c>
      <c r="I65" s="125" t="s">
        <v>118</v>
      </c>
      <c r="J65" s="189">
        <v>45632.0</v>
      </c>
      <c r="K65" s="129">
        <v>45632.0</v>
      </c>
      <c r="L65" s="129">
        <v>45632.0</v>
      </c>
      <c r="M65" s="152" t="s">
        <v>877</v>
      </c>
      <c r="N65" s="126">
        <v>20.0</v>
      </c>
      <c r="O65" s="126"/>
      <c r="P65" s="126"/>
      <c r="Q65" s="126" t="s">
        <v>42</v>
      </c>
      <c r="R65" s="131">
        <f t="shared" si="1"/>
        <v>0</v>
      </c>
      <c r="S65" s="131" t="str">
        <f t="shared" si="2"/>
        <v>#DIV/0!</v>
      </c>
      <c r="T65" s="126" t="s">
        <v>459</v>
      </c>
      <c r="U65" s="126" t="s">
        <v>335</v>
      </c>
      <c r="V65" s="126" t="s">
        <v>401</v>
      </c>
      <c r="W65" s="144" t="s">
        <v>565</v>
      </c>
      <c r="X65" s="160" t="s">
        <v>560</v>
      </c>
      <c r="Y65" s="125"/>
      <c r="Z65" s="184"/>
      <c r="AA65" s="184"/>
      <c r="AB65" s="184"/>
      <c r="AC65" s="125"/>
      <c r="AD65" s="126"/>
      <c r="AE65" s="153"/>
      <c r="AF65" s="112"/>
      <c r="AG65" s="112"/>
      <c r="AH65" s="112"/>
    </row>
    <row r="66" hidden="1">
      <c r="A66" s="135" t="s">
        <v>14</v>
      </c>
      <c r="B66" s="124" t="s">
        <v>571</v>
      </c>
      <c r="C66" s="125" t="str">
        <f>IF(D66=0,"Digite a CH", IF(D66&lt;80,Dados!$AC$2,IF(D66=80,Dados!$AC$3,IF(D66&lt;179,Dados!$AC$3,IF(D66&gt;179,Dados!$AC$4)))))</f>
        <v>Básico (Até 79h)</v>
      </c>
      <c r="D66" s="126">
        <v>40.0</v>
      </c>
      <c r="E66" s="126" t="s">
        <v>208</v>
      </c>
      <c r="F66" s="125" t="s">
        <v>209</v>
      </c>
      <c r="G66" s="125" t="s">
        <v>455</v>
      </c>
      <c r="H66" s="125" t="s">
        <v>211</v>
      </c>
      <c r="I66" s="125" t="s">
        <v>449</v>
      </c>
      <c r="J66" s="125" t="s">
        <v>572</v>
      </c>
      <c r="K66" s="126"/>
      <c r="L66" s="126"/>
      <c r="M66" s="126"/>
      <c r="N66" s="126">
        <v>50.0</v>
      </c>
      <c r="O66" s="126"/>
      <c r="P66" s="126"/>
      <c r="Q66" s="126" t="s">
        <v>42</v>
      </c>
      <c r="R66" s="131">
        <f t="shared" si="1"/>
        <v>0</v>
      </c>
      <c r="S66" s="131" t="str">
        <f t="shared" si="2"/>
        <v>#DIV/0!</v>
      </c>
      <c r="T66" s="126" t="s">
        <v>459</v>
      </c>
      <c r="U66" s="126" t="s">
        <v>335</v>
      </c>
      <c r="V66" s="126" t="s">
        <v>401</v>
      </c>
      <c r="W66" s="144" t="s">
        <v>573</v>
      </c>
      <c r="X66" s="160" t="s">
        <v>560</v>
      </c>
      <c r="Y66" s="125"/>
      <c r="Z66" s="184"/>
      <c r="AA66" s="184"/>
      <c r="AB66" s="184"/>
      <c r="AC66" s="125"/>
      <c r="AD66" s="126"/>
      <c r="AE66" s="153"/>
      <c r="AF66" s="112"/>
      <c r="AG66" s="112"/>
      <c r="AH66" s="112"/>
    </row>
    <row r="67">
      <c r="A67" s="204" t="s">
        <v>7</v>
      </c>
      <c r="B67" s="124" t="s">
        <v>30</v>
      </c>
      <c r="C67" s="125" t="str">
        <f>IF(D67=0,"Digite a CH", IF(D67&lt;80,Dados!$AC$2,IF(D67=80,Dados!$AC$3,IF(D67&lt;179,Dados!$AC$3,IF(D67&gt;179,Dados!$AC$4)))))</f>
        <v>Básico (Até 79h)</v>
      </c>
      <c r="D67" s="126">
        <v>40.0</v>
      </c>
      <c r="E67" s="126" t="s">
        <v>208</v>
      </c>
      <c r="F67" s="125" t="s">
        <v>209</v>
      </c>
      <c r="G67" s="125" t="s">
        <v>210</v>
      </c>
      <c r="H67" s="128" t="s">
        <v>211</v>
      </c>
      <c r="I67" s="125" t="s">
        <v>91</v>
      </c>
      <c r="J67" s="125" t="s">
        <v>382</v>
      </c>
      <c r="K67" s="129">
        <v>45425.0</v>
      </c>
      <c r="L67" s="129">
        <v>45429.0</v>
      </c>
      <c r="M67" s="152" t="s">
        <v>30</v>
      </c>
      <c r="N67" s="126">
        <v>15.0</v>
      </c>
      <c r="O67" s="126">
        <v>7.0</v>
      </c>
      <c r="P67" s="126">
        <v>5.0</v>
      </c>
      <c r="Q67" s="126" t="s">
        <v>73</v>
      </c>
      <c r="R67" s="131">
        <f t="shared" si="1"/>
        <v>0.6666666667</v>
      </c>
      <c r="S67" s="131">
        <f t="shared" si="2"/>
        <v>0.2857142857</v>
      </c>
      <c r="T67" s="126" t="s">
        <v>579</v>
      </c>
      <c r="U67" s="126" t="s">
        <v>580</v>
      </c>
      <c r="V67" s="143" t="s">
        <v>401</v>
      </c>
      <c r="W67" s="144" t="s">
        <v>581</v>
      </c>
      <c r="X67" s="125"/>
      <c r="Y67" s="125"/>
      <c r="Z67" s="125"/>
      <c r="AA67" s="125"/>
      <c r="AB67" s="125"/>
      <c r="AC67" s="125"/>
      <c r="AD67" s="125"/>
      <c r="AE67" s="126"/>
      <c r="AF67" s="112"/>
      <c r="AG67" s="112"/>
      <c r="AH67" s="112"/>
    </row>
    <row r="68" ht="55.5" hidden="1" customHeight="1">
      <c r="A68" s="204" t="s">
        <v>7</v>
      </c>
      <c r="B68" s="124" t="s">
        <v>50</v>
      </c>
      <c r="C68" s="125" t="str">
        <f>IF(D68=0,"Digite a CH", IF(D68&lt;80,Dados!$AC$2,IF(D68=80,Dados!$AC$3,IF(D68&lt;179,Dados!$AC$3,IF(D68&gt;179,Dados!$AC$4)))))</f>
        <v>Atualização (80h-179h)</v>
      </c>
      <c r="D68" s="126">
        <v>80.0</v>
      </c>
      <c r="E68" s="126" t="s">
        <v>208</v>
      </c>
      <c r="F68" s="125" t="s">
        <v>209</v>
      </c>
      <c r="G68" s="125" t="s">
        <v>210</v>
      </c>
      <c r="H68" s="128" t="s">
        <v>232</v>
      </c>
      <c r="I68" s="143" t="s">
        <v>522</v>
      </c>
      <c r="J68" s="205" t="s">
        <v>878</v>
      </c>
      <c r="K68" s="126"/>
      <c r="L68" s="126"/>
      <c r="M68" s="126"/>
      <c r="N68" s="126">
        <v>35.0</v>
      </c>
      <c r="O68" s="126"/>
      <c r="P68" s="126"/>
      <c r="Q68" s="126" t="s">
        <v>42</v>
      </c>
      <c r="R68" s="131">
        <f t="shared" si="1"/>
        <v>0</v>
      </c>
      <c r="S68" s="131" t="str">
        <f t="shared" si="2"/>
        <v>#DIV/0!</v>
      </c>
      <c r="T68" s="126" t="s">
        <v>579</v>
      </c>
      <c r="U68" s="126" t="s">
        <v>580</v>
      </c>
      <c r="V68" s="143" t="s">
        <v>401</v>
      </c>
      <c r="W68" s="144"/>
      <c r="X68" s="125"/>
      <c r="Y68" s="125"/>
      <c r="Z68" s="125"/>
      <c r="AA68" s="125"/>
      <c r="AB68" s="125"/>
      <c r="AC68" s="125"/>
      <c r="AD68" s="125"/>
      <c r="AE68" s="126"/>
      <c r="AF68" s="112"/>
      <c r="AG68" s="112"/>
      <c r="AH68" s="112"/>
    </row>
    <row r="69" ht="53.25" hidden="1" customHeight="1">
      <c r="A69" s="204" t="s">
        <v>7</v>
      </c>
      <c r="B69" s="124" t="s">
        <v>50</v>
      </c>
      <c r="C69" s="125" t="str">
        <f>IF(D69=0,"Digite a CH", IF(D69&lt;80,Dados!$AC$2,IF(D69=80,Dados!$AC$3,IF(D69&lt;179,Dados!$AC$3,IF(D69&gt;179,Dados!$AC$4)))))</f>
        <v>Atualização (80h-179h)</v>
      </c>
      <c r="D69" s="126">
        <v>80.0</v>
      </c>
      <c r="E69" s="126" t="s">
        <v>266</v>
      </c>
      <c r="F69" s="125" t="s">
        <v>209</v>
      </c>
      <c r="G69" s="125" t="s">
        <v>210</v>
      </c>
      <c r="H69" s="128" t="s">
        <v>232</v>
      </c>
      <c r="I69" s="143" t="s">
        <v>522</v>
      </c>
      <c r="J69" s="205" t="s">
        <v>878</v>
      </c>
      <c r="K69" s="126"/>
      <c r="L69" s="126"/>
      <c r="M69" s="126"/>
      <c r="N69" s="126">
        <v>35.0</v>
      </c>
      <c r="O69" s="126"/>
      <c r="P69" s="126"/>
      <c r="Q69" s="126" t="s">
        <v>42</v>
      </c>
      <c r="R69" s="131">
        <f t="shared" si="1"/>
        <v>0</v>
      </c>
      <c r="S69" s="131" t="str">
        <f t="shared" si="2"/>
        <v>#DIV/0!</v>
      </c>
      <c r="T69" s="126" t="s">
        <v>579</v>
      </c>
      <c r="U69" s="126" t="s">
        <v>580</v>
      </c>
      <c r="V69" s="143" t="s">
        <v>401</v>
      </c>
      <c r="W69" s="144"/>
      <c r="X69" s="153"/>
      <c r="Y69" s="153"/>
      <c r="Z69" s="153"/>
      <c r="AA69" s="153"/>
      <c r="AB69" s="153"/>
      <c r="AC69" s="153"/>
      <c r="AD69" s="153"/>
      <c r="AE69" s="153"/>
      <c r="AF69" s="112"/>
      <c r="AG69" s="112"/>
      <c r="AH69" s="112"/>
    </row>
    <row r="70" ht="53.25" hidden="1" customHeight="1">
      <c r="A70" s="204" t="s">
        <v>7</v>
      </c>
      <c r="B70" s="124" t="s">
        <v>50</v>
      </c>
      <c r="C70" s="125" t="str">
        <f>IF(D70=0,"Digite a CH", IF(D70&lt;80,Dados!$AC$2,IF(D70=80,Dados!$AC$3,IF(D70&lt;179,Dados!$AC$3,IF(D70&gt;179,Dados!$AC$4)))))</f>
        <v>Atualização (80h-179h)</v>
      </c>
      <c r="D70" s="126">
        <v>80.0</v>
      </c>
      <c r="E70" s="126" t="s">
        <v>507</v>
      </c>
      <c r="F70" s="125" t="s">
        <v>209</v>
      </c>
      <c r="G70" s="125" t="s">
        <v>210</v>
      </c>
      <c r="H70" s="128" t="s">
        <v>232</v>
      </c>
      <c r="I70" s="143" t="s">
        <v>522</v>
      </c>
      <c r="J70" s="205" t="s">
        <v>878</v>
      </c>
      <c r="K70" s="126"/>
      <c r="L70" s="126"/>
      <c r="M70" s="126"/>
      <c r="N70" s="126">
        <v>35.0</v>
      </c>
      <c r="O70" s="126"/>
      <c r="P70" s="126"/>
      <c r="Q70" s="126" t="s">
        <v>42</v>
      </c>
      <c r="R70" s="131">
        <f t="shared" si="1"/>
        <v>0</v>
      </c>
      <c r="S70" s="131" t="str">
        <f t="shared" si="2"/>
        <v>#DIV/0!</v>
      </c>
      <c r="T70" s="126" t="s">
        <v>579</v>
      </c>
      <c r="U70" s="126" t="s">
        <v>580</v>
      </c>
      <c r="V70" s="143" t="s">
        <v>401</v>
      </c>
      <c r="W70" s="144"/>
      <c r="X70" s="153"/>
      <c r="Y70" s="153"/>
      <c r="Z70" s="153"/>
      <c r="AA70" s="153"/>
      <c r="AB70" s="153"/>
      <c r="AC70" s="153"/>
      <c r="AD70" s="153"/>
      <c r="AE70" s="153"/>
      <c r="AF70" s="112"/>
      <c r="AG70" s="112"/>
      <c r="AH70" s="112"/>
    </row>
    <row r="71" ht="53.25" hidden="1" customHeight="1">
      <c r="A71" s="204" t="s">
        <v>7</v>
      </c>
      <c r="B71" s="124" t="s">
        <v>50</v>
      </c>
      <c r="C71" s="125" t="str">
        <f>IF(D71=0,"Digite a CH", IF(D71&lt;80,Dados!$AC$2,IF(D71=80,Dados!$AC$3,IF(D71&lt;179,Dados!$AC$3,IF(D71&gt;179,Dados!$AC$4)))))</f>
        <v>Atualização (80h-179h)</v>
      </c>
      <c r="D71" s="126">
        <v>80.0</v>
      </c>
      <c r="E71" s="126" t="s">
        <v>511</v>
      </c>
      <c r="F71" s="125" t="s">
        <v>209</v>
      </c>
      <c r="G71" s="125" t="s">
        <v>210</v>
      </c>
      <c r="H71" s="128" t="s">
        <v>232</v>
      </c>
      <c r="I71" s="143" t="s">
        <v>522</v>
      </c>
      <c r="J71" s="205" t="s">
        <v>878</v>
      </c>
      <c r="K71" s="126"/>
      <c r="L71" s="126"/>
      <c r="M71" s="126"/>
      <c r="N71" s="126">
        <v>35.0</v>
      </c>
      <c r="O71" s="126"/>
      <c r="P71" s="126"/>
      <c r="Q71" s="126" t="s">
        <v>42</v>
      </c>
      <c r="R71" s="131">
        <f t="shared" si="1"/>
        <v>0</v>
      </c>
      <c r="S71" s="131" t="str">
        <f t="shared" si="2"/>
        <v>#DIV/0!</v>
      </c>
      <c r="T71" s="126" t="s">
        <v>579</v>
      </c>
      <c r="U71" s="126" t="s">
        <v>580</v>
      </c>
      <c r="V71" s="143" t="s">
        <v>401</v>
      </c>
      <c r="W71" s="144"/>
      <c r="X71" s="153"/>
      <c r="Y71" s="153"/>
      <c r="Z71" s="153"/>
      <c r="AA71" s="153"/>
      <c r="AB71" s="153"/>
      <c r="AC71" s="153"/>
      <c r="AD71" s="153"/>
      <c r="AE71" s="153"/>
      <c r="AF71" s="112"/>
      <c r="AG71" s="112"/>
      <c r="AH71" s="112"/>
    </row>
    <row r="72" ht="53.25" hidden="1" customHeight="1">
      <c r="A72" s="204" t="s">
        <v>7</v>
      </c>
      <c r="B72" s="124" t="s">
        <v>50</v>
      </c>
      <c r="C72" s="125" t="str">
        <f>IF(D72=0,"Digite a CH", IF(D72&lt;80,Dados!$AC$2,IF(D72=80,Dados!$AC$3,IF(D72&lt;179,Dados!$AC$3,IF(D72&gt;179,Dados!$AC$4)))))</f>
        <v>Atualização (80h-179h)</v>
      </c>
      <c r="D72" s="126">
        <v>80.0</v>
      </c>
      <c r="E72" s="126" t="s">
        <v>514</v>
      </c>
      <c r="F72" s="125" t="s">
        <v>209</v>
      </c>
      <c r="G72" s="125" t="s">
        <v>210</v>
      </c>
      <c r="H72" s="128" t="s">
        <v>232</v>
      </c>
      <c r="I72" s="143" t="s">
        <v>522</v>
      </c>
      <c r="J72" s="205" t="s">
        <v>878</v>
      </c>
      <c r="K72" s="126"/>
      <c r="L72" s="126"/>
      <c r="M72" s="126"/>
      <c r="N72" s="126">
        <v>35.0</v>
      </c>
      <c r="O72" s="126"/>
      <c r="P72" s="126"/>
      <c r="Q72" s="126" t="s">
        <v>42</v>
      </c>
      <c r="R72" s="131">
        <f t="shared" si="1"/>
        <v>0</v>
      </c>
      <c r="S72" s="131" t="str">
        <f t="shared" si="2"/>
        <v>#DIV/0!</v>
      </c>
      <c r="T72" s="126" t="s">
        <v>579</v>
      </c>
      <c r="U72" s="126" t="s">
        <v>580</v>
      </c>
      <c r="V72" s="143" t="s">
        <v>401</v>
      </c>
      <c r="W72" s="144"/>
      <c r="X72" s="153"/>
      <c r="Y72" s="153"/>
      <c r="Z72" s="153"/>
      <c r="AA72" s="153"/>
      <c r="AB72" s="153"/>
      <c r="AC72" s="153"/>
      <c r="AD72" s="153"/>
      <c r="AE72" s="153"/>
      <c r="AF72" s="112"/>
      <c r="AG72" s="112"/>
      <c r="AH72" s="112"/>
    </row>
    <row r="73" ht="53.25" hidden="1" customHeight="1">
      <c r="A73" s="204" t="s">
        <v>7</v>
      </c>
      <c r="B73" s="124" t="s">
        <v>50</v>
      </c>
      <c r="C73" s="125" t="str">
        <f>IF(D73=0,"Digite a CH", IF(D73&lt;80,Dados!$AC$2,IF(D73=80,Dados!$AC$3,IF(D73&lt;179,Dados!$AC$3,IF(D73&gt;179,Dados!$AC$4)))))</f>
        <v>Atualização (80h-179h)</v>
      </c>
      <c r="D73" s="126">
        <v>80.0</v>
      </c>
      <c r="E73" s="126" t="s">
        <v>519</v>
      </c>
      <c r="F73" s="125" t="s">
        <v>209</v>
      </c>
      <c r="G73" s="125" t="s">
        <v>210</v>
      </c>
      <c r="H73" s="128" t="s">
        <v>232</v>
      </c>
      <c r="I73" s="143" t="s">
        <v>522</v>
      </c>
      <c r="J73" s="205" t="s">
        <v>878</v>
      </c>
      <c r="K73" s="126"/>
      <c r="L73" s="126"/>
      <c r="M73" s="126"/>
      <c r="N73" s="126">
        <v>35.0</v>
      </c>
      <c r="O73" s="126"/>
      <c r="P73" s="126"/>
      <c r="Q73" s="126" t="s">
        <v>42</v>
      </c>
      <c r="R73" s="131">
        <f t="shared" si="1"/>
        <v>0</v>
      </c>
      <c r="S73" s="131" t="str">
        <f t="shared" si="2"/>
        <v>#DIV/0!</v>
      </c>
      <c r="T73" s="126" t="s">
        <v>579</v>
      </c>
      <c r="U73" s="126" t="s">
        <v>580</v>
      </c>
      <c r="V73" s="143" t="s">
        <v>401</v>
      </c>
      <c r="W73" s="144"/>
      <c r="X73" s="153"/>
      <c r="Y73" s="153"/>
      <c r="Z73" s="153"/>
      <c r="AA73" s="153"/>
      <c r="AB73" s="153"/>
      <c r="AC73" s="153"/>
      <c r="AD73" s="153"/>
      <c r="AE73" s="153"/>
      <c r="AF73" s="112"/>
      <c r="AG73" s="112"/>
      <c r="AH73" s="112"/>
    </row>
    <row r="74" ht="53.25" hidden="1" customHeight="1">
      <c r="A74" s="204" t="s">
        <v>7</v>
      </c>
      <c r="B74" s="124" t="s">
        <v>67</v>
      </c>
      <c r="C74" s="125" t="str">
        <f>IF(D74=0,"Digite a CH", IF(D74&lt;80,Dados!$AC$2,IF(D74=80,Dados!$AC$3,IF(D74&lt;179,Dados!$AC$3,IF(D74&gt;179,Dados!$AC$4)))))</f>
        <v>Básico (Até 79h)</v>
      </c>
      <c r="D74" s="126">
        <v>24.0</v>
      </c>
      <c r="E74" s="126" t="s">
        <v>208</v>
      </c>
      <c r="F74" s="125" t="s">
        <v>209</v>
      </c>
      <c r="G74" s="125" t="s">
        <v>210</v>
      </c>
      <c r="H74" s="128" t="s">
        <v>232</v>
      </c>
      <c r="I74" s="125" t="s">
        <v>118</v>
      </c>
      <c r="J74" s="125" t="s">
        <v>879</v>
      </c>
      <c r="K74" s="126"/>
      <c r="L74" s="126"/>
      <c r="M74" s="126"/>
      <c r="N74" s="126">
        <v>0.0</v>
      </c>
      <c r="O74" s="126"/>
      <c r="P74" s="126"/>
      <c r="Q74" s="126" t="s">
        <v>42</v>
      </c>
      <c r="R74" s="131" t="str">
        <f t="shared" si="1"/>
        <v>#DIV/0!</v>
      </c>
      <c r="S74" s="131" t="str">
        <f t="shared" si="2"/>
        <v>#DIV/0!</v>
      </c>
      <c r="T74" s="126" t="s">
        <v>579</v>
      </c>
      <c r="U74" s="126" t="s">
        <v>580</v>
      </c>
      <c r="V74" s="143" t="s">
        <v>401</v>
      </c>
      <c r="W74" s="144"/>
      <c r="X74" s="153"/>
      <c r="Y74" s="153"/>
      <c r="Z74" s="153"/>
      <c r="AA74" s="153"/>
      <c r="AB74" s="153"/>
      <c r="AC74" s="153"/>
      <c r="AD74" s="153"/>
      <c r="AE74" s="153"/>
      <c r="AF74" s="112"/>
      <c r="AG74" s="112"/>
      <c r="AH74" s="112"/>
    </row>
    <row r="75" ht="53.25" hidden="1" customHeight="1">
      <c r="A75" s="204" t="s">
        <v>7</v>
      </c>
      <c r="B75" s="124" t="s">
        <v>880</v>
      </c>
      <c r="C75" s="125" t="str">
        <f>IF(D75=0,"Digite a CH", IF(D75&lt;80,Dados!$AC$2,IF(D75=80,Dados!$AC$3,IF(D75&lt;179,Dados!$AC$3,IF(D75&gt;179,Dados!$AC$4)))))</f>
        <v>Básico (Até 79h)</v>
      </c>
      <c r="D75" s="126">
        <v>40.0</v>
      </c>
      <c r="E75" s="126" t="s">
        <v>266</v>
      </c>
      <c r="F75" s="125" t="s">
        <v>209</v>
      </c>
      <c r="G75" s="125" t="s">
        <v>210</v>
      </c>
      <c r="H75" s="128" t="s">
        <v>232</v>
      </c>
      <c r="I75" s="143" t="s">
        <v>522</v>
      </c>
      <c r="J75" s="125" t="s">
        <v>881</v>
      </c>
      <c r="K75" s="126"/>
      <c r="L75" s="126"/>
      <c r="M75" s="126"/>
      <c r="N75" s="126">
        <v>25.0</v>
      </c>
      <c r="O75" s="126"/>
      <c r="P75" s="126"/>
      <c r="Q75" s="126" t="s">
        <v>42</v>
      </c>
      <c r="R75" s="131">
        <f t="shared" si="1"/>
        <v>0</v>
      </c>
      <c r="S75" s="131" t="str">
        <f t="shared" si="2"/>
        <v>#DIV/0!</v>
      </c>
      <c r="T75" s="126" t="s">
        <v>579</v>
      </c>
      <c r="U75" s="126" t="s">
        <v>580</v>
      </c>
      <c r="V75" s="143" t="s">
        <v>401</v>
      </c>
      <c r="W75" s="144"/>
      <c r="X75" s="153"/>
      <c r="Y75" s="153"/>
      <c r="Z75" s="153"/>
      <c r="AA75" s="153"/>
      <c r="AB75" s="153"/>
      <c r="AC75" s="153"/>
      <c r="AD75" s="153"/>
      <c r="AE75" s="153"/>
      <c r="AF75" s="112"/>
      <c r="AG75" s="112"/>
      <c r="AH75" s="112"/>
    </row>
    <row r="76" ht="53.25" hidden="1" customHeight="1">
      <c r="A76" s="204" t="s">
        <v>7</v>
      </c>
      <c r="B76" s="124" t="s">
        <v>880</v>
      </c>
      <c r="C76" s="125" t="str">
        <f>IF(D76=0,"Digite a CH", IF(D76&lt;80,Dados!$AC$2,IF(D76=80,Dados!$AC$3,IF(D76&lt;179,Dados!$AC$3,IF(D76&gt;179,Dados!$AC$4)))))</f>
        <v>Básico (Até 79h)</v>
      </c>
      <c r="D76" s="126">
        <v>40.0</v>
      </c>
      <c r="E76" s="126" t="s">
        <v>266</v>
      </c>
      <c r="F76" s="125" t="s">
        <v>209</v>
      </c>
      <c r="G76" s="125" t="s">
        <v>210</v>
      </c>
      <c r="H76" s="128" t="s">
        <v>232</v>
      </c>
      <c r="I76" s="143" t="s">
        <v>522</v>
      </c>
      <c r="J76" s="125" t="s">
        <v>881</v>
      </c>
      <c r="K76" s="126"/>
      <c r="L76" s="126"/>
      <c r="M76" s="126"/>
      <c r="N76" s="126">
        <v>25.0</v>
      </c>
      <c r="O76" s="126"/>
      <c r="P76" s="126"/>
      <c r="Q76" s="126" t="s">
        <v>42</v>
      </c>
      <c r="R76" s="131">
        <f t="shared" si="1"/>
        <v>0</v>
      </c>
      <c r="S76" s="131" t="str">
        <f t="shared" si="2"/>
        <v>#DIV/0!</v>
      </c>
      <c r="T76" s="126" t="s">
        <v>579</v>
      </c>
      <c r="U76" s="126" t="s">
        <v>580</v>
      </c>
      <c r="V76" s="143" t="s">
        <v>401</v>
      </c>
      <c r="W76" s="144"/>
      <c r="X76" s="153"/>
      <c r="Y76" s="153"/>
      <c r="Z76" s="153"/>
      <c r="AA76" s="153"/>
      <c r="AB76" s="153"/>
      <c r="AC76" s="153"/>
      <c r="AD76" s="153"/>
      <c r="AE76" s="153"/>
      <c r="AF76" s="112"/>
      <c r="AG76" s="112"/>
      <c r="AH76" s="112"/>
    </row>
    <row r="77" hidden="1">
      <c r="A77" s="207" t="s">
        <v>8</v>
      </c>
      <c r="B77" s="124" t="s">
        <v>882</v>
      </c>
      <c r="C77" s="125" t="str">
        <f>IF(D77=0,"Digite a CH", IF(D77&lt;80,Dados!$AC$2,IF(D77=80,Dados!$AC$3,IF(D77&lt;179,Dados!$AC$3,IF($D$77&gt;179,Dados!$AC$4)))))</f>
        <v>Básico (Até 79h)</v>
      </c>
      <c r="D77" s="126">
        <v>60.0</v>
      </c>
      <c r="E77" s="126" t="s">
        <v>208</v>
      </c>
      <c r="F77" s="125" t="s">
        <v>209</v>
      </c>
      <c r="G77" s="125" t="s">
        <v>538</v>
      </c>
      <c r="H77" s="128" t="s">
        <v>232</v>
      </c>
      <c r="I77" s="143" t="s">
        <v>238</v>
      </c>
      <c r="J77" s="125" t="s">
        <v>883</v>
      </c>
      <c r="K77" s="126"/>
      <c r="L77" s="126"/>
      <c r="M77" s="126"/>
      <c r="N77" s="126">
        <v>50.0</v>
      </c>
      <c r="O77" s="126"/>
      <c r="P77" s="126"/>
      <c r="Q77" s="126" t="s">
        <v>42</v>
      </c>
      <c r="R77" s="131">
        <f t="shared" si="1"/>
        <v>0</v>
      </c>
      <c r="S77" s="131" t="str">
        <f t="shared" si="2"/>
        <v>#DIV/0!</v>
      </c>
      <c r="T77" s="126" t="s">
        <v>590</v>
      </c>
      <c r="U77" s="126" t="s">
        <v>884</v>
      </c>
      <c r="V77" s="125" t="s">
        <v>592</v>
      </c>
      <c r="W77" s="144" t="s">
        <v>885</v>
      </c>
      <c r="X77" s="140" t="s">
        <v>886</v>
      </c>
      <c r="Y77" s="125"/>
      <c r="Z77" s="125"/>
      <c r="AA77" s="125"/>
      <c r="AB77" s="125"/>
      <c r="AC77" s="125"/>
      <c r="AD77" s="125"/>
      <c r="AE77" s="126"/>
      <c r="AF77" s="112"/>
      <c r="AG77" s="112"/>
      <c r="AH77" s="112"/>
    </row>
    <row r="78" hidden="1">
      <c r="A78" s="207" t="s">
        <v>8</v>
      </c>
      <c r="B78" s="124" t="s">
        <v>882</v>
      </c>
      <c r="C78" s="125" t="str">
        <f>IF(D78=0,"Digite a CH", IF(D78&lt;80,Dados!$AC$2,IF(D78=80,Dados!$AC$3,IF(D78&lt;179,Dados!$AC$3,IF($D$77&gt;179,Dados!$AC$4)))))</f>
        <v>Básico (Até 79h)</v>
      </c>
      <c r="D78" s="126">
        <v>60.0</v>
      </c>
      <c r="E78" s="126" t="s">
        <v>266</v>
      </c>
      <c r="F78" s="125" t="s">
        <v>295</v>
      </c>
      <c r="G78" s="125" t="s">
        <v>538</v>
      </c>
      <c r="H78" s="128" t="s">
        <v>232</v>
      </c>
      <c r="I78" s="143" t="s">
        <v>522</v>
      </c>
      <c r="J78" s="125"/>
      <c r="K78" s="126"/>
      <c r="L78" s="126"/>
      <c r="M78" s="126"/>
      <c r="N78" s="126">
        <v>50.0</v>
      </c>
      <c r="O78" s="126"/>
      <c r="P78" s="126"/>
      <c r="Q78" s="126" t="s">
        <v>42</v>
      </c>
      <c r="R78" s="131">
        <f t="shared" si="1"/>
        <v>0</v>
      </c>
      <c r="S78" s="131" t="str">
        <f t="shared" si="2"/>
        <v>#DIV/0!</v>
      </c>
      <c r="T78" s="126" t="s">
        <v>590</v>
      </c>
      <c r="U78" s="126" t="s">
        <v>884</v>
      </c>
      <c r="V78" s="125" t="s">
        <v>592</v>
      </c>
      <c r="W78" s="144" t="s">
        <v>885</v>
      </c>
      <c r="X78" s="140" t="s">
        <v>887</v>
      </c>
      <c r="Y78" s="125"/>
      <c r="Z78" s="125"/>
      <c r="AA78" s="125"/>
      <c r="AB78" s="125"/>
      <c r="AC78" s="125"/>
      <c r="AD78" s="125"/>
      <c r="AE78" s="126"/>
      <c r="AF78" s="112"/>
      <c r="AG78" s="112"/>
      <c r="AH78" s="112"/>
    </row>
    <row r="79" hidden="1">
      <c r="A79" s="207" t="s">
        <v>8</v>
      </c>
      <c r="B79" s="124" t="s">
        <v>882</v>
      </c>
      <c r="C79" s="125" t="str">
        <f>IF(D79=0,"Digite a CH", IF(D79&lt;80,Dados!$AC$2,IF(D79=80,Dados!$AC$3,IF(D79&lt;179,Dados!$AC$3,IF($D$77&gt;179,Dados!$AC$4)))))</f>
        <v>Básico (Até 79h)</v>
      </c>
      <c r="D79" s="126">
        <v>60.0</v>
      </c>
      <c r="E79" s="126" t="s">
        <v>507</v>
      </c>
      <c r="F79" s="125" t="s">
        <v>316</v>
      </c>
      <c r="G79" s="125" t="s">
        <v>296</v>
      </c>
      <c r="H79" s="128" t="s">
        <v>232</v>
      </c>
      <c r="I79" s="143" t="s">
        <v>522</v>
      </c>
      <c r="J79" s="125"/>
      <c r="K79" s="126"/>
      <c r="L79" s="126"/>
      <c r="M79" s="126"/>
      <c r="N79" s="126">
        <v>50.0</v>
      </c>
      <c r="O79" s="126"/>
      <c r="P79" s="126"/>
      <c r="Q79" s="126" t="s">
        <v>42</v>
      </c>
      <c r="R79" s="131">
        <f t="shared" si="1"/>
        <v>0</v>
      </c>
      <c r="S79" s="131" t="str">
        <f t="shared" si="2"/>
        <v>#DIV/0!</v>
      </c>
      <c r="T79" s="126" t="s">
        <v>590</v>
      </c>
      <c r="U79" s="126" t="s">
        <v>884</v>
      </c>
      <c r="V79" s="125" t="s">
        <v>592</v>
      </c>
      <c r="W79" s="144" t="s">
        <v>885</v>
      </c>
      <c r="X79" s="140" t="s">
        <v>888</v>
      </c>
      <c r="Y79" s="125"/>
      <c r="Z79" s="125"/>
      <c r="AA79" s="125"/>
      <c r="AB79" s="125"/>
      <c r="AC79" s="125"/>
      <c r="AD79" s="125"/>
      <c r="AE79" s="126"/>
      <c r="AF79" s="112"/>
      <c r="AG79" s="112"/>
      <c r="AH79" s="112"/>
    </row>
    <row r="80" hidden="1">
      <c r="A80" s="207" t="s">
        <v>8</v>
      </c>
      <c r="B80" s="124" t="s">
        <v>882</v>
      </c>
      <c r="C80" s="125" t="str">
        <f>IF(D80=0,"Digite a CH", IF(D80&lt;80,Dados!$AC$2,IF(D80=80,Dados!$AC$3,IF(D80&lt;179,Dados!$AC$3,IF($D$77&gt;179,Dados!$AC$4)))))</f>
        <v>Básico (Até 79h)</v>
      </c>
      <c r="D80" s="126">
        <v>60.0</v>
      </c>
      <c r="E80" s="126" t="s">
        <v>511</v>
      </c>
      <c r="F80" s="125" t="s">
        <v>342</v>
      </c>
      <c r="G80" s="125" t="s">
        <v>296</v>
      </c>
      <c r="H80" s="128" t="s">
        <v>232</v>
      </c>
      <c r="I80" s="143" t="s">
        <v>522</v>
      </c>
      <c r="J80" s="125"/>
      <c r="K80" s="126"/>
      <c r="L80" s="126"/>
      <c r="M80" s="126"/>
      <c r="N80" s="126">
        <v>50.0</v>
      </c>
      <c r="O80" s="126"/>
      <c r="P80" s="126"/>
      <c r="Q80" s="126" t="s">
        <v>42</v>
      </c>
      <c r="R80" s="131">
        <f t="shared" si="1"/>
        <v>0</v>
      </c>
      <c r="S80" s="131" t="str">
        <f t="shared" si="2"/>
        <v>#DIV/0!</v>
      </c>
      <c r="T80" s="126" t="s">
        <v>590</v>
      </c>
      <c r="U80" s="126" t="s">
        <v>884</v>
      </c>
      <c r="V80" s="125" t="s">
        <v>592</v>
      </c>
      <c r="W80" s="144" t="s">
        <v>885</v>
      </c>
      <c r="X80" s="140" t="s">
        <v>887</v>
      </c>
      <c r="Y80" s="125"/>
      <c r="Z80" s="125"/>
      <c r="AA80" s="125"/>
      <c r="AB80" s="125"/>
      <c r="AC80" s="125"/>
      <c r="AD80" s="125"/>
      <c r="AE80" s="126"/>
      <c r="AF80" s="112"/>
      <c r="AG80" s="112"/>
      <c r="AH80" s="112"/>
    </row>
    <row r="81" hidden="1">
      <c r="A81" s="207" t="s">
        <v>8</v>
      </c>
      <c r="B81" s="124" t="s">
        <v>882</v>
      </c>
      <c r="C81" s="125" t="str">
        <f>IF(D81=0,"Digite a CH", IF(D81&lt;80,Dados!$AC$2,IF(D81=80,Dados!$AC$3,IF(D81&lt;179,Dados!$AC$3,IF($D$77&gt;179,Dados!$AC$4)))))</f>
        <v>Básico (Até 79h)</v>
      </c>
      <c r="D81" s="126">
        <v>60.0</v>
      </c>
      <c r="E81" s="126" t="s">
        <v>514</v>
      </c>
      <c r="F81" s="125" t="s">
        <v>255</v>
      </c>
      <c r="G81" s="125" t="s">
        <v>730</v>
      </c>
      <c r="H81" s="128" t="s">
        <v>232</v>
      </c>
      <c r="I81" s="143" t="s">
        <v>238</v>
      </c>
      <c r="J81" s="125" t="s">
        <v>883</v>
      </c>
      <c r="K81" s="126"/>
      <c r="L81" s="126"/>
      <c r="M81" s="126"/>
      <c r="N81" s="126">
        <v>50.0</v>
      </c>
      <c r="O81" s="126"/>
      <c r="P81" s="126"/>
      <c r="Q81" s="126" t="s">
        <v>42</v>
      </c>
      <c r="R81" s="131">
        <f t="shared" si="1"/>
        <v>0</v>
      </c>
      <c r="S81" s="131" t="str">
        <f t="shared" si="2"/>
        <v>#DIV/0!</v>
      </c>
      <c r="T81" s="126" t="s">
        <v>590</v>
      </c>
      <c r="U81" s="126" t="s">
        <v>884</v>
      </c>
      <c r="V81" s="125" t="s">
        <v>592</v>
      </c>
      <c r="W81" s="144" t="s">
        <v>885</v>
      </c>
      <c r="X81" s="140" t="s">
        <v>887</v>
      </c>
      <c r="Y81" s="125"/>
      <c r="Z81" s="125"/>
      <c r="AA81" s="125"/>
      <c r="AB81" s="125"/>
      <c r="AC81" s="125"/>
      <c r="AD81" s="125"/>
      <c r="AE81" s="126"/>
      <c r="AF81" s="112"/>
      <c r="AG81" s="112"/>
      <c r="AH81" s="112"/>
    </row>
    <row r="82" hidden="1">
      <c r="A82" s="207" t="s">
        <v>8</v>
      </c>
      <c r="B82" s="124" t="s">
        <v>882</v>
      </c>
      <c r="C82" s="125" t="str">
        <f>IF(D82=0,"Digite a CH", IF(D82&lt;80,Dados!$AC$2,IF(D82=80,Dados!$AC$3,IF(D82&lt;179,Dados!$AC$3,IF($D$77&gt;179,Dados!$AC$4)))))</f>
        <v>Básico (Até 79h)</v>
      </c>
      <c r="D82" s="126">
        <v>60.0</v>
      </c>
      <c r="E82" s="126" t="s">
        <v>519</v>
      </c>
      <c r="F82" s="125" t="s">
        <v>209</v>
      </c>
      <c r="G82" s="125" t="s">
        <v>730</v>
      </c>
      <c r="H82" s="128" t="s">
        <v>232</v>
      </c>
      <c r="I82" s="143" t="s">
        <v>522</v>
      </c>
      <c r="J82" s="125"/>
      <c r="K82" s="126"/>
      <c r="L82" s="126"/>
      <c r="M82" s="126"/>
      <c r="N82" s="126">
        <v>50.0</v>
      </c>
      <c r="O82" s="126"/>
      <c r="P82" s="126"/>
      <c r="Q82" s="126" t="s">
        <v>42</v>
      </c>
      <c r="R82" s="131">
        <f t="shared" si="1"/>
        <v>0</v>
      </c>
      <c r="S82" s="131" t="str">
        <f t="shared" si="2"/>
        <v>#DIV/0!</v>
      </c>
      <c r="T82" s="126" t="s">
        <v>590</v>
      </c>
      <c r="U82" s="126" t="s">
        <v>884</v>
      </c>
      <c r="V82" s="125" t="s">
        <v>592</v>
      </c>
      <c r="W82" s="144" t="s">
        <v>885</v>
      </c>
      <c r="X82" s="140" t="s">
        <v>887</v>
      </c>
      <c r="Y82" s="125"/>
      <c r="Z82" s="125"/>
      <c r="AA82" s="125"/>
      <c r="AB82" s="125"/>
      <c r="AC82" s="125"/>
      <c r="AD82" s="125"/>
      <c r="AE82" s="126"/>
      <c r="AF82" s="112"/>
      <c r="AG82" s="112"/>
      <c r="AH82" s="112"/>
    </row>
    <row r="83" hidden="1">
      <c r="A83" s="207" t="s">
        <v>8</v>
      </c>
      <c r="B83" s="124" t="s">
        <v>882</v>
      </c>
      <c r="C83" s="125" t="str">
        <f>IF(D83=0,"Digite a CH", IF(D83&lt;80,Dados!$AC$2,IF(D83=80,Dados!$AC$3,IF(D83&lt;179,Dados!$AC$3,IF(D83&gt;179,Dados!$AC$4)))))</f>
        <v>Básico (Até 79h)</v>
      </c>
      <c r="D83" s="126">
        <v>60.0</v>
      </c>
      <c r="E83" s="126" t="s">
        <v>454</v>
      </c>
      <c r="F83" s="125" t="s">
        <v>209</v>
      </c>
      <c r="G83" s="125" t="s">
        <v>426</v>
      </c>
      <c r="H83" s="128" t="s">
        <v>211</v>
      </c>
      <c r="I83" s="143" t="s">
        <v>697</v>
      </c>
      <c r="J83" s="125" t="s">
        <v>889</v>
      </c>
      <c r="K83" s="126"/>
      <c r="L83" s="126"/>
      <c r="M83" s="126"/>
      <c r="N83" s="126">
        <v>50.0</v>
      </c>
      <c r="O83" s="126"/>
      <c r="P83" s="126"/>
      <c r="Q83" s="126" t="s">
        <v>42</v>
      </c>
      <c r="R83" s="131">
        <f t="shared" si="1"/>
        <v>0</v>
      </c>
      <c r="S83" s="131" t="str">
        <f t="shared" si="2"/>
        <v>#DIV/0!</v>
      </c>
      <c r="T83" s="126" t="s">
        <v>590</v>
      </c>
      <c r="U83" s="126" t="s">
        <v>884</v>
      </c>
      <c r="V83" s="125" t="s">
        <v>592</v>
      </c>
      <c r="W83" s="144" t="s">
        <v>885</v>
      </c>
      <c r="X83" s="140" t="s">
        <v>887</v>
      </c>
      <c r="Y83" s="125"/>
      <c r="Z83" s="125"/>
      <c r="AA83" s="125"/>
      <c r="AB83" s="125"/>
      <c r="AC83" s="125"/>
      <c r="AD83" s="125"/>
      <c r="AE83" s="262"/>
      <c r="AF83" s="112"/>
      <c r="AG83" s="112"/>
      <c r="AH83" s="112"/>
    </row>
    <row r="84" hidden="1">
      <c r="A84" s="207" t="s">
        <v>8</v>
      </c>
      <c r="B84" s="124" t="s">
        <v>882</v>
      </c>
      <c r="C84" s="125" t="str">
        <f>IF(D84=0,"Digite a CH", IF(D84&lt;80,Dados!$AC$2,IF(D84=80,Dados!$AC$3,IF(D84&lt;179,Dados!$AC$3,IF(D84&gt;179,Dados!$AC$4)))))</f>
        <v>Básico (Até 79h)</v>
      </c>
      <c r="D84" s="126">
        <v>60.0</v>
      </c>
      <c r="E84" s="126" t="s">
        <v>467</v>
      </c>
      <c r="F84" s="125" t="s">
        <v>295</v>
      </c>
      <c r="G84" s="125" t="s">
        <v>426</v>
      </c>
      <c r="H84" s="128" t="s">
        <v>211</v>
      </c>
      <c r="I84" s="143" t="s">
        <v>522</v>
      </c>
      <c r="J84" s="125"/>
      <c r="K84" s="126"/>
      <c r="L84" s="126"/>
      <c r="M84" s="126"/>
      <c r="N84" s="126">
        <v>50.0</v>
      </c>
      <c r="O84" s="126"/>
      <c r="P84" s="126"/>
      <c r="Q84" s="126" t="s">
        <v>42</v>
      </c>
      <c r="R84" s="131">
        <f t="shared" si="1"/>
        <v>0</v>
      </c>
      <c r="S84" s="131" t="str">
        <f t="shared" si="2"/>
        <v>#DIV/0!</v>
      </c>
      <c r="T84" s="126" t="s">
        <v>590</v>
      </c>
      <c r="U84" s="126" t="s">
        <v>884</v>
      </c>
      <c r="V84" s="125" t="s">
        <v>592</v>
      </c>
      <c r="W84" s="144" t="s">
        <v>885</v>
      </c>
      <c r="X84" s="140" t="s">
        <v>886</v>
      </c>
      <c r="Y84" s="125"/>
      <c r="Z84" s="125"/>
      <c r="AA84" s="125"/>
      <c r="AB84" s="125"/>
      <c r="AC84" s="125"/>
      <c r="AD84" s="125"/>
      <c r="AE84" s="262"/>
      <c r="AF84" s="112"/>
      <c r="AG84" s="112"/>
      <c r="AH84" s="112"/>
    </row>
    <row r="85" hidden="1">
      <c r="A85" s="207" t="s">
        <v>8</v>
      </c>
      <c r="B85" s="124" t="s">
        <v>882</v>
      </c>
      <c r="C85" s="125" t="str">
        <f>IF(D85=0,"Digite a CH", IF(D85&lt;80,Dados!$AC$2,IF(D85=80,Dados!$AC$3,IF(D85&lt;179,Dados!$AC$3,IF(D85&gt;179,Dados!$AC$4)))))</f>
        <v>Básico (Até 79h)</v>
      </c>
      <c r="D85" s="126">
        <v>60.0</v>
      </c>
      <c r="E85" s="126" t="s">
        <v>523</v>
      </c>
      <c r="F85" s="125" t="s">
        <v>316</v>
      </c>
      <c r="G85" s="125" t="s">
        <v>333</v>
      </c>
      <c r="H85" s="128" t="s">
        <v>232</v>
      </c>
      <c r="I85" s="143" t="s">
        <v>522</v>
      </c>
      <c r="J85" s="125"/>
      <c r="K85" s="126"/>
      <c r="L85" s="126"/>
      <c r="M85" s="126"/>
      <c r="N85" s="126">
        <v>50.0</v>
      </c>
      <c r="O85" s="126"/>
      <c r="P85" s="126"/>
      <c r="Q85" s="126" t="s">
        <v>42</v>
      </c>
      <c r="R85" s="131">
        <f t="shared" si="1"/>
        <v>0</v>
      </c>
      <c r="S85" s="131" t="str">
        <f t="shared" si="2"/>
        <v>#DIV/0!</v>
      </c>
      <c r="T85" s="126" t="s">
        <v>590</v>
      </c>
      <c r="U85" s="126" t="s">
        <v>884</v>
      </c>
      <c r="V85" s="125" t="s">
        <v>592</v>
      </c>
      <c r="W85" s="144" t="s">
        <v>885</v>
      </c>
      <c r="X85" s="140" t="s">
        <v>887</v>
      </c>
      <c r="Y85" s="125"/>
      <c r="Z85" s="125"/>
      <c r="AA85" s="125"/>
      <c r="AB85" s="125"/>
      <c r="AC85" s="125"/>
      <c r="AD85" s="125"/>
      <c r="AE85" s="262"/>
      <c r="AF85" s="112"/>
      <c r="AG85" s="112"/>
      <c r="AH85" s="112"/>
    </row>
    <row r="86" hidden="1">
      <c r="A86" s="207" t="s">
        <v>8</v>
      </c>
      <c r="B86" s="124" t="s">
        <v>882</v>
      </c>
      <c r="C86" s="125" t="str">
        <f>IF(D86=0,"Digite a CH", IF(D86&lt;80,Dados!$AC$2,IF(D86=80,Dados!$AC$3,IF(D86&lt;179,Dados!$AC$3,IF(D86&gt;179,Dados!$AC$4)))))</f>
        <v>Básico (Até 79h)</v>
      </c>
      <c r="D86" s="126">
        <v>60.0</v>
      </c>
      <c r="E86" s="126" t="s">
        <v>526</v>
      </c>
      <c r="F86" s="125" t="s">
        <v>342</v>
      </c>
      <c r="G86" s="125" t="s">
        <v>333</v>
      </c>
      <c r="H86" s="128" t="s">
        <v>232</v>
      </c>
      <c r="I86" s="143" t="s">
        <v>522</v>
      </c>
      <c r="J86" s="125"/>
      <c r="K86" s="126"/>
      <c r="L86" s="126"/>
      <c r="M86" s="126"/>
      <c r="N86" s="126">
        <v>50.0</v>
      </c>
      <c r="O86" s="126"/>
      <c r="P86" s="126"/>
      <c r="Q86" s="126" t="s">
        <v>42</v>
      </c>
      <c r="R86" s="131">
        <f t="shared" si="1"/>
        <v>0</v>
      </c>
      <c r="S86" s="131" t="str">
        <f t="shared" si="2"/>
        <v>#DIV/0!</v>
      </c>
      <c r="T86" s="126" t="s">
        <v>590</v>
      </c>
      <c r="U86" s="126" t="s">
        <v>884</v>
      </c>
      <c r="V86" s="125" t="s">
        <v>592</v>
      </c>
      <c r="W86" s="144" t="s">
        <v>885</v>
      </c>
      <c r="X86" s="140" t="s">
        <v>887</v>
      </c>
      <c r="Y86" s="125"/>
      <c r="Z86" s="125"/>
      <c r="AA86" s="125"/>
      <c r="AB86" s="125"/>
      <c r="AC86" s="125"/>
      <c r="AD86" s="125"/>
      <c r="AE86" s="262"/>
      <c r="AF86" s="112"/>
      <c r="AG86" s="112"/>
      <c r="AH86" s="112"/>
    </row>
    <row r="87" hidden="1">
      <c r="A87" s="207" t="s">
        <v>8</v>
      </c>
      <c r="B87" s="124" t="s">
        <v>31</v>
      </c>
      <c r="C87" s="125" t="str">
        <f>IF(D87=0,"Digite a CH", IF(D87&lt;80,Dados!$AC$2,IF(D87=80,Dados!$AC$3,IF(D87&lt;179,Dados!$AC$3,IF(D87&gt;179,Dados!$AC$4)))))</f>
        <v>Básico (Até 79h)</v>
      </c>
      <c r="D87" s="126">
        <v>60.0</v>
      </c>
      <c r="E87" s="126" t="s">
        <v>208</v>
      </c>
      <c r="F87" s="125" t="s">
        <v>255</v>
      </c>
      <c r="G87" s="125" t="s">
        <v>538</v>
      </c>
      <c r="H87" s="128" t="s">
        <v>232</v>
      </c>
      <c r="I87" s="143" t="s">
        <v>238</v>
      </c>
      <c r="J87" s="125" t="s">
        <v>883</v>
      </c>
      <c r="K87" s="126"/>
      <c r="L87" s="126"/>
      <c r="M87" s="126"/>
      <c r="N87" s="126">
        <v>50.0</v>
      </c>
      <c r="O87" s="126"/>
      <c r="P87" s="126"/>
      <c r="Q87" s="126" t="s">
        <v>42</v>
      </c>
      <c r="R87" s="131">
        <f t="shared" si="1"/>
        <v>0</v>
      </c>
      <c r="S87" s="131" t="str">
        <f t="shared" si="2"/>
        <v>#DIV/0!</v>
      </c>
      <c r="T87" s="126" t="s">
        <v>590</v>
      </c>
      <c r="U87" s="126" t="s">
        <v>884</v>
      </c>
      <c r="V87" s="125" t="s">
        <v>592</v>
      </c>
      <c r="W87" s="144" t="s">
        <v>885</v>
      </c>
      <c r="X87" s="140" t="s">
        <v>887</v>
      </c>
      <c r="Y87" s="125"/>
      <c r="Z87" s="125"/>
      <c r="AA87" s="125"/>
      <c r="AB87" s="125"/>
      <c r="AC87" s="125"/>
      <c r="AD87" s="125"/>
      <c r="AE87" s="262"/>
      <c r="AF87" s="112"/>
      <c r="AG87" s="112"/>
      <c r="AH87" s="112"/>
    </row>
    <row r="88" hidden="1">
      <c r="A88" s="207" t="s">
        <v>8</v>
      </c>
      <c r="B88" s="124" t="s">
        <v>31</v>
      </c>
      <c r="C88" s="125" t="str">
        <f>IF(D88=0,"Digite a CH", IF(D88&lt;80,Dados!$AC$2,IF(D88=80,Dados!$AC$3,IF(D88&lt;179,Dados!$AC$3,IF(D88&gt;179,Dados!$AC$4)))))</f>
        <v>Básico (Até 79h)</v>
      </c>
      <c r="D88" s="126">
        <v>60.0</v>
      </c>
      <c r="E88" s="126" t="s">
        <v>266</v>
      </c>
      <c r="F88" s="125" t="s">
        <v>209</v>
      </c>
      <c r="G88" s="125" t="s">
        <v>538</v>
      </c>
      <c r="H88" s="128" t="s">
        <v>232</v>
      </c>
      <c r="I88" s="143" t="s">
        <v>522</v>
      </c>
      <c r="J88" s="125"/>
      <c r="K88" s="126"/>
      <c r="L88" s="126"/>
      <c r="M88" s="126"/>
      <c r="N88" s="126">
        <v>50.0</v>
      </c>
      <c r="O88" s="126"/>
      <c r="P88" s="126"/>
      <c r="Q88" s="126" t="s">
        <v>42</v>
      </c>
      <c r="R88" s="131">
        <f t="shared" si="1"/>
        <v>0</v>
      </c>
      <c r="S88" s="131" t="str">
        <f t="shared" si="2"/>
        <v>#DIV/0!</v>
      </c>
      <c r="T88" s="126" t="s">
        <v>590</v>
      </c>
      <c r="U88" s="126" t="s">
        <v>884</v>
      </c>
      <c r="V88" s="125" t="s">
        <v>592</v>
      </c>
      <c r="W88" s="144" t="s">
        <v>885</v>
      </c>
      <c r="X88" s="140" t="s">
        <v>887</v>
      </c>
      <c r="Y88" s="125"/>
      <c r="Z88" s="125"/>
      <c r="AA88" s="125"/>
      <c r="AB88" s="125"/>
      <c r="AC88" s="125"/>
      <c r="AD88" s="125"/>
      <c r="AE88" s="262"/>
      <c r="AF88" s="112"/>
      <c r="AG88" s="112"/>
      <c r="AH88" s="112"/>
    </row>
    <row r="89" hidden="1">
      <c r="A89" s="207" t="s">
        <v>8</v>
      </c>
      <c r="B89" s="124" t="s">
        <v>68</v>
      </c>
      <c r="C89" s="125" t="str">
        <f>IF(D89=0,"Digite a CH", IF(D89&lt;80,Dados!$AC$2,IF(D89=80,Dados!$AC$3,IF(D89&lt;179,Dados!$AC$3,IF(D89&gt;179,Dados!$AC$4)))))</f>
        <v>Básico (Até 79h)</v>
      </c>
      <c r="D89" s="126">
        <v>60.0</v>
      </c>
      <c r="E89" s="126" t="s">
        <v>208</v>
      </c>
      <c r="F89" s="125" t="s">
        <v>209</v>
      </c>
      <c r="G89" s="125" t="s">
        <v>538</v>
      </c>
      <c r="H89" s="128" t="s">
        <v>232</v>
      </c>
      <c r="I89" s="143" t="s">
        <v>522</v>
      </c>
      <c r="J89" s="125"/>
      <c r="K89" s="126"/>
      <c r="L89" s="126"/>
      <c r="M89" s="126"/>
      <c r="N89" s="126">
        <v>50.0</v>
      </c>
      <c r="O89" s="126"/>
      <c r="P89" s="126"/>
      <c r="Q89" s="126" t="s">
        <v>42</v>
      </c>
      <c r="R89" s="131">
        <f t="shared" si="1"/>
        <v>0</v>
      </c>
      <c r="S89" s="131" t="str">
        <f t="shared" si="2"/>
        <v>#DIV/0!</v>
      </c>
      <c r="T89" s="126" t="s">
        <v>590</v>
      </c>
      <c r="U89" s="126" t="s">
        <v>884</v>
      </c>
      <c r="V89" s="125" t="s">
        <v>592</v>
      </c>
      <c r="W89" s="144" t="s">
        <v>890</v>
      </c>
      <c r="X89" s="125" t="s">
        <v>42</v>
      </c>
      <c r="Y89" s="125"/>
      <c r="Z89" s="125"/>
      <c r="AA89" s="125"/>
      <c r="AB89" s="125"/>
      <c r="AC89" s="126"/>
      <c r="AD89" s="125"/>
      <c r="AE89" s="126"/>
      <c r="AF89" s="112"/>
      <c r="AG89" s="112"/>
      <c r="AH89" s="112"/>
    </row>
    <row r="90" hidden="1">
      <c r="A90" s="207" t="s">
        <v>8</v>
      </c>
      <c r="B90" s="124" t="s">
        <v>80</v>
      </c>
      <c r="C90" s="125" t="str">
        <f>IF(D90=0,"Digite a CH", IF(D90&lt;80,Dados!$AC$2,IF(D90=80,Dados!$AC$3,IF(D90&lt;179,Dados!$AC$3,IF(D90&gt;179,Dados!$AC$4)))))</f>
        <v>Básico (Até 79h)</v>
      </c>
      <c r="D90" s="126">
        <v>60.0</v>
      </c>
      <c r="E90" s="126" t="s">
        <v>208</v>
      </c>
      <c r="F90" s="125" t="s">
        <v>295</v>
      </c>
      <c r="G90" s="125" t="s">
        <v>296</v>
      </c>
      <c r="H90" s="128" t="s">
        <v>232</v>
      </c>
      <c r="I90" s="143" t="s">
        <v>522</v>
      </c>
      <c r="J90" s="125"/>
      <c r="K90" s="126"/>
      <c r="L90" s="126"/>
      <c r="M90" s="126"/>
      <c r="N90" s="126">
        <v>50.0</v>
      </c>
      <c r="O90" s="126"/>
      <c r="P90" s="126"/>
      <c r="Q90" s="126" t="s">
        <v>42</v>
      </c>
      <c r="R90" s="131">
        <f t="shared" si="1"/>
        <v>0</v>
      </c>
      <c r="S90" s="131" t="str">
        <f t="shared" si="2"/>
        <v>#DIV/0!</v>
      </c>
      <c r="T90" s="126" t="s">
        <v>590</v>
      </c>
      <c r="U90" s="126" t="s">
        <v>884</v>
      </c>
      <c r="V90" s="125" t="s">
        <v>592</v>
      </c>
      <c r="W90" s="144" t="s">
        <v>890</v>
      </c>
      <c r="X90" s="125" t="s">
        <v>42</v>
      </c>
      <c r="Y90" s="125"/>
      <c r="Z90" s="125"/>
      <c r="AA90" s="125"/>
      <c r="AB90" s="125"/>
      <c r="AC90" s="126"/>
      <c r="AD90" s="125"/>
      <c r="AE90" s="126"/>
      <c r="AF90" s="112"/>
      <c r="AG90" s="112"/>
      <c r="AH90" s="112"/>
    </row>
    <row r="91" hidden="1">
      <c r="A91" s="207" t="s">
        <v>8</v>
      </c>
      <c r="B91" s="124" t="s">
        <v>97</v>
      </c>
      <c r="C91" s="125" t="str">
        <f>IF(D91=0,"Digite a CH", IF(D91&lt;80,Dados!$AC$2,IF(D91=80,Dados!$AC$3,IF(D91&lt;179,Dados!$AC$3,IF(D91&gt;179,Dados!$AC$4)))))</f>
        <v>Básico (Até 79h)</v>
      </c>
      <c r="D91" s="126">
        <v>60.0</v>
      </c>
      <c r="E91" s="126" t="s">
        <v>208</v>
      </c>
      <c r="F91" s="125" t="s">
        <v>316</v>
      </c>
      <c r="G91" s="125" t="s">
        <v>333</v>
      </c>
      <c r="H91" s="128" t="s">
        <v>232</v>
      </c>
      <c r="I91" s="143" t="s">
        <v>522</v>
      </c>
      <c r="J91" s="125"/>
      <c r="K91" s="126"/>
      <c r="L91" s="126"/>
      <c r="M91" s="126"/>
      <c r="N91" s="126">
        <v>50.0</v>
      </c>
      <c r="O91" s="126"/>
      <c r="P91" s="126"/>
      <c r="Q91" s="126" t="s">
        <v>42</v>
      </c>
      <c r="R91" s="131">
        <f t="shared" si="1"/>
        <v>0</v>
      </c>
      <c r="S91" s="131" t="str">
        <f t="shared" si="2"/>
        <v>#DIV/0!</v>
      </c>
      <c r="T91" s="126" t="s">
        <v>590</v>
      </c>
      <c r="U91" s="126" t="s">
        <v>884</v>
      </c>
      <c r="V91" s="125" t="s">
        <v>592</v>
      </c>
      <c r="W91" s="144" t="s">
        <v>890</v>
      </c>
      <c r="X91" s="125" t="s">
        <v>42</v>
      </c>
      <c r="Y91" s="125"/>
      <c r="Z91" s="125"/>
      <c r="AA91" s="125"/>
      <c r="AB91" s="125"/>
      <c r="AC91" s="126"/>
      <c r="AD91" s="125"/>
      <c r="AE91" s="126"/>
      <c r="AF91" s="112"/>
      <c r="AG91" s="112"/>
      <c r="AH91" s="112"/>
    </row>
    <row r="92" hidden="1">
      <c r="A92" s="207" t="s">
        <v>8</v>
      </c>
      <c r="B92" s="124" t="s">
        <v>88</v>
      </c>
      <c r="C92" s="125" t="str">
        <f>IF(D92=0,"Digite a CH", IF(D92&lt;80,Dados!$AC$2,IF(D92=80,Dados!$AC$3,IF(D92&lt;179,Dados!$AC$3,IF(D92&gt;179,Dados!$AC$4)))))</f>
        <v>Básico (Até 79h)</v>
      </c>
      <c r="D92" s="126">
        <v>60.0</v>
      </c>
      <c r="E92" s="125" t="s">
        <v>891</v>
      </c>
      <c r="F92" s="125" t="s">
        <v>652</v>
      </c>
      <c r="G92" s="125" t="s">
        <v>653</v>
      </c>
      <c r="H92" s="128" t="s">
        <v>374</v>
      </c>
      <c r="I92" s="140" t="s">
        <v>892</v>
      </c>
      <c r="J92" s="125"/>
      <c r="K92" s="126"/>
      <c r="L92" s="126"/>
      <c r="M92" s="126"/>
      <c r="N92" s="126">
        <v>600.0</v>
      </c>
      <c r="O92" s="125"/>
      <c r="P92" s="126"/>
      <c r="Q92" s="126" t="s">
        <v>60</v>
      </c>
      <c r="R92" s="131">
        <f t="shared" si="1"/>
        <v>0</v>
      </c>
      <c r="S92" s="131" t="str">
        <f t="shared" si="2"/>
        <v>#DIV/0!</v>
      </c>
      <c r="T92" s="126" t="s">
        <v>590</v>
      </c>
      <c r="U92" s="126" t="s">
        <v>884</v>
      </c>
      <c r="V92" s="125" t="s">
        <v>592</v>
      </c>
      <c r="W92" s="144" t="s">
        <v>890</v>
      </c>
      <c r="X92" s="125" t="s">
        <v>893</v>
      </c>
      <c r="Y92" s="125"/>
      <c r="Z92" s="125" t="s">
        <v>218</v>
      </c>
      <c r="AA92" s="125" t="s">
        <v>219</v>
      </c>
      <c r="AB92" s="125"/>
      <c r="AC92" s="125"/>
      <c r="AD92" s="125"/>
      <c r="AE92" s="227"/>
      <c r="AF92" s="112"/>
      <c r="AG92" s="112"/>
      <c r="AH92" s="112"/>
    </row>
    <row r="93" hidden="1">
      <c r="A93" s="207" t="s">
        <v>8</v>
      </c>
      <c r="B93" s="124" t="s">
        <v>102</v>
      </c>
      <c r="C93" s="125" t="str">
        <f>IF(D93=0,"Digite a CH", IF(D93&lt;80,Dados!$AC$2,IF(D93=80,Dados!$AC$3,IF(D93&lt;179,Dados!$AC$3,IF(D93&gt;179,Dados!$AC$4)))))</f>
        <v>Básico (Até 79h)</v>
      </c>
      <c r="D93" s="126">
        <v>20.0</v>
      </c>
      <c r="E93" s="125">
        <v>10.0</v>
      </c>
      <c r="F93" s="125" t="s">
        <v>209</v>
      </c>
      <c r="G93" s="125" t="s">
        <v>538</v>
      </c>
      <c r="H93" s="128" t="s">
        <v>211</v>
      </c>
      <c r="I93" s="140" t="s">
        <v>105</v>
      </c>
      <c r="J93" s="125"/>
      <c r="K93" s="126"/>
      <c r="L93" s="126"/>
      <c r="M93" s="126"/>
      <c r="N93" s="126">
        <v>500.0</v>
      </c>
      <c r="O93" s="125"/>
      <c r="P93" s="126"/>
      <c r="Q93" s="126" t="s">
        <v>60</v>
      </c>
      <c r="R93" s="131">
        <f t="shared" si="1"/>
        <v>0</v>
      </c>
      <c r="S93" s="131" t="str">
        <f t="shared" si="2"/>
        <v>#DIV/0!</v>
      </c>
      <c r="T93" s="126"/>
      <c r="U93" s="126"/>
      <c r="V93" s="125"/>
      <c r="W93" s="144"/>
      <c r="X93" s="125" t="s">
        <v>893</v>
      </c>
      <c r="Y93" s="125"/>
      <c r="Z93" s="125"/>
      <c r="AA93" s="125"/>
      <c r="AB93" s="125"/>
      <c r="AC93" s="125"/>
      <c r="AD93" s="125"/>
      <c r="AE93" s="227"/>
      <c r="AF93" s="112"/>
      <c r="AG93" s="112"/>
      <c r="AH93" s="112"/>
    </row>
    <row r="94">
      <c r="A94" s="135" t="s">
        <v>18</v>
      </c>
      <c r="B94" s="124" t="s">
        <v>18</v>
      </c>
      <c r="C94" s="125" t="str">
        <f>IF(D94=0,"Digite a CH", IF(D94&lt;80,Dados!$AC$2,IF(D94=80,Dados!$AC$3,IF(D94&lt;179,Dados!$AC$3,IF(D94&gt;179,Dados!$AC$4)))))</f>
        <v>Básico (Até 79h)</v>
      </c>
      <c r="D94" s="126">
        <v>8.0</v>
      </c>
      <c r="E94" s="126" t="s">
        <v>208</v>
      </c>
      <c r="F94" s="125" t="s">
        <v>209</v>
      </c>
      <c r="G94" s="140" t="s">
        <v>210</v>
      </c>
      <c r="H94" s="146" t="s">
        <v>211</v>
      </c>
      <c r="I94" s="138" t="s">
        <v>91</v>
      </c>
      <c r="J94" s="125">
        <v>7.0</v>
      </c>
      <c r="K94" s="126"/>
      <c r="L94" s="126"/>
      <c r="M94" s="126"/>
      <c r="N94" s="126">
        <v>100.0</v>
      </c>
      <c r="O94" s="125">
        <v>191.0</v>
      </c>
      <c r="P94" s="125">
        <v>137.0</v>
      </c>
      <c r="Q94" s="126" t="s">
        <v>73</v>
      </c>
      <c r="R94" s="131">
        <f t="shared" si="1"/>
        <v>-0.37</v>
      </c>
      <c r="S94" s="131">
        <f t="shared" si="2"/>
        <v>0.2827225131</v>
      </c>
      <c r="T94" s="125" t="s">
        <v>716</v>
      </c>
      <c r="U94" s="125" t="s">
        <v>335</v>
      </c>
      <c r="V94" s="143" t="s">
        <v>226</v>
      </c>
      <c r="W94" s="263" t="s">
        <v>717</v>
      </c>
      <c r="X94" s="264" t="s">
        <v>227</v>
      </c>
      <c r="Y94" s="125"/>
      <c r="Z94" s="125" t="s">
        <v>218</v>
      </c>
      <c r="AA94" s="125"/>
      <c r="AB94" s="125"/>
      <c r="AC94" s="125"/>
      <c r="AD94" s="125"/>
      <c r="AE94" s="152" t="s">
        <v>722</v>
      </c>
      <c r="AF94" s="112"/>
      <c r="AG94" s="112"/>
      <c r="AH94" s="112"/>
    </row>
    <row r="95">
      <c r="A95" s="135" t="s">
        <v>18</v>
      </c>
      <c r="B95" s="124" t="s">
        <v>18</v>
      </c>
      <c r="C95" s="125" t="str">
        <f>IF(D95=0,"Digite a CH", IF(D95&lt;80,Dados!$AC$2,IF(D95=80,Dados!$AC$3,IF(D95&lt;179,Dados!$AC$3,IF(D95&gt;179,Dados!$AC$4)))))</f>
        <v>Básico (Até 79h)</v>
      </c>
      <c r="D95" s="126">
        <v>8.0</v>
      </c>
      <c r="E95" s="126" t="s">
        <v>266</v>
      </c>
      <c r="F95" s="125" t="s">
        <v>316</v>
      </c>
      <c r="G95" s="125" t="s">
        <v>723</v>
      </c>
      <c r="H95" s="146" t="s">
        <v>211</v>
      </c>
      <c r="I95" s="138" t="s">
        <v>100</v>
      </c>
      <c r="J95" s="125">
        <v>13.0</v>
      </c>
      <c r="K95" s="126"/>
      <c r="L95" s="126"/>
      <c r="M95" s="152" t="s">
        <v>724</v>
      </c>
      <c r="N95" s="126">
        <v>100.0</v>
      </c>
      <c r="O95" s="143">
        <v>100.0</v>
      </c>
      <c r="P95" s="125">
        <v>68.0</v>
      </c>
      <c r="Q95" s="126" t="s">
        <v>73</v>
      </c>
      <c r="R95" s="131">
        <f t="shared" si="1"/>
        <v>0.32</v>
      </c>
      <c r="S95" s="131">
        <f t="shared" si="2"/>
        <v>0.32</v>
      </c>
      <c r="T95" s="125" t="s">
        <v>716</v>
      </c>
      <c r="U95" s="125" t="s">
        <v>335</v>
      </c>
      <c r="V95" s="143" t="s">
        <v>725</v>
      </c>
      <c r="W95" s="263" t="s">
        <v>726</v>
      </c>
      <c r="X95" s="125" t="s">
        <v>282</v>
      </c>
      <c r="Y95" s="125"/>
      <c r="Z95" s="125" t="s">
        <v>218</v>
      </c>
      <c r="AA95" s="125"/>
      <c r="AB95" s="125"/>
      <c r="AC95" s="125"/>
      <c r="AD95" s="125"/>
      <c r="AE95" s="215" t="s">
        <v>729</v>
      </c>
      <c r="AF95" s="216"/>
      <c r="AG95" s="216" t="s">
        <v>335</v>
      </c>
      <c r="AH95" s="112"/>
    </row>
    <row r="96">
      <c r="A96" s="135" t="s">
        <v>18</v>
      </c>
      <c r="B96" s="124" t="s">
        <v>18</v>
      </c>
      <c r="C96" s="125" t="str">
        <f>IF(D96=0,"Digite a CH", IF(D96&lt;80,Dados!$AC$2,IF(D96=80,Dados!$AC$3,IF(D96&lt;179,Dados!$AC$3,IF(D96&gt;179,Dados!$AC$4)))))</f>
        <v>Básico (Até 79h)</v>
      </c>
      <c r="D96" s="126">
        <v>8.0</v>
      </c>
      <c r="E96" s="126" t="s">
        <v>507</v>
      </c>
      <c r="F96" s="125" t="s">
        <v>255</v>
      </c>
      <c r="G96" s="125" t="s">
        <v>730</v>
      </c>
      <c r="H96" s="146" t="s">
        <v>211</v>
      </c>
      <c r="I96" s="125" t="s">
        <v>100</v>
      </c>
      <c r="J96" s="125">
        <v>25.0</v>
      </c>
      <c r="K96" s="153"/>
      <c r="L96" s="153"/>
      <c r="M96" s="152" t="s">
        <v>731</v>
      </c>
      <c r="N96" s="126">
        <v>100.0</v>
      </c>
      <c r="O96" s="126">
        <v>146.0</v>
      </c>
      <c r="P96" s="126">
        <v>117.0</v>
      </c>
      <c r="Q96" s="126" t="s">
        <v>73</v>
      </c>
      <c r="R96" s="131">
        <f t="shared" si="1"/>
        <v>-0.17</v>
      </c>
      <c r="S96" s="131">
        <f t="shared" si="2"/>
        <v>0.198630137</v>
      </c>
      <c r="T96" s="125" t="s">
        <v>716</v>
      </c>
      <c r="U96" s="125" t="s">
        <v>335</v>
      </c>
      <c r="V96" s="140" t="s">
        <v>226</v>
      </c>
      <c r="W96" s="263" t="s">
        <v>732</v>
      </c>
      <c r="X96" s="125" t="s">
        <v>282</v>
      </c>
      <c r="Y96" s="125"/>
      <c r="Z96" s="125" t="s">
        <v>218</v>
      </c>
      <c r="AA96" s="125"/>
      <c r="AB96" s="125"/>
      <c r="AC96" s="125"/>
      <c r="AD96" s="125"/>
      <c r="AE96" s="130" t="s">
        <v>735</v>
      </c>
      <c r="AF96" s="112"/>
      <c r="AG96" s="112"/>
      <c r="AH96" s="112"/>
    </row>
    <row r="97" hidden="1">
      <c r="A97" s="135" t="s">
        <v>18</v>
      </c>
      <c r="B97" s="124" t="s">
        <v>18</v>
      </c>
      <c r="C97" s="125" t="str">
        <f>IF(D97=0,"Digite a CH", IF(D97&lt;80,Dados!$AC$2,IF(D97=80,Dados!$AC$3,IF(D97&lt;179,Dados!$AC$3,IF(D97&gt;179,Dados!$AC$4)))))</f>
        <v>Básico (Até 79h)</v>
      </c>
      <c r="D97" s="126">
        <v>8.0</v>
      </c>
      <c r="E97" s="126" t="s">
        <v>511</v>
      </c>
      <c r="F97" s="125" t="s">
        <v>342</v>
      </c>
      <c r="G97" s="125" t="s">
        <v>426</v>
      </c>
      <c r="H97" s="146" t="s">
        <v>211</v>
      </c>
      <c r="I97" s="125" t="s">
        <v>105</v>
      </c>
      <c r="J97" s="125">
        <v>3.0</v>
      </c>
      <c r="K97" s="126"/>
      <c r="L97" s="126"/>
      <c r="M97" s="152" t="s">
        <v>736</v>
      </c>
      <c r="N97" s="126">
        <v>100.0</v>
      </c>
      <c r="O97" s="126">
        <v>113.0</v>
      </c>
      <c r="P97" s="126">
        <v>74.0</v>
      </c>
      <c r="Q97" s="126" t="s">
        <v>73</v>
      </c>
      <c r="R97" s="131">
        <f t="shared" si="1"/>
        <v>0.26</v>
      </c>
      <c r="S97" s="131">
        <f t="shared" si="2"/>
        <v>0.3451327434</v>
      </c>
      <c r="T97" s="125" t="s">
        <v>716</v>
      </c>
      <c r="U97" s="125" t="s">
        <v>335</v>
      </c>
      <c r="V97" s="143" t="s">
        <v>725</v>
      </c>
      <c r="W97" s="263" t="s">
        <v>737</v>
      </c>
      <c r="X97" s="125" t="s">
        <v>282</v>
      </c>
      <c r="Y97" s="125"/>
      <c r="Z97" s="125" t="s">
        <v>218</v>
      </c>
      <c r="AA97" s="125"/>
      <c r="AB97" s="125"/>
      <c r="AC97" s="125"/>
      <c r="AD97" s="125"/>
      <c r="AE97" s="217" t="s">
        <v>740</v>
      </c>
      <c r="AF97" s="112"/>
      <c r="AG97" s="112"/>
      <c r="AH97" s="112"/>
    </row>
    <row r="98" hidden="1">
      <c r="A98" s="135" t="s">
        <v>18</v>
      </c>
      <c r="B98" s="124" t="s">
        <v>18</v>
      </c>
      <c r="C98" s="125" t="str">
        <f>IF(D98=0,"Digite a CH", IF(D98&lt;80,Dados!$AC$2,IF(D98=80,Dados!$AC$3,IF(D98&lt;179,Dados!$AC$3,IF(D98&gt;179,Dados!$AC$4)))))</f>
        <v>Básico (Até 79h)</v>
      </c>
      <c r="D98" s="126">
        <v>8.0</v>
      </c>
      <c r="E98" s="126" t="s">
        <v>514</v>
      </c>
      <c r="F98" s="125" t="s">
        <v>295</v>
      </c>
      <c r="G98" s="125" t="s">
        <v>296</v>
      </c>
      <c r="H98" s="146" t="s">
        <v>211</v>
      </c>
      <c r="I98" s="125" t="s">
        <v>105</v>
      </c>
      <c r="J98" s="125">
        <v>10.0</v>
      </c>
      <c r="K98" s="126"/>
      <c r="L98" s="126"/>
      <c r="M98" s="152" t="s">
        <v>741</v>
      </c>
      <c r="N98" s="126">
        <v>0.0</v>
      </c>
      <c r="O98" s="126">
        <v>19.0</v>
      </c>
      <c r="P98" s="126" t="s">
        <v>335</v>
      </c>
      <c r="Q98" s="126" t="s">
        <v>83</v>
      </c>
      <c r="R98" s="131" t="str">
        <f t="shared" si="1"/>
        <v>#VALUE!</v>
      </c>
      <c r="S98" s="131" t="str">
        <f t="shared" si="2"/>
        <v>#VALUE!</v>
      </c>
      <c r="T98" s="125" t="s">
        <v>716</v>
      </c>
      <c r="U98" s="125" t="s">
        <v>335</v>
      </c>
      <c r="V98" s="140" t="s">
        <v>226</v>
      </c>
      <c r="W98" s="263" t="s">
        <v>743</v>
      </c>
      <c r="X98" s="125" t="s">
        <v>282</v>
      </c>
      <c r="Y98" s="125"/>
      <c r="Z98" s="184"/>
      <c r="AA98" s="184"/>
      <c r="AB98" s="184"/>
      <c r="AC98" s="125"/>
      <c r="AD98" s="126"/>
      <c r="AE98" s="153"/>
      <c r="AF98" s="112"/>
      <c r="AG98" s="112"/>
      <c r="AH98" s="112"/>
    </row>
    <row r="99" ht="53.25" hidden="1" customHeight="1">
      <c r="A99" s="145" t="s">
        <v>18</v>
      </c>
      <c r="B99" s="124" t="s">
        <v>894</v>
      </c>
      <c r="C99" s="125" t="str">
        <f>IF(D99=0,"Digite a CH", IF(D99&lt;80,Dados!$AC$2,IF(D99=80,Dados!$AC$3,IF(D99&lt;179,Dados!$AC$3,IF(D99&gt;179,Dados!$AC$4)))))</f>
        <v>Básico (Até 79h)</v>
      </c>
      <c r="D99" s="126">
        <v>8.0</v>
      </c>
      <c r="E99" s="126" t="s">
        <v>208</v>
      </c>
      <c r="F99" s="125" t="s">
        <v>209</v>
      </c>
      <c r="G99" s="125" t="s">
        <v>747</v>
      </c>
      <c r="H99" s="146" t="s">
        <v>211</v>
      </c>
      <c r="I99" s="125" t="s">
        <v>109</v>
      </c>
      <c r="J99" s="125">
        <v>12.0</v>
      </c>
      <c r="K99" s="126"/>
      <c r="L99" s="126"/>
      <c r="M99" s="126"/>
      <c r="N99" s="126" t="s">
        <v>335</v>
      </c>
      <c r="O99" s="126"/>
      <c r="P99" s="126"/>
      <c r="Q99" s="126" t="s">
        <v>42</v>
      </c>
      <c r="R99" s="131" t="str">
        <f t="shared" si="1"/>
        <v>#VALUE!</v>
      </c>
      <c r="S99" s="131" t="str">
        <f t="shared" si="2"/>
        <v>#DIV/0!</v>
      </c>
      <c r="T99" s="125" t="s">
        <v>716</v>
      </c>
      <c r="U99" s="126" t="s">
        <v>335</v>
      </c>
      <c r="V99" s="140" t="s">
        <v>226</v>
      </c>
      <c r="W99" s="144"/>
      <c r="X99" s="153"/>
      <c r="Y99" s="153"/>
      <c r="Z99" s="153"/>
      <c r="AA99" s="153"/>
      <c r="AB99" s="153"/>
      <c r="AC99" s="153"/>
      <c r="AD99" s="153"/>
      <c r="AE99" s="153"/>
      <c r="AF99" s="149"/>
      <c r="AG99" s="149"/>
      <c r="AH99" s="149"/>
    </row>
    <row r="100" hidden="1">
      <c r="A100" s="135" t="s">
        <v>10</v>
      </c>
      <c r="B100" s="124" t="s">
        <v>33</v>
      </c>
      <c r="C100" s="125" t="str">
        <f>IF(D100=0,"Digite a CH", IF(D100&lt;80,Dados!$AC$2,IF(D100=80,Dados!$AC$3,IF(D100&lt;179,Dados!$AC$3,IF(D100&gt;179,Dados!$AC$4)))))</f>
        <v>Aperfeiçoamento (180h-359h)</v>
      </c>
      <c r="D100" s="126">
        <v>180.0</v>
      </c>
      <c r="E100" s="126" t="s">
        <v>208</v>
      </c>
      <c r="F100" s="125" t="s">
        <v>209</v>
      </c>
      <c r="G100" s="125" t="s">
        <v>209</v>
      </c>
      <c r="H100" s="128" t="s">
        <v>374</v>
      </c>
      <c r="I100" s="140" t="s">
        <v>105</v>
      </c>
      <c r="J100" s="125">
        <v>29.0</v>
      </c>
      <c r="K100" s="126"/>
      <c r="L100" s="126"/>
      <c r="M100" s="152" t="s">
        <v>33</v>
      </c>
      <c r="N100" s="126">
        <v>100.0</v>
      </c>
      <c r="O100" s="125"/>
      <c r="P100" s="125"/>
      <c r="Q100" s="126" t="s">
        <v>42</v>
      </c>
      <c r="R100" s="131">
        <f t="shared" si="1"/>
        <v>0</v>
      </c>
      <c r="S100" s="131" t="str">
        <f t="shared" si="2"/>
        <v>#DIV/0!</v>
      </c>
      <c r="T100" s="126" t="s">
        <v>214</v>
      </c>
      <c r="U100" s="126"/>
      <c r="V100" s="126" t="s">
        <v>214</v>
      </c>
      <c r="W100" s="144" t="s">
        <v>755</v>
      </c>
      <c r="X100" s="125" t="s">
        <v>895</v>
      </c>
      <c r="Y100" s="125"/>
      <c r="Z100" s="125"/>
      <c r="AA100" s="125"/>
      <c r="AB100" s="125"/>
      <c r="AC100" s="125"/>
      <c r="AD100" s="125"/>
      <c r="AE100" s="153"/>
      <c r="AF100" s="112"/>
      <c r="AG100" s="112"/>
      <c r="AH100" s="112"/>
    </row>
    <row r="101" hidden="1">
      <c r="A101" s="135" t="s">
        <v>140</v>
      </c>
      <c r="B101" s="124" t="s">
        <v>896</v>
      </c>
      <c r="C101" s="125" t="str">
        <f>IF(D101=0,"Digite a CH", IF(D101&lt;80,Dados!$AC$2,IF(D101=80,Dados!$AC$3,IF(D101&lt;179,Dados!$AC$3,IF(D101&gt;179,Dados!$AC$4)))))</f>
        <v>Aperfeiçoamento (180h-359h)</v>
      </c>
      <c r="D101" s="126">
        <v>180.0</v>
      </c>
      <c r="E101" s="126" t="s">
        <v>208</v>
      </c>
      <c r="F101" s="125" t="s">
        <v>209</v>
      </c>
      <c r="G101" s="125"/>
      <c r="H101" s="128" t="s">
        <v>232</v>
      </c>
      <c r="I101" s="125"/>
      <c r="J101" s="189"/>
      <c r="K101" s="126"/>
      <c r="L101" s="126"/>
      <c r="M101" s="126"/>
      <c r="N101" s="126">
        <v>30.0</v>
      </c>
      <c r="O101" s="126"/>
      <c r="P101" s="126"/>
      <c r="Q101" s="126"/>
      <c r="R101" s="131">
        <f t="shared" si="1"/>
        <v>0</v>
      </c>
      <c r="S101" s="131" t="str">
        <f t="shared" si="2"/>
        <v>#DIV/0!</v>
      </c>
      <c r="T101" s="126"/>
      <c r="U101" s="153"/>
      <c r="V101" s="126" t="s">
        <v>214</v>
      </c>
      <c r="W101" s="144" t="s">
        <v>897</v>
      </c>
      <c r="X101" s="125" t="s">
        <v>898</v>
      </c>
      <c r="Y101" s="125"/>
      <c r="Z101" s="140"/>
      <c r="AA101" s="140"/>
      <c r="AB101" s="140"/>
      <c r="AC101" s="125"/>
      <c r="AD101" s="125"/>
      <c r="AE101" s="153"/>
      <c r="AF101" s="112"/>
      <c r="AG101" s="112"/>
      <c r="AH101" s="112"/>
    </row>
    <row r="102" hidden="1">
      <c r="A102" s="135" t="s">
        <v>12</v>
      </c>
      <c r="B102" s="124" t="s">
        <v>35</v>
      </c>
      <c r="C102" s="125" t="str">
        <f>IF(D102=0,"Digite a CH", IF(D102&lt;80,Dados!$AC$2,IF(D102=80,Dados!$AC$3,IF(D102&lt;179,Dados!$AC$3,IF(D102&gt;179,Dados!$AC$4)))))</f>
        <v>Aperfeiçoamento (180h-359h)</v>
      </c>
      <c r="D102" s="126">
        <v>180.0</v>
      </c>
      <c r="E102" s="126"/>
      <c r="F102" s="125"/>
      <c r="G102" s="125"/>
      <c r="H102" s="128"/>
      <c r="I102" s="125"/>
      <c r="J102" s="117"/>
      <c r="K102" s="126"/>
      <c r="L102" s="126"/>
      <c r="M102" s="126"/>
      <c r="N102" s="126">
        <v>90.0</v>
      </c>
      <c r="O102" s="125"/>
      <c r="P102" s="125"/>
      <c r="Q102" s="126"/>
      <c r="R102" s="131">
        <f t="shared" si="1"/>
        <v>0</v>
      </c>
      <c r="S102" s="131" t="str">
        <f t="shared" si="2"/>
        <v>#DIV/0!</v>
      </c>
      <c r="T102" s="126"/>
      <c r="U102" s="153"/>
      <c r="V102" s="126" t="s">
        <v>214</v>
      </c>
      <c r="W102" s="144" t="s">
        <v>763</v>
      </c>
      <c r="X102" s="125" t="s">
        <v>764</v>
      </c>
      <c r="Y102" s="125"/>
      <c r="Z102" s="125"/>
      <c r="AA102" s="125"/>
      <c r="AB102" s="125"/>
      <c r="AC102" s="125"/>
      <c r="AD102" s="125"/>
      <c r="AE102" s="153"/>
      <c r="AF102" s="112"/>
      <c r="AG102" s="112"/>
      <c r="AH102" s="112"/>
    </row>
    <row r="103" hidden="1">
      <c r="A103" s="135" t="s">
        <v>12</v>
      </c>
      <c r="B103" s="124" t="s">
        <v>53</v>
      </c>
      <c r="C103" s="125" t="str">
        <f>IF(D103=0,"Digite a CH", IF(D103&lt;80,Dados!$AC$2,IF(D103=80,Dados!$AC$3,IF(D103&lt;179,Dados!$AC$3,IF(D103&gt;179,Dados!$AC$4)))))</f>
        <v>Básico (Até 79h)</v>
      </c>
      <c r="D103" s="126">
        <v>40.0</v>
      </c>
      <c r="E103" s="126"/>
      <c r="F103" s="125"/>
      <c r="G103" s="125"/>
      <c r="H103" s="128" t="s">
        <v>374</v>
      </c>
      <c r="I103" s="125"/>
      <c r="J103" s="189"/>
      <c r="K103" s="126"/>
      <c r="L103" s="126"/>
      <c r="M103" s="126"/>
      <c r="N103" s="126">
        <v>30.0</v>
      </c>
      <c r="O103" s="126"/>
      <c r="P103" s="126"/>
      <c r="Q103" s="126"/>
      <c r="R103" s="131">
        <f t="shared" si="1"/>
        <v>0</v>
      </c>
      <c r="S103" s="131" t="str">
        <f t="shared" si="2"/>
        <v>#DIV/0!</v>
      </c>
      <c r="T103" s="126"/>
      <c r="U103" s="153"/>
      <c r="V103" s="126" t="s">
        <v>214</v>
      </c>
      <c r="W103" s="179" t="s">
        <v>765</v>
      </c>
      <c r="X103" s="125" t="s">
        <v>282</v>
      </c>
      <c r="Y103" s="125"/>
      <c r="Z103" s="125"/>
      <c r="AA103" s="125"/>
      <c r="AB103" s="125"/>
      <c r="AC103" s="265"/>
      <c r="AD103" s="126"/>
      <c r="AE103" s="153"/>
      <c r="AF103" s="112"/>
      <c r="AG103" s="112"/>
      <c r="AH103" s="112"/>
    </row>
    <row r="104" hidden="1">
      <c r="A104" s="135" t="s">
        <v>13</v>
      </c>
      <c r="B104" s="124" t="s">
        <v>36</v>
      </c>
      <c r="C104" s="125" t="str">
        <f>IF(D104=0,"Digite a CH", IF(D104&lt;80,Dados!$AC$2,IF(D104=80,Dados!$AC$3,IF(D104&lt;179,Dados!$AC$3,IF(D104&gt;179,Dados!$AC$4)))))</f>
        <v>Básico (Até 79h)</v>
      </c>
      <c r="D104" s="126">
        <v>60.0</v>
      </c>
      <c r="E104" s="126"/>
      <c r="F104" s="125"/>
      <c r="G104" s="125"/>
      <c r="H104" s="128" t="s">
        <v>232</v>
      </c>
      <c r="I104" s="125"/>
      <c r="J104" s="195"/>
      <c r="K104" s="126"/>
      <c r="L104" s="126"/>
      <c r="M104" s="126"/>
      <c r="N104" s="126">
        <v>120.0</v>
      </c>
      <c r="O104" s="126"/>
      <c r="P104" s="126"/>
      <c r="Q104" s="126"/>
      <c r="R104" s="131">
        <f t="shared" si="1"/>
        <v>0</v>
      </c>
      <c r="S104" s="131" t="str">
        <f t="shared" si="2"/>
        <v>#DIV/0!</v>
      </c>
      <c r="T104" s="126"/>
      <c r="U104" s="153"/>
      <c r="V104" s="126" t="s">
        <v>214</v>
      </c>
      <c r="W104" s="144" t="s">
        <v>766</v>
      </c>
      <c r="X104" s="126" t="s">
        <v>767</v>
      </c>
      <c r="Y104" s="126"/>
      <c r="Z104" s="125"/>
      <c r="AA104" s="125"/>
      <c r="AB104" s="125"/>
      <c r="AC104" s="125"/>
      <c r="AD104" s="126"/>
      <c r="AE104" s="153"/>
      <c r="AF104" s="112"/>
      <c r="AG104" s="112"/>
      <c r="AH104" s="112"/>
    </row>
    <row r="105" hidden="1">
      <c r="A105" s="135" t="s">
        <v>9</v>
      </c>
      <c r="B105" s="124" t="s">
        <v>32</v>
      </c>
      <c r="C105" s="125" t="str">
        <f>IF(D105=0,"Digite a CH", IF(D105&lt;80,Dados!$AC$2,IF(D105=80,Dados!$AC$3,IF(D105&lt;179,Dados!$AC$3,IF(D105&gt;179,Dados!$AC$4)))))</f>
        <v>Atualização (80h-179h)</v>
      </c>
      <c r="D105" s="126">
        <v>80.0</v>
      </c>
      <c r="E105" s="126"/>
      <c r="F105" s="125"/>
      <c r="G105" s="125"/>
      <c r="H105" s="128" t="s">
        <v>211</v>
      </c>
      <c r="I105" s="125"/>
      <c r="J105" s="189"/>
      <c r="K105" s="126"/>
      <c r="L105" s="126"/>
      <c r="M105" s="126"/>
      <c r="N105" s="126">
        <v>150.0</v>
      </c>
      <c r="O105" s="126"/>
      <c r="P105" s="126"/>
      <c r="Q105" s="126"/>
      <c r="R105" s="131">
        <f t="shared" si="1"/>
        <v>0</v>
      </c>
      <c r="S105" s="131" t="str">
        <f t="shared" si="2"/>
        <v>#DIV/0!</v>
      </c>
      <c r="T105" s="126"/>
      <c r="U105" s="153"/>
      <c r="V105" s="126" t="s">
        <v>401</v>
      </c>
      <c r="W105" s="144" t="s">
        <v>768</v>
      </c>
      <c r="X105" s="125" t="s">
        <v>769</v>
      </c>
      <c r="Y105" s="125"/>
      <c r="Z105" s="125"/>
      <c r="AA105" s="125"/>
      <c r="AB105" s="125"/>
      <c r="AC105" s="125"/>
      <c r="AD105" s="222"/>
      <c r="AE105" s="153"/>
      <c r="AF105" s="112"/>
      <c r="AG105" s="112"/>
      <c r="AH105" s="112"/>
    </row>
    <row r="106" hidden="1">
      <c r="A106" s="135" t="s">
        <v>15</v>
      </c>
      <c r="B106" s="124" t="s">
        <v>38</v>
      </c>
      <c r="C106" s="125" t="str">
        <f>IF(D106=0,"Digite a CH", IF(D106&lt;80,Dados!$AC$2,IF(D106=80,Dados!$AC$3,IF(D106&lt;179,Dados!$AC$3,IF(D106&gt;179,Dados!$AC$4)))))</f>
        <v>Básico (Até 79h)</v>
      </c>
      <c r="D106" s="126">
        <v>16.0</v>
      </c>
      <c r="E106" s="126"/>
      <c r="F106" s="125"/>
      <c r="G106" s="125" t="s">
        <v>770</v>
      </c>
      <c r="H106" s="128" t="s">
        <v>211</v>
      </c>
      <c r="I106" s="125"/>
      <c r="J106" s="189"/>
      <c r="K106" s="126"/>
      <c r="L106" s="126"/>
      <c r="M106" s="126"/>
      <c r="N106" s="126"/>
      <c r="O106" s="126"/>
      <c r="P106" s="126"/>
      <c r="Q106" s="126"/>
      <c r="R106" s="131" t="str">
        <f t="shared" si="1"/>
        <v>#DIV/0!</v>
      </c>
      <c r="S106" s="131" t="str">
        <f t="shared" si="2"/>
        <v>#DIV/0!</v>
      </c>
      <c r="T106" s="126"/>
      <c r="U106" s="153"/>
      <c r="V106" s="153"/>
      <c r="W106" s="144" t="s">
        <v>771</v>
      </c>
      <c r="X106" s="125" t="s">
        <v>772</v>
      </c>
      <c r="Y106" s="125"/>
      <c r="Z106" s="184"/>
      <c r="AA106" s="184"/>
      <c r="AB106" s="184"/>
      <c r="AC106" s="125"/>
      <c r="AD106" s="126"/>
      <c r="AE106" s="153"/>
      <c r="AF106" s="112"/>
      <c r="AG106" s="112"/>
      <c r="AH106" s="112"/>
    </row>
    <row r="107" hidden="1">
      <c r="A107" s="135" t="s">
        <v>15</v>
      </c>
      <c r="B107" s="124" t="s">
        <v>55</v>
      </c>
      <c r="C107" s="125" t="str">
        <f>IF(D107=0,"Digite a CH", IF(D107&lt;80,Dados!$AC$2,IF(D107=80,Dados!$AC$3,IF(D107&lt;179,Dados!$AC$3,IF(D107&gt;179,Dados!$AC$4)))))</f>
        <v>Básico (Até 79h)</v>
      </c>
      <c r="D107" s="126">
        <v>20.0</v>
      </c>
      <c r="E107" s="126" t="s">
        <v>773</v>
      </c>
      <c r="F107" s="125"/>
      <c r="G107" s="125" t="s">
        <v>770</v>
      </c>
      <c r="H107" s="128" t="s">
        <v>374</v>
      </c>
      <c r="I107" s="125"/>
      <c r="J107" s="189"/>
      <c r="K107" s="126"/>
      <c r="L107" s="126"/>
      <c r="M107" s="126"/>
      <c r="N107" s="126"/>
      <c r="O107" s="126"/>
      <c r="P107" s="126"/>
      <c r="Q107" s="126"/>
      <c r="R107" s="131" t="str">
        <f t="shared" si="1"/>
        <v>#DIV/0!</v>
      </c>
      <c r="S107" s="131" t="str">
        <f t="shared" si="2"/>
        <v>#DIV/0!</v>
      </c>
      <c r="T107" s="126"/>
      <c r="U107" s="153"/>
      <c r="V107" s="153"/>
      <c r="W107" s="223" t="s">
        <v>771</v>
      </c>
      <c r="X107" s="125" t="s">
        <v>282</v>
      </c>
      <c r="Y107" s="125"/>
      <c r="Z107" s="184"/>
      <c r="AA107" s="184"/>
      <c r="AB107" s="184"/>
      <c r="AC107" s="125"/>
      <c r="AD107" s="126"/>
      <c r="AE107" s="153"/>
      <c r="AF107" s="112"/>
      <c r="AG107" s="112"/>
      <c r="AH107" s="112"/>
    </row>
    <row r="108" hidden="1">
      <c r="A108" s="135" t="s">
        <v>15</v>
      </c>
      <c r="B108" s="124" t="s">
        <v>70</v>
      </c>
      <c r="C108" s="125" t="str">
        <f>IF(D108=0,"Digite a CH", IF(D108&lt;80,Dados!$AC$2,IF(D108=80,Dados!$AC$3,IF(D108&lt;179,Dados!$AC$3,IF(D108&gt;179,Dados!$AC$4)))))</f>
        <v>Básico (Até 79h)</v>
      </c>
      <c r="D108" s="126">
        <v>40.0</v>
      </c>
      <c r="E108" s="126"/>
      <c r="F108" s="125"/>
      <c r="G108" s="160" t="s">
        <v>770</v>
      </c>
      <c r="H108" s="128" t="s">
        <v>232</v>
      </c>
      <c r="I108" s="125"/>
      <c r="J108" s="189"/>
      <c r="K108" s="126"/>
      <c r="L108" s="126"/>
      <c r="M108" s="126"/>
      <c r="N108" s="126"/>
      <c r="O108" s="126"/>
      <c r="P108" s="126"/>
      <c r="Q108" s="126"/>
      <c r="R108" s="131" t="str">
        <f t="shared" si="1"/>
        <v>#DIV/0!</v>
      </c>
      <c r="S108" s="131" t="str">
        <f t="shared" si="2"/>
        <v>#DIV/0!</v>
      </c>
      <c r="T108" s="126"/>
      <c r="U108" s="153"/>
      <c r="V108" s="153"/>
      <c r="W108" s="223" t="s">
        <v>771</v>
      </c>
      <c r="X108" s="125" t="s">
        <v>282</v>
      </c>
      <c r="Y108" s="125"/>
      <c r="Z108" s="184"/>
      <c r="AA108" s="184"/>
      <c r="AB108" s="184"/>
      <c r="AC108" s="125"/>
      <c r="AD108" s="126"/>
      <c r="AE108" s="153"/>
      <c r="AF108" s="112"/>
      <c r="AG108" s="112"/>
      <c r="AH108" s="112"/>
    </row>
    <row r="109" hidden="1">
      <c r="A109" s="135" t="s">
        <v>15</v>
      </c>
      <c r="B109" s="124" t="s">
        <v>82</v>
      </c>
      <c r="C109" s="125" t="str">
        <f>IF(D109=0,"Digite a CH", IF(D109&lt;80,Dados!$AC$2,IF(D109=80,Dados!$AC$3,IF(D109&lt;179,Dados!$AC$3,IF(D109&gt;179,Dados!$AC$4)))))</f>
        <v>Básico (Até 79h)</v>
      </c>
      <c r="D109" s="126">
        <v>30.0</v>
      </c>
      <c r="E109" s="126"/>
      <c r="F109" s="125"/>
      <c r="G109" s="160" t="s">
        <v>770</v>
      </c>
      <c r="H109" s="128" t="s">
        <v>374</v>
      </c>
      <c r="I109" s="125"/>
      <c r="J109" s="189"/>
      <c r="K109" s="126"/>
      <c r="L109" s="126"/>
      <c r="M109" s="126"/>
      <c r="N109" s="126"/>
      <c r="O109" s="126"/>
      <c r="P109" s="126"/>
      <c r="Q109" s="126"/>
      <c r="R109" s="131" t="str">
        <f t="shared" si="1"/>
        <v>#DIV/0!</v>
      </c>
      <c r="S109" s="131" t="str">
        <f t="shared" si="2"/>
        <v>#DIV/0!</v>
      </c>
      <c r="T109" s="126"/>
      <c r="U109" s="153"/>
      <c r="V109" s="153"/>
      <c r="W109" s="223" t="s">
        <v>771</v>
      </c>
      <c r="X109" s="125" t="s">
        <v>282</v>
      </c>
      <c r="Y109" s="125"/>
      <c r="Z109" s="184"/>
      <c r="AA109" s="184"/>
      <c r="AB109" s="184"/>
      <c r="AC109" s="125"/>
      <c r="AD109" s="126"/>
      <c r="AE109" s="153"/>
      <c r="AF109" s="112"/>
      <c r="AG109" s="112"/>
      <c r="AH109" s="112"/>
    </row>
    <row r="110" hidden="1">
      <c r="A110" s="135" t="s">
        <v>15</v>
      </c>
      <c r="B110" s="124" t="s">
        <v>90</v>
      </c>
      <c r="C110" s="125" t="str">
        <f>IF(D110=0,"Digite a CH", IF(D110&lt;80,Dados!$AC$2,IF(D110=80,Dados!$AC$3,IF(D110&lt;179,Dados!$AC$3,IF(D110&gt;179,Dados!$AC$4)))))</f>
        <v>Básico (Até 79h)</v>
      </c>
      <c r="D110" s="126">
        <v>16.0</v>
      </c>
      <c r="E110" s="126"/>
      <c r="F110" s="125"/>
      <c r="G110" s="160" t="s">
        <v>770</v>
      </c>
      <c r="H110" s="128" t="s">
        <v>374</v>
      </c>
      <c r="I110" s="125"/>
      <c r="J110" s="189"/>
      <c r="K110" s="126"/>
      <c r="L110" s="126"/>
      <c r="M110" s="126"/>
      <c r="N110" s="126"/>
      <c r="O110" s="126"/>
      <c r="P110" s="126"/>
      <c r="Q110" s="126"/>
      <c r="R110" s="131" t="str">
        <f t="shared" si="1"/>
        <v>#DIV/0!</v>
      </c>
      <c r="S110" s="131" t="str">
        <f t="shared" si="2"/>
        <v>#DIV/0!</v>
      </c>
      <c r="T110" s="126"/>
      <c r="U110" s="153"/>
      <c r="V110" s="153"/>
      <c r="W110" s="223" t="s">
        <v>771</v>
      </c>
      <c r="X110" s="125" t="s">
        <v>282</v>
      </c>
      <c r="Y110" s="125"/>
      <c r="Z110" s="184"/>
      <c r="AA110" s="184"/>
      <c r="AB110" s="184"/>
      <c r="AC110" s="125"/>
      <c r="AD110" s="126"/>
      <c r="AE110" s="153"/>
      <c r="AF110" s="112"/>
      <c r="AG110" s="112"/>
      <c r="AH110" s="112"/>
    </row>
    <row r="111" hidden="1">
      <c r="A111" s="135" t="s">
        <v>15</v>
      </c>
      <c r="B111" s="124" t="s">
        <v>99</v>
      </c>
      <c r="C111" s="125" t="str">
        <f>IF(D111=0,"Digite a CH", IF(D111&lt;80,Dados!$AC$2,IF(D111=80,Dados!$AC$3,IF(D111&lt;179,Dados!$AC$3,IF(D111&gt;179,Dados!$AC$4)))))</f>
        <v>Básico (Até 79h)</v>
      </c>
      <c r="D111" s="126">
        <v>20.0</v>
      </c>
      <c r="E111" s="126"/>
      <c r="F111" s="125"/>
      <c r="G111" s="160" t="s">
        <v>770</v>
      </c>
      <c r="H111" s="128" t="s">
        <v>374</v>
      </c>
      <c r="I111" s="125"/>
      <c r="J111" s="189"/>
      <c r="K111" s="126"/>
      <c r="L111" s="126"/>
      <c r="M111" s="126"/>
      <c r="N111" s="126"/>
      <c r="O111" s="126"/>
      <c r="P111" s="126"/>
      <c r="Q111" s="126"/>
      <c r="R111" s="131" t="str">
        <f t="shared" si="1"/>
        <v>#DIV/0!</v>
      </c>
      <c r="S111" s="131" t="str">
        <f t="shared" si="2"/>
        <v>#DIV/0!</v>
      </c>
      <c r="T111" s="126"/>
      <c r="U111" s="153"/>
      <c r="V111" s="153"/>
      <c r="W111" s="223" t="s">
        <v>771</v>
      </c>
      <c r="X111" s="125" t="s">
        <v>282</v>
      </c>
      <c r="Y111" s="125"/>
      <c r="Z111" s="184"/>
      <c r="AA111" s="184"/>
      <c r="AB111" s="184"/>
      <c r="AC111" s="125"/>
      <c r="AD111" s="126"/>
      <c r="AE111" s="153"/>
      <c r="AF111" s="112"/>
      <c r="AG111" s="112"/>
      <c r="AH111" s="112"/>
    </row>
    <row r="112" hidden="1">
      <c r="A112" s="135" t="s">
        <v>15</v>
      </c>
      <c r="B112" s="124" t="s">
        <v>104</v>
      </c>
      <c r="C112" s="125" t="str">
        <f>IF(D112=0,"Digite a CH", IF(D112&lt;80,Dados!$AC$2,IF(D112=80,Dados!$AC$3,IF(D112&lt;179,Dados!$AC$3,IF(D112&gt;179,Dados!$AC$4)))))</f>
        <v>Básico (Até 79h)</v>
      </c>
      <c r="D112" s="126">
        <v>36.0</v>
      </c>
      <c r="E112" s="126"/>
      <c r="F112" s="125"/>
      <c r="G112" s="160" t="s">
        <v>770</v>
      </c>
      <c r="H112" s="128" t="s">
        <v>232</v>
      </c>
      <c r="I112" s="125"/>
      <c r="J112" s="189"/>
      <c r="K112" s="126"/>
      <c r="L112" s="126"/>
      <c r="M112" s="126"/>
      <c r="N112" s="126"/>
      <c r="O112" s="126"/>
      <c r="P112" s="126"/>
      <c r="Q112" s="126"/>
      <c r="R112" s="131" t="str">
        <f t="shared" si="1"/>
        <v>#DIV/0!</v>
      </c>
      <c r="S112" s="131" t="str">
        <f t="shared" si="2"/>
        <v>#DIV/0!</v>
      </c>
      <c r="T112" s="126"/>
      <c r="U112" s="153"/>
      <c r="V112" s="153"/>
      <c r="W112" s="223" t="s">
        <v>771</v>
      </c>
      <c r="X112" s="125" t="s">
        <v>282</v>
      </c>
      <c r="Y112" s="125"/>
      <c r="Z112" s="184"/>
      <c r="AA112" s="184"/>
      <c r="AB112" s="184"/>
      <c r="AC112" s="125"/>
      <c r="AD112" s="126"/>
      <c r="AE112" s="153"/>
      <c r="AF112" s="112"/>
      <c r="AG112" s="112"/>
      <c r="AH112" s="112"/>
    </row>
    <row r="113" hidden="1">
      <c r="A113" s="135" t="s">
        <v>15</v>
      </c>
      <c r="B113" s="124" t="s">
        <v>108</v>
      </c>
      <c r="C113" s="125" t="str">
        <f>IF(D113=0,"Digite a CH", IF(D113&lt;80,Dados!$AC$2,IF(D113=80,Dados!$AC$3,IF(D113&lt;179,Dados!$AC$3,IF(D113&gt;179,Dados!$AC$4)))))</f>
        <v>Básico (Até 79h)</v>
      </c>
      <c r="D113" s="126">
        <v>36.0</v>
      </c>
      <c r="E113" s="126"/>
      <c r="F113" s="125"/>
      <c r="G113" s="160" t="s">
        <v>770</v>
      </c>
      <c r="H113" s="128" t="s">
        <v>232</v>
      </c>
      <c r="I113" s="125"/>
      <c r="J113" s="189"/>
      <c r="K113" s="126"/>
      <c r="L113" s="126"/>
      <c r="M113" s="126"/>
      <c r="N113" s="126"/>
      <c r="O113" s="126"/>
      <c r="P113" s="126"/>
      <c r="Q113" s="126"/>
      <c r="R113" s="131" t="str">
        <f t="shared" si="1"/>
        <v>#DIV/0!</v>
      </c>
      <c r="S113" s="131" t="str">
        <f t="shared" si="2"/>
        <v>#DIV/0!</v>
      </c>
      <c r="T113" s="126"/>
      <c r="U113" s="153"/>
      <c r="V113" s="153"/>
      <c r="W113" s="223" t="s">
        <v>771</v>
      </c>
      <c r="X113" s="125" t="s">
        <v>282</v>
      </c>
      <c r="Y113" s="125"/>
      <c r="Z113" s="184"/>
      <c r="AA113" s="184"/>
      <c r="AB113" s="184"/>
      <c r="AC113" s="125"/>
      <c r="AD113" s="126"/>
      <c r="AE113" s="153"/>
      <c r="AF113" s="112"/>
      <c r="AG113" s="112"/>
      <c r="AH113" s="112"/>
    </row>
    <row r="114" hidden="1">
      <c r="A114" s="135" t="s">
        <v>15</v>
      </c>
      <c r="B114" s="124" t="s">
        <v>112</v>
      </c>
      <c r="C114" s="125" t="str">
        <f>IF(D114=0,"Digite a CH", IF(D114&lt;80,Dados!$AC$2,IF(D114=80,Dados!$AC$3,IF(D114&lt;179,Dados!$AC$3,IF(D114&gt;179,Dados!$AC$4)))))</f>
        <v>Básico (Até 79h)</v>
      </c>
      <c r="D114" s="126">
        <v>20.0</v>
      </c>
      <c r="E114" s="126"/>
      <c r="F114" s="125"/>
      <c r="G114" s="160" t="s">
        <v>770</v>
      </c>
      <c r="H114" s="128" t="s">
        <v>211</v>
      </c>
      <c r="I114" s="125"/>
      <c r="J114" s="189"/>
      <c r="K114" s="126"/>
      <c r="L114" s="126"/>
      <c r="M114" s="126"/>
      <c r="N114" s="126"/>
      <c r="O114" s="126"/>
      <c r="P114" s="126"/>
      <c r="Q114" s="126"/>
      <c r="R114" s="131" t="str">
        <f t="shared" si="1"/>
        <v>#DIV/0!</v>
      </c>
      <c r="S114" s="131" t="str">
        <f t="shared" si="2"/>
        <v>#DIV/0!</v>
      </c>
      <c r="T114" s="126"/>
      <c r="U114" s="153"/>
      <c r="V114" s="153"/>
      <c r="W114" s="223" t="s">
        <v>771</v>
      </c>
      <c r="X114" s="125" t="s">
        <v>282</v>
      </c>
      <c r="Y114" s="125"/>
      <c r="Z114" s="184"/>
      <c r="AA114" s="184"/>
      <c r="AB114" s="184"/>
      <c r="AC114" s="125"/>
      <c r="AD114" s="126"/>
      <c r="AE114" s="153"/>
      <c r="AF114" s="112"/>
      <c r="AG114" s="112"/>
      <c r="AH114" s="112"/>
    </row>
    <row r="115" ht="19.5" hidden="1" customHeight="1">
      <c r="A115" s="135" t="s">
        <v>16</v>
      </c>
      <c r="B115" s="124" t="s">
        <v>39</v>
      </c>
      <c r="C115" s="125" t="str">
        <f>IF(D115=0,"Digite a CH", IF(D115&lt;80,Dados!$AC$2,IF(D115=80,Dados!$AC$3,IF(D115&lt;179,Dados!$AC$3,IF(D115&gt;179,Dados!$AC$4)))))</f>
        <v>Digite a CH</v>
      </c>
      <c r="D115" s="126"/>
      <c r="E115" s="126"/>
      <c r="F115" s="125"/>
      <c r="G115" s="125"/>
      <c r="H115" s="224"/>
      <c r="I115" s="125"/>
      <c r="J115" s="189"/>
      <c r="K115" s="126"/>
      <c r="L115" s="126"/>
      <c r="M115" s="126"/>
      <c r="N115" s="126"/>
      <c r="O115" s="126"/>
      <c r="P115" s="126"/>
      <c r="Q115" s="126"/>
      <c r="R115" s="131" t="str">
        <f t="shared" si="1"/>
        <v>#DIV/0!</v>
      </c>
      <c r="S115" s="131" t="str">
        <f t="shared" si="2"/>
        <v>#DIV/0!</v>
      </c>
      <c r="T115" s="126"/>
      <c r="U115" s="153"/>
      <c r="V115" s="153"/>
      <c r="W115" s="144"/>
      <c r="X115" s="125"/>
      <c r="Y115" s="125"/>
      <c r="Z115" s="184"/>
      <c r="AA115" s="184"/>
      <c r="AB115" s="184"/>
      <c r="AC115" s="125"/>
      <c r="AD115" s="126"/>
      <c r="AE115" s="153"/>
      <c r="AF115" s="112"/>
      <c r="AG115" s="112"/>
      <c r="AH115" s="112"/>
    </row>
    <row r="116" hidden="1">
      <c r="A116" s="135" t="s">
        <v>16</v>
      </c>
      <c r="B116" s="124" t="s">
        <v>56</v>
      </c>
      <c r="C116" s="125" t="str">
        <f>IF(D116=0,"Digite a CH", IF(D116&lt;80,Dados!$AC$2,IF(D116=80,Dados!$AC$3,IF(D116&lt;179,Dados!$AC$3,IF(D116&gt;179,Dados!$AC$4)))))</f>
        <v>Digite a CH</v>
      </c>
      <c r="D116" s="126"/>
      <c r="E116" s="126"/>
      <c r="F116" s="125"/>
      <c r="G116" s="125"/>
      <c r="H116" s="224"/>
      <c r="I116" s="125"/>
      <c r="J116" s="189"/>
      <c r="K116" s="126"/>
      <c r="L116" s="126"/>
      <c r="M116" s="126"/>
      <c r="N116" s="126"/>
      <c r="O116" s="126"/>
      <c r="P116" s="126"/>
      <c r="Q116" s="126"/>
      <c r="R116" s="131" t="str">
        <f t="shared" si="1"/>
        <v>#DIV/0!</v>
      </c>
      <c r="S116" s="131" t="str">
        <f t="shared" si="2"/>
        <v>#DIV/0!</v>
      </c>
      <c r="T116" s="126"/>
      <c r="U116" s="153"/>
      <c r="V116" s="153"/>
      <c r="W116" s="144"/>
      <c r="X116" s="125"/>
      <c r="Y116" s="125"/>
      <c r="Z116" s="184"/>
      <c r="AA116" s="184"/>
      <c r="AB116" s="184"/>
      <c r="AC116" s="125"/>
      <c r="AD116" s="126"/>
      <c r="AE116" s="153"/>
      <c r="AF116" s="112"/>
      <c r="AG116" s="112"/>
      <c r="AH116" s="112"/>
    </row>
    <row r="117" hidden="1">
      <c r="A117" s="135" t="s">
        <v>16</v>
      </c>
      <c r="B117" s="124" t="s">
        <v>71</v>
      </c>
      <c r="C117" s="125" t="str">
        <f>IF(D117=0,"Digite a CH", IF(D117&lt;80,Dados!$AC$2,IF(D117=80,Dados!$AC$3,IF(D117&lt;179,Dados!$AC$3,IF(D117&gt;179,Dados!$AC$4)))))</f>
        <v>Digite a CH</v>
      </c>
      <c r="D117" s="126"/>
      <c r="E117" s="126"/>
      <c r="F117" s="125"/>
      <c r="G117" s="125"/>
      <c r="H117" s="224"/>
      <c r="I117" s="125"/>
      <c r="J117" s="189"/>
      <c r="K117" s="126"/>
      <c r="L117" s="126"/>
      <c r="M117" s="126"/>
      <c r="N117" s="126"/>
      <c r="O117" s="126"/>
      <c r="P117" s="126"/>
      <c r="Q117" s="126"/>
      <c r="R117" s="131" t="str">
        <f t="shared" si="1"/>
        <v>#DIV/0!</v>
      </c>
      <c r="S117" s="131" t="str">
        <f t="shared" si="2"/>
        <v>#DIV/0!</v>
      </c>
      <c r="T117" s="126"/>
      <c r="U117" s="153"/>
      <c r="V117" s="153"/>
      <c r="W117" s="144"/>
      <c r="X117" s="125"/>
      <c r="Y117" s="125"/>
      <c r="Z117" s="184"/>
      <c r="AA117" s="184"/>
      <c r="AB117" s="184"/>
      <c r="AC117" s="125"/>
      <c r="AD117" s="126"/>
      <c r="AE117" s="153"/>
      <c r="AF117" s="112"/>
      <c r="AG117" s="112"/>
      <c r="AH117" s="112"/>
    </row>
    <row r="118" hidden="1">
      <c r="A118" s="135" t="s">
        <v>17</v>
      </c>
      <c r="B118" s="124" t="s">
        <v>57</v>
      </c>
      <c r="C118" s="125" t="str">
        <f>IF(D118=0,"Digite a CH", IF(D118&lt;80,Dados!$AC$2,IF(D118=80,Dados!$AC$3,IF(D118&lt;179,Dados!$AC$3,IF(D118&gt;179,Dados!$AC$4)))))</f>
        <v>Básico (Até 79h)</v>
      </c>
      <c r="D118" s="126">
        <v>40.0</v>
      </c>
      <c r="E118" s="126" t="s">
        <v>208</v>
      </c>
      <c r="F118" s="125" t="s">
        <v>209</v>
      </c>
      <c r="G118" s="125"/>
      <c r="H118" s="146" t="s">
        <v>211</v>
      </c>
      <c r="I118" s="125"/>
      <c r="J118" s="125"/>
      <c r="K118" s="126"/>
      <c r="L118" s="126"/>
      <c r="M118" s="126"/>
      <c r="N118" s="126">
        <v>40.0</v>
      </c>
      <c r="O118" s="125"/>
      <c r="P118" s="125"/>
      <c r="Q118" s="126"/>
      <c r="R118" s="131">
        <f t="shared" si="1"/>
        <v>0</v>
      </c>
      <c r="S118" s="131" t="str">
        <f t="shared" si="2"/>
        <v>#DIV/0!</v>
      </c>
      <c r="T118" s="126"/>
      <c r="U118" s="126"/>
      <c r="V118" s="126" t="s">
        <v>214</v>
      </c>
      <c r="W118" s="144" t="s">
        <v>774</v>
      </c>
      <c r="X118" s="125" t="s">
        <v>775</v>
      </c>
      <c r="Y118" s="126"/>
      <c r="Z118" s="173"/>
      <c r="AA118" s="173"/>
      <c r="AB118" s="173"/>
      <c r="AC118" s="173"/>
      <c r="AD118" s="125"/>
      <c r="AE118" s="126"/>
      <c r="AF118" s="112"/>
      <c r="AG118" s="112"/>
      <c r="AH118" s="112"/>
    </row>
    <row r="119" hidden="1">
      <c r="A119" s="135" t="s">
        <v>17</v>
      </c>
      <c r="B119" s="124" t="s">
        <v>57</v>
      </c>
      <c r="C119" s="125" t="str">
        <f>IF(D119=0,"Digite a CH", IF(D119&lt;80,Dados!$AC$2,IF(D119=80,Dados!$AC$3,IF(D119&lt;179,Dados!$AC$3,IF(D119&gt;179,Dados!$AC$4)))))</f>
        <v>Básico (Até 79h)</v>
      </c>
      <c r="D119" s="126">
        <v>40.0</v>
      </c>
      <c r="E119" s="126" t="s">
        <v>266</v>
      </c>
      <c r="F119" s="125" t="s">
        <v>209</v>
      </c>
      <c r="G119" s="140"/>
      <c r="H119" s="146" t="s">
        <v>211</v>
      </c>
      <c r="I119" s="125"/>
      <c r="J119" s="125"/>
      <c r="K119" s="126"/>
      <c r="L119" s="126"/>
      <c r="M119" s="126"/>
      <c r="N119" s="126">
        <v>40.0</v>
      </c>
      <c r="O119" s="125"/>
      <c r="P119" s="125"/>
      <c r="Q119" s="126"/>
      <c r="R119" s="131">
        <f t="shared" si="1"/>
        <v>0</v>
      </c>
      <c r="S119" s="131" t="str">
        <f t="shared" si="2"/>
        <v>#DIV/0!</v>
      </c>
      <c r="T119" s="126"/>
      <c r="U119" s="126"/>
      <c r="V119" s="143" t="s">
        <v>214</v>
      </c>
      <c r="W119" s="144" t="s">
        <v>774</v>
      </c>
      <c r="X119" s="187" t="s">
        <v>775</v>
      </c>
      <c r="Y119" s="126"/>
      <c r="Z119" s="173"/>
      <c r="AA119" s="173"/>
      <c r="AB119" s="173"/>
      <c r="AC119" s="173"/>
      <c r="AD119" s="125"/>
      <c r="AE119" s="125"/>
      <c r="AF119" s="112"/>
      <c r="AG119" s="112"/>
      <c r="AH119" s="112"/>
    </row>
    <row r="120" hidden="1">
      <c r="A120" s="135" t="s">
        <v>17</v>
      </c>
      <c r="B120" s="124" t="s">
        <v>57</v>
      </c>
      <c r="C120" s="125" t="str">
        <f>IF(D120=0,"Digite a CH", IF(D120&lt;80,Dados!$AC$2,IF(D120=80,Dados!$AC$3,IF(D120&lt;179,Dados!$AC$3,IF(D120&gt;179,Dados!$AC$4)))))</f>
        <v>Básico (Até 79h)</v>
      </c>
      <c r="D120" s="126">
        <v>40.0</v>
      </c>
      <c r="E120" s="126" t="s">
        <v>507</v>
      </c>
      <c r="F120" s="125" t="s">
        <v>209</v>
      </c>
      <c r="G120" s="125"/>
      <c r="H120" s="146" t="s">
        <v>211</v>
      </c>
      <c r="I120" s="125"/>
      <c r="J120" s="189"/>
      <c r="K120" s="126"/>
      <c r="L120" s="126"/>
      <c r="M120" s="126"/>
      <c r="N120" s="126">
        <v>40.0</v>
      </c>
      <c r="O120" s="126"/>
      <c r="P120" s="126"/>
      <c r="Q120" s="126"/>
      <c r="R120" s="131">
        <f t="shared" si="1"/>
        <v>0</v>
      </c>
      <c r="S120" s="131" t="str">
        <f t="shared" si="2"/>
        <v>#DIV/0!</v>
      </c>
      <c r="T120" s="126"/>
      <c r="U120" s="153"/>
      <c r="V120" s="160" t="s">
        <v>214</v>
      </c>
      <c r="W120" s="144" t="s">
        <v>774</v>
      </c>
      <c r="X120" s="187" t="s">
        <v>775</v>
      </c>
      <c r="Y120" s="125"/>
      <c r="Z120" s="184"/>
      <c r="AA120" s="184"/>
      <c r="AB120" s="184"/>
      <c r="AC120" s="125"/>
      <c r="AD120" s="126"/>
      <c r="AE120" s="153"/>
      <c r="AF120" s="112"/>
      <c r="AG120" s="112"/>
      <c r="AH120" s="112"/>
    </row>
    <row r="121" hidden="1">
      <c r="A121" s="135" t="s">
        <v>17</v>
      </c>
      <c r="B121" s="124" t="s">
        <v>40</v>
      </c>
      <c r="C121" s="125" t="str">
        <f>IF(D121=0,"Digite a CH", IF(D121&lt;80,Dados!$AC$2,IF(D121=80,Dados!$AC$3,IF(D121&lt;179,Dados!$AC$3,IF(D121&gt;179,Dados!$AC$4)))))</f>
        <v>Básico (Até 79h)</v>
      </c>
      <c r="D121" s="126">
        <v>40.0</v>
      </c>
      <c r="E121" s="126" t="s">
        <v>208</v>
      </c>
      <c r="F121" s="125" t="s">
        <v>209</v>
      </c>
      <c r="G121" s="125"/>
      <c r="H121" s="146" t="s">
        <v>211</v>
      </c>
      <c r="I121" s="125"/>
      <c r="J121" s="189"/>
      <c r="K121" s="126"/>
      <c r="L121" s="126"/>
      <c r="M121" s="126"/>
      <c r="N121" s="126">
        <v>45.0</v>
      </c>
      <c r="O121" s="126"/>
      <c r="P121" s="126"/>
      <c r="Q121" s="126"/>
      <c r="R121" s="131">
        <f t="shared" si="1"/>
        <v>0</v>
      </c>
      <c r="S121" s="131" t="str">
        <f t="shared" si="2"/>
        <v>#DIV/0!</v>
      </c>
      <c r="T121" s="126"/>
      <c r="U121" s="153"/>
      <c r="V121" s="160" t="s">
        <v>214</v>
      </c>
      <c r="W121" s="173" t="s">
        <v>776</v>
      </c>
      <c r="X121" s="125" t="s">
        <v>775</v>
      </c>
      <c r="Y121" s="125"/>
      <c r="Z121" s="184"/>
      <c r="AA121" s="184"/>
      <c r="AB121" s="184"/>
      <c r="AC121" s="125"/>
      <c r="AD121" s="126"/>
      <c r="AE121" s="153"/>
      <c r="AF121" s="112"/>
      <c r="AG121" s="112"/>
      <c r="AH121" s="112"/>
    </row>
    <row r="122" hidden="1">
      <c r="A122" s="135" t="s">
        <v>17</v>
      </c>
      <c r="B122" s="124" t="s">
        <v>40</v>
      </c>
      <c r="C122" s="125" t="str">
        <f>IF(D122=0,"Digite a CH", IF(D122&lt;80,Dados!$AC$2,IF(D122=80,Dados!$AC$3,IF(D122&lt;179,Dados!$AC$3,IF(D122&gt;179,Dados!$AC$4)))))</f>
        <v>Básico (Até 79h)</v>
      </c>
      <c r="D122" s="126">
        <v>40.0</v>
      </c>
      <c r="E122" s="126" t="s">
        <v>266</v>
      </c>
      <c r="F122" s="125" t="s">
        <v>209</v>
      </c>
      <c r="G122" s="125"/>
      <c r="H122" s="146" t="s">
        <v>211</v>
      </c>
      <c r="I122" s="125"/>
      <c r="J122" s="125"/>
      <c r="K122" s="126"/>
      <c r="L122" s="126"/>
      <c r="M122" s="126"/>
      <c r="N122" s="126">
        <v>45.0</v>
      </c>
      <c r="O122" s="125"/>
      <c r="P122" s="125"/>
      <c r="Q122" s="126"/>
      <c r="R122" s="131">
        <f t="shared" si="1"/>
        <v>0</v>
      </c>
      <c r="S122" s="131" t="str">
        <f t="shared" si="2"/>
        <v>#DIV/0!</v>
      </c>
      <c r="T122" s="126"/>
      <c r="U122" s="126"/>
      <c r="V122" s="160" t="s">
        <v>214</v>
      </c>
      <c r="W122" s="173" t="s">
        <v>776</v>
      </c>
      <c r="X122" s="187" t="s">
        <v>775</v>
      </c>
      <c r="Y122" s="126"/>
      <c r="Z122" s="173"/>
      <c r="AA122" s="173"/>
      <c r="AB122" s="173"/>
      <c r="AC122" s="173"/>
      <c r="AD122" s="173"/>
      <c r="AE122" s="173"/>
      <c r="AF122" s="112"/>
      <c r="AG122" s="112"/>
      <c r="AH122" s="112"/>
    </row>
    <row r="123" hidden="1">
      <c r="A123" s="135" t="s">
        <v>17</v>
      </c>
      <c r="B123" s="124" t="s">
        <v>40</v>
      </c>
      <c r="C123" s="125" t="str">
        <f>IF(D123=0,"Digite a CH", IF(D123&lt;80,Dados!$AC$2,IF(D123=80,Dados!$AC$3,IF(D123&lt;179,Dados!$AC$3,IF(D123&gt;179,Dados!$AC$4)))))</f>
        <v>Básico (Até 79h)</v>
      </c>
      <c r="D123" s="126">
        <v>40.0</v>
      </c>
      <c r="E123" s="126" t="s">
        <v>507</v>
      </c>
      <c r="F123" s="125" t="s">
        <v>209</v>
      </c>
      <c r="G123" s="125"/>
      <c r="H123" s="146" t="s">
        <v>211</v>
      </c>
      <c r="I123" s="125"/>
      <c r="J123" s="125"/>
      <c r="K123" s="126"/>
      <c r="L123" s="126"/>
      <c r="M123" s="126"/>
      <c r="N123" s="126">
        <v>45.0</v>
      </c>
      <c r="O123" s="125"/>
      <c r="P123" s="125"/>
      <c r="Q123" s="126"/>
      <c r="R123" s="131">
        <f t="shared" si="1"/>
        <v>0</v>
      </c>
      <c r="S123" s="131" t="str">
        <f t="shared" si="2"/>
        <v>#DIV/0!</v>
      </c>
      <c r="T123" s="126"/>
      <c r="U123" s="126"/>
      <c r="V123" s="160" t="s">
        <v>214</v>
      </c>
      <c r="W123" s="225" t="s">
        <v>776</v>
      </c>
      <c r="X123" s="140" t="s">
        <v>775</v>
      </c>
      <c r="Y123" s="126"/>
      <c r="Z123" s="125"/>
      <c r="AA123" s="125"/>
      <c r="AB123" s="125"/>
      <c r="AC123" s="125"/>
      <c r="AD123" s="125"/>
      <c r="AE123" s="173"/>
      <c r="AF123" s="112"/>
      <c r="AG123" s="112"/>
      <c r="AH123" s="112"/>
    </row>
    <row r="124" hidden="1">
      <c r="A124" s="135" t="s">
        <v>17</v>
      </c>
      <c r="B124" s="124" t="s">
        <v>40</v>
      </c>
      <c r="C124" s="125" t="str">
        <f>IF(D124=0,"Digite a CH", IF(D124&lt;80,Dados!$AC$2,IF(D124=80,Dados!$AC$3,IF(D124&lt;179,Dados!$AC$3,IF(D124&gt;179,Dados!$AC$4)))))</f>
        <v>Básico (Até 79h)</v>
      </c>
      <c r="D124" s="126">
        <v>40.0</v>
      </c>
      <c r="E124" s="126" t="s">
        <v>511</v>
      </c>
      <c r="F124" s="125" t="s">
        <v>209</v>
      </c>
      <c r="G124" s="140"/>
      <c r="H124" s="146" t="s">
        <v>211</v>
      </c>
      <c r="I124" s="138"/>
      <c r="J124" s="189"/>
      <c r="K124" s="126"/>
      <c r="L124" s="126"/>
      <c r="M124" s="126"/>
      <c r="N124" s="126">
        <v>45.0</v>
      </c>
      <c r="O124" s="125"/>
      <c r="P124" s="125"/>
      <c r="Q124" s="126"/>
      <c r="R124" s="131">
        <f t="shared" si="1"/>
        <v>0</v>
      </c>
      <c r="S124" s="131" t="str">
        <f t="shared" si="2"/>
        <v>#DIV/0!</v>
      </c>
      <c r="T124" s="125"/>
      <c r="U124" s="125"/>
      <c r="V124" s="160" t="s">
        <v>214</v>
      </c>
      <c r="W124" s="173" t="s">
        <v>776</v>
      </c>
      <c r="X124" s="140" t="s">
        <v>775</v>
      </c>
      <c r="Y124" s="125"/>
      <c r="Z124" s="125"/>
      <c r="AA124" s="125"/>
      <c r="AB124" s="125"/>
      <c r="AC124" s="125"/>
      <c r="AD124" s="125"/>
      <c r="AE124" s="125"/>
      <c r="AF124" s="112"/>
      <c r="AG124" s="112"/>
      <c r="AH124" s="112"/>
    </row>
    <row r="125" hidden="1">
      <c r="A125" s="145"/>
      <c r="B125" s="226"/>
      <c r="C125" s="125" t="str">
        <f>IF(D125=0,"Digite a CH", IF(D125&lt;80,Dados!$AC$2,IF(D125=80,Dados!$AC$3,IF(D125&lt;179,Dados!$AC$3,IF(D125&gt;179,Dados!$AC$4)))))</f>
        <v>Digite a CH</v>
      </c>
      <c r="D125" s="126"/>
      <c r="E125" s="126"/>
      <c r="F125" s="125"/>
      <c r="G125" s="125"/>
      <c r="H125" s="128"/>
      <c r="I125" s="143"/>
      <c r="J125" s="125"/>
      <c r="K125" s="126"/>
      <c r="L125" s="126"/>
      <c r="M125" s="126"/>
      <c r="N125" s="126"/>
      <c r="O125" s="126"/>
      <c r="P125" s="126"/>
      <c r="Q125" s="126"/>
      <c r="R125" s="131" t="str">
        <f t="shared" si="1"/>
        <v>#DIV/0!</v>
      </c>
      <c r="S125" s="131" t="str">
        <f t="shared" si="2"/>
        <v>#DIV/0!</v>
      </c>
      <c r="T125" s="126"/>
      <c r="U125" s="126"/>
      <c r="V125" s="125"/>
      <c r="W125" s="144"/>
      <c r="X125" s="125"/>
      <c r="Y125" s="125"/>
      <c r="Z125" s="125"/>
      <c r="AA125" s="125"/>
      <c r="AB125" s="125"/>
      <c r="AC125" s="126"/>
      <c r="AD125" s="125"/>
      <c r="AE125" s="126"/>
      <c r="AF125" s="112"/>
      <c r="AG125" s="112"/>
      <c r="AH125" s="112"/>
    </row>
    <row r="126" hidden="1">
      <c r="A126" s="145"/>
      <c r="B126" s="226"/>
      <c r="C126" s="125" t="str">
        <f>IF(D126=0,"Digite a CH", IF(D126&lt;80,Dados!$AC$2,IF(D126=80,Dados!$AC$3,IF(D126&lt;179,Dados!$AC$3,IF(D126&gt;179,Dados!$AC$4)))))</f>
        <v>Digite a CH</v>
      </c>
      <c r="D126" s="126"/>
      <c r="E126" s="126"/>
      <c r="F126" s="125"/>
      <c r="G126" s="125"/>
      <c r="H126" s="128"/>
      <c r="I126" s="143"/>
      <c r="J126" s="125"/>
      <c r="K126" s="126"/>
      <c r="L126" s="126"/>
      <c r="M126" s="126"/>
      <c r="N126" s="126"/>
      <c r="O126" s="126"/>
      <c r="P126" s="126"/>
      <c r="Q126" s="126"/>
      <c r="R126" s="131" t="str">
        <f t="shared" si="1"/>
        <v>#DIV/0!</v>
      </c>
      <c r="S126" s="131" t="str">
        <f t="shared" si="2"/>
        <v>#DIV/0!</v>
      </c>
      <c r="T126" s="126"/>
      <c r="U126" s="126"/>
      <c r="V126" s="125"/>
      <c r="W126" s="144"/>
      <c r="X126" s="125"/>
      <c r="Y126" s="125"/>
      <c r="Z126" s="125"/>
      <c r="AA126" s="125"/>
      <c r="AB126" s="125"/>
      <c r="AC126" s="126"/>
      <c r="AD126" s="125"/>
      <c r="AE126" s="126"/>
      <c r="AF126" s="112"/>
      <c r="AG126" s="112"/>
      <c r="AH126" s="112"/>
    </row>
    <row r="127" hidden="1">
      <c r="A127" s="145"/>
      <c r="B127" s="226"/>
      <c r="C127" s="125" t="str">
        <f>IF(D127=0,"Digite a CH", IF(D127&lt;80,Dados!$AC$2,IF(D127=80,Dados!$AC$3,IF(D127&lt;179,Dados!$AC$3,IF(D127&gt;179,Dados!$AC$4)))))</f>
        <v>Digite a CH</v>
      </c>
      <c r="D127" s="126"/>
      <c r="E127" s="126"/>
      <c r="F127" s="125"/>
      <c r="G127" s="125"/>
      <c r="H127" s="128"/>
      <c r="I127" s="143"/>
      <c r="J127" s="125"/>
      <c r="K127" s="126"/>
      <c r="L127" s="126"/>
      <c r="M127" s="126"/>
      <c r="N127" s="126"/>
      <c r="O127" s="126"/>
      <c r="P127" s="126"/>
      <c r="Q127" s="126"/>
      <c r="R127" s="131" t="str">
        <f t="shared" si="1"/>
        <v>#DIV/0!</v>
      </c>
      <c r="S127" s="131" t="str">
        <f t="shared" si="2"/>
        <v>#DIV/0!</v>
      </c>
      <c r="T127" s="126"/>
      <c r="U127" s="126"/>
      <c r="V127" s="125"/>
      <c r="W127" s="144"/>
      <c r="X127" s="125"/>
      <c r="Y127" s="125"/>
      <c r="Z127" s="125"/>
      <c r="AA127" s="125"/>
      <c r="AB127" s="125"/>
      <c r="AC127" s="126"/>
      <c r="AD127" s="125"/>
      <c r="AE127" s="126"/>
      <c r="AF127" s="112"/>
      <c r="AG127" s="112"/>
      <c r="AH127" s="112"/>
    </row>
    <row r="128" hidden="1">
      <c r="A128" s="145"/>
      <c r="B128" s="226"/>
      <c r="C128" s="125" t="str">
        <f>IF(D128=0,"Digite a CH", IF(D128&lt;80,Dados!$AC$2,IF(D128=80,Dados!$AC$3,IF(D128&lt;179,Dados!$AC$3,IF(D128&gt;179,Dados!$AC$4)))))</f>
        <v>Digite a CH</v>
      </c>
      <c r="D128" s="126"/>
      <c r="E128" s="126"/>
      <c r="F128" s="125"/>
      <c r="G128" s="125"/>
      <c r="H128" s="128"/>
      <c r="I128" s="143"/>
      <c r="J128" s="125"/>
      <c r="K128" s="126"/>
      <c r="L128" s="126"/>
      <c r="M128" s="126"/>
      <c r="N128" s="126"/>
      <c r="O128" s="126"/>
      <c r="P128" s="126"/>
      <c r="Q128" s="126"/>
      <c r="R128" s="131" t="str">
        <f t="shared" si="1"/>
        <v>#DIV/0!</v>
      </c>
      <c r="S128" s="131" t="str">
        <f t="shared" si="2"/>
        <v>#DIV/0!</v>
      </c>
      <c r="T128" s="126"/>
      <c r="U128" s="126"/>
      <c r="V128" s="125"/>
      <c r="W128" s="144"/>
      <c r="X128" s="125"/>
      <c r="Y128" s="126"/>
      <c r="Z128" s="125"/>
      <c r="AA128" s="125"/>
      <c r="AB128" s="125"/>
      <c r="AC128" s="125"/>
      <c r="AD128" s="125"/>
      <c r="AE128" s="126"/>
      <c r="AF128" s="112"/>
      <c r="AG128" s="112"/>
      <c r="AH128" s="112"/>
    </row>
    <row r="129" hidden="1">
      <c r="A129" s="145"/>
      <c r="B129" s="226"/>
      <c r="C129" s="125" t="str">
        <f>IF(D129=0,"Digite a CH", IF(D129&lt;80,Dados!$AC$2,IF(D129=80,Dados!$AC$3,IF(D129&lt;179,Dados!$AC$3,IF(D129&gt;179,Dados!$AC$4)))))</f>
        <v>Digite a CH</v>
      </c>
      <c r="D129" s="126"/>
      <c r="E129" s="126"/>
      <c r="F129" s="125"/>
      <c r="G129" s="125"/>
      <c r="H129" s="128"/>
      <c r="I129" s="143"/>
      <c r="J129" s="125"/>
      <c r="K129" s="126"/>
      <c r="L129" s="126"/>
      <c r="M129" s="126"/>
      <c r="N129" s="126"/>
      <c r="O129" s="126"/>
      <c r="P129" s="126"/>
      <c r="Q129" s="126"/>
      <c r="R129" s="131" t="str">
        <f t="shared" si="1"/>
        <v>#DIV/0!</v>
      </c>
      <c r="S129" s="131" t="str">
        <f t="shared" si="2"/>
        <v>#DIV/0!</v>
      </c>
      <c r="T129" s="126"/>
      <c r="U129" s="126"/>
      <c r="V129" s="125"/>
      <c r="W129" s="144"/>
      <c r="X129" s="125"/>
      <c r="Y129" s="126"/>
      <c r="Z129" s="125"/>
      <c r="AA129" s="125"/>
      <c r="AB129" s="125"/>
      <c r="AC129" s="125"/>
      <c r="AD129" s="125"/>
      <c r="AE129" s="126"/>
      <c r="AF129" s="112"/>
      <c r="AG129" s="112"/>
      <c r="AH129" s="112"/>
    </row>
    <row r="130" hidden="1">
      <c r="A130" s="145"/>
      <c r="B130" s="226"/>
      <c r="C130" s="125" t="str">
        <f>IF(D130=0,"Digite a CH", IF(D130&lt;80,Dados!$AC$2,IF(D130=80,Dados!$AC$3,IF(D130&lt;179,Dados!$AC$3,IF(D130&gt;179,Dados!$AC$4)))))</f>
        <v>Digite a CH</v>
      </c>
      <c r="D130" s="126"/>
      <c r="E130" s="126"/>
      <c r="F130" s="125"/>
      <c r="G130" s="125"/>
      <c r="H130" s="128"/>
      <c r="I130" s="143"/>
      <c r="J130" s="125"/>
      <c r="K130" s="126"/>
      <c r="L130" s="126"/>
      <c r="M130" s="126"/>
      <c r="N130" s="126"/>
      <c r="O130" s="126"/>
      <c r="P130" s="126"/>
      <c r="Q130" s="126"/>
      <c r="R130" s="131" t="str">
        <f t="shared" si="1"/>
        <v>#DIV/0!</v>
      </c>
      <c r="S130" s="131" t="str">
        <f t="shared" si="2"/>
        <v>#DIV/0!</v>
      </c>
      <c r="T130" s="126"/>
      <c r="U130" s="126"/>
      <c r="V130" s="125"/>
      <c r="W130" s="144"/>
      <c r="X130" s="126"/>
      <c r="Y130" s="126"/>
      <c r="Z130" s="125"/>
      <c r="AA130" s="125"/>
      <c r="AB130" s="125"/>
      <c r="AC130" s="125"/>
      <c r="AD130" s="125"/>
      <c r="AE130" s="126"/>
      <c r="AF130" s="112"/>
      <c r="AG130" s="112"/>
      <c r="AH130" s="112"/>
    </row>
    <row r="131" hidden="1">
      <c r="A131" s="145"/>
      <c r="B131" s="226"/>
      <c r="C131" s="125" t="str">
        <f>IF(D131=0,"Digite a CH", IF(D131&lt;80,Dados!$AC$2,IF(D131=80,Dados!$AC$3,IF(D131&lt;179,Dados!$AC$3,IF(D131&gt;179,Dados!$AC$4)))))</f>
        <v>Digite a CH</v>
      </c>
      <c r="D131" s="126"/>
      <c r="E131" s="126"/>
      <c r="F131" s="125"/>
      <c r="G131" s="125"/>
      <c r="H131" s="128"/>
      <c r="I131" s="143"/>
      <c r="J131" s="125"/>
      <c r="K131" s="126"/>
      <c r="L131" s="126"/>
      <c r="M131" s="126"/>
      <c r="N131" s="126"/>
      <c r="O131" s="126"/>
      <c r="P131" s="126"/>
      <c r="Q131" s="126"/>
      <c r="R131" s="131" t="str">
        <f t="shared" si="1"/>
        <v>#DIV/0!</v>
      </c>
      <c r="S131" s="131" t="str">
        <f t="shared" si="2"/>
        <v>#DIV/0!</v>
      </c>
      <c r="T131" s="126"/>
      <c r="U131" s="126"/>
      <c r="V131" s="125"/>
      <c r="W131" s="144"/>
      <c r="X131" s="126"/>
      <c r="Y131" s="126"/>
      <c r="Z131" s="125"/>
      <c r="AA131" s="125"/>
      <c r="AB131" s="125"/>
      <c r="AC131" s="125"/>
      <c r="AD131" s="125"/>
      <c r="AE131" s="126"/>
      <c r="AF131" s="112"/>
      <c r="AG131" s="112"/>
      <c r="AH131" s="112"/>
    </row>
    <row r="132" hidden="1">
      <c r="A132" s="145"/>
      <c r="B132" s="226"/>
      <c r="C132" s="125" t="str">
        <f>IF(D132=0,"Digite a CH", IF(D132&lt;80,Dados!$AC$2,IF(D132=80,Dados!$AC$3,IF(D132&lt;179,Dados!$AC$3,IF(D132&gt;179,Dados!$AC$4)))))</f>
        <v>Digite a CH</v>
      </c>
      <c r="D132" s="126"/>
      <c r="E132" s="126"/>
      <c r="F132" s="125"/>
      <c r="G132" s="125"/>
      <c r="H132" s="128"/>
      <c r="I132" s="143"/>
      <c r="J132" s="125"/>
      <c r="K132" s="126"/>
      <c r="L132" s="126"/>
      <c r="M132" s="126"/>
      <c r="N132" s="126"/>
      <c r="O132" s="126"/>
      <c r="P132" s="126"/>
      <c r="Q132" s="126"/>
      <c r="R132" s="131" t="str">
        <f t="shared" si="1"/>
        <v>#DIV/0!</v>
      </c>
      <c r="S132" s="131" t="str">
        <f t="shared" si="2"/>
        <v>#DIV/0!</v>
      </c>
      <c r="T132" s="126"/>
      <c r="U132" s="126"/>
      <c r="V132" s="125"/>
      <c r="W132" s="144"/>
      <c r="X132" s="126"/>
      <c r="Y132" s="126"/>
      <c r="Z132" s="125"/>
      <c r="AA132" s="125"/>
      <c r="AB132" s="125"/>
      <c r="AC132" s="125"/>
      <c r="AD132" s="125"/>
      <c r="AE132" s="126"/>
      <c r="AF132" s="112"/>
      <c r="AG132" s="112"/>
      <c r="AH132" s="112"/>
    </row>
    <row r="133" hidden="1">
      <c r="A133" s="145"/>
      <c r="B133" s="226"/>
      <c r="C133" s="125" t="str">
        <f>IF(D133=0,"Digite a CH", IF(D133&lt;80,Dados!$AC$2,IF(D133=80,Dados!$AC$3,IF(D133&lt;179,Dados!$AC$3,IF(D133&gt;179,Dados!$AC$4)))))</f>
        <v>Digite a CH</v>
      </c>
      <c r="D133" s="126"/>
      <c r="E133" s="126"/>
      <c r="F133" s="125"/>
      <c r="G133" s="125"/>
      <c r="H133" s="128"/>
      <c r="I133" s="143"/>
      <c r="J133" s="125"/>
      <c r="K133" s="126"/>
      <c r="L133" s="126"/>
      <c r="M133" s="126"/>
      <c r="N133" s="126"/>
      <c r="O133" s="126"/>
      <c r="P133" s="126"/>
      <c r="Q133" s="126"/>
      <c r="R133" s="131" t="str">
        <f t="shared" si="1"/>
        <v>#DIV/0!</v>
      </c>
      <c r="S133" s="131" t="str">
        <f t="shared" si="2"/>
        <v>#DIV/0!</v>
      </c>
      <c r="T133" s="126"/>
      <c r="U133" s="126"/>
      <c r="V133" s="125"/>
      <c r="W133" s="144"/>
      <c r="X133" s="126"/>
      <c r="Y133" s="126"/>
      <c r="Z133" s="125"/>
      <c r="AA133" s="125"/>
      <c r="AB133" s="125"/>
      <c r="AC133" s="125"/>
      <c r="AD133" s="125"/>
      <c r="AE133" s="126"/>
      <c r="AF133" s="112"/>
      <c r="AG133" s="112"/>
      <c r="AH133" s="112"/>
    </row>
    <row r="134" hidden="1">
      <c r="A134" s="145"/>
      <c r="B134" s="226"/>
      <c r="C134" s="125" t="str">
        <f>IF(D134=0,"Digite a CH", IF(D134&lt;80,Dados!$AC$2,IF(D134=80,Dados!$AC$3,IF(D134&lt;179,Dados!$AC$3,IF(D134&gt;179,Dados!$AC$4)))))</f>
        <v>Digite a CH</v>
      </c>
      <c r="D134" s="126"/>
      <c r="E134" s="126"/>
      <c r="F134" s="125"/>
      <c r="G134" s="125"/>
      <c r="H134" s="128"/>
      <c r="I134" s="143"/>
      <c r="J134" s="125"/>
      <c r="K134" s="126"/>
      <c r="L134" s="126"/>
      <c r="M134" s="126"/>
      <c r="N134" s="126"/>
      <c r="O134" s="125"/>
      <c r="P134" s="126"/>
      <c r="Q134" s="126"/>
      <c r="R134" s="131" t="str">
        <f t="shared" si="1"/>
        <v>#DIV/0!</v>
      </c>
      <c r="S134" s="131" t="str">
        <f t="shared" si="2"/>
        <v>#DIV/0!</v>
      </c>
      <c r="T134" s="126"/>
      <c r="U134" s="126"/>
      <c r="V134" s="125"/>
      <c r="W134" s="144"/>
      <c r="X134" s="125"/>
      <c r="Y134" s="125"/>
      <c r="Z134" s="125"/>
      <c r="AA134" s="125"/>
      <c r="AB134" s="125"/>
      <c r="AC134" s="125"/>
      <c r="AD134" s="125"/>
      <c r="AE134" s="227"/>
      <c r="AF134" s="112"/>
      <c r="AG134" s="112"/>
      <c r="AH134" s="112"/>
    </row>
    <row r="135" hidden="1">
      <c r="A135" s="145"/>
      <c r="B135" s="226"/>
      <c r="C135" s="125" t="str">
        <f>IF(D135=0,"Digite a CH", IF(D135&lt;80,Dados!$AC$2,IF(D135=80,Dados!$AC$3,IF(D135&lt;179,Dados!$AC$3,IF(D135&gt;179,Dados!$AC$4)))))</f>
        <v>Digite a CH</v>
      </c>
      <c r="D135" s="126"/>
      <c r="E135" s="126"/>
      <c r="F135" s="125"/>
      <c r="G135" s="125"/>
      <c r="H135" s="128"/>
      <c r="I135" s="143"/>
      <c r="J135" s="125"/>
      <c r="K135" s="126"/>
      <c r="L135" s="126"/>
      <c r="M135" s="126"/>
      <c r="N135" s="126"/>
      <c r="O135" s="125"/>
      <c r="P135" s="126"/>
      <c r="Q135" s="126"/>
      <c r="R135" s="131" t="str">
        <f t="shared" si="1"/>
        <v>#DIV/0!</v>
      </c>
      <c r="S135" s="131" t="str">
        <f t="shared" si="2"/>
        <v>#DIV/0!</v>
      </c>
      <c r="T135" s="126"/>
      <c r="U135" s="126"/>
      <c r="V135" s="125"/>
      <c r="W135" s="144"/>
      <c r="X135" s="125"/>
      <c r="Y135" s="125"/>
      <c r="Z135" s="125"/>
      <c r="AA135" s="125"/>
      <c r="AB135" s="125"/>
      <c r="AC135" s="125"/>
      <c r="AD135" s="125"/>
      <c r="AE135" s="227"/>
      <c r="AF135" s="112"/>
      <c r="AG135" s="112"/>
      <c r="AH135" s="112"/>
    </row>
    <row r="136" hidden="1">
      <c r="A136" s="145"/>
      <c r="B136" s="226"/>
      <c r="C136" s="125" t="str">
        <f>IF(D136=0,"Digite a CH", IF(D136&lt;80,Dados!$AC$2,IF(D136=80,Dados!$AC$3,IF(D136&lt;179,Dados!$AC$3,IF(D136&gt;179,Dados!$AC$4)))))</f>
        <v>Digite a CH</v>
      </c>
      <c r="D136" s="126"/>
      <c r="E136" s="126"/>
      <c r="F136" s="125"/>
      <c r="G136" s="125"/>
      <c r="H136" s="128"/>
      <c r="I136" s="143"/>
      <c r="J136" s="125"/>
      <c r="K136" s="126"/>
      <c r="L136" s="126"/>
      <c r="M136" s="126"/>
      <c r="N136" s="126"/>
      <c r="O136" s="125"/>
      <c r="P136" s="126"/>
      <c r="Q136" s="126"/>
      <c r="R136" s="131" t="str">
        <f t="shared" si="1"/>
        <v>#DIV/0!</v>
      </c>
      <c r="S136" s="131" t="str">
        <f t="shared" si="2"/>
        <v>#DIV/0!</v>
      </c>
      <c r="T136" s="126"/>
      <c r="U136" s="126"/>
      <c r="V136" s="125"/>
      <c r="W136" s="144"/>
      <c r="X136" s="125"/>
      <c r="Y136" s="125"/>
      <c r="Z136" s="125"/>
      <c r="AA136" s="125"/>
      <c r="AB136" s="125"/>
      <c r="AC136" s="125"/>
      <c r="AD136" s="125"/>
      <c r="AE136" s="227"/>
      <c r="AF136" s="112"/>
      <c r="AG136" s="112"/>
      <c r="AH136" s="112"/>
    </row>
    <row r="137" hidden="1">
      <c r="A137" s="145"/>
      <c r="B137" s="226"/>
      <c r="C137" s="125" t="str">
        <f>IF(D137=0,"Digite a CH", IF(D137&lt;80,Dados!$AC$2,IF(D137=80,Dados!$AC$3,IF(D137&lt;179,Dados!$AC$3,IF(D137&gt;179,Dados!$AC$4)))))</f>
        <v>Digite a CH</v>
      </c>
      <c r="D137" s="126"/>
      <c r="E137" s="126"/>
      <c r="F137" s="125"/>
      <c r="G137" s="125"/>
      <c r="H137" s="128"/>
      <c r="I137" s="143"/>
      <c r="J137" s="125"/>
      <c r="K137" s="126"/>
      <c r="L137" s="126"/>
      <c r="M137" s="126"/>
      <c r="N137" s="126"/>
      <c r="O137" s="125"/>
      <c r="P137" s="126"/>
      <c r="Q137" s="126"/>
      <c r="R137" s="131" t="str">
        <f t="shared" si="1"/>
        <v>#DIV/0!</v>
      </c>
      <c r="S137" s="131" t="str">
        <f t="shared" si="2"/>
        <v>#DIV/0!</v>
      </c>
      <c r="T137" s="126"/>
      <c r="U137" s="126"/>
      <c r="V137" s="125"/>
      <c r="W137" s="144"/>
      <c r="X137" s="125"/>
      <c r="Y137" s="125"/>
      <c r="Z137" s="125"/>
      <c r="AA137" s="125"/>
      <c r="AB137" s="125"/>
      <c r="AC137" s="125"/>
      <c r="AD137" s="125"/>
      <c r="AE137" s="227"/>
      <c r="AF137" s="112"/>
      <c r="AG137" s="112"/>
      <c r="AH137" s="112"/>
    </row>
    <row r="138" hidden="1">
      <c r="A138" s="145"/>
      <c r="B138" s="226"/>
      <c r="C138" s="125" t="str">
        <f>IF(D138=0,"Digite a CH", IF(D138&lt;80,Dados!$AC$2,IF(D138=80,Dados!$AC$3,IF(D138&lt;179,Dados!$AC$3,IF(D138&gt;179,Dados!$AC$4)))))</f>
        <v>Digite a CH</v>
      </c>
      <c r="D138" s="126"/>
      <c r="E138" s="126"/>
      <c r="F138" s="125"/>
      <c r="G138" s="125"/>
      <c r="H138" s="128"/>
      <c r="I138" s="143"/>
      <c r="J138" s="125"/>
      <c r="K138" s="126"/>
      <c r="L138" s="126"/>
      <c r="M138" s="126"/>
      <c r="N138" s="126"/>
      <c r="O138" s="125"/>
      <c r="P138" s="126"/>
      <c r="Q138" s="126"/>
      <c r="R138" s="131" t="str">
        <f t="shared" si="1"/>
        <v>#DIV/0!</v>
      </c>
      <c r="S138" s="131" t="str">
        <f t="shared" si="2"/>
        <v>#DIV/0!</v>
      </c>
      <c r="T138" s="126"/>
      <c r="U138" s="126"/>
      <c r="V138" s="125"/>
      <c r="W138" s="144"/>
      <c r="X138" s="125"/>
      <c r="Y138" s="125"/>
      <c r="Z138" s="125"/>
      <c r="AA138" s="125"/>
      <c r="AB138" s="125"/>
      <c r="AC138" s="125"/>
      <c r="AD138" s="125"/>
      <c r="AE138" s="227"/>
      <c r="AF138" s="112"/>
      <c r="AG138" s="112"/>
      <c r="AH138" s="112"/>
    </row>
    <row r="139" hidden="1">
      <c r="A139" s="145"/>
      <c r="B139" s="226"/>
      <c r="C139" s="125" t="str">
        <f>IF(D139=0,"Digite a CH", IF(D139&lt;80,Dados!$AC$2,IF(D139=80,Dados!$AC$3,IF(D139&lt;179,Dados!$AC$3,IF(D139&gt;179,Dados!$AC$4)))))</f>
        <v>Digite a CH</v>
      </c>
      <c r="D139" s="126"/>
      <c r="E139" s="126"/>
      <c r="F139" s="125"/>
      <c r="G139" s="125"/>
      <c r="H139" s="128"/>
      <c r="I139" s="143"/>
      <c r="J139" s="125"/>
      <c r="K139" s="126"/>
      <c r="L139" s="126"/>
      <c r="M139" s="126"/>
      <c r="N139" s="126"/>
      <c r="O139" s="125"/>
      <c r="P139" s="126"/>
      <c r="Q139" s="126"/>
      <c r="R139" s="131" t="str">
        <f t="shared" si="1"/>
        <v>#DIV/0!</v>
      </c>
      <c r="S139" s="131" t="str">
        <f t="shared" si="2"/>
        <v>#DIV/0!</v>
      </c>
      <c r="T139" s="126"/>
      <c r="U139" s="126"/>
      <c r="V139" s="125"/>
      <c r="W139" s="144"/>
      <c r="X139" s="125"/>
      <c r="Y139" s="125"/>
      <c r="Z139" s="125"/>
      <c r="AA139" s="125"/>
      <c r="AB139" s="125"/>
      <c r="AC139" s="125"/>
      <c r="AD139" s="125"/>
      <c r="AE139" s="227"/>
      <c r="AF139" s="112"/>
      <c r="AG139" s="112"/>
      <c r="AH139" s="112"/>
    </row>
    <row r="140" hidden="1">
      <c r="A140" s="135"/>
      <c r="B140" s="124"/>
      <c r="C140" s="125" t="str">
        <f>IF(D140=0,"Digite a CH", IF(D140&lt;80,Dados!$AC$2,IF(D140=80,Dados!$AC$3,IF(D140&lt;179,Dados!$AC$3,IF(D140&gt;179,Dados!$AC$4)))))</f>
        <v>Digite a CH</v>
      </c>
      <c r="D140" s="126"/>
      <c r="E140" s="126"/>
      <c r="F140" s="125"/>
      <c r="G140" s="125"/>
      <c r="H140" s="125"/>
      <c r="I140" s="125"/>
      <c r="J140" s="189"/>
      <c r="K140" s="126"/>
      <c r="L140" s="126"/>
      <c r="M140" s="126"/>
      <c r="N140" s="126"/>
      <c r="O140" s="126"/>
      <c r="P140" s="126"/>
      <c r="Q140" s="126"/>
      <c r="R140" s="131" t="str">
        <f t="shared" si="1"/>
        <v>#DIV/0!</v>
      </c>
      <c r="S140" s="131" t="str">
        <f t="shared" si="2"/>
        <v>#DIV/0!</v>
      </c>
      <c r="T140" s="126"/>
      <c r="U140" s="153"/>
      <c r="V140" s="153"/>
      <c r="W140" s="144"/>
      <c r="X140" s="125"/>
      <c r="Y140" s="125"/>
      <c r="Z140" s="184"/>
      <c r="AA140" s="184"/>
      <c r="AB140" s="184"/>
      <c r="AC140" s="125"/>
      <c r="AD140" s="126"/>
      <c r="AE140" s="153"/>
      <c r="AF140" s="112"/>
      <c r="AG140" s="112"/>
      <c r="AH140" s="112"/>
    </row>
    <row r="141" hidden="1">
      <c r="A141" s="222"/>
      <c r="B141" s="228"/>
      <c r="C141" s="125" t="str">
        <f>IF(D141=0,"Digite a CH", IF(D141&lt;80,Dados!$AC$2,IF(D141=80,Dados!$AC$3,IF(D141&lt;179,Dados!$AC$3,IF(D141&gt;179,Dados!$AC$4)))))</f>
        <v>Digite a CH</v>
      </c>
      <c r="D141" s="126"/>
      <c r="E141" s="126"/>
      <c r="F141" s="125"/>
      <c r="G141" s="125"/>
      <c r="H141" s="125"/>
      <c r="I141" s="125"/>
      <c r="J141" s="189"/>
      <c r="K141" s="126"/>
      <c r="L141" s="126"/>
      <c r="M141" s="126"/>
      <c r="N141" s="126"/>
      <c r="O141" s="126"/>
      <c r="P141" s="126"/>
      <c r="Q141" s="126"/>
      <c r="R141" s="131" t="str">
        <f t="shared" si="1"/>
        <v>#DIV/0!</v>
      </c>
      <c r="S141" s="131" t="str">
        <f t="shared" si="2"/>
        <v>#DIV/0!</v>
      </c>
      <c r="T141" s="126"/>
      <c r="U141" s="153"/>
      <c r="V141" s="153"/>
      <c r="W141" s="144"/>
      <c r="X141" s="125"/>
      <c r="Y141" s="125"/>
      <c r="Z141" s="184"/>
      <c r="AA141" s="184"/>
      <c r="AB141" s="184"/>
      <c r="AC141" s="125"/>
      <c r="AD141" s="126"/>
      <c r="AE141" s="153"/>
      <c r="AF141" s="112"/>
      <c r="AG141" s="112"/>
      <c r="AH141" s="112"/>
    </row>
    <row r="142" hidden="1">
      <c r="A142" s="135"/>
      <c r="B142" s="124"/>
      <c r="C142" s="125" t="str">
        <f>IF(D142=0,"Digite a CH", IF(D142&lt;80,Dados!$AC$2,IF(D142=80,Dados!$AC$3,IF(D142&lt;179,Dados!$AC$3,IF(D142&gt;179,Dados!$AC$4)))))</f>
        <v>Digite a CH</v>
      </c>
      <c r="D142" s="126"/>
      <c r="E142" s="126"/>
      <c r="F142" s="125"/>
      <c r="G142" s="125"/>
      <c r="H142" s="125"/>
      <c r="I142" s="125"/>
      <c r="J142" s="189"/>
      <c r="K142" s="126"/>
      <c r="L142" s="126"/>
      <c r="M142" s="126"/>
      <c r="N142" s="126"/>
      <c r="O142" s="126"/>
      <c r="P142" s="126"/>
      <c r="Q142" s="126"/>
      <c r="R142" s="131" t="str">
        <f t="shared" si="1"/>
        <v>#DIV/0!</v>
      </c>
      <c r="S142" s="131" t="str">
        <f t="shared" si="2"/>
        <v>#DIV/0!</v>
      </c>
      <c r="T142" s="126"/>
      <c r="U142" s="153"/>
      <c r="V142" s="153"/>
      <c r="W142" s="144"/>
      <c r="X142" s="125"/>
      <c r="Y142" s="125"/>
      <c r="Z142" s="184"/>
      <c r="AA142" s="184"/>
      <c r="AB142" s="184"/>
      <c r="AC142" s="125"/>
      <c r="AD142" s="126"/>
      <c r="AE142" s="153"/>
      <c r="AF142" s="112"/>
      <c r="AG142" s="112"/>
      <c r="AH142" s="112"/>
    </row>
    <row r="143" hidden="1">
      <c r="A143" s="135"/>
      <c r="B143" s="124"/>
      <c r="C143" s="125" t="str">
        <f>IF(D143=0,"Digite a CH", IF(D143&lt;80,Dados!$AC$2,IF(D143=80,Dados!$AC$3,IF(D143&lt;179,Dados!$AC$3,IF(D143&gt;179,Dados!$AC$4)))))</f>
        <v>Digite a CH</v>
      </c>
      <c r="D143" s="126"/>
      <c r="E143" s="126"/>
      <c r="F143" s="125"/>
      <c r="G143" s="125"/>
      <c r="H143" s="125"/>
      <c r="I143" s="125"/>
      <c r="J143" s="189"/>
      <c r="K143" s="126"/>
      <c r="L143" s="126"/>
      <c r="M143" s="126"/>
      <c r="N143" s="126"/>
      <c r="O143" s="126"/>
      <c r="P143" s="126"/>
      <c r="Q143" s="126"/>
      <c r="R143" s="131" t="str">
        <f t="shared" si="1"/>
        <v>#DIV/0!</v>
      </c>
      <c r="S143" s="131" t="str">
        <f t="shared" si="2"/>
        <v>#DIV/0!</v>
      </c>
      <c r="T143" s="126"/>
      <c r="U143" s="153"/>
      <c r="V143" s="153"/>
      <c r="W143" s="144"/>
      <c r="X143" s="125"/>
      <c r="Y143" s="125"/>
      <c r="Z143" s="184"/>
      <c r="AA143" s="184"/>
      <c r="AB143" s="184"/>
      <c r="AC143" s="125"/>
      <c r="AD143" s="126"/>
      <c r="AE143" s="153"/>
      <c r="AF143" s="112"/>
      <c r="AG143" s="112"/>
      <c r="AH143" s="112"/>
    </row>
    <row r="144" hidden="1">
      <c r="A144" s="135"/>
      <c r="B144" s="124"/>
      <c r="C144" s="125" t="str">
        <f>IF(D144=0,"Digite a CH", IF(D144&lt;80,Dados!$AC$2,IF(D144=80,Dados!$AC$3,IF(D144&lt;179,Dados!$AC$3,IF(D144&gt;179,Dados!$AC$4)))))</f>
        <v>Digite a CH</v>
      </c>
      <c r="D144" s="126"/>
      <c r="E144" s="126"/>
      <c r="F144" s="125"/>
      <c r="G144" s="125"/>
      <c r="H144" s="125"/>
      <c r="I144" s="125"/>
      <c r="J144" s="189"/>
      <c r="K144" s="126"/>
      <c r="L144" s="126"/>
      <c r="M144" s="126"/>
      <c r="N144" s="126"/>
      <c r="O144" s="126"/>
      <c r="P144" s="126"/>
      <c r="Q144" s="126"/>
      <c r="R144" s="131" t="str">
        <f t="shared" si="1"/>
        <v>#DIV/0!</v>
      </c>
      <c r="S144" s="131" t="str">
        <f t="shared" si="2"/>
        <v>#DIV/0!</v>
      </c>
      <c r="T144" s="126"/>
      <c r="U144" s="153"/>
      <c r="V144" s="153"/>
      <c r="W144" s="144"/>
      <c r="X144" s="125"/>
      <c r="Y144" s="125"/>
      <c r="Z144" s="184"/>
      <c r="AA144" s="184"/>
      <c r="AB144" s="184"/>
      <c r="AC144" s="125"/>
      <c r="AD144" s="126"/>
      <c r="AE144" s="153"/>
      <c r="AF144" s="112"/>
      <c r="AG144" s="112"/>
      <c r="AH144" s="112"/>
    </row>
    <row r="145" hidden="1">
      <c r="A145" s="135"/>
      <c r="B145" s="124"/>
      <c r="C145" s="125" t="str">
        <f>IF(D145=0,"Digite a CH", IF(D145&lt;80,Dados!$AC$2,IF(D145=80,Dados!$AC$3,IF(D145&lt;179,Dados!$AC$3,IF(D145&gt;179,Dados!$AC$4)))))</f>
        <v>Digite a CH</v>
      </c>
      <c r="D145" s="126"/>
      <c r="E145" s="126"/>
      <c r="F145" s="125"/>
      <c r="G145" s="125"/>
      <c r="H145" s="125"/>
      <c r="I145" s="125"/>
      <c r="J145" s="189"/>
      <c r="K145" s="126"/>
      <c r="L145" s="126"/>
      <c r="M145" s="126"/>
      <c r="N145" s="126"/>
      <c r="O145" s="126"/>
      <c r="P145" s="126"/>
      <c r="Q145" s="126"/>
      <c r="R145" s="131" t="str">
        <f t="shared" si="1"/>
        <v>#DIV/0!</v>
      </c>
      <c r="S145" s="131" t="str">
        <f t="shared" si="2"/>
        <v>#DIV/0!</v>
      </c>
      <c r="T145" s="126"/>
      <c r="U145" s="153"/>
      <c r="V145" s="153"/>
      <c r="W145" s="144"/>
      <c r="X145" s="125"/>
      <c r="Y145" s="125"/>
      <c r="Z145" s="184"/>
      <c r="AA145" s="184"/>
      <c r="AB145" s="184"/>
      <c r="AC145" s="125"/>
      <c r="AD145" s="126"/>
      <c r="AE145" s="153"/>
      <c r="AF145" s="112"/>
      <c r="AG145" s="112"/>
      <c r="AH145" s="112"/>
    </row>
    <row r="146" hidden="1">
      <c r="A146" s="135"/>
      <c r="B146" s="124"/>
      <c r="C146" s="125" t="str">
        <f>IF(D146=0,"Digite a CH", IF(D146&lt;80,Dados!$AC$2,IF(D146=80,Dados!$AC$3,IF(D146&lt;179,Dados!$AC$3,IF(D146&gt;179,Dados!$AC$4)))))</f>
        <v>Digite a CH</v>
      </c>
      <c r="D146" s="126"/>
      <c r="E146" s="126"/>
      <c r="F146" s="125"/>
      <c r="G146" s="125"/>
      <c r="H146" s="125"/>
      <c r="I146" s="125"/>
      <c r="J146" s="189"/>
      <c r="K146" s="126"/>
      <c r="L146" s="126"/>
      <c r="M146" s="126"/>
      <c r="N146" s="126"/>
      <c r="O146" s="126"/>
      <c r="P146" s="126"/>
      <c r="Q146" s="126"/>
      <c r="R146" s="131" t="str">
        <f t="shared" si="1"/>
        <v>#DIV/0!</v>
      </c>
      <c r="S146" s="131" t="str">
        <f t="shared" si="2"/>
        <v>#DIV/0!</v>
      </c>
      <c r="T146" s="126"/>
      <c r="U146" s="153"/>
      <c r="V146" s="153"/>
      <c r="W146" s="144"/>
      <c r="X146" s="125"/>
      <c r="Y146" s="125"/>
      <c r="Z146" s="184"/>
      <c r="AA146" s="184"/>
      <c r="AB146" s="184"/>
      <c r="AC146" s="125"/>
      <c r="AD146" s="126"/>
      <c r="AE146" s="153"/>
      <c r="AF146" s="112"/>
      <c r="AG146" s="112"/>
      <c r="AH146" s="112"/>
    </row>
    <row r="147" hidden="1">
      <c r="A147" s="135"/>
      <c r="B147" s="124"/>
      <c r="C147" s="125" t="str">
        <f>IF(D147=0,"Digite a CH", IF(D147&lt;80,Dados!$AC$2,IF(D147=80,Dados!$AC$3,IF(D147&lt;179,Dados!$AC$3,IF(D147&gt;179,Dados!$AC$4)))))</f>
        <v>Digite a CH</v>
      </c>
      <c r="D147" s="126"/>
      <c r="E147" s="126"/>
      <c r="F147" s="125"/>
      <c r="G147" s="125"/>
      <c r="H147" s="125"/>
      <c r="I147" s="125"/>
      <c r="J147" s="189"/>
      <c r="K147" s="126"/>
      <c r="L147" s="126"/>
      <c r="M147" s="126"/>
      <c r="N147" s="126"/>
      <c r="O147" s="126"/>
      <c r="P147" s="126"/>
      <c r="Q147" s="126"/>
      <c r="R147" s="131" t="str">
        <f t="shared" si="1"/>
        <v>#DIV/0!</v>
      </c>
      <c r="S147" s="131" t="str">
        <f t="shared" si="2"/>
        <v>#DIV/0!</v>
      </c>
      <c r="T147" s="126"/>
      <c r="U147" s="153"/>
      <c r="V147" s="153"/>
      <c r="W147" s="144"/>
      <c r="X147" s="125"/>
      <c r="Y147" s="125"/>
      <c r="Z147" s="184"/>
      <c r="AA147" s="184"/>
      <c r="AB147" s="184"/>
      <c r="AC147" s="125"/>
      <c r="AD147" s="126"/>
      <c r="AE147" s="153"/>
      <c r="AF147" s="112"/>
      <c r="AG147" s="112"/>
      <c r="AH147" s="112"/>
    </row>
    <row r="148" hidden="1">
      <c r="A148" s="135"/>
      <c r="B148" s="124"/>
      <c r="C148" s="125" t="str">
        <f>IF(D148=0,"Digite a CH", IF(D148&lt;80,Dados!$AC$2,IF(D148=80,Dados!$AC$3,IF(D148&lt;179,Dados!$AC$3,IF(D148&gt;179,Dados!$AC$4)))))</f>
        <v>Digite a CH</v>
      </c>
      <c r="D148" s="126"/>
      <c r="E148" s="126"/>
      <c r="F148" s="125"/>
      <c r="G148" s="125"/>
      <c r="H148" s="125"/>
      <c r="I148" s="125"/>
      <c r="J148" s="189"/>
      <c r="K148" s="126"/>
      <c r="L148" s="126"/>
      <c r="M148" s="126"/>
      <c r="N148" s="126"/>
      <c r="O148" s="126"/>
      <c r="P148" s="126"/>
      <c r="Q148" s="126"/>
      <c r="R148" s="131" t="str">
        <f t="shared" si="1"/>
        <v>#DIV/0!</v>
      </c>
      <c r="S148" s="131" t="str">
        <f t="shared" si="2"/>
        <v>#DIV/0!</v>
      </c>
      <c r="T148" s="126"/>
      <c r="U148" s="153"/>
      <c r="V148" s="153"/>
      <c r="W148" s="144"/>
      <c r="X148" s="125"/>
      <c r="Y148" s="125"/>
      <c r="Z148" s="184"/>
      <c r="AA148" s="184"/>
      <c r="AB148" s="184"/>
      <c r="AC148" s="125"/>
      <c r="AD148" s="126"/>
      <c r="AE148" s="153"/>
      <c r="AF148" s="112"/>
      <c r="AG148" s="112"/>
      <c r="AH148" s="112"/>
    </row>
    <row r="149" hidden="1">
      <c r="A149" s="135"/>
      <c r="B149" s="124"/>
      <c r="C149" s="125" t="str">
        <f>IF(D149=0,"Digite a CH", IF(D149&lt;80,Dados!$AC$2,IF(D149=80,Dados!$AC$3,IF(D149&lt;179,Dados!$AC$3,IF(D149&gt;179,Dados!$AC$4)))))</f>
        <v>Digite a CH</v>
      </c>
      <c r="D149" s="126"/>
      <c r="E149" s="126"/>
      <c r="F149" s="125"/>
      <c r="G149" s="125"/>
      <c r="H149" s="125"/>
      <c r="I149" s="125"/>
      <c r="J149" s="189"/>
      <c r="K149" s="126"/>
      <c r="L149" s="126"/>
      <c r="M149" s="126"/>
      <c r="N149" s="126"/>
      <c r="O149" s="126"/>
      <c r="P149" s="126"/>
      <c r="Q149" s="126"/>
      <c r="R149" s="131" t="str">
        <f t="shared" si="1"/>
        <v>#DIV/0!</v>
      </c>
      <c r="S149" s="131" t="str">
        <f t="shared" si="2"/>
        <v>#DIV/0!</v>
      </c>
      <c r="T149" s="126"/>
      <c r="U149" s="153"/>
      <c r="V149" s="153"/>
      <c r="W149" s="144"/>
      <c r="X149" s="125"/>
      <c r="Y149" s="125"/>
      <c r="Z149" s="184"/>
      <c r="AA149" s="184"/>
      <c r="AB149" s="184"/>
      <c r="AC149" s="125"/>
      <c r="AD149" s="126"/>
      <c r="AE149" s="153"/>
      <c r="AF149" s="112"/>
      <c r="AG149" s="112"/>
      <c r="AH149" s="112"/>
    </row>
    <row r="150" hidden="1">
      <c r="A150" s="135"/>
      <c r="B150" s="124"/>
      <c r="C150" s="125" t="str">
        <f>IF(D150=0,"Digite a CH", IF(D150&lt;80,Dados!$AC$2,IF(D150=80,Dados!$AC$3,IF(D150&lt;179,Dados!$AC$3,IF(D150&gt;179,Dados!$AC$4)))))</f>
        <v>Digite a CH</v>
      </c>
      <c r="D150" s="126"/>
      <c r="E150" s="126"/>
      <c r="F150" s="125"/>
      <c r="G150" s="125"/>
      <c r="H150" s="125"/>
      <c r="I150" s="125"/>
      <c r="J150" s="189"/>
      <c r="K150" s="126"/>
      <c r="L150" s="126"/>
      <c r="M150" s="126"/>
      <c r="N150" s="126"/>
      <c r="O150" s="126"/>
      <c r="P150" s="126"/>
      <c r="Q150" s="126"/>
      <c r="R150" s="131" t="str">
        <f t="shared" si="1"/>
        <v>#DIV/0!</v>
      </c>
      <c r="S150" s="131" t="str">
        <f t="shared" si="2"/>
        <v>#DIV/0!</v>
      </c>
      <c r="T150" s="126"/>
      <c r="U150" s="153"/>
      <c r="V150" s="153"/>
      <c r="W150" s="144"/>
      <c r="X150" s="125"/>
      <c r="Y150" s="125"/>
      <c r="Z150" s="184"/>
      <c r="AA150" s="184"/>
      <c r="AB150" s="184"/>
      <c r="AC150" s="125"/>
      <c r="AD150" s="126"/>
      <c r="AE150" s="153"/>
      <c r="AF150" s="112"/>
      <c r="AG150" s="112"/>
      <c r="AH150" s="112"/>
    </row>
    <row r="151" hidden="1">
      <c r="A151" s="135"/>
      <c r="B151" s="228"/>
      <c r="C151" s="125" t="str">
        <f>IF(D151=0,"Digite a CH", IF(D151&lt;80,Dados!$AC$2,IF(D151=80,Dados!$AC$3,IF(D151&lt;179,Dados!$AC$3,IF(D151&gt;179,Dados!$AC$4)))))</f>
        <v>Digite a CH</v>
      </c>
      <c r="D151" s="126"/>
      <c r="E151" s="126"/>
      <c r="F151" s="125"/>
      <c r="G151" s="125"/>
      <c r="H151" s="125"/>
      <c r="I151" s="125"/>
      <c r="J151" s="189"/>
      <c r="K151" s="126"/>
      <c r="L151" s="126"/>
      <c r="M151" s="126"/>
      <c r="N151" s="126"/>
      <c r="O151" s="126"/>
      <c r="P151" s="126"/>
      <c r="Q151" s="126"/>
      <c r="R151" s="131" t="str">
        <f t="shared" si="1"/>
        <v>#DIV/0!</v>
      </c>
      <c r="S151" s="131" t="str">
        <f t="shared" si="2"/>
        <v>#DIV/0!</v>
      </c>
      <c r="T151" s="126"/>
      <c r="U151" s="153"/>
      <c r="V151" s="153"/>
      <c r="W151" s="144"/>
      <c r="X151" s="125"/>
      <c r="Y151" s="125"/>
      <c r="Z151" s="184"/>
      <c r="AA151" s="184"/>
      <c r="AB151" s="184"/>
      <c r="AC151" s="125"/>
      <c r="AD151" s="126"/>
      <c r="AE151" s="153"/>
      <c r="AF151" s="112"/>
      <c r="AG151" s="112"/>
      <c r="AH151" s="112"/>
    </row>
    <row r="152" hidden="1">
      <c r="A152" s="135"/>
      <c r="B152" s="228"/>
      <c r="C152" s="125" t="str">
        <f>IF(D152=0,"Digite a CH", IF(D152&lt;80,Dados!$AC$2,IF(D152=80,Dados!$AC$3,IF(D152&lt;179,Dados!$AC$3,IF(D152&gt;179,Dados!$AC$4)))))</f>
        <v>Digite a CH</v>
      </c>
      <c r="D152" s="126"/>
      <c r="E152" s="126"/>
      <c r="F152" s="125"/>
      <c r="G152" s="125"/>
      <c r="H152" s="125"/>
      <c r="I152" s="125"/>
      <c r="J152" s="189"/>
      <c r="K152" s="126"/>
      <c r="L152" s="126"/>
      <c r="M152" s="126"/>
      <c r="N152" s="126"/>
      <c r="O152" s="126"/>
      <c r="P152" s="126"/>
      <c r="Q152" s="126"/>
      <c r="R152" s="131" t="str">
        <f t="shared" si="1"/>
        <v>#DIV/0!</v>
      </c>
      <c r="S152" s="131" t="str">
        <f t="shared" si="2"/>
        <v>#DIV/0!</v>
      </c>
      <c r="T152" s="126"/>
      <c r="U152" s="153"/>
      <c r="V152" s="153"/>
      <c r="W152" s="144"/>
      <c r="X152" s="125"/>
      <c r="Y152" s="125"/>
      <c r="Z152" s="184"/>
      <c r="AA152" s="184"/>
      <c r="AB152" s="184"/>
      <c r="AC152" s="125"/>
      <c r="AD152" s="126"/>
      <c r="AE152" s="153"/>
      <c r="AF152" s="112"/>
      <c r="AG152" s="112"/>
      <c r="AH152" s="112"/>
    </row>
    <row r="153" hidden="1">
      <c r="A153" s="135"/>
      <c r="B153" s="228"/>
      <c r="C153" s="125" t="str">
        <f>IF(D153=0,"Digite a CH", IF(D153&lt;80,Dados!$AC$2,IF(D153=80,Dados!$AC$3,IF(D153&lt;179,Dados!$AC$3,IF(D153&gt;179,Dados!$AC$4)))))</f>
        <v>Digite a CH</v>
      </c>
      <c r="D153" s="126"/>
      <c r="E153" s="126"/>
      <c r="F153" s="125"/>
      <c r="G153" s="125"/>
      <c r="H153" s="125"/>
      <c r="I153" s="125"/>
      <c r="J153" s="189"/>
      <c r="K153" s="126"/>
      <c r="L153" s="126"/>
      <c r="M153" s="126"/>
      <c r="N153" s="126"/>
      <c r="O153" s="126"/>
      <c r="P153" s="126"/>
      <c r="Q153" s="126"/>
      <c r="R153" s="131" t="str">
        <f t="shared" si="1"/>
        <v>#DIV/0!</v>
      </c>
      <c r="S153" s="131" t="str">
        <f t="shared" si="2"/>
        <v>#DIV/0!</v>
      </c>
      <c r="T153" s="126"/>
      <c r="U153" s="153"/>
      <c r="V153" s="153"/>
      <c r="W153" s="144"/>
      <c r="X153" s="125"/>
      <c r="Y153" s="125"/>
      <c r="Z153" s="184"/>
      <c r="AA153" s="184"/>
      <c r="AB153" s="184"/>
      <c r="AC153" s="125"/>
      <c r="AD153" s="126"/>
      <c r="AE153" s="153"/>
      <c r="AF153" s="112"/>
      <c r="AG153" s="112"/>
      <c r="AH153" s="112"/>
    </row>
    <row r="154" hidden="1">
      <c r="A154" s="135"/>
      <c r="B154" s="228"/>
      <c r="C154" s="125" t="str">
        <f>IF(D154=0,"Digite a CH", IF(D154&lt;80,Dados!$AC$2,IF(D154=80,Dados!$AC$3,IF(D154&lt;179,Dados!$AC$3,IF(D154&gt;179,Dados!$AC$4)))))</f>
        <v>Digite a CH</v>
      </c>
      <c r="D154" s="126"/>
      <c r="E154" s="126"/>
      <c r="F154" s="125"/>
      <c r="G154" s="125"/>
      <c r="H154" s="125"/>
      <c r="I154" s="125"/>
      <c r="J154" s="189"/>
      <c r="K154" s="126"/>
      <c r="L154" s="126"/>
      <c r="M154" s="126"/>
      <c r="N154" s="126"/>
      <c r="O154" s="126"/>
      <c r="P154" s="126"/>
      <c r="Q154" s="126"/>
      <c r="R154" s="131" t="str">
        <f t="shared" si="1"/>
        <v>#DIV/0!</v>
      </c>
      <c r="S154" s="131" t="str">
        <f t="shared" si="2"/>
        <v>#DIV/0!</v>
      </c>
      <c r="T154" s="126"/>
      <c r="U154" s="153"/>
      <c r="V154" s="153"/>
      <c r="W154" s="144"/>
      <c r="X154" s="125"/>
      <c r="Y154" s="125"/>
      <c r="Z154" s="184"/>
      <c r="AA154" s="184"/>
      <c r="AB154" s="184"/>
      <c r="AC154" s="125"/>
      <c r="AD154" s="126"/>
      <c r="AE154" s="153"/>
      <c r="AF154" s="112"/>
      <c r="AG154" s="112"/>
      <c r="AH154" s="112"/>
    </row>
    <row r="155" hidden="1">
      <c r="A155" s="135"/>
      <c r="B155" s="228"/>
      <c r="C155" s="125" t="str">
        <f>IF(D155=0,"Digite a CH", IF(D155&lt;80,Dados!$AC$2,IF(D155=80,Dados!$AC$3,IF(D155&lt;179,Dados!$AC$3,IF(D155&gt;179,Dados!$AC$4)))))</f>
        <v>Digite a CH</v>
      </c>
      <c r="D155" s="126"/>
      <c r="E155" s="126"/>
      <c r="F155" s="125"/>
      <c r="G155" s="125"/>
      <c r="H155" s="125"/>
      <c r="I155" s="125"/>
      <c r="J155" s="189"/>
      <c r="K155" s="126"/>
      <c r="L155" s="126"/>
      <c r="M155" s="126"/>
      <c r="N155" s="126"/>
      <c r="O155" s="126"/>
      <c r="P155" s="126"/>
      <c r="Q155" s="126"/>
      <c r="R155" s="131" t="str">
        <f t="shared" si="1"/>
        <v>#DIV/0!</v>
      </c>
      <c r="S155" s="131" t="str">
        <f t="shared" si="2"/>
        <v>#DIV/0!</v>
      </c>
      <c r="T155" s="126"/>
      <c r="U155" s="153"/>
      <c r="V155" s="153"/>
      <c r="W155" s="144"/>
      <c r="X155" s="125"/>
      <c r="Y155" s="125"/>
      <c r="Z155" s="184"/>
      <c r="AA155" s="184"/>
      <c r="AB155" s="184"/>
      <c r="AC155" s="125"/>
      <c r="AD155" s="126"/>
      <c r="AE155" s="153"/>
      <c r="AF155" s="112"/>
      <c r="AG155" s="112"/>
      <c r="AH155" s="112"/>
    </row>
    <row r="156" hidden="1">
      <c r="A156" s="135"/>
      <c r="B156" s="228"/>
      <c r="C156" s="125" t="str">
        <f>IF(D156=0,"Digite a CH", IF(D156&lt;80,Dados!$AC$2,IF(D156=80,Dados!$AC$3,IF(D156&lt;179,Dados!$AC$3,IF(D156&gt;179,Dados!$AC$4)))))</f>
        <v>Digite a CH</v>
      </c>
      <c r="D156" s="126"/>
      <c r="E156" s="126"/>
      <c r="F156" s="125"/>
      <c r="G156" s="125"/>
      <c r="H156" s="125"/>
      <c r="I156" s="125"/>
      <c r="J156" s="189"/>
      <c r="K156" s="126"/>
      <c r="L156" s="126"/>
      <c r="M156" s="126"/>
      <c r="N156" s="126"/>
      <c r="O156" s="126"/>
      <c r="P156" s="126"/>
      <c r="Q156" s="126"/>
      <c r="R156" s="131" t="str">
        <f t="shared" si="1"/>
        <v>#DIV/0!</v>
      </c>
      <c r="S156" s="131" t="str">
        <f t="shared" si="2"/>
        <v>#DIV/0!</v>
      </c>
      <c r="T156" s="126"/>
      <c r="U156" s="153"/>
      <c r="V156" s="153"/>
      <c r="W156" s="144"/>
      <c r="X156" s="125"/>
      <c r="Y156" s="125"/>
      <c r="Z156" s="184"/>
      <c r="AA156" s="184"/>
      <c r="AB156" s="184"/>
      <c r="AC156" s="125"/>
      <c r="AD156" s="126"/>
      <c r="AE156" s="153"/>
      <c r="AF156" s="112"/>
      <c r="AG156" s="112"/>
      <c r="AH156" s="112"/>
    </row>
    <row r="157" hidden="1">
      <c r="A157" s="135"/>
      <c r="B157" s="228"/>
      <c r="C157" s="125" t="str">
        <f>IF(D157=0,"Digite a CH", IF(D157&lt;80,Dados!$AC$2,IF(D157=80,Dados!$AC$3,IF(D157&lt;179,Dados!$AC$3,IF(D157&gt;179,Dados!$AC$4)))))</f>
        <v>Digite a CH</v>
      </c>
      <c r="D157" s="126"/>
      <c r="E157" s="126"/>
      <c r="F157" s="125"/>
      <c r="G157" s="125"/>
      <c r="H157" s="125"/>
      <c r="I157" s="125"/>
      <c r="J157" s="189"/>
      <c r="K157" s="126"/>
      <c r="L157" s="126"/>
      <c r="M157" s="126"/>
      <c r="N157" s="126"/>
      <c r="O157" s="126"/>
      <c r="P157" s="126"/>
      <c r="Q157" s="126"/>
      <c r="R157" s="131" t="str">
        <f t="shared" si="1"/>
        <v>#DIV/0!</v>
      </c>
      <c r="S157" s="131" t="str">
        <f t="shared" si="2"/>
        <v>#DIV/0!</v>
      </c>
      <c r="T157" s="126"/>
      <c r="U157" s="153"/>
      <c r="V157" s="153"/>
      <c r="W157" s="144"/>
      <c r="X157" s="125"/>
      <c r="Y157" s="125"/>
      <c r="Z157" s="184"/>
      <c r="AA157" s="184"/>
      <c r="AB157" s="184"/>
      <c r="AC157" s="125"/>
      <c r="AD157" s="126"/>
      <c r="AE157" s="153"/>
      <c r="AF157" s="112"/>
      <c r="AG157" s="112"/>
      <c r="AH157" s="112"/>
    </row>
    <row r="158" hidden="1">
      <c r="A158" s="135"/>
      <c r="B158" s="228"/>
      <c r="C158" s="125" t="str">
        <f>IF(D158=0,"Digite a CH", IF(D158&lt;80,Dados!$AC$2,IF(D158=80,Dados!$AC$3,IF(D158&lt;179,Dados!$AC$3,IF(D158&gt;179,Dados!$AC$4)))))</f>
        <v>Digite a CH</v>
      </c>
      <c r="D158" s="126"/>
      <c r="E158" s="126"/>
      <c r="F158" s="125"/>
      <c r="G158" s="125"/>
      <c r="H158" s="125"/>
      <c r="I158" s="125"/>
      <c r="J158" s="189"/>
      <c r="K158" s="126"/>
      <c r="L158" s="126"/>
      <c r="M158" s="126"/>
      <c r="N158" s="126"/>
      <c r="O158" s="126"/>
      <c r="P158" s="126"/>
      <c r="Q158" s="126"/>
      <c r="R158" s="131" t="str">
        <f t="shared" si="1"/>
        <v>#DIV/0!</v>
      </c>
      <c r="S158" s="131" t="str">
        <f t="shared" si="2"/>
        <v>#DIV/0!</v>
      </c>
      <c r="T158" s="126"/>
      <c r="U158" s="153"/>
      <c r="V158" s="153"/>
      <c r="W158" s="144"/>
      <c r="X158" s="125"/>
      <c r="Y158" s="125"/>
      <c r="Z158" s="184"/>
      <c r="AA158" s="184"/>
      <c r="AB158" s="184"/>
      <c r="AC158" s="125"/>
      <c r="AD158" s="126"/>
      <c r="AE158" s="153"/>
      <c r="AF158" s="112"/>
      <c r="AG158" s="112"/>
      <c r="AH158" s="112"/>
    </row>
    <row r="159" hidden="1">
      <c r="A159" s="135"/>
      <c r="B159" s="228"/>
      <c r="C159" s="125" t="str">
        <f>IF(D159=0,"Digite a CH", IF(D159&lt;80,Dados!$AC$2,IF(D159=80,Dados!$AC$3,IF(D159&lt;179,Dados!$AC$3,IF(D159&gt;179,Dados!$AC$4)))))</f>
        <v>Digite a CH</v>
      </c>
      <c r="D159" s="126"/>
      <c r="E159" s="126"/>
      <c r="F159" s="125"/>
      <c r="G159" s="125"/>
      <c r="H159" s="125"/>
      <c r="I159" s="125"/>
      <c r="J159" s="189"/>
      <c r="K159" s="126"/>
      <c r="L159" s="126"/>
      <c r="M159" s="126"/>
      <c r="N159" s="126"/>
      <c r="O159" s="126"/>
      <c r="P159" s="126"/>
      <c r="Q159" s="126"/>
      <c r="R159" s="131" t="str">
        <f t="shared" si="1"/>
        <v>#DIV/0!</v>
      </c>
      <c r="S159" s="131" t="str">
        <f t="shared" si="2"/>
        <v>#DIV/0!</v>
      </c>
      <c r="T159" s="126"/>
      <c r="U159" s="153"/>
      <c r="V159" s="153"/>
      <c r="W159" s="144"/>
      <c r="X159" s="125"/>
      <c r="Y159" s="125"/>
      <c r="Z159" s="184"/>
      <c r="AA159" s="184"/>
      <c r="AB159" s="184"/>
      <c r="AC159" s="125"/>
      <c r="AD159" s="126"/>
      <c r="AE159" s="153"/>
      <c r="AF159" s="112"/>
      <c r="AG159" s="112"/>
      <c r="AH159" s="112"/>
    </row>
    <row r="160">
      <c r="A160" s="153"/>
      <c r="B160" s="229"/>
      <c r="C160" s="153"/>
      <c r="D160" s="153"/>
      <c r="E160" s="153"/>
      <c r="F160" s="206"/>
      <c r="G160" s="206"/>
      <c r="H160" s="206"/>
      <c r="I160" s="206"/>
      <c r="J160" s="206"/>
      <c r="K160" s="153"/>
      <c r="L160" s="153"/>
      <c r="M160" s="153"/>
      <c r="N160" s="153"/>
      <c r="O160" s="206"/>
      <c r="P160" s="206"/>
      <c r="Q160" s="206"/>
      <c r="R160" s="230"/>
      <c r="S160" s="206"/>
      <c r="T160" s="206"/>
      <c r="U160" s="206"/>
      <c r="V160" s="206"/>
      <c r="W160" s="206"/>
      <c r="X160" s="206"/>
      <c r="Y160" s="206"/>
      <c r="Z160" s="206"/>
      <c r="AA160" s="206"/>
      <c r="AB160" s="206"/>
      <c r="AC160" s="206"/>
      <c r="AD160" s="153"/>
      <c r="AE160" s="153"/>
      <c r="AF160" s="231"/>
      <c r="AG160" s="231"/>
      <c r="AH160" s="231"/>
    </row>
    <row r="161">
      <c r="A161" s="153"/>
      <c r="B161" s="206"/>
      <c r="C161" s="153"/>
      <c r="D161" s="153"/>
      <c r="E161" s="153"/>
      <c r="F161" s="206"/>
      <c r="G161" s="206"/>
      <c r="H161" s="206"/>
      <c r="I161" s="206"/>
      <c r="J161" s="206"/>
      <c r="K161" s="153"/>
      <c r="L161" s="153"/>
      <c r="M161" s="153"/>
      <c r="N161" s="153"/>
      <c r="O161" s="206"/>
      <c r="P161" s="206"/>
      <c r="Q161" s="206"/>
      <c r="R161" s="230"/>
      <c r="S161" s="206"/>
      <c r="T161" s="206"/>
      <c r="U161" s="206"/>
      <c r="V161" s="206"/>
      <c r="W161" s="206"/>
      <c r="X161" s="206"/>
      <c r="Y161" s="206"/>
      <c r="Z161" s="206"/>
      <c r="AA161" s="206"/>
      <c r="AB161" s="206"/>
      <c r="AC161" s="206"/>
      <c r="AD161" s="153"/>
      <c r="AE161" s="153"/>
      <c r="AF161" s="231"/>
      <c r="AG161" s="231"/>
      <c r="AH161" s="231"/>
    </row>
    <row r="162">
      <c r="A162" s="153"/>
      <c r="B162" s="206"/>
      <c r="C162" s="153"/>
      <c r="D162" s="153"/>
      <c r="E162" s="153"/>
      <c r="F162" s="206"/>
      <c r="G162" s="206"/>
      <c r="H162" s="206"/>
      <c r="I162" s="206"/>
      <c r="J162" s="206"/>
      <c r="K162" s="153"/>
      <c r="L162" s="153"/>
      <c r="M162" s="153"/>
      <c r="N162" s="153"/>
      <c r="O162" s="206"/>
      <c r="P162" s="206"/>
      <c r="Q162" s="206"/>
      <c r="R162" s="230"/>
      <c r="S162" s="206"/>
      <c r="T162" s="206"/>
      <c r="U162" s="206"/>
      <c r="V162" s="206"/>
      <c r="W162" s="206"/>
      <c r="X162" s="206"/>
      <c r="Y162" s="206"/>
      <c r="Z162" s="206"/>
      <c r="AA162" s="206"/>
      <c r="AB162" s="206"/>
      <c r="AC162" s="206"/>
      <c r="AD162" s="153"/>
      <c r="AE162" s="153"/>
      <c r="AF162" s="231"/>
      <c r="AG162" s="231"/>
      <c r="AH162" s="231"/>
    </row>
    <row r="163">
      <c r="A163" s="153"/>
      <c r="B163" s="206"/>
      <c r="C163" s="153"/>
      <c r="D163" s="153"/>
      <c r="E163" s="153"/>
      <c r="F163" s="206"/>
      <c r="G163" s="206"/>
      <c r="H163" s="206"/>
      <c r="I163" s="206"/>
      <c r="J163" s="206"/>
      <c r="K163" s="153"/>
      <c r="L163" s="153"/>
      <c r="M163" s="153"/>
      <c r="N163" s="153"/>
      <c r="O163" s="206"/>
      <c r="P163" s="206"/>
      <c r="Q163" s="206"/>
      <c r="R163" s="230"/>
      <c r="S163" s="206"/>
      <c r="T163" s="206"/>
      <c r="U163" s="206"/>
      <c r="V163" s="206"/>
      <c r="W163" s="206"/>
      <c r="X163" s="206"/>
      <c r="Y163" s="206"/>
      <c r="Z163" s="206"/>
      <c r="AA163" s="206"/>
      <c r="AB163" s="206"/>
      <c r="AC163" s="206"/>
      <c r="AD163" s="153"/>
      <c r="AE163" s="153"/>
      <c r="AF163" s="231"/>
      <c r="AG163" s="231"/>
      <c r="AH163" s="231"/>
    </row>
    <row r="164">
      <c r="A164" s="153"/>
      <c r="B164" s="206"/>
      <c r="C164" s="153"/>
      <c r="D164" s="153"/>
      <c r="E164" s="153"/>
      <c r="F164" s="206"/>
      <c r="G164" s="206"/>
      <c r="H164" s="206"/>
      <c r="I164" s="206"/>
      <c r="J164" s="206"/>
      <c r="K164" s="153"/>
      <c r="L164" s="153"/>
      <c r="M164" s="153"/>
      <c r="N164" s="153"/>
      <c r="O164" s="206"/>
      <c r="P164" s="206"/>
      <c r="Q164" s="206"/>
      <c r="R164" s="230"/>
      <c r="S164" s="206"/>
      <c r="T164" s="206"/>
      <c r="U164" s="206"/>
      <c r="V164" s="206"/>
      <c r="W164" s="206"/>
      <c r="X164" s="206"/>
      <c r="Y164" s="206"/>
      <c r="Z164" s="206"/>
      <c r="AA164" s="206"/>
      <c r="AB164" s="206"/>
      <c r="AC164" s="206"/>
      <c r="AD164" s="153"/>
      <c r="AE164" s="153"/>
      <c r="AF164" s="231"/>
      <c r="AG164" s="231"/>
      <c r="AH164" s="231"/>
    </row>
    <row r="165">
      <c r="A165" s="153"/>
      <c r="B165" s="206"/>
      <c r="C165" s="153"/>
      <c r="D165" s="153"/>
      <c r="E165" s="153"/>
      <c r="F165" s="206"/>
      <c r="G165" s="206"/>
      <c r="H165" s="206"/>
      <c r="I165" s="206"/>
      <c r="J165" s="206"/>
      <c r="K165" s="153"/>
      <c r="L165" s="153"/>
      <c r="M165" s="153"/>
      <c r="N165" s="153"/>
      <c r="O165" s="206"/>
      <c r="P165" s="206"/>
      <c r="Q165" s="206"/>
      <c r="R165" s="230"/>
      <c r="S165" s="206"/>
      <c r="T165" s="206"/>
      <c r="U165" s="206"/>
      <c r="V165" s="206"/>
      <c r="W165" s="206"/>
      <c r="X165" s="206"/>
      <c r="Y165" s="206"/>
      <c r="Z165" s="206"/>
      <c r="AA165" s="206"/>
      <c r="AB165" s="206"/>
      <c r="AC165" s="206"/>
      <c r="AD165" s="153"/>
      <c r="AE165" s="153"/>
      <c r="AF165" s="231"/>
      <c r="AG165" s="231"/>
      <c r="AH165" s="231"/>
    </row>
    <row r="166">
      <c r="A166" s="153"/>
      <c r="B166" s="206"/>
      <c r="C166" s="153"/>
      <c r="D166" s="153"/>
      <c r="E166" s="153"/>
      <c r="F166" s="125"/>
      <c r="G166" s="206"/>
      <c r="H166" s="206"/>
      <c r="I166" s="206"/>
      <c r="J166" s="206"/>
      <c r="K166" s="153"/>
      <c r="L166" s="153"/>
      <c r="M166" s="153"/>
      <c r="N166" s="153"/>
      <c r="O166" s="206"/>
      <c r="P166" s="206"/>
      <c r="Q166" s="206"/>
      <c r="R166" s="230"/>
      <c r="S166" s="206"/>
      <c r="T166" s="206"/>
      <c r="U166" s="206"/>
      <c r="V166" s="206"/>
      <c r="W166" s="206"/>
      <c r="X166" s="206"/>
      <c r="Y166" s="206"/>
      <c r="Z166" s="206"/>
      <c r="AA166" s="206"/>
      <c r="AB166" s="206"/>
      <c r="AC166" s="206"/>
      <c r="AD166" s="153"/>
      <c r="AE166" s="153"/>
      <c r="AF166" s="231"/>
      <c r="AG166" s="231"/>
      <c r="AH166" s="231"/>
    </row>
    <row r="167">
      <c r="A167" s="153"/>
      <c r="B167" s="206"/>
      <c r="C167" s="153"/>
      <c r="D167" s="153"/>
      <c r="E167" s="153"/>
      <c r="F167" s="125"/>
      <c r="G167" s="125"/>
      <c r="H167" s="206"/>
      <c r="I167" s="206"/>
      <c r="J167" s="206"/>
      <c r="K167" s="153"/>
      <c r="L167" s="153"/>
      <c r="M167" s="153"/>
      <c r="N167" s="153"/>
      <c r="O167" s="206"/>
      <c r="P167" s="206"/>
      <c r="Q167" s="206"/>
      <c r="R167" s="230"/>
      <c r="S167" s="206"/>
      <c r="T167" s="206"/>
      <c r="U167" s="206"/>
      <c r="V167" s="206"/>
      <c r="W167" s="206"/>
      <c r="X167" s="206"/>
      <c r="Y167" s="206"/>
      <c r="Z167" s="206"/>
      <c r="AA167" s="206"/>
      <c r="AB167" s="206"/>
      <c r="AC167" s="206"/>
      <c r="AD167" s="153"/>
      <c r="AE167" s="153"/>
      <c r="AF167" s="231"/>
      <c r="AG167" s="231"/>
      <c r="AH167" s="231"/>
    </row>
    <row r="168">
      <c r="A168" s="153"/>
      <c r="B168" s="206"/>
      <c r="C168" s="153"/>
      <c r="D168" s="153"/>
      <c r="E168" s="153"/>
      <c r="F168" s="125"/>
      <c r="G168" s="125"/>
      <c r="H168" s="206"/>
      <c r="I168" s="206"/>
      <c r="J168" s="206"/>
      <c r="K168" s="153"/>
      <c r="L168" s="153"/>
      <c r="M168" s="153"/>
      <c r="N168" s="153"/>
      <c r="O168" s="206"/>
      <c r="P168" s="206"/>
      <c r="Q168" s="206"/>
      <c r="R168" s="230"/>
      <c r="S168" s="206"/>
      <c r="T168" s="206"/>
      <c r="U168" s="206"/>
      <c r="V168" s="206"/>
      <c r="W168" s="206"/>
      <c r="X168" s="206"/>
      <c r="Y168" s="206"/>
      <c r="Z168" s="206"/>
      <c r="AA168" s="206"/>
      <c r="AB168" s="206"/>
      <c r="AC168" s="206"/>
      <c r="AD168" s="153"/>
      <c r="AE168" s="153"/>
      <c r="AF168" s="231"/>
      <c r="AG168" s="231"/>
      <c r="AH168" s="231"/>
    </row>
    <row r="169">
      <c r="A169" s="153"/>
      <c r="B169" s="206"/>
      <c r="C169" s="153"/>
      <c r="D169" s="153"/>
      <c r="E169" s="153"/>
      <c r="F169" s="206"/>
      <c r="G169" s="206"/>
      <c r="H169" s="206"/>
      <c r="I169" s="206"/>
      <c r="J169" s="206"/>
      <c r="K169" s="153"/>
      <c r="L169" s="153"/>
      <c r="M169" s="153"/>
      <c r="N169" s="153"/>
      <c r="O169" s="206"/>
      <c r="P169" s="206"/>
      <c r="Q169" s="206"/>
      <c r="R169" s="230"/>
      <c r="S169" s="206"/>
      <c r="T169" s="206"/>
      <c r="U169" s="206"/>
      <c r="V169" s="206"/>
      <c r="W169" s="206"/>
      <c r="X169" s="206"/>
      <c r="Y169" s="206"/>
      <c r="Z169" s="206"/>
      <c r="AA169" s="206"/>
      <c r="AB169" s="206"/>
      <c r="AC169" s="206"/>
      <c r="AD169" s="153"/>
      <c r="AE169" s="153"/>
      <c r="AF169" s="231"/>
      <c r="AG169" s="231"/>
      <c r="AH169" s="231"/>
    </row>
    <row r="170">
      <c r="A170" s="153"/>
      <c r="B170" s="206"/>
      <c r="C170" s="153"/>
      <c r="D170" s="153"/>
      <c r="E170" s="153"/>
      <c r="F170" s="206"/>
      <c r="G170" s="206"/>
      <c r="H170" s="206"/>
      <c r="I170" s="206"/>
      <c r="J170" s="206"/>
      <c r="K170" s="153"/>
      <c r="L170" s="153"/>
      <c r="M170" s="153"/>
      <c r="N170" s="153"/>
      <c r="O170" s="206"/>
      <c r="P170" s="206"/>
      <c r="Q170" s="206"/>
      <c r="R170" s="230"/>
      <c r="S170" s="206"/>
      <c r="T170" s="206"/>
      <c r="U170" s="206"/>
      <c r="V170" s="206"/>
      <c r="W170" s="206"/>
      <c r="X170" s="206"/>
      <c r="Y170" s="206"/>
      <c r="Z170" s="206"/>
      <c r="AA170" s="206"/>
      <c r="AB170" s="206"/>
      <c r="AC170" s="206"/>
      <c r="AD170" s="153"/>
      <c r="AE170" s="153"/>
      <c r="AF170" s="231"/>
      <c r="AG170" s="231"/>
      <c r="AH170" s="231"/>
    </row>
    <row r="171">
      <c r="A171" s="153"/>
      <c r="B171" s="206"/>
      <c r="C171" s="153"/>
      <c r="D171" s="153"/>
      <c r="E171" s="153"/>
      <c r="F171" s="206"/>
      <c r="G171" s="206"/>
      <c r="H171" s="206"/>
      <c r="I171" s="206"/>
      <c r="J171" s="206"/>
      <c r="K171" s="153"/>
      <c r="L171" s="153"/>
      <c r="M171" s="153"/>
      <c r="N171" s="153"/>
      <c r="O171" s="206"/>
      <c r="P171" s="206"/>
      <c r="Q171" s="206"/>
      <c r="R171" s="230"/>
      <c r="S171" s="206"/>
      <c r="T171" s="206"/>
      <c r="U171" s="206"/>
      <c r="V171" s="206"/>
      <c r="W171" s="206"/>
      <c r="X171" s="206"/>
      <c r="Y171" s="206"/>
      <c r="Z171" s="206"/>
      <c r="AA171" s="206"/>
      <c r="AB171" s="206"/>
      <c r="AC171" s="206"/>
      <c r="AD171" s="153"/>
      <c r="AE171" s="153"/>
      <c r="AF171" s="231"/>
      <c r="AG171" s="231"/>
      <c r="AH171" s="231"/>
    </row>
    <row r="172">
      <c r="A172" s="153"/>
      <c r="B172" s="206"/>
      <c r="C172" s="153"/>
      <c r="D172" s="153"/>
      <c r="E172" s="153"/>
      <c r="F172" s="206"/>
      <c r="G172" s="206"/>
      <c r="H172" s="206"/>
      <c r="I172" s="206"/>
      <c r="J172" s="206"/>
      <c r="K172" s="153"/>
      <c r="L172" s="153"/>
      <c r="M172" s="153"/>
      <c r="N172" s="153"/>
      <c r="O172" s="206"/>
      <c r="P172" s="206"/>
      <c r="Q172" s="206"/>
      <c r="R172" s="230"/>
      <c r="S172" s="206"/>
      <c r="T172" s="206"/>
      <c r="U172" s="206"/>
      <c r="V172" s="206"/>
      <c r="W172" s="206"/>
      <c r="X172" s="206"/>
      <c r="Y172" s="206"/>
      <c r="Z172" s="206"/>
      <c r="AA172" s="206"/>
      <c r="AB172" s="206"/>
      <c r="AC172" s="206"/>
      <c r="AD172" s="153"/>
      <c r="AE172" s="153"/>
      <c r="AF172" s="231"/>
      <c r="AG172" s="231"/>
      <c r="AH172" s="231"/>
    </row>
    <row r="173">
      <c r="A173" s="153"/>
      <c r="B173" s="206"/>
      <c r="C173" s="153"/>
      <c r="D173" s="153"/>
      <c r="E173" s="153"/>
      <c r="F173" s="206"/>
      <c r="G173" s="206"/>
      <c r="H173" s="206"/>
      <c r="I173" s="206"/>
      <c r="J173" s="206"/>
      <c r="K173" s="153"/>
      <c r="L173" s="153"/>
      <c r="M173" s="153"/>
      <c r="N173" s="153"/>
      <c r="O173" s="206"/>
      <c r="P173" s="206"/>
      <c r="Q173" s="206"/>
      <c r="R173" s="230"/>
      <c r="S173" s="206"/>
      <c r="T173" s="206"/>
      <c r="U173" s="206"/>
      <c r="V173" s="206"/>
      <c r="W173" s="206"/>
      <c r="X173" s="206"/>
      <c r="Y173" s="206"/>
      <c r="Z173" s="206"/>
      <c r="AA173" s="206"/>
      <c r="AB173" s="206"/>
      <c r="AC173" s="206"/>
      <c r="AD173" s="153"/>
      <c r="AE173" s="153"/>
      <c r="AF173" s="231"/>
      <c r="AG173" s="231"/>
      <c r="AH173" s="231"/>
    </row>
    <row r="174">
      <c r="A174" s="153"/>
      <c r="B174" s="206"/>
      <c r="C174" s="153"/>
      <c r="D174" s="153"/>
      <c r="E174" s="153"/>
      <c r="F174" s="206"/>
      <c r="G174" s="206"/>
      <c r="H174" s="206"/>
      <c r="I174" s="206"/>
      <c r="J174" s="206"/>
      <c r="K174" s="153"/>
      <c r="L174" s="153"/>
      <c r="M174" s="153"/>
      <c r="N174" s="153"/>
      <c r="O174" s="206"/>
      <c r="P174" s="206"/>
      <c r="Q174" s="206"/>
      <c r="R174" s="230"/>
      <c r="S174" s="206"/>
      <c r="T174" s="206"/>
      <c r="U174" s="206"/>
      <c r="V174" s="206"/>
      <c r="W174" s="206"/>
      <c r="X174" s="206"/>
      <c r="Y174" s="206"/>
      <c r="Z174" s="206"/>
      <c r="AA174" s="206"/>
      <c r="AB174" s="206"/>
      <c r="AC174" s="206"/>
      <c r="AD174" s="153"/>
      <c r="AE174" s="153"/>
      <c r="AF174" s="231"/>
      <c r="AG174" s="231"/>
      <c r="AH174" s="231"/>
    </row>
    <row r="175">
      <c r="A175" s="153"/>
      <c r="B175" s="206"/>
      <c r="C175" s="153"/>
      <c r="D175" s="153"/>
      <c r="E175" s="153"/>
      <c r="F175" s="206"/>
      <c r="G175" s="206"/>
      <c r="H175" s="206"/>
      <c r="I175" s="206"/>
      <c r="J175" s="206"/>
      <c r="K175" s="153"/>
      <c r="L175" s="153"/>
      <c r="M175" s="153"/>
      <c r="N175" s="153"/>
      <c r="O175" s="206"/>
      <c r="P175" s="206"/>
      <c r="Q175" s="206"/>
      <c r="R175" s="230"/>
      <c r="S175" s="206"/>
      <c r="T175" s="206"/>
      <c r="U175" s="206"/>
      <c r="V175" s="206"/>
      <c r="W175" s="206"/>
      <c r="X175" s="206"/>
      <c r="Y175" s="206"/>
      <c r="Z175" s="206"/>
      <c r="AA175" s="206"/>
      <c r="AB175" s="206"/>
      <c r="AC175" s="206"/>
      <c r="AD175" s="153"/>
      <c r="AE175" s="153"/>
      <c r="AF175" s="231"/>
      <c r="AG175" s="231"/>
      <c r="AH175" s="231"/>
    </row>
    <row r="176">
      <c r="A176" s="153"/>
      <c r="B176" s="206"/>
      <c r="C176" s="153"/>
      <c r="D176" s="153"/>
      <c r="E176" s="153"/>
      <c r="F176" s="206"/>
      <c r="G176" s="206"/>
      <c r="H176" s="206"/>
      <c r="I176" s="206"/>
      <c r="J176" s="206"/>
      <c r="K176" s="153"/>
      <c r="L176" s="153"/>
      <c r="M176" s="153"/>
      <c r="N176" s="153"/>
      <c r="O176" s="206"/>
      <c r="P176" s="206"/>
      <c r="Q176" s="206"/>
      <c r="R176" s="230"/>
      <c r="S176" s="206"/>
      <c r="T176" s="206"/>
      <c r="U176" s="206"/>
      <c r="V176" s="206"/>
      <c r="W176" s="206"/>
      <c r="X176" s="206"/>
      <c r="Y176" s="206"/>
      <c r="Z176" s="206"/>
      <c r="AA176" s="206"/>
      <c r="AB176" s="206"/>
      <c r="AC176" s="206"/>
      <c r="AD176" s="153"/>
      <c r="AE176" s="153"/>
      <c r="AF176" s="231"/>
      <c r="AG176" s="231"/>
      <c r="AH176" s="231"/>
    </row>
    <row r="177">
      <c r="A177" s="153"/>
      <c r="B177" s="206"/>
      <c r="C177" s="153"/>
      <c r="D177" s="153"/>
      <c r="E177" s="153"/>
      <c r="F177" s="206"/>
      <c r="G177" s="206"/>
      <c r="H177" s="206"/>
      <c r="I177" s="206"/>
      <c r="J177" s="206"/>
      <c r="K177" s="153"/>
      <c r="L177" s="153"/>
      <c r="M177" s="153"/>
      <c r="N177" s="153"/>
      <c r="O177" s="206"/>
      <c r="P177" s="206"/>
      <c r="Q177" s="206"/>
      <c r="R177" s="230"/>
      <c r="S177" s="206"/>
      <c r="T177" s="206"/>
      <c r="U177" s="206"/>
      <c r="V177" s="206"/>
      <c r="W177" s="206"/>
      <c r="X177" s="206"/>
      <c r="Y177" s="206"/>
      <c r="Z177" s="206"/>
      <c r="AA177" s="206"/>
      <c r="AB177" s="206"/>
      <c r="AC177" s="206"/>
      <c r="AD177" s="153"/>
      <c r="AE177" s="153"/>
      <c r="AF177" s="231"/>
      <c r="AG177" s="231"/>
      <c r="AH177" s="231"/>
    </row>
    <row r="178">
      <c r="A178" s="153"/>
      <c r="B178" s="206"/>
      <c r="C178" s="153"/>
      <c r="D178" s="153"/>
      <c r="E178" s="153"/>
      <c r="F178" s="206"/>
      <c r="G178" s="206"/>
      <c r="H178" s="206"/>
      <c r="I178" s="206"/>
      <c r="J178" s="206"/>
      <c r="K178" s="153"/>
      <c r="L178" s="153"/>
      <c r="M178" s="153"/>
      <c r="N178" s="153"/>
      <c r="O178" s="206"/>
      <c r="P178" s="206"/>
      <c r="Q178" s="206"/>
      <c r="R178" s="230"/>
      <c r="S178" s="206"/>
      <c r="T178" s="206"/>
      <c r="U178" s="206"/>
      <c r="V178" s="206"/>
      <c r="W178" s="206"/>
      <c r="X178" s="206"/>
      <c r="Y178" s="206"/>
      <c r="Z178" s="206"/>
      <c r="AA178" s="206"/>
      <c r="AB178" s="206"/>
      <c r="AC178" s="206"/>
      <c r="AD178" s="153"/>
      <c r="AE178" s="153"/>
      <c r="AF178" s="231"/>
      <c r="AG178" s="231"/>
      <c r="AH178" s="231"/>
    </row>
    <row r="179">
      <c r="A179" s="153"/>
      <c r="B179" s="206"/>
      <c r="C179" s="153"/>
      <c r="D179" s="153"/>
      <c r="E179" s="153"/>
      <c r="F179" s="206"/>
      <c r="G179" s="206"/>
      <c r="H179" s="206"/>
      <c r="I179" s="206"/>
      <c r="J179" s="206"/>
      <c r="K179" s="153"/>
      <c r="L179" s="153"/>
      <c r="M179" s="153"/>
      <c r="N179" s="153"/>
      <c r="O179" s="206"/>
      <c r="P179" s="206"/>
      <c r="Q179" s="206"/>
      <c r="R179" s="230"/>
      <c r="S179" s="206"/>
      <c r="T179" s="206"/>
      <c r="U179" s="206"/>
      <c r="V179" s="206"/>
      <c r="W179" s="206"/>
      <c r="X179" s="206"/>
      <c r="Y179" s="206"/>
      <c r="Z179" s="206"/>
      <c r="AA179" s="206"/>
      <c r="AB179" s="206"/>
      <c r="AC179" s="206"/>
      <c r="AD179" s="153"/>
      <c r="AE179" s="153"/>
      <c r="AF179" s="231"/>
      <c r="AG179" s="231"/>
      <c r="AH179" s="231"/>
    </row>
    <row r="180">
      <c r="A180" s="153"/>
      <c r="B180" s="206"/>
      <c r="C180" s="153"/>
      <c r="D180" s="153"/>
      <c r="E180" s="153"/>
      <c r="F180" s="206"/>
      <c r="G180" s="206"/>
      <c r="H180" s="206"/>
      <c r="I180" s="206"/>
      <c r="J180" s="206"/>
      <c r="K180" s="153"/>
      <c r="L180" s="153"/>
      <c r="M180" s="153"/>
      <c r="N180" s="153"/>
      <c r="O180" s="206"/>
      <c r="P180" s="206"/>
      <c r="Q180" s="206"/>
      <c r="R180" s="230"/>
      <c r="S180" s="206"/>
      <c r="T180" s="206"/>
      <c r="U180" s="206"/>
      <c r="V180" s="206"/>
      <c r="W180" s="206"/>
      <c r="X180" s="206"/>
      <c r="Y180" s="206"/>
      <c r="Z180" s="206"/>
      <c r="AA180" s="206"/>
      <c r="AB180" s="206"/>
      <c r="AC180" s="206"/>
      <c r="AD180" s="153"/>
      <c r="AE180" s="153"/>
      <c r="AF180" s="231"/>
      <c r="AG180" s="231"/>
      <c r="AH180" s="231"/>
    </row>
    <row r="181">
      <c r="A181" s="153"/>
      <c r="B181" s="206"/>
      <c r="C181" s="153"/>
      <c r="D181" s="153"/>
      <c r="E181" s="153"/>
      <c r="F181" s="206"/>
      <c r="G181" s="206"/>
      <c r="H181" s="206"/>
      <c r="I181" s="206"/>
      <c r="J181" s="206"/>
      <c r="K181" s="153"/>
      <c r="L181" s="153"/>
      <c r="M181" s="153"/>
      <c r="N181" s="153"/>
      <c r="O181" s="206"/>
      <c r="P181" s="206"/>
      <c r="Q181" s="206"/>
      <c r="R181" s="230"/>
      <c r="S181" s="206"/>
      <c r="T181" s="206"/>
      <c r="U181" s="206"/>
      <c r="V181" s="206"/>
      <c r="W181" s="206"/>
      <c r="X181" s="206"/>
      <c r="Y181" s="206"/>
      <c r="Z181" s="206"/>
      <c r="AA181" s="206"/>
      <c r="AB181" s="206"/>
      <c r="AC181" s="206"/>
      <c r="AD181" s="153"/>
      <c r="AE181" s="153"/>
      <c r="AF181" s="231"/>
      <c r="AG181" s="231"/>
      <c r="AH181" s="231"/>
    </row>
    <row r="182">
      <c r="A182" s="153"/>
      <c r="B182" s="206"/>
      <c r="C182" s="153"/>
      <c r="D182" s="153"/>
      <c r="E182" s="153"/>
      <c r="F182" s="206"/>
      <c r="G182" s="206"/>
      <c r="H182" s="206"/>
      <c r="I182" s="206"/>
      <c r="J182" s="206"/>
      <c r="K182" s="153"/>
      <c r="L182" s="153"/>
      <c r="M182" s="153"/>
      <c r="N182" s="153"/>
      <c r="O182" s="206"/>
      <c r="P182" s="206"/>
      <c r="Q182" s="206"/>
      <c r="R182" s="230"/>
      <c r="S182" s="206"/>
      <c r="T182" s="206"/>
      <c r="U182" s="206"/>
      <c r="V182" s="206"/>
      <c r="W182" s="206"/>
      <c r="X182" s="206"/>
      <c r="Y182" s="206"/>
      <c r="Z182" s="206"/>
      <c r="AA182" s="206"/>
      <c r="AB182" s="206"/>
      <c r="AC182" s="206"/>
      <c r="AD182" s="153"/>
      <c r="AE182" s="153"/>
      <c r="AF182" s="231"/>
      <c r="AG182" s="231"/>
      <c r="AH182" s="231"/>
    </row>
    <row r="183">
      <c r="A183" s="153"/>
      <c r="B183" s="206"/>
      <c r="C183" s="153"/>
      <c r="D183" s="153"/>
      <c r="E183" s="153"/>
      <c r="F183" s="206"/>
      <c r="G183" s="206"/>
      <c r="H183" s="206"/>
      <c r="I183" s="206"/>
      <c r="J183" s="206"/>
      <c r="K183" s="153"/>
      <c r="L183" s="153"/>
      <c r="M183" s="153"/>
      <c r="N183" s="153"/>
      <c r="O183" s="206"/>
      <c r="P183" s="206"/>
      <c r="Q183" s="206"/>
      <c r="R183" s="230"/>
      <c r="S183" s="206"/>
      <c r="T183" s="206"/>
      <c r="U183" s="206"/>
      <c r="V183" s="206"/>
      <c r="W183" s="206"/>
      <c r="X183" s="206"/>
      <c r="Y183" s="206"/>
      <c r="Z183" s="206"/>
      <c r="AA183" s="206"/>
      <c r="AB183" s="206"/>
      <c r="AC183" s="206"/>
      <c r="AD183" s="153"/>
      <c r="AE183" s="153"/>
      <c r="AF183" s="231"/>
      <c r="AG183" s="231"/>
      <c r="AH183" s="231"/>
    </row>
    <row r="184">
      <c r="A184" s="153"/>
      <c r="B184" s="206"/>
      <c r="C184" s="153"/>
      <c r="D184" s="153"/>
      <c r="E184" s="153"/>
      <c r="F184" s="206"/>
      <c r="G184" s="206"/>
      <c r="H184" s="206"/>
      <c r="I184" s="206"/>
      <c r="J184" s="206"/>
      <c r="K184" s="153"/>
      <c r="L184" s="153"/>
      <c r="M184" s="153"/>
      <c r="N184" s="153"/>
      <c r="O184" s="206"/>
      <c r="P184" s="206"/>
      <c r="Q184" s="206"/>
      <c r="R184" s="230"/>
      <c r="S184" s="206"/>
      <c r="T184" s="206"/>
      <c r="U184" s="206"/>
      <c r="V184" s="206"/>
      <c r="W184" s="206"/>
      <c r="X184" s="206"/>
      <c r="Y184" s="206"/>
      <c r="Z184" s="206"/>
      <c r="AA184" s="206"/>
      <c r="AB184" s="206"/>
      <c r="AC184" s="206"/>
      <c r="AD184" s="153"/>
      <c r="AE184" s="153"/>
      <c r="AF184" s="231"/>
      <c r="AG184" s="231"/>
      <c r="AH184" s="231"/>
    </row>
    <row r="185">
      <c r="A185" s="153"/>
      <c r="B185" s="206"/>
      <c r="C185" s="153"/>
      <c r="D185" s="153"/>
      <c r="E185" s="153"/>
      <c r="F185" s="206"/>
      <c r="G185" s="206"/>
      <c r="H185" s="206"/>
      <c r="I185" s="206"/>
      <c r="J185" s="206"/>
      <c r="K185" s="153"/>
      <c r="L185" s="153"/>
      <c r="M185" s="153"/>
      <c r="N185" s="153"/>
      <c r="O185" s="206"/>
      <c r="P185" s="206"/>
      <c r="Q185" s="206"/>
      <c r="R185" s="230"/>
      <c r="S185" s="206"/>
      <c r="T185" s="206"/>
      <c r="U185" s="206"/>
      <c r="V185" s="206"/>
      <c r="W185" s="206"/>
      <c r="X185" s="206"/>
      <c r="Y185" s="206"/>
      <c r="Z185" s="206"/>
      <c r="AA185" s="206"/>
      <c r="AB185" s="206"/>
      <c r="AC185" s="206"/>
      <c r="AD185" s="153"/>
      <c r="AE185" s="153"/>
      <c r="AF185" s="231"/>
      <c r="AG185" s="231"/>
      <c r="AH185" s="231"/>
    </row>
    <row r="186">
      <c r="A186" s="153"/>
      <c r="B186" s="206"/>
      <c r="C186" s="153"/>
      <c r="D186" s="153"/>
      <c r="E186" s="153"/>
      <c r="F186" s="206"/>
      <c r="G186" s="206"/>
      <c r="H186" s="206"/>
      <c r="I186" s="206"/>
      <c r="J186" s="206"/>
      <c r="K186" s="153"/>
      <c r="L186" s="153"/>
      <c r="M186" s="153"/>
      <c r="N186" s="153"/>
      <c r="O186" s="206"/>
      <c r="P186" s="206"/>
      <c r="Q186" s="206"/>
      <c r="R186" s="230"/>
      <c r="S186" s="206"/>
      <c r="T186" s="206"/>
      <c r="U186" s="206"/>
      <c r="V186" s="206"/>
      <c r="W186" s="206"/>
      <c r="X186" s="206"/>
      <c r="Y186" s="206"/>
      <c r="Z186" s="206"/>
      <c r="AA186" s="206"/>
      <c r="AB186" s="206"/>
      <c r="AC186" s="206"/>
      <c r="AD186" s="153"/>
      <c r="AE186" s="153"/>
      <c r="AF186" s="231"/>
      <c r="AG186" s="231"/>
      <c r="AH186" s="231"/>
    </row>
    <row r="187">
      <c r="A187" s="153"/>
      <c r="B187" s="206"/>
      <c r="C187" s="153"/>
      <c r="D187" s="153"/>
      <c r="E187" s="153"/>
      <c r="F187" s="206"/>
      <c r="G187" s="206"/>
      <c r="H187" s="206"/>
      <c r="I187" s="206"/>
      <c r="J187" s="206"/>
      <c r="K187" s="153"/>
      <c r="L187" s="153"/>
      <c r="M187" s="153"/>
      <c r="N187" s="153"/>
      <c r="O187" s="206"/>
      <c r="P187" s="206"/>
      <c r="Q187" s="206"/>
      <c r="R187" s="230"/>
      <c r="S187" s="206"/>
      <c r="T187" s="206"/>
      <c r="U187" s="206"/>
      <c r="V187" s="206"/>
      <c r="W187" s="206"/>
      <c r="X187" s="206"/>
      <c r="Y187" s="206"/>
      <c r="Z187" s="206"/>
      <c r="AA187" s="206"/>
      <c r="AB187" s="206"/>
      <c r="AC187" s="206"/>
      <c r="AD187" s="153"/>
      <c r="AE187" s="153"/>
      <c r="AF187" s="231"/>
      <c r="AG187" s="231"/>
      <c r="AH187" s="231"/>
    </row>
    <row r="188">
      <c r="A188" s="153"/>
      <c r="B188" s="206"/>
      <c r="C188" s="153"/>
      <c r="D188" s="153"/>
      <c r="E188" s="153"/>
      <c r="F188" s="206"/>
      <c r="G188" s="206"/>
      <c r="H188" s="206"/>
      <c r="I188" s="206"/>
      <c r="J188" s="206"/>
      <c r="K188" s="153"/>
      <c r="L188" s="153"/>
      <c r="M188" s="153"/>
      <c r="N188" s="153"/>
      <c r="O188" s="206"/>
      <c r="P188" s="206"/>
      <c r="Q188" s="206"/>
      <c r="R188" s="230"/>
      <c r="S188" s="206"/>
      <c r="T188" s="206"/>
      <c r="U188" s="206"/>
      <c r="V188" s="206"/>
      <c r="W188" s="206"/>
      <c r="X188" s="206"/>
      <c r="Y188" s="206"/>
      <c r="Z188" s="206"/>
      <c r="AA188" s="206"/>
      <c r="AB188" s="206"/>
      <c r="AC188" s="206"/>
      <c r="AD188" s="153"/>
      <c r="AE188" s="153"/>
      <c r="AF188" s="231"/>
      <c r="AG188" s="231"/>
      <c r="AH188" s="231"/>
    </row>
    <row r="189">
      <c r="A189" s="153"/>
      <c r="B189" s="206"/>
      <c r="C189" s="153"/>
      <c r="D189" s="153"/>
      <c r="E189" s="153"/>
      <c r="F189" s="206"/>
      <c r="G189" s="206"/>
      <c r="H189" s="206"/>
      <c r="I189" s="206"/>
      <c r="J189" s="206"/>
      <c r="K189" s="153"/>
      <c r="L189" s="153"/>
      <c r="M189" s="153"/>
      <c r="N189" s="153"/>
      <c r="O189" s="206"/>
      <c r="P189" s="206"/>
      <c r="Q189" s="206"/>
      <c r="R189" s="230"/>
      <c r="S189" s="206"/>
      <c r="T189" s="206"/>
      <c r="U189" s="206"/>
      <c r="V189" s="206"/>
      <c r="W189" s="206"/>
      <c r="X189" s="206"/>
      <c r="Y189" s="206"/>
      <c r="Z189" s="206"/>
      <c r="AA189" s="206"/>
      <c r="AB189" s="206"/>
      <c r="AC189" s="206"/>
      <c r="AD189" s="153"/>
      <c r="AE189" s="153"/>
      <c r="AF189" s="231"/>
      <c r="AG189" s="231"/>
      <c r="AH189" s="231"/>
    </row>
    <row r="190">
      <c r="A190" s="153"/>
      <c r="B190" s="206"/>
      <c r="C190" s="153"/>
      <c r="D190" s="153"/>
      <c r="E190" s="153"/>
      <c r="F190" s="206"/>
      <c r="G190" s="206"/>
      <c r="H190" s="206"/>
      <c r="I190" s="206"/>
      <c r="J190" s="206"/>
      <c r="K190" s="153"/>
      <c r="L190" s="153"/>
      <c r="M190" s="153"/>
      <c r="N190" s="153"/>
      <c r="O190" s="206"/>
      <c r="P190" s="206"/>
      <c r="Q190" s="206"/>
      <c r="R190" s="230"/>
      <c r="S190" s="206"/>
      <c r="T190" s="206"/>
      <c r="U190" s="206"/>
      <c r="V190" s="206"/>
      <c r="W190" s="206"/>
      <c r="X190" s="206"/>
      <c r="Y190" s="206"/>
      <c r="Z190" s="206"/>
      <c r="AA190" s="206"/>
      <c r="AB190" s="206"/>
      <c r="AC190" s="206"/>
      <c r="AD190" s="153"/>
      <c r="AE190" s="153"/>
      <c r="AF190" s="231"/>
      <c r="AG190" s="231"/>
      <c r="AH190" s="231"/>
    </row>
    <row r="191">
      <c r="A191" s="153"/>
      <c r="B191" s="206"/>
      <c r="C191" s="153"/>
      <c r="D191" s="153"/>
      <c r="E191" s="153"/>
      <c r="F191" s="206"/>
      <c r="G191" s="206"/>
      <c r="H191" s="206"/>
      <c r="I191" s="206"/>
      <c r="J191" s="206"/>
      <c r="K191" s="153"/>
      <c r="L191" s="153"/>
      <c r="M191" s="153"/>
      <c r="N191" s="153"/>
      <c r="O191" s="206"/>
      <c r="P191" s="206"/>
      <c r="Q191" s="206"/>
      <c r="R191" s="230"/>
      <c r="S191" s="206"/>
      <c r="T191" s="206"/>
      <c r="U191" s="206"/>
      <c r="V191" s="206"/>
      <c r="W191" s="206"/>
      <c r="X191" s="206"/>
      <c r="Y191" s="206"/>
      <c r="Z191" s="206"/>
      <c r="AA191" s="206"/>
      <c r="AB191" s="206"/>
      <c r="AC191" s="206"/>
      <c r="AD191" s="153"/>
      <c r="AE191" s="153"/>
      <c r="AF191" s="231"/>
      <c r="AG191" s="231"/>
      <c r="AH191" s="231"/>
    </row>
    <row r="192">
      <c r="A192" s="153"/>
      <c r="B192" s="206"/>
      <c r="C192" s="153"/>
      <c r="D192" s="153"/>
      <c r="E192" s="153"/>
      <c r="F192" s="206"/>
      <c r="G192" s="206"/>
      <c r="H192" s="206"/>
      <c r="I192" s="206"/>
      <c r="J192" s="206"/>
      <c r="K192" s="153"/>
      <c r="L192" s="153"/>
      <c r="M192" s="153"/>
      <c r="N192" s="153"/>
      <c r="O192" s="206"/>
      <c r="P192" s="206"/>
      <c r="Q192" s="206"/>
      <c r="R192" s="230"/>
      <c r="S192" s="206"/>
      <c r="T192" s="206"/>
      <c r="U192" s="206"/>
      <c r="V192" s="206"/>
      <c r="W192" s="206"/>
      <c r="X192" s="206"/>
      <c r="Y192" s="206"/>
      <c r="Z192" s="206"/>
      <c r="AA192" s="206"/>
      <c r="AB192" s="206"/>
      <c r="AC192" s="206"/>
      <c r="AD192" s="153"/>
      <c r="AE192" s="153"/>
      <c r="AF192" s="231"/>
      <c r="AG192" s="231"/>
      <c r="AH192" s="231"/>
    </row>
    <row r="193">
      <c r="A193" s="153"/>
      <c r="B193" s="206"/>
      <c r="C193" s="153"/>
      <c r="D193" s="153"/>
      <c r="E193" s="153"/>
      <c r="F193" s="206"/>
      <c r="G193" s="206"/>
      <c r="H193" s="206"/>
      <c r="I193" s="206"/>
      <c r="J193" s="206"/>
      <c r="K193" s="153"/>
      <c r="L193" s="153"/>
      <c r="M193" s="153"/>
      <c r="N193" s="153"/>
      <c r="O193" s="206"/>
      <c r="P193" s="206"/>
      <c r="Q193" s="206"/>
      <c r="R193" s="230"/>
      <c r="S193" s="206"/>
      <c r="T193" s="206"/>
      <c r="U193" s="206"/>
      <c r="V193" s="206"/>
      <c r="W193" s="206"/>
      <c r="X193" s="206"/>
      <c r="Y193" s="206"/>
      <c r="Z193" s="206"/>
      <c r="AA193" s="206"/>
      <c r="AB193" s="206"/>
      <c r="AC193" s="206"/>
      <c r="AD193" s="153"/>
      <c r="AE193" s="153"/>
      <c r="AF193" s="231"/>
      <c r="AG193" s="231"/>
      <c r="AH193" s="231"/>
    </row>
    <row r="194">
      <c r="A194" s="153"/>
      <c r="B194" s="206"/>
      <c r="C194" s="153"/>
      <c r="D194" s="153"/>
      <c r="E194" s="153"/>
      <c r="F194" s="206"/>
      <c r="G194" s="206"/>
      <c r="H194" s="206"/>
      <c r="I194" s="206"/>
      <c r="J194" s="206"/>
      <c r="K194" s="153"/>
      <c r="L194" s="153"/>
      <c r="M194" s="153"/>
      <c r="N194" s="153"/>
      <c r="O194" s="206"/>
      <c r="P194" s="206"/>
      <c r="Q194" s="206"/>
      <c r="R194" s="230"/>
      <c r="S194" s="206"/>
      <c r="T194" s="206"/>
      <c r="U194" s="206"/>
      <c r="V194" s="206"/>
      <c r="W194" s="206"/>
      <c r="X194" s="206"/>
      <c r="Y194" s="206"/>
      <c r="Z194" s="206"/>
      <c r="AA194" s="206"/>
      <c r="AB194" s="206"/>
      <c r="AC194" s="206"/>
      <c r="AD194" s="153"/>
      <c r="AE194" s="153"/>
      <c r="AF194" s="231"/>
      <c r="AG194" s="231"/>
      <c r="AH194" s="231"/>
    </row>
    <row r="195">
      <c r="A195" s="153"/>
      <c r="B195" s="206"/>
      <c r="C195" s="153"/>
      <c r="D195" s="153"/>
      <c r="E195" s="153"/>
      <c r="F195" s="206"/>
      <c r="G195" s="206"/>
      <c r="H195" s="206"/>
      <c r="I195" s="206"/>
      <c r="J195" s="206"/>
      <c r="K195" s="153"/>
      <c r="L195" s="153"/>
      <c r="M195" s="153"/>
      <c r="N195" s="153"/>
      <c r="O195" s="206"/>
      <c r="P195" s="206"/>
      <c r="Q195" s="206"/>
      <c r="R195" s="230"/>
      <c r="S195" s="206"/>
      <c r="T195" s="206"/>
      <c r="U195" s="206"/>
      <c r="V195" s="206"/>
      <c r="W195" s="206"/>
      <c r="X195" s="206"/>
      <c r="Y195" s="206"/>
      <c r="Z195" s="206"/>
      <c r="AA195" s="206"/>
      <c r="AB195" s="206"/>
      <c r="AC195" s="206"/>
      <c r="AD195" s="153"/>
      <c r="AE195" s="153"/>
      <c r="AF195" s="231"/>
      <c r="AG195" s="231"/>
      <c r="AH195" s="231"/>
    </row>
    <row r="196">
      <c r="A196" s="153"/>
      <c r="B196" s="206"/>
      <c r="C196" s="153"/>
      <c r="D196" s="153"/>
      <c r="E196" s="153"/>
      <c r="F196" s="206"/>
      <c r="G196" s="206"/>
      <c r="H196" s="206"/>
      <c r="I196" s="206"/>
      <c r="J196" s="206"/>
      <c r="K196" s="153"/>
      <c r="L196" s="153"/>
      <c r="M196" s="153"/>
      <c r="N196" s="153"/>
      <c r="O196" s="206"/>
      <c r="P196" s="206"/>
      <c r="Q196" s="206"/>
      <c r="R196" s="230"/>
      <c r="S196" s="206"/>
      <c r="T196" s="206"/>
      <c r="U196" s="206"/>
      <c r="V196" s="206"/>
      <c r="W196" s="206"/>
      <c r="X196" s="206"/>
      <c r="Y196" s="206"/>
      <c r="Z196" s="206"/>
      <c r="AA196" s="206"/>
      <c r="AB196" s="206"/>
      <c r="AC196" s="206"/>
      <c r="AD196" s="153"/>
      <c r="AE196" s="153"/>
      <c r="AF196" s="231"/>
      <c r="AG196" s="231"/>
      <c r="AH196" s="231"/>
    </row>
    <row r="197">
      <c r="A197" s="153"/>
      <c r="B197" s="206"/>
      <c r="C197" s="153"/>
      <c r="D197" s="153"/>
      <c r="E197" s="153"/>
      <c r="F197" s="206"/>
      <c r="G197" s="206"/>
      <c r="H197" s="206"/>
      <c r="I197" s="206"/>
      <c r="J197" s="206"/>
      <c r="K197" s="153"/>
      <c r="L197" s="153"/>
      <c r="M197" s="153"/>
      <c r="N197" s="153"/>
      <c r="O197" s="206"/>
      <c r="P197" s="206"/>
      <c r="Q197" s="206"/>
      <c r="R197" s="230"/>
      <c r="S197" s="206"/>
      <c r="T197" s="206"/>
      <c r="U197" s="206"/>
      <c r="V197" s="206"/>
      <c r="W197" s="206"/>
      <c r="X197" s="206"/>
      <c r="Y197" s="206"/>
      <c r="Z197" s="206"/>
      <c r="AA197" s="206"/>
      <c r="AB197" s="206"/>
      <c r="AC197" s="206"/>
      <c r="AD197" s="153"/>
      <c r="AE197" s="153"/>
      <c r="AF197" s="231"/>
      <c r="AG197" s="231"/>
      <c r="AH197" s="231"/>
    </row>
    <row r="198">
      <c r="A198" s="153"/>
      <c r="B198" s="206"/>
      <c r="C198" s="153"/>
      <c r="D198" s="153"/>
      <c r="E198" s="153"/>
      <c r="F198" s="206"/>
      <c r="G198" s="206"/>
      <c r="H198" s="206"/>
      <c r="I198" s="206"/>
      <c r="J198" s="206"/>
      <c r="K198" s="153"/>
      <c r="L198" s="153"/>
      <c r="M198" s="153"/>
      <c r="N198" s="153"/>
      <c r="O198" s="206"/>
      <c r="P198" s="206"/>
      <c r="Q198" s="206"/>
      <c r="R198" s="230"/>
      <c r="S198" s="206"/>
      <c r="T198" s="206"/>
      <c r="U198" s="206"/>
      <c r="V198" s="206"/>
      <c r="W198" s="206"/>
      <c r="X198" s="206"/>
      <c r="Y198" s="206"/>
      <c r="Z198" s="206"/>
      <c r="AA198" s="206"/>
      <c r="AB198" s="206"/>
      <c r="AC198" s="206"/>
      <c r="AD198" s="153"/>
      <c r="AE198" s="153"/>
      <c r="AF198" s="231"/>
      <c r="AG198" s="231"/>
      <c r="AH198" s="231"/>
    </row>
    <row r="199">
      <c r="A199" s="153"/>
      <c r="B199" s="206"/>
      <c r="C199" s="153"/>
      <c r="D199" s="153"/>
      <c r="E199" s="153"/>
      <c r="F199" s="206"/>
      <c r="G199" s="206"/>
      <c r="H199" s="206"/>
      <c r="I199" s="206"/>
      <c r="J199" s="206"/>
      <c r="K199" s="153"/>
      <c r="L199" s="153"/>
      <c r="M199" s="153"/>
      <c r="N199" s="153"/>
      <c r="O199" s="206"/>
      <c r="P199" s="206"/>
      <c r="Q199" s="206"/>
      <c r="R199" s="230"/>
      <c r="S199" s="206"/>
      <c r="T199" s="206"/>
      <c r="U199" s="206"/>
      <c r="V199" s="206"/>
      <c r="W199" s="206"/>
      <c r="X199" s="206"/>
      <c r="Y199" s="206"/>
      <c r="Z199" s="206"/>
      <c r="AA199" s="206"/>
      <c r="AB199" s="206"/>
      <c r="AC199" s="206"/>
      <c r="AD199" s="153"/>
      <c r="AE199" s="153"/>
      <c r="AF199" s="231"/>
      <c r="AG199" s="231"/>
      <c r="AH199" s="231"/>
    </row>
    <row r="200">
      <c r="A200" s="153"/>
      <c r="B200" s="206"/>
      <c r="C200" s="153"/>
      <c r="D200" s="153"/>
      <c r="E200" s="153"/>
      <c r="F200" s="206"/>
      <c r="G200" s="206"/>
      <c r="H200" s="206"/>
      <c r="I200" s="206"/>
      <c r="J200" s="206"/>
      <c r="K200" s="153"/>
      <c r="L200" s="153"/>
      <c r="M200" s="153"/>
      <c r="N200" s="153"/>
      <c r="O200" s="206"/>
      <c r="P200" s="206"/>
      <c r="Q200" s="206"/>
      <c r="R200" s="230"/>
      <c r="S200" s="206"/>
      <c r="T200" s="206"/>
      <c r="U200" s="206"/>
      <c r="V200" s="206"/>
      <c r="W200" s="206"/>
      <c r="X200" s="206"/>
      <c r="Y200" s="206"/>
      <c r="Z200" s="206"/>
      <c r="AA200" s="206"/>
      <c r="AB200" s="206"/>
      <c r="AC200" s="206"/>
      <c r="AD200" s="153"/>
      <c r="AE200" s="153"/>
      <c r="AF200" s="231"/>
      <c r="AG200" s="231"/>
      <c r="AH200" s="231"/>
    </row>
    <row r="201">
      <c r="A201" s="153"/>
      <c r="B201" s="206"/>
      <c r="C201" s="153"/>
      <c r="D201" s="153"/>
      <c r="E201" s="153"/>
      <c r="F201" s="206"/>
      <c r="G201" s="206"/>
      <c r="H201" s="206"/>
      <c r="I201" s="206"/>
      <c r="J201" s="206"/>
      <c r="K201" s="153"/>
      <c r="L201" s="153"/>
      <c r="M201" s="153"/>
      <c r="N201" s="153"/>
      <c r="O201" s="206"/>
      <c r="P201" s="206"/>
      <c r="Q201" s="206"/>
      <c r="R201" s="230"/>
      <c r="S201" s="206"/>
      <c r="T201" s="206"/>
      <c r="U201" s="206"/>
      <c r="V201" s="206"/>
      <c r="W201" s="206"/>
      <c r="X201" s="206"/>
      <c r="Y201" s="206"/>
      <c r="Z201" s="206"/>
      <c r="AA201" s="206"/>
      <c r="AB201" s="206"/>
      <c r="AC201" s="206"/>
      <c r="AD201" s="153"/>
      <c r="AE201" s="153"/>
      <c r="AF201" s="231"/>
      <c r="AG201" s="231"/>
      <c r="AH201" s="231"/>
    </row>
    <row r="202">
      <c r="A202" s="153"/>
      <c r="B202" s="206"/>
      <c r="C202" s="153"/>
      <c r="D202" s="153"/>
      <c r="E202" s="153"/>
      <c r="F202" s="206"/>
      <c r="G202" s="206"/>
      <c r="H202" s="206"/>
      <c r="I202" s="206"/>
      <c r="J202" s="206"/>
      <c r="K202" s="153"/>
      <c r="L202" s="153"/>
      <c r="M202" s="153"/>
      <c r="N202" s="153"/>
      <c r="O202" s="206"/>
      <c r="P202" s="206"/>
      <c r="Q202" s="206"/>
      <c r="R202" s="230"/>
      <c r="S202" s="206"/>
      <c r="T202" s="206"/>
      <c r="U202" s="206"/>
      <c r="V202" s="206"/>
      <c r="W202" s="206"/>
      <c r="X202" s="206"/>
      <c r="Y202" s="206"/>
      <c r="Z202" s="206"/>
      <c r="AA202" s="206"/>
      <c r="AB202" s="206"/>
      <c r="AC202" s="206"/>
      <c r="AD202" s="153"/>
      <c r="AE202" s="153"/>
      <c r="AF202" s="231"/>
      <c r="AG202" s="231"/>
      <c r="AH202" s="231"/>
    </row>
    <row r="203">
      <c r="A203" s="153"/>
      <c r="B203" s="206"/>
      <c r="C203" s="153"/>
      <c r="D203" s="153"/>
      <c r="E203" s="153"/>
      <c r="F203" s="206"/>
      <c r="G203" s="206"/>
      <c r="H203" s="206"/>
      <c r="I203" s="206"/>
      <c r="J203" s="206"/>
      <c r="K203" s="153"/>
      <c r="L203" s="153"/>
      <c r="M203" s="153"/>
      <c r="N203" s="153"/>
      <c r="O203" s="206"/>
      <c r="P203" s="206"/>
      <c r="Q203" s="206"/>
      <c r="R203" s="230"/>
      <c r="S203" s="206"/>
      <c r="T203" s="206"/>
      <c r="U203" s="206"/>
      <c r="V203" s="206"/>
      <c r="W203" s="206"/>
      <c r="X203" s="206"/>
      <c r="Y203" s="206"/>
      <c r="Z203" s="206"/>
      <c r="AA203" s="206"/>
      <c r="AB203" s="206"/>
      <c r="AC203" s="206"/>
      <c r="AD203" s="153"/>
      <c r="AE203" s="153"/>
      <c r="AF203" s="231"/>
      <c r="AG203" s="231"/>
      <c r="AH203" s="231"/>
    </row>
    <row r="204">
      <c r="A204" s="153"/>
      <c r="B204" s="206"/>
      <c r="C204" s="153"/>
      <c r="D204" s="153"/>
      <c r="E204" s="153"/>
      <c r="F204" s="206"/>
      <c r="G204" s="206"/>
      <c r="H204" s="206"/>
      <c r="I204" s="206"/>
      <c r="J204" s="206"/>
      <c r="K204" s="153"/>
      <c r="L204" s="153"/>
      <c r="M204" s="153"/>
      <c r="N204" s="153"/>
      <c r="O204" s="206"/>
      <c r="P204" s="206"/>
      <c r="Q204" s="206"/>
      <c r="R204" s="230"/>
      <c r="S204" s="206"/>
      <c r="T204" s="206"/>
      <c r="U204" s="206"/>
      <c r="V204" s="206"/>
      <c r="W204" s="206"/>
      <c r="X204" s="206"/>
      <c r="Y204" s="206"/>
      <c r="Z204" s="206"/>
      <c r="AA204" s="206"/>
      <c r="AB204" s="206"/>
      <c r="AC204" s="206"/>
      <c r="AD204" s="153"/>
      <c r="AE204" s="153"/>
      <c r="AF204" s="231"/>
      <c r="AG204" s="231"/>
      <c r="AH204" s="231"/>
    </row>
    <row r="205">
      <c r="A205" s="153"/>
      <c r="B205" s="206"/>
      <c r="C205" s="153"/>
      <c r="D205" s="153"/>
      <c r="E205" s="153"/>
      <c r="F205" s="206"/>
      <c r="G205" s="206"/>
      <c r="H205" s="206"/>
      <c r="I205" s="206"/>
      <c r="J205" s="206"/>
      <c r="K205" s="153"/>
      <c r="L205" s="153"/>
      <c r="M205" s="153"/>
      <c r="N205" s="153"/>
      <c r="O205" s="206"/>
      <c r="P205" s="206"/>
      <c r="Q205" s="206"/>
      <c r="R205" s="230"/>
      <c r="S205" s="206"/>
      <c r="T205" s="206"/>
      <c r="U205" s="206"/>
      <c r="V205" s="206"/>
      <c r="W205" s="206"/>
      <c r="X205" s="206"/>
      <c r="Y205" s="206"/>
      <c r="Z205" s="206"/>
      <c r="AA205" s="206"/>
      <c r="AB205" s="206"/>
      <c r="AC205" s="206"/>
      <c r="AD205" s="153"/>
      <c r="AE205" s="153"/>
      <c r="AF205" s="231"/>
      <c r="AG205" s="231"/>
      <c r="AH205" s="231"/>
    </row>
    <row r="206">
      <c r="A206" s="153"/>
      <c r="B206" s="206"/>
      <c r="C206" s="153"/>
      <c r="D206" s="153"/>
      <c r="E206" s="153"/>
      <c r="F206" s="206"/>
      <c r="G206" s="206"/>
      <c r="H206" s="206"/>
      <c r="I206" s="206"/>
      <c r="J206" s="206"/>
      <c r="K206" s="153"/>
      <c r="L206" s="153"/>
      <c r="M206" s="153"/>
      <c r="N206" s="153"/>
      <c r="O206" s="206"/>
      <c r="P206" s="206"/>
      <c r="Q206" s="206"/>
      <c r="R206" s="230"/>
      <c r="S206" s="206"/>
      <c r="T206" s="206"/>
      <c r="U206" s="206"/>
      <c r="V206" s="206"/>
      <c r="W206" s="206"/>
      <c r="X206" s="206"/>
      <c r="Y206" s="206"/>
      <c r="Z206" s="206"/>
      <c r="AA206" s="206"/>
      <c r="AB206" s="206"/>
      <c r="AC206" s="206"/>
      <c r="AD206" s="153"/>
      <c r="AE206" s="153"/>
      <c r="AF206" s="231"/>
      <c r="AG206" s="231"/>
      <c r="AH206" s="231"/>
    </row>
    <row r="207">
      <c r="A207" s="153"/>
      <c r="B207" s="206"/>
      <c r="C207" s="153"/>
      <c r="D207" s="153"/>
      <c r="E207" s="153"/>
      <c r="F207" s="206"/>
      <c r="G207" s="206"/>
      <c r="H207" s="206"/>
      <c r="I207" s="206"/>
      <c r="J207" s="206"/>
      <c r="K207" s="153"/>
      <c r="L207" s="153"/>
      <c r="M207" s="153"/>
      <c r="N207" s="153"/>
      <c r="O207" s="206"/>
      <c r="P207" s="206"/>
      <c r="Q207" s="206"/>
      <c r="R207" s="230"/>
      <c r="S207" s="206"/>
      <c r="T207" s="206"/>
      <c r="U207" s="206"/>
      <c r="V207" s="206"/>
      <c r="W207" s="206"/>
      <c r="X207" s="206"/>
      <c r="Y207" s="206"/>
      <c r="Z207" s="206"/>
      <c r="AA207" s="206"/>
      <c r="AB207" s="206"/>
      <c r="AC207" s="206"/>
      <c r="AD207" s="153"/>
      <c r="AE207" s="153"/>
      <c r="AF207" s="231"/>
      <c r="AG207" s="231"/>
      <c r="AH207" s="231"/>
    </row>
    <row r="208">
      <c r="A208" s="153"/>
      <c r="B208" s="206"/>
      <c r="C208" s="153"/>
      <c r="D208" s="153"/>
      <c r="E208" s="153"/>
      <c r="F208" s="206"/>
      <c r="G208" s="206"/>
      <c r="H208" s="206"/>
      <c r="I208" s="206"/>
      <c r="J208" s="206"/>
      <c r="K208" s="153"/>
      <c r="L208" s="153"/>
      <c r="M208" s="153"/>
      <c r="N208" s="153"/>
      <c r="O208" s="206"/>
      <c r="P208" s="206"/>
      <c r="Q208" s="206"/>
      <c r="R208" s="230"/>
      <c r="S208" s="206"/>
      <c r="T208" s="206"/>
      <c r="U208" s="206"/>
      <c r="V208" s="206"/>
      <c r="W208" s="206"/>
      <c r="X208" s="206"/>
      <c r="Y208" s="206"/>
      <c r="Z208" s="206"/>
      <c r="AA208" s="206"/>
      <c r="AB208" s="206"/>
      <c r="AC208" s="206"/>
      <c r="AD208" s="153"/>
      <c r="AE208" s="153"/>
      <c r="AF208" s="231"/>
      <c r="AG208" s="231"/>
      <c r="AH208" s="231"/>
    </row>
    <row r="209">
      <c r="A209" s="153"/>
      <c r="B209" s="206"/>
      <c r="C209" s="153"/>
      <c r="D209" s="153"/>
      <c r="E209" s="153"/>
      <c r="F209" s="206"/>
      <c r="G209" s="206"/>
      <c r="H209" s="206"/>
      <c r="I209" s="206"/>
      <c r="J209" s="206"/>
      <c r="K209" s="153"/>
      <c r="L209" s="153"/>
      <c r="M209" s="153"/>
      <c r="N209" s="153"/>
      <c r="O209" s="206"/>
      <c r="P209" s="206"/>
      <c r="Q209" s="206"/>
      <c r="R209" s="230"/>
      <c r="S209" s="206"/>
      <c r="T209" s="206"/>
      <c r="U209" s="206"/>
      <c r="V209" s="206"/>
      <c r="W209" s="206"/>
      <c r="X209" s="206"/>
      <c r="Y209" s="206"/>
      <c r="Z209" s="206"/>
      <c r="AA209" s="206"/>
      <c r="AB209" s="206"/>
      <c r="AC209" s="206"/>
      <c r="AD209" s="153"/>
      <c r="AE209" s="153"/>
      <c r="AF209" s="231"/>
      <c r="AG209" s="231"/>
      <c r="AH209" s="231"/>
    </row>
    <row r="210">
      <c r="A210" s="153"/>
      <c r="B210" s="206"/>
      <c r="C210" s="153"/>
      <c r="D210" s="153"/>
      <c r="E210" s="153"/>
      <c r="F210" s="206"/>
      <c r="G210" s="206"/>
      <c r="H210" s="206"/>
      <c r="I210" s="206"/>
      <c r="J210" s="206"/>
      <c r="K210" s="153"/>
      <c r="L210" s="153"/>
      <c r="M210" s="153"/>
      <c r="N210" s="153"/>
      <c r="O210" s="206"/>
      <c r="P210" s="206"/>
      <c r="Q210" s="206"/>
      <c r="R210" s="230"/>
      <c r="S210" s="206"/>
      <c r="T210" s="206"/>
      <c r="U210" s="206"/>
      <c r="V210" s="206"/>
      <c r="W210" s="206"/>
      <c r="X210" s="206"/>
      <c r="Y210" s="206"/>
      <c r="Z210" s="206"/>
      <c r="AA210" s="206"/>
      <c r="AB210" s="206"/>
      <c r="AC210" s="206"/>
      <c r="AD210" s="153"/>
      <c r="AE210" s="153"/>
      <c r="AF210" s="231"/>
      <c r="AG210" s="231"/>
      <c r="AH210" s="231"/>
    </row>
    <row r="211">
      <c r="A211" s="153"/>
      <c r="B211" s="206"/>
      <c r="C211" s="153"/>
      <c r="D211" s="153"/>
      <c r="E211" s="153"/>
      <c r="F211" s="206"/>
      <c r="G211" s="206"/>
      <c r="H211" s="206"/>
      <c r="I211" s="206"/>
      <c r="J211" s="206"/>
      <c r="K211" s="153"/>
      <c r="L211" s="153"/>
      <c r="M211" s="153"/>
      <c r="N211" s="153"/>
      <c r="O211" s="206"/>
      <c r="P211" s="206"/>
      <c r="Q211" s="206"/>
      <c r="R211" s="230"/>
      <c r="S211" s="206"/>
      <c r="T211" s="206"/>
      <c r="U211" s="206"/>
      <c r="V211" s="206"/>
      <c r="W211" s="206"/>
      <c r="X211" s="206"/>
      <c r="Y211" s="206"/>
      <c r="Z211" s="206"/>
      <c r="AA211" s="206"/>
      <c r="AB211" s="206"/>
      <c r="AC211" s="206"/>
      <c r="AD211" s="153"/>
      <c r="AE211" s="153"/>
      <c r="AF211" s="231"/>
      <c r="AG211" s="231"/>
      <c r="AH211" s="231"/>
    </row>
    <row r="212">
      <c r="A212" s="153"/>
      <c r="B212" s="206"/>
      <c r="C212" s="153"/>
      <c r="D212" s="153"/>
      <c r="E212" s="153"/>
      <c r="F212" s="206"/>
      <c r="G212" s="206"/>
      <c r="H212" s="206"/>
      <c r="I212" s="206"/>
      <c r="J212" s="206"/>
      <c r="K212" s="153"/>
      <c r="L212" s="153"/>
      <c r="M212" s="153"/>
      <c r="N212" s="153"/>
      <c r="O212" s="206"/>
      <c r="P212" s="206"/>
      <c r="Q212" s="206"/>
      <c r="R212" s="230"/>
      <c r="S212" s="206"/>
      <c r="T212" s="206"/>
      <c r="U212" s="206"/>
      <c r="V212" s="206"/>
      <c r="W212" s="206"/>
      <c r="X212" s="206"/>
      <c r="Y212" s="206"/>
      <c r="Z212" s="206"/>
      <c r="AA212" s="206"/>
      <c r="AB212" s="206"/>
      <c r="AC212" s="206"/>
      <c r="AD212" s="153"/>
      <c r="AE212" s="153"/>
      <c r="AF212" s="231"/>
      <c r="AG212" s="231"/>
      <c r="AH212" s="231"/>
    </row>
    <row r="213">
      <c r="A213" s="153"/>
      <c r="B213" s="206"/>
      <c r="C213" s="153"/>
      <c r="D213" s="153"/>
      <c r="E213" s="153"/>
      <c r="F213" s="206"/>
      <c r="G213" s="206"/>
      <c r="H213" s="206"/>
      <c r="I213" s="206"/>
      <c r="J213" s="206"/>
      <c r="K213" s="153"/>
      <c r="L213" s="153"/>
      <c r="M213" s="153"/>
      <c r="N213" s="153"/>
      <c r="O213" s="206"/>
      <c r="P213" s="206"/>
      <c r="Q213" s="206"/>
      <c r="R213" s="230"/>
      <c r="S213" s="206"/>
      <c r="T213" s="206"/>
      <c r="U213" s="206"/>
      <c r="V213" s="206"/>
      <c r="W213" s="206"/>
      <c r="X213" s="206"/>
      <c r="Y213" s="206"/>
      <c r="Z213" s="206"/>
      <c r="AA213" s="206"/>
      <c r="AB213" s="206"/>
      <c r="AC213" s="206"/>
      <c r="AD213" s="153"/>
      <c r="AE213" s="153"/>
      <c r="AF213" s="231"/>
      <c r="AG213" s="231"/>
      <c r="AH213" s="231"/>
    </row>
    <row r="214">
      <c r="A214" s="153"/>
      <c r="B214" s="206"/>
      <c r="C214" s="153"/>
      <c r="D214" s="153"/>
      <c r="E214" s="153"/>
      <c r="F214" s="206"/>
      <c r="G214" s="206"/>
      <c r="H214" s="206"/>
      <c r="I214" s="206"/>
      <c r="J214" s="206"/>
      <c r="K214" s="153"/>
      <c r="L214" s="153"/>
      <c r="M214" s="153"/>
      <c r="N214" s="153"/>
      <c r="O214" s="206"/>
      <c r="P214" s="206"/>
      <c r="Q214" s="206"/>
      <c r="R214" s="230"/>
      <c r="S214" s="206"/>
      <c r="T214" s="206"/>
      <c r="U214" s="206"/>
      <c r="V214" s="206"/>
      <c r="W214" s="206"/>
      <c r="X214" s="206"/>
      <c r="Y214" s="206"/>
      <c r="Z214" s="206"/>
      <c r="AA214" s="206"/>
      <c r="AB214" s="206"/>
      <c r="AC214" s="206"/>
      <c r="AD214" s="153"/>
      <c r="AE214" s="153"/>
      <c r="AF214" s="231"/>
      <c r="AG214" s="231"/>
      <c r="AH214" s="231"/>
    </row>
    <row r="215">
      <c r="A215" s="153"/>
      <c r="B215" s="206"/>
      <c r="C215" s="153"/>
      <c r="D215" s="153"/>
      <c r="E215" s="153"/>
      <c r="F215" s="206"/>
      <c r="G215" s="206"/>
      <c r="H215" s="206"/>
      <c r="I215" s="206"/>
      <c r="J215" s="206"/>
      <c r="K215" s="153"/>
      <c r="L215" s="153"/>
      <c r="M215" s="153"/>
      <c r="N215" s="153"/>
      <c r="O215" s="206"/>
      <c r="P215" s="206"/>
      <c r="Q215" s="206"/>
      <c r="R215" s="230"/>
      <c r="S215" s="206"/>
      <c r="T215" s="206"/>
      <c r="U215" s="206"/>
      <c r="V215" s="206"/>
      <c r="W215" s="206"/>
      <c r="X215" s="206"/>
      <c r="Y215" s="206"/>
      <c r="Z215" s="206"/>
      <c r="AA215" s="206"/>
      <c r="AB215" s="206"/>
      <c r="AC215" s="206"/>
      <c r="AD215" s="153"/>
      <c r="AE215" s="153"/>
      <c r="AF215" s="231"/>
      <c r="AG215" s="231"/>
      <c r="AH215" s="231"/>
    </row>
    <row r="216">
      <c r="A216" s="153"/>
      <c r="B216" s="206"/>
      <c r="C216" s="153"/>
      <c r="D216" s="153"/>
      <c r="E216" s="153"/>
      <c r="F216" s="206"/>
      <c r="G216" s="206"/>
      <c r="H216" s="206"/>
      <c r="I216" s="206"/>
      <c r="J216" s="206"/>
      <c r="K216" s="153"/>
      <c r="L216" s="153"/>
      <c r="M216" s="153"/>
      <c r="N216" s="153"/>
      <c r="O216" s="206"/>
      <c r="P216" s="206"/>
      <c r="Q216" s="206"/>
      <c r="R216" s="230"/>
      <c r="S216" s="206"/>
      <c r="T216" s="206"/>
      <c r="U216" s="206"/>
      <c r="V216" s="206"/>
      <c r="W216" s="206"/>
      <c r="X216" s="206"/>
      <c r="Y216" s="206"/>
      <c r="Z216" s="206"/>
      <c r="AA216" s="206"/>
      <c r="AB216" s="206"/>
      <c r="AC216" s="206"/>
      <c r="AD216" s="153"/>
      <c r="AE216" s="153"/>
      <c r="AF216" s="231"/>
      <c r="AG216" s="231"/>
      <c r="AH216" s="231"/>
    </row>
    <row r="217">
      <c r="A217" s="153"/>
      <c r="B217" s="206"/>
      <c r="C217" s="153"/>
      <c r="D217" s="153"/>
      <c r="E217" s="153"/>
      <c r="F217" s="206"/>
      <c r="G217" s="206"/>
      <c r="H217" s="206"/>
      <c r="I217" s="206"/>
      <c r="J217" s="206"/>
      <c r="K217" s="153"/>
      <c r="L217" s="153"/>
      <c r="M217" s="153"/>
      <c r="N217" s="153"/>
      <c r="O217" s="206"/>
      <c r="P217" s="206"/>
      <c r="Q217" s="206"/>
      <c r="R217" s="230"/>
      <c r="S217" s="206"/>
      <c r="T217" s="206"/>
      <c r="U217" s="206"/>
      <c r="V217" s="206"/>
      <c r="W217" s="206"/>
      <c r="X217" s="206"/>
      <c r="Y217" s="206"/>
      <c r="Z217" s="206"/>
      <c r="AA217" s="206"/>
      <c r="AB217" s="206"/>
      <c r="AC217" s="206"/>
      <c r="AD217" s="153"/>
      <c r="AE217" s="153"/>
      <c r="AF217" s="231"/>
      <c r="AG217" s="231"/>
      <c r="AH217" s="231"/>
    </row>
    <row r="218">
      <c r="A218" s="153"/>
      <c r="B218" s="206"/>
      <c r="C218" s="153"/>
      <c r="D218" s="153"/>
      <c r="E218" s="153"/>
      <c r="F218" s="206"/>
      <c r="G218" s="206"/>
      <c r="H218" s="206"/>
      <c r="I218" s="206"/>
      <c r="J218" s="206"/>
      <c r="K218" s="153"/>
      <c r="L218" s="153"/>
      <c r="M218" s="153"/>
      <c r="N218" s="153"/>
      <c r="O218" s="206"/>
      <c r="P218" s="206"/>
      <c r="Q218" s="206"/>
      <c r="R218" s="230"/>
      <c r="S218" s="206"/>
      <c r="T218" s="206"/>
      <c r="U218" s="206"/>
      <c r="V218" s="206"/>
      <c r="W218" s="206"/>
      <c r="X218" s="206"/>
      <c r="Y218" s="206"/>
      <c r="Z218" s="206"/>
      <c r="AA218" s="206"/>
      <c r="AB218" s="206"/>
      <c r="AC218" s="206"/>
      <c r="AD218" s="153"/>
      <c r="AE218" s="153"/>
      <c r="AF218" s="231"/>
      <c r="AG218" s="231"/>
      <c r="AH218" s="231"/>
    </row>
    <row r="219">
      <c r="A219" s="153"/>
      <c r="B219" s="206"/>
      <c r="C219" s="153"/>
      <c r="D219" s="153"/>
      <c r="E219" s="153"/>
      <c r="F219" s="206"/>
      <c r="G219" s="206"/>
      <c r="H219" s="206"/>
      <c r="I219" s="206"/>
      <c r="J219" s="206"/>
      <c r="K219" s="153"/>
      <c r="L219" s="153"/>
      <c r="M219" s="153"/>
      <c r="N219" s="153"/>
      <c r="O219" s="206"/>
      <c r="P219" s="206"/>
      <c r="Q219" s="206"/>
      <c r="R219" s="230"/>
      <c r="S219" s="206"/>
      <c r="T219" s="206"/>
      <c r="U219" s="206"/>
      <c r="V219" s="206"/>
      <c r="W219" s="206"/>
      <c r="X219" s="206"/>
      <c r="Y219" s="206"/>
      <c r="Z219" s="206"/>
      <c r="AA219" s="206"/>
      <c r="AB219" s="206"/>
      <c r="AC219" s="206"/>
      <c r="AD219" s="153"/>
      <c r="AE219" s="153"/>
      <c r="AF219" s="231"/>
      <c r="AG219" s="231"/>
      <c r="AH219" s="231"/>
    </row>
    <row r="220">
      <c r="A220" s="153"/>
      <c r="B220" s="206"/>
      <c r="C220" s="153"/>
      <c r="D220" s="153"/>
      <c r="E220" s="153"/>
      <c r="F220" s="206"/>
      <c r="G220" s="206"/>
      <c r="H220" s="206"/>
      <c r="I220" s="206"/>
      <c r="J220" s="206"/>
      <c r="K220" s="153"/>
      <c r="L220" s="153"/>
      <c r="M220" s="153"/>
      <c r="N220" s="153"/>
      <c r="O220" s="206"/>
      <c r="P220" s="206"/>
      <c r="Q220" s="206"/>
      <c r="R220" s="230"/>
      <c r="S220" s="206"/>
      <c r="T220" s="206"/>
      <c r="U220" s="206"/>
      <c r="V220" s="206"/>
      <c r="W220" s="206"/>
      <c r="X220" s="206"/>
      <c r="Y220" s="206"/>
      <c r="Z220" s="206"/>
      <c r="AA220" s="206"/>
      <c r="AB220" s="206"/>
      <c r="AC220" s="206"/>
      <c r="AD220" s="153"/>
      <c r="AE220" s="153"/>
      <c r="AF220" s="231"/>
      <c r="AG220" s="231"/>
      <c r="AH220" s="231"/>
    </row>
    <row r="221">
      <c r="A221" s="153"/>
      <c r="B221" s="206"/>
      <c r="C221" s="153"/>
      <c r="D221" s="153"/>
      <c r="E221" s="153"/>
      <c r="F221" s="206"/>
      <c r="G221" s="206"/>
      <c r="H221" s="206"/>
      <c r="I221" s="206"/>
      <c r="J221" s="206"/>
      <c r="K221" s="153"/>
      <c r="L221" s="153"/>
      <c r="M221" s="153"/>
      <c r="N221" s="153"/>
      <c r="O221" s="206"/>
      <c r="P221" s="206"/>
      <c r="Q221" s="206"/>
      <c r="R221" s="230"/>
      <c r="S221" s="206"/>
      <c r="T221" s="206"/>
      <c r="U221" s="206"/>
      <c r="V221" s="206"/>
      <c r="W221" s="206"/>
      <c r="X221" s="206"/>
      <c r="Y221" s="206"/>
      <c r="Z221" s="206"/>
      <c r="AA221" s="206"/>
      <c r="AB221" s="206"/>
      <c r="AC221" s="206"/>
      <c r="AD221" s="153"/>
      <c r="AE221" s="153"/>
      <c r="AF221" s="231"/>
      <c r="AG221" s="231"/>
      <c r="AH221" s="231"/>
    </row>
    <row r="222">
      <c r="A222" s="153"/>
      <c r="B222" s="206"/>
      <c r="C222" s="153"/>
      <c r="D222" s="153"/>
      <c r="E222" s="153"/>
      <c r="F222" s="206"/>
      <c r="G222" s="206"/>
      <c r="H222" s="206"/>
      <c r="I222" s="206"/>
      <c r="J222" s="206"/>
      <c r="K222" s="153"/>
      <c r="L222" s="153"/>
      <c r="M222" s="153"/>
      <c r="N222" s="153"/>
      <c r="O222" s="206"/>
      <c r="P222" s="206"/>
      <c r="Q222" s="206"/>
      <c r="R222" s="230"/>
      <c r="S222" s="206"/>
      <c r="T222" s="206"/>
      <c r="U222" s="206"/>
      <c r="V222" s="206"/>
      <c r="W222" s="206"/>
      <c r="X222" s="206"/>
      <c r="Y222" s="206"/>
      <c r="Z222" s="206"/>
      <c r="AA222" s="206"/>
      <c r="AB222" s="206"/>
      <c r="AC222" s="206"/>
      <c r="AD222" s="153"/>
      <c r="AE222" s="153"/>
      <c r="AF222" s="231"/>
      <c r="AG222" s="231"/>
      <c r="AH222" s="231"/>
    </row>
    <row r="223">
      <c r="A223" s="153"/>
      <c r="B223" s="206"/>
      <c r="C223" s="153"/>
      <c r="D223" s="153"/>
      <c r="E223" s="153"/>
      <c r="F223" s="206"/>
      <c r="G223" s="206"/>
      <c r="H223" s="206"/>
      <c r="I223" s="206"/>
      <c r="J223" s="206"/>
      <c r="K223" s="153"/>
      <c r="L223" s="153"/>
      <c r="M223" s="153"/>
      <c r="N223" s="153"/>
      <c r="O223" s="206"/>
      <c r="P223" s="206"/>
      <c r="Q223" s="206"/>
      <c r="R223" s="230"/>
      <c r="S223" s="206"/>
      <c r="T223" s="206"/>
      <c r="U223" s="206"/>
      <c r="V223" s="206"/>
      <c r="W223" s="206"/>
      <c r="X223" s="206"/>
      <c r="Y223" s="206"/>
      <c r="Z223" s="206"/>
      <c r="AA223" s="206"/>
      <c r="AB223" s="206"/>
      <c r="AC223" s="206"/>
      <c r="AD223" s="153"/>
      <c r="AE223" s="153"/>
      <c r="AF223" s="231"/>
      <c r="AG223" s="231"/>
      <c r="AH223" s="231"/>
    </row>
    <row r="224">
      <c r="A224" s="153"/>
      <c r="B224" s="206"/>
      <c r="C224" s="153"/>
      <c r="D224" s="153"/>
      <c r="E224" s="153"/>
      <c r="F224" s="206"/>
      <c r="G224" s="206"/>
      <c r="H224" s="206"/>
      <c r="I224" s="206"/>
      <c r="J224" s="206"/>
      <c r="K224" s="153"/>
      <c r="L224" s="153"/>
      <c r="M224" s="153"/>
      <c r="N224" s="153"/>
      <c r="O224" s="206"/>
      <c r="P224" s="206"/>
      <c r="Q224" s="206"/>
      <c r="R224" s="230"/>
      <c r="S224" s="206"/>
      <c r="T224" s="206"/>
      <c r="U224" s="206"/>
      <c r="V224" s="206"/>
      <c r="W224" s="206"/>
      <c r="X224" s="206"/>
      <c r="Y224" s="206"/>
      <c r="Z224" s="206"/>
      <c r="AA224" s="206"/>
      <c r="AB224" s="206"/>
      <c r="AC224" s="206"/>
      <c r="AD224" s="153"/>
      <c r="AE224" s="153"/>
      <c r="AF224" s="231"/>
      <c r="AG224" s="231"/>
      <c r="AH224" s="231"/>
    </row>
    <row r="225">
      <c r="A225" s="153"/>
      <c r="B225" s="206"/>
      <c r="C225" s="153"/>
      <c r="D225" s="153"/>
      <c r="E225" s="153"/>
      <c r="F225" s="206"/>
      <c r="G225" s="206"/>
      <c r="H225" s="206"/>
      <c r="I225" s="206"/>
      <c r="J225" s="206"/>
      <c r="K225" s="153"/>
      <c r="L225" s="153"/>
      <c r="M225" s="153"/>
      <c r="N225" s="153"/>
      <c r="O225" s="206"/>
      <c r="P225" s="206"/>
      <c r="Q225" s="206"/>
      <c r="R225" s="230"/>
      <c r="S225" s="206"/>
      <c r="T225" s="206"/>
      <c r="U225" s="206"/>
      <c r="V225" s="206"/>
      <c r="W225" s="206"/>
      <c r="X225" s="206"/>
      <c r="Y225" s="206"/>
      <c r="Z225" s="206"/>
      <c r="AA225" s="206"/>
      <c r="AB225" s="206"/>
      <c r="AC225" s="206"/>
      <c r="AD225" s="153"/>
      <c r="AE225" s="153"/>
      <c r="AF225" s="231"/>
      <c r="AG225" s="231"/>
      <c r="AH225" s="231"/>
    </row>
    <row r="226">
      <c r="A226" s="153"/>
      <c r="B226" s="206"/>
      <c r="C226" s="153"/>
      <c r="D226" s="153"/>
      <c r="E226" s="153"/>
      <c r="F226" s="206"/>
      <c r="G226" s="206"/>
      <c r="H226" s="206"/>
      <c r="I226" s="206"/>
      <c r="J226" s="206"/>
      <c r="K226" s="153"/>
      <c r="L226" s="153"/>
      <c r="M226" s="153"/>
      <c r="N226" s="153"/>
      <c r="O226" s="206"/>
      <c r="P226" s="206"/>
      <c r="Q226" s="206"/>
      <c r="R226" s="230"/>
      <c r="S226" s="206"/>
      <c r="T226" s="206"/>
      <c r="U226" s="206"/>
      <c r="V226" s="206"/>
      <c r="W226" s="206"/>
      <c r="X226" s="206"/>
      <c r="Y226" s="206"/>
      <c r="Z226" s="206"/>
      <c r="AA226" s="206"/>
      <c r="AB226" s="206"/>
      <c r="AC226" s="206"/>
      <c r="AD226" s="153"/>
      <c r="AE226" s="153"/>
      <c r="AF226" s="231"/>
      <c r="AG226" s="231"/>
      <c r="AH226" s="231"/>
    </row>
    <row r="227">
      <c r="A227" s="153"/>
      <c r="B227" s="206"/>
      <c r="C227" s="153"/>
      <c r="D227" s="153"/>
      <c r="E227" s="153"/>
      <c r="F227" s="206"/>
      <c r="G227" s="206"/>
      <c r="H227" s="206"/>
      <c r="I227" s="206"/>
      <c r="J227" s="206"/>
      <c r="K227" s="153"/>
      <c r="L227" s="153"/>
      <c r="M227" s="153"/>
      <c r="N227" s="153"/>
      <c r="O227" s="206"/>
      <c r="P227" s="206"/>
      <c r="Q227" s="206"/>
      <c r="R227" s="230"/>
      <c r="S227" s="206"/>
      <c r="T227" s="206"/>
      <c r="U227" s="206"/>
      <c r="V227" s="206"/>
      <c r="W227" s="206"/>
      <c r="X227" s="206"/>
      <c r="Y227" s="206"/>
      <c r="Z227" s="206"/>
      <c r="AA227" s="206"/>
      <c r="AB227" s="206"/>
      <c r="AC227" s="206"/>
      <c r="AD227" s="153"/>
      <c r="AE227" s="153"/>
      <c r="AF227" s="231"/>
      <c r="AG227" s="231"/>
      <c r="AH227" s="231"/>
    </row>
    <row r="228">
      <c r="A228" s="153"/>
      <c r="B228" s="206"/>
      <c r="C228" s="153"/>
      <c r="D228" s="153"/>
      <c r="E228" s="153"/>
      <c r="F228" s="206"/>
      <c r="G228" s="206"/>
      <c r="H228" s="206"/>
      <c r="I228" s="206"/>
      <c r="J228" s="206"/>
      <c r="K228" s="153"/>
      <c r="L228" s="153"/>
      <c r="M228" s="153"/>
      <c r="N228" s="153"/>
      <c r="O228" s="206"/>
      <c r="P228" s="206"/>
      <c r="Q228" s="206"/>
      <c r="R228" s="230"/>
      <c r="S228" s="206"/>
      <c r="T228" s="206"/>
      <c r="U228" s="206"/>
      <c r="V228" s="206"/>
      <c r="W228" s="206"/>
      <c r="X228" s="206"/>
      <c r="Y228" s="206"/>
      <c r="Z228" s="206"/>
      <c r="AA228" s="206"/>
      <c r="AB228" s="206"/>
      <c r="AC228" s="206"/>
      <c r="AD228" s="153"/>
      <c r="AE228" s="153"/>
      <c r="AF228" s="231"/>
      <c r="AG228" s="231"/>
      <c r="AH228" s="231"/>
    </row>
    <row r="229">
      <c r="A229" s="153"/>
      <c r="B229" s="206"/>
      <c r="C229" s="153"/>
      <c r="D229" s="153"/>
      <c r="E229" s="153"/>
      <c r="F229" s="206"/>
      <c r="G229" s="206"/>
      <c r="H229" s="206"/>
      <c r="I229" s="206"/>
      <c r="J229" s="206"/>
      <c r="K229" s="153"/>
      <c r="L229" s="153"/>
      <c r="M229" s="153"/>
      <c r="N229" s="153"/>
      <c r="O229" s="206"/>
      <c r="P229" s="206"/>
      <c r="Q229" s="206"/>
      <c r="R229" s="230"/>
      <c r="S229" s="206"/>
      <c r="T229" s="206"/>
      <c r="U229" s="206"/>
      <c r="V229" s="206"/>
      <c r="W229" s="206"/>
      <c r="X229" s="206"/>
      <c r="Y229" s="206"/>
      <c r="Z229" s="206"/>
      <c r="AA229" s="206"/>
      <c r="AB229" s="206"/>
      <c r="AC229" s="206"/>
      <c r="AD229" s="153"/>
      <c r="AE229" s="153"/>
      <c r="AF229" s="231"/>
      <c r="AG229" s="231"/>
      <c r="AH229" s="231"/>
    </row>
    <row r="230">
      <c r="A230" s="153"/>
      <c r="B230" s="206"/>
      <c r="C230" s="153"/>
      <c r="D230" s="153"/>
      <c r="E230" s="153"/>
      <c r="F230" s="206"/>
      <c r="G230" s="206"/>
      <c r="H230" s="206"/>
      <c r="I230" s="206"/>
      <c r="J230" s="206"/>
      <c r="K230" s="153"/>
      <c r="L230" s="153"/>
      <c r="M230" s="153"/>
      <c r="N230" s="153"/>
      <c r="O230" s="206"/>
      <c r="P230" s="206"/>
      <c r="Q230" s="206"/>
      <c r="R230" s="230"/>
      <c r="S230" s="206"/>
      <c r="T230" s="206"/>
      <c r="U230" s="206"/>
      <c r="V230" s="206"/>
      <c r="W230" s="206"/>
      <c r="X230" s="206"/>
      <c r="Y230" s="206"/>
      <c r="Z230" s="206"/>
      <c r="AA230" s="206"/>
      <c r="AB230" s="206"/>
      <c r="AC230" s="206"/>
      <c r="AD230" s="153"/>
      <c r="AE230" s="153"/>
      <c r="AF230" s="231"/>
      <c r="AG230" s="231"/>
      <c r="AH230" s="231"/>
    </row>
    <row r="231">
      <c r="A231" s="153"/>
      <c r="B231" s="206"/>
      <c r="C231" s="153"/>
      <c r="D231" s="153"/>
      <c r="E231" s="153"/>
      <c r="F231" s="206"/>
      <c r="G231" s="206"/>
      <c r="H231" s="206"/>
      <c r="I231" s="206"/>
      <c r="J231" s="206"/>
      <c r="K231" s="153"/>
      <c r="L231" s="153"/>
      <c r="M231" s="153"/>
      <c r="N231" s="153"/>
      <c r="O231" s="206"/>
      <c r="P231" s="206"/>
      <c r="Q231" s="206"/>
      <c r="R231" s="230"/>
      <c r="S231" s="206"/>
      <c r="T231" s="206"/>
      <c r="U231" s="206"/>
      <c r="V231" s="206"/>
      <c r="W231" s="206"/>
      <c r="X231" s="206"/>
      <c r="Y231" s="206"/>
      <c r="Z231" s="206"/>
      <c r="AA231" s="206"/>
      <c r="AB231" s="206"/>
      <c r="AC231" s="206"/>
      <c r="AD231" s="153"/>
      <c r="AE231" s="153"/>
      <c r="AF231" s="231"/>
      <c r="AG231" s="231"/>
      <c r="AH231" s="231"/>
    </row>
    <row r="232">
      <c r="A232" s="153"/>
      <c r="B232" s="206"/>
      <c r="C232" s="153"/>
      <c r="D232" s="153"/>
      <c r="E232" s="153"/>
      <c r="F232" s="206"/>
      <c r="G232" s="206"/>
      <c r="H232" s="206"/>
      <c r="I232" s="206"/>
      <c r="J232" s="206"/>
      <c r="K232" s="153"/>
      <c r="L232" s="153"/>
      <c r="M232" s="153"/>
      <c r="N232" s="153"/>
      <c r="O232" s="206"/>
      <c r="P232" s="206"/>
      <c r="Q232" s="206"/>
      <c r="R232" s="230"/>
      <c r="S232" s="206"/>
      <c r="T232" s="206"/>
      <c r="U232" s="206"/>
      <c r="V232" s="206"/>
      <c r="W232" s="206"/>
      <c r="X232" s="206"/>
      <c r="Y232" s="206"/>
      <c r="Z232" s="206"/>
      <c r="AA232" s="206"/>
      <c r="AB232" s="206"/>
      <c r="AC232" s="206"/>
      <c r="AD232" s="153"/>
      <c r="AE232" s="153"/>
      <c r="AF232" s="231"/>
      <c r="AG232" s="231"/>
      <c r="AH232" s="231"/>
    </row>
    <row r="233">
      <c r="A233" s="153"/>
      <c r="B233" s="206"/>
      <c r="C233" s="153"/>
      <c r="D233" s="153"/>
      <c r="E233" s="153"/>
      <c r="F233" s="206"/>
      <c r="G233" s="206"/>
      <c r="H233" s="206"/>
      <c r="I233" s="206"/>
      <c r="J233" s="206"/>
      <c r="K233" s="153"/>
      <c r="L233" s="153"/>
      <c r="M233" s="153"/>
      <c r="N233" s="153"/>
      <c r="O233" s="206"/>
      <c r="P233" s="206"/>
      <c r="Q233" s="206"/>
      <c r="R233" s="230"/>
      <c r="S233" s="206"/>
      <c r="T233" s="206"/>
      <c r="U233" s="206"/>
      <c r="V233" s="206"/>
      <c r="W233" s="206"/>
      <c r="X233" s="206"/>
      <c r="Y233" s="206"/>
      <c r="Z233" s="206"/>
      <c r="AA233" s="206"/>
      <c r="AB233" s="206"/>
      <c r="AC233" s="206"/>
      <c r="AD233" s="153"/>
      <c r="AE233" s="153"/>
      <c r="AF233" s="231"/>
      <c r="AG233" s="231"/>
      <c r="AH233" s="231"/>
    </row>
    <row r="234">
      <c r="A234" s="153"/>
      <c r="B234" s="206"/>
      <c r="C234" s="153"/>
      <c r="D234" s="153"/>
      <c r="E234" s="153"/>
      <c r="F234" s="206"/>
      <c r="G234" s="206"/>
      <c r="H234" s="206"/>
      <c r="I234" s="206"/>
      <c r="J234" s="206"/>
      <c r="K234" s="153"/>
      <c r="L234" s="153"/>
      <c r="M234" s="153"/>
      <c r="N234" s="153"/>
      <c r="O234" s="206"/>
      <c r="P234" s="206"/>
      <c r="Q234" s="206"/>
      <c r="R234" s="230"/>
      <c r="S234" s="206"/>
      <c r="T234" s="206"/>
      <c r="U234" s="206"/>
      <c r="V234" s="206"/>
      <c r="W234" s="206"/>
      <c r="X234" s="206"/>
      <c r="Y234" s="206"/>
      <c r="Z234" s="206"/>
      <c r="AA234" s="206"/>
      <c r="AB234" s="206"/>
      <c r="AC234" s="206"/>
      <c r="AD234" s="153"/>
      <c r="AE234" s="153"/>
      <c r="AF234" s="231"/>
      <c r="AG234" s="231"/>
      <c r="AH234" s="231"/>
    </row>
    <row r="235">
      <c r="A235" s="153"/>
      <c r="B235" s="206"/>
      <c r="C235" s="153"/>
      <c r="D235" s="153"/>
      <c r="E235" s="153"/>
      <c r="F235" s="206"/>
      <c r="G235" s="206"/>
      <c r="H235" s="206"/>
      <c r="I235" s="206"/>
      <c r="J235" s="206"/>
      <c r="K235" s="153"/>
      <c r="L235" s="153"/>
      <c r="M235" s="153"/>
      <c r="N235" s="153"/>
      <c r="O235" s="206"/>
      <c r="P235" s="206"/>
      <c r="Q235" s="206"/>
      <c r="R235" s="230"/>
      <c r="S235" s="206"/>
      <c r="T235" s="206"/>
      <c r="U235" s="206"/>
      <c r="V235" s="206"/>
      <c r="W235" s="206"/>
      <c r="X235" s="206"/>
      <c r="Y235" s="206"/>
      <c r="Z235" s="206"/>
      <c r="AA235" s="206"/>
      <c r="AB235" s="206"/>
      <c r="AC235" s="206"/>
      <c r="AD235" s="153"/>
      <c r="AE235" s="153"/>
      <c r="AF235" s="231"/>
      <c r="AG235" s="231"/>
      <c r="AH235" s="231"/>
    </row>
    <row r="236">
      <c r="A236" s="153"/>
      <c r="B236" s="206"/>
      <c r="C236" s="153"/>
      <c r="D236" s="153"/>
      <c r="E236" s="153"/>
      <c r="F236" s="206"/>
      <c r="G236" s="206"/>
      <c r="H236" s="206"/>
      <c r="I236" s="206"/>
      <c r="J236" s="206"/>
      <c r="K236" s="153"/>
      <c r="L236" s="153"/>
      <c r="M236" s="153"/>
      <c r="N236" s="153"/>
      <c r="O236" s="206"/>
      <c r="P236" s="206"/>
      <c r="Q236" s="206"/>
      <c r="R236" s="230"/>
      <c r="S236" s="206"/>
      <c r="T236" s="206"/>
      <c r="U236" s="206"/>
      <c r="V236" s="206"/>
      <c r="W236" s="206"/>
      <c r="X236" s="206"/>
      <c r="Y236" s="206"/>
      <c r="Z236" s="206"/>
      <c r="AA236" s="206"/>
      <c r="AB236" s="206"/>
      <c r="AC236" s="206"/>
      <c r="AD236" s="153"/>
      <c r="AE236" s="153"/>
      <c r="AF236" s="231"/>
      <c r="AG236" s="231"/>
      <c r="AH236" s="231"/>
    </row>
    <row r="237">
      <c r="A237" s="153"/>
      <c r="B237" s="206"/>
      <c r="C237" s="153"/>
      <c r="D237" s="153"/>
      <c r="E237" s="153"/>
      <c r="F237" s="206"/>
      <c r="G237" s="206"/>
      <c r="H237" s="206"/>
      <c r="I237" s="206"/>
      <c r="J237" s="206"/>
      <c r="K237" s="153"/>
      <c r="L237" s="153"/>
      <c r="M237" s="153"/>
      <c r="N237" s="153"/>
      <c r="O237" s="206"/>
      <c r="P237" s="206"/>
      <c r="Q237" s="206"/>
      <c r="R237" s="230"/>
      <c r="S237" s="206"/>
      <c r="T237" s="206"/>
      <c r="U237" s="206"/>
      <c r="V237" s="206"/>
      <c r="W237" s="206"/>
      <c r="X237" s="206"/>
      <c r="Y237" s="206"/>
      <c r="Z237" s="206"/>
      <c r="AA237" s="206"/>
      <c r="AB237" s="206"/>
      <c r="AC237" s="206"/>
      <c r="AD237" s="153"/>
      <c r="AE237" s="153"/>
      <c r="AF237" s="231"/>
      <c r="AG237" s="231"/>
      <c r="AH237" s="231"/>
    </row>
    <row r="238">
      <c r="A238" s="153"/>
      <c r="B238" s="206"/>
      <c r="C238" s="153"/>
      <c r="D238" s="153"/>
      <c r="E238" s="153"/>
      <c r="F238" s="206"/>
      <c r="G238" s="206"/>
      <c r="H238" s="206"/>
      <c r="I238" s="206"/>
      <c r="J238" s="206"/>
      <c r="K238" s="153"/>
      <c r="L238" s="153"/>
      <c r="M238" s="153"/>
      <c r="N238" s="153"/>
      <c r="O238" s="206"/>
      <c r="P238" s="206"/>
      <c r="Q238" s="206"/>
      <c r="R238" s="230"/>
      <c r="S238" s="206"/>
      <c r="T238" s="206"/>
      <c r="U238" s="206"/>
      <c r="V238" s="206"/>
      <c r="W238" s="206"/>
      <c r="X238" s="206"/>
      <c r="Y238" s="206"/>
      <c r="Z238" s="206"/>
      <c r="AA238" s="206"/>
      <c r="AB238" s="206"/>
      <c r="AC238" s="206"/>
      <c r="AD238" s="153"/>
      <c r="AE238" s="153"/>
      <c r="AF238" s="231"/>
      <c r="AG238" s="231"/>
      <c r="AH238" s="231"/>
    </row>
    <row r="239">
      <c r="A239" s="153"/>
      <c r="B239" s="206"/>
      <c r="C239" s="153"/>
      <c r="D239" s="153"/>
      <c r="E239" s="153"/>
      <c r="F239" s="206"/>
      <c r="G239" s="206"/>
      <c r="H239" s="206"/>
      <c r="I239" s="206"/>
      <c r="J239" s="206"/>
      <c r="K239" s="153"/>
      <c r="L239" s="153"/>
      <c r="M239" s="153"/>
      <c r="N239" s="153"/>
      <c r="O239" s="206"/>
      <c r="P239" s="206"/>
      <c r="Q239" s="206"/>
      <c r="R239" s="230"/>
      <c r="S239" s="206"/>
      <c r="T239" s="206"/>
      <c r="U239" s="206"/>
      <c r="V239" s="206"/>
      <c r="W239" s="206"/>
      <c r="X239" s="206"/>
      <c r="Y239" s="206"/>
      <c r="Z239" s="206"/>
      <c r="AA239" s="206"/>
      <c r="AB239" s="206"/>
      <c r="AC239" s="206"/>
      <c r="AD239" s="153"/>
      <c r="AE239" s="153"/>
      <c r="AF239" s="231"/>
      <c r="AG239" s="231"/>
      <c r="AH239" s="231"/>
    </row>
    <row r="240">
      <c r="A240" s="153"/>
      <c r="B240" s="206"/>
      <c r="C240" s="153"/>
      <c r="D240" s="153"/>
      <c r="E240" s="153"/>
      <c r="F240" s="206"/>
      <c r="G240" s="206"/>
      <c r="H240" s="206"/>
      <c r="I240" s="206"/>
      <c r="J240" s="206"/>
      <c r="K240" s="153"/>
      <c r="L240" s="153"/>
      <c r="M240" s="153"/>
      <c r="N240" s="153"/>
      <c r="O240" s="206"/>
      <c r="P240" s="206"/>
      <c r="Q240" s="206"/>
      <c r="R240" s="230"/>
      <c r="S240" s="206"/>
      <c r="T240" s="206"/>
      <c r="U240" s="206"/>
      <c r="V240" s="206"/>
      <c r="W240" s="206"/>
      <c r="X240" s="206"/>
      <c r="Y240" s="206"/>
      <c r="Z240" s="206"/>
      <c r="AA240" s="206"/>
      <c r="AB240" s="206"/>
      <c r="AC240" s="206"/>
      <c r="AD240" s="153"/>
      <c r="AE240" s="153"/>
      <c r="AF240" s="231"/>
      <c r="AG240" s="231"/>
      <c r="AH240" s="231"/>
    </row>
    <row r="241">
      <c r="A241" s="153"/>
      <c r="B241" s="206"/>
      <c r="C241" s="153"/>
      <c r="D241" s="153"/>
      <c r="E241" s="153"/>
      <c r="F241" s="206"/>
      <c r="G241" s="206"/>
      <c r="H241" s="206"/>
      <c r="I241" s="206"/>
      <c r="J241" s="206"/>
      <c r="K241" s="153"/>
      <c r="L241" s="153"/>
      <c r="M241" s="153"/>
      <c r="N241" s="153"/>
      <c r="O241" s="206"/>
      <c r="P241" s="206"/>
      <c r="Q241" s="206"/>
      <c r="R241" s="230"/>
      <c r="S241" s="206"/>
      <c r="T241" s="206"/>
      <c r="U241" s="206"/>
      <c r="V241" s="206"/>
      <c r="W241" s="206"/>
      <c r="X241" s="206"/>
      <c r="Y241" s="206"/>
      <c r="Z241" s="206"/>
      <c r="AA241" s="206"/>
      <c r="AB241" s="206"/>
      <c r="AC241" s="206"/>
      <c r="AD241" s="153"/>
      <c r="AE241" s="153"/>
      <c r="AF241" s="231"/>
      <c r="AG241" s="231"/>
      <c r="AH241" s="231"/>
    </row>
    <row r="242">
      <c r="A242" s="153"/>
      <c r="B242" s="206"/>
      <c r="C242" s="153"/>
      <c r="D242" s="153"/>
      <c r="E242" s="153"/>
      <c r="F242" s="206"/>
      <c r="G242" s="206"/>
      <c r="H242" s="206"/>
      <c r="I242" s="206"/>
      <c r="J242" s="206"/>
      <c r="K242" s="153"/>
      <c r="L242" s="153"/>
      <c r="M242" s="153"/>
      <c r="N242" s="153"/>
      <c r="O242" s="206"/>
      <c r="P242" s="206"/>
      <c r="Q242" s="206"/>
      <c r="R242" s="230"/>
      <c r="S242" s="206"/>
      <c r="T242" s="206"/>
      <c r="U242" s="206"/>
      <c r="V242" s="206"/>
      <c r="W242" s="206"/>
      <c r="X242" s="206"/>
      <c r="Y242" s="206"/>
      <c r="Z242" s="206"/>
      <c r="AA242" s="206"/>
      <c r="AB242" s="206"/>
      <c r="AC242" s="206"/>
      <c r="AD242" s="153"/>
      <c r="AE242" s="153"/>
      <c r="AF242" s="231"/>
      <c r="AG242" s="231"/>
      <c r="AH242" s="231"/>
    </row>
    <row r="243">
      <c r="A243" s="153"/>
      <c r="B243" s="206"/>
      <c r="C243" s="153"/>
      <c r="D243" s="153"/>
      <c r="E243" s="153"/>
      <c r="F243" s="206"/>
      <c r="G243" s="206"/>
      <c r="H243" s="206"/>
      <c r="I243" s="206"/>
      <c r="J243" s="206"/>
      <c r="K243" s="153"/>
      <c r="L243" s="153"/>
      <c r="M243" s="153"/>
      <c r="N243" s="153"/>
      <c r="O243" s="206"/>
      <c r="P243" s="206"/>
      <c r="Q243" s="206"/>
      <c r="R243" s="230"/>
      <c r="S243" s="206"/>
      <c r="T243" s="206"/>
      <c r="U243" s="206"/>
      <c r="V243" s="206"/>
      <c r="W243" s="206"/>
      <c r="X243" s="206"/>
      <c r="Y243" s="206"/>
      <c r="Z243" s="206"/>
      <c r="AA243" s="206"/>
      <c r="AB243" s="206"/>
      <c r="AC243" s="206"/>
      <c r="AD243" s="153"/>
      <c r="AE243" s="153"/>
      <c r="AF243" s="231"/>
      <c r="AG243" s="231"/>
      <c r="AH243" s="231"/>
    </row>
    <row r="244">
      <c r="A244" s="153"/>
      <c r="B244" s="206"/>
      <c r="C244" s="153"/>
      <c r="D244" s="153"/>
      <c r="E244" s="153"/>
      <c r="F244" s="206"/>
      <c r="G244" s="206"/>
      <c r="H244" s="206"/>
      <c r="I244" s="206"/>
      <c r="J244" s="206"/>
      <c r="K244" s="153"/>
      <c r="L244" s="153"/>
      <c r="M244" s="153"/>
      <c r="N244" s="153"/>
      <c r="O244" s="206"/>
      <c r="P244" s="206"/>
      <c r="Q244" s="206"/>
      <c r="R244" s="230"/>
      <c r="S244" s="206"/>
      <c r="T244" s="206"/>
      <c r="U244" s="206"/>
      <c r="V244" s="206"/>
      <c r="W244" s="206"/>
      <c r="X244" s="206"/>
      <c r="Y244" s="206"/>
      <c r="Z244" s="206"/>
      <c r="AA244" s="206"/>
      <c r="AB244" s="206"/>
      <c r="AC244" s="206"/>
      <c r="AD244" s="153"/>
      <c r="AE244" s="153"/>
      <c r="AF244" s="231"/>
      <c r="AG244" s="231"/>
      <c r="AH244" s="231"/>
    </row>
    <row r="245">
      <c r="A245" s="153"/>
      <c r="B245" s="206"/>
      <c r="C245" s="153"/>
      <c r="D245" s="153"/>
      <c r="E245" s="153"/>
      <c r="F245" s="206"/>
      <c r="G245" s="206"/>
      <c r="H245" s="206"/>
      <c r="I245" s="206"/>
      <c r="J245" s="206"/>
      <c r="K245" s="153"/>
      <c r="L245" s="153"/>
      <c r="M245" s="153"/>
      <c r="N245" s="153"/>
      <c r="O245" s="206"/>
      <c r="P245" s="206"/>
      <c r="Q245" s="206"/>
      <c r="R245" s="230"/>
      <c r="S245" s="206"/>
      <c r="T245" s="206"/>
      <c r="U245" s="206"/>
      <c r="V245" s="206"/>
      <c r="W245" s="206"/>
      <c r="X245" s="206"/>
      <c r="Y245" s="206"/>
      <c r="Z245" s="206"/>
      <c r="AA245" s="206"/>
      <c r="AB245" s="206"/>
      <c r="AC245" s="206"/>
      <c r="AD245" s="153"/>
      <c r="AE245" s="153"/>
      <c r="AF245" s="231"/>
      <c r="AG245" s="231"/>
      <c r="AH245" s="231"/>
    </row>
    <row r="246">
      <c r="A246" s="153"/>
      <c r="B246" s="206"/>
      <c r="C246" s="153"/>
      <c r="D246" s="153"/>
      <c r="E246" s="153"/>
      <c r="F246" s="206"/>
      <c r="G246" s="206"/>
      <c r="H246" s="206"/>
      <c r="I246" s="206"/>
      <c r="J246" s="206"/>
      <c r="K246" s="153"/>
      <c r="L246" s="153"/>
      <c r="M246" s="153"/>
      <c r="N246" s="153"/>
      <c r="O246" s="206"/>
      <c r="P246" s="206"/>
      <c r="Q246" s="206"/>
      <c r="R246" s="230"/>
      <c r="S246" s="206"/>
      <c r="T246" s="206"/>
      <c r="U246" s="206"/>
      <c r="V246" s="206"/>
      <c r="W246" s="206"/>
      <c r="X246" s="206"/>
      <c r="Y246" s="206"/>
      <c r="Z246" s="206"/>
      <c r="AA246" s="206"/>
      <c r="AB246" s="206"/>
      <c r="AC246" s="206"/>
      <c r="AD246" s="153"/>
      <c r="AE246" s="153"/>
      <c r="AF246" s="231"/>
      <c r="AG246" s="231"/>
      <c r="AH246" s="231"/>
    </row>
    <row r="247">
      <c r="A247" s="153"/>
      <c r="B247" s="206"/>
      <c r="C247" s="153"/>
      <c r="D247" s="153"/>
      <c r="E247" s="153"/>
      <c r="F247" s="206"/>
      <c r="G247" s="206"/>
      <c r="H247" s="206"/>
      <c r="I247" s="206"/>
      <c r="J247" s="206"/>
      <c r="K247" s="153"/>
      <c r="L247" s="153"/>
      <c r="M247" s="153"/>
      <c r="N247" s="153"/>
      <c r="O247" s="206"/>
      <c r="P247" s="206"/>
      <c r="Q247" s="206"/>
      <c r="R247" s="230"/>
      <c r="S247" s="206"/>
      <c r="T247" s="206"/>
      <c r="U247" s="206"/>
      <c r="V247" s="206"/>
      <c r="W247" s="206"/>
      <c r="X247" s="206"/>
      <c r="Y247" s="206"/>
      <c r="Z247" s="206"/>
      <c r="AA247" s="206"/>
      <c r="AB247" s="206"/>
      <c r="AC247" s="206"/>
      <c r="AD247" s="153"/>
      <c r="AE247" s="153"/>
      <c r="AF247" s="231"/>
      <c r="AG247" s="231"/>
      <c r="AH247" s="231"/>
    </row>
    <row r="248">
      <c r="A248" s="153"/>
      <c r="B248" s="206"/>
      <c r="C248" s="153"/>
      <c r="D248" s="153"/>
      <c r="E248" s="153"/>
      <c r="F248" s="206"/>
      <c r="G248" s="206"/>
      <c r="H248" s="206"/>
      <c r="I248" s="206"/>
      <c r="J248" s="206"/>
      <c r="K248" s="153"/>
      <c r="L248" s="153"/>
      <c r="M248" s="153"/>
      <c r="N248" s="153"/>
      <c r="O248" s="206"/>
      <c r="P248" s="206"/>
      <c r="Q248" s="206"/>
      <c r="R248" s="230"/>
      <c r="S248" s="206"/>
      <c r="T248" s="206"/>
      <c r="U248" s="206"/>
      <c r="V248" s="206"/>
      <c r="W248" s="206"/>
      <c r="X248" s="206"/>
      <c r="Y248" s="206"/>
      <c r="Z248" s="206"/>
      <c r="AA248" s="206"/>
      <c r="AB248" s="206"/>
      <c r="AC248" s="206"/>
      <c r="AD248" s="153"/>
      <c r="AE248" s="153"/>
      <c r="AF248" s="231"/>
      <c r="AG248" s="231"/>
      <c r="AH248" s="231"/>
    </row>
    <row r="249">
      <c r="A249" s="153"/>
      <c r="B249" s="206"/>
      <c r="C249" s="153"/>
      <c r="D249" s="153"/>
      <c r="E249" s="153"/>
      <c r="F249" s="206"/>
      <c r="G249" s="206"/>
      <c r="H249" s="206"/>
      <c r="I249" s="206"/>
      <c r="J249" s="206"/>
      <c r="K249" s="153"/>
      <c r="L249" s="153"/>
      <c r="M249" s="153"/>
      <c r="N249" s="153"/>
      <c r="O249" s="206"/>
      <c r="P249" s="206"/>
      <c r="Q249" s="206"/>
      <c r="R249" s="230"/>
      <c r="S249" s="206"/>
      <c r="T249" s="206"/>
      <c r="U249" s="206"/>
      <c r="V249" s="206"/>
      <c r="W249" s="206"/>
      <c r="X249" s="206"/>
      <c r="Y249" s="206"/>
      <c r="Z249" s="206"/>
      <c r="AA249" s="206"/>
      <c r="AB249" s="206"/>
      <c r="AC249" s="206"/>
      <c r="AD249" s="153"/>
      <c r="AE249" s="153"/>
      <c r="AF249" s="231"/>
      <c r="AG249" s="231"/>
      <c r="AH249" s="231"/>
    </row>
    <row r="250">
      <c r="A250" s="153"/>
      <c r="B250" s="206"/>
      <c r="C250" s="153"/>
      <c r="D250" s="153"/>
      <c r="E250" s="153"/>
      <c r="F250" s="206"/>
      <c r="G250" s="206"/>
      <c r="H250" s="206"/>
      <c r="I250" s="206"/>
      <c r="J250" s="206"/>
      <c r="K250" s="153"/>
      <c r="L250" s="153"/>
      <c r="M250" s="153"/>
      <c r="N250" s="153"/>
      <c r="O250" s="206"/>
      <c r="P250" s="206"/>
      <c r="Q250" s="206"/>
      <c r="R250" s="230"/>
      <c r="S250" s="206"/>
      <c r="T250" s="206"/>
      <c r="U250" s="206"/>
      <c r="V250" s="206"/>
      <c r="W250" s="206"/>
      <c r="X250" s="206"/>
      <c r="Y250" s="206"/>
      <c r="Z250" s="206"/>
      <c r="AA250" s="206"/>
      <c r="AB250" s="206"/>
      <c r="AC250" s="206"/>
      <c r="AD250" s="153"/>
      <c r="AE250" s="153"/>
      <c r="AF250" s="231"/>
      <c r="AG250" s="231"/>
      <c r="AH250" s="231"/>
    </row>
    <row r="251">
      <c r="A251" s="153"/>
      <c r="B251" s="206"/>
      <c r="C251" s="153"/>
      <c r="D251" s="153"/>
      <c r="E251" s="153"/>
      <c r="F251" s="206"/>
      <c r="G251" s="206"/>
      <c r="H251" s="206"/>
      <c r="I251" s="206"/>
      <c r="J251" s="206"/>
      <c r="K251" s="153"/>
      <c r="L251" s="153"/>
      <c r="M251" s="153"/>
      <c r="N251" s="153"/>
      <c r="O251" s="206"/>
      <c r="P251" s="206"/>
      <c r="Q251" s="206"/>
      <c r="R251" s="230"/>
      <c r="S251" s="206"/>
      <c r="T251" s="206"/>
      <c r="U251" s="206"/>
      <c r="V251" s="206"/>
      <c r="W251" s="206"/>
      <c r="X251" s="206"/>
      <c r="Y251" s="206"/>
      <c r="Z251" s="206"/>
      <c r="AA251" s="206"/>
      <c r="AB251" s="206"/>
      <c r="AC251" s="206"/>
      <c r="AD251" s="153"/>
      <c r="AE251" s="153"/>
      <c r="AF251" s="231"/>
      <c r="AG251" s="231"/>
      <c r="AH251" s="231"/>
    </row>
    <row r="252">
      <c r="A252" s="153"/>
      <c r="B252" s="206"/>
      <c r="C252" s="153"/>
      <c r="D252" s="153"/>
      <c r="E252" s="153"/>
      <c r="F252" s="206"/>
      <c r="G252" s="206"/>
      <c r="H252" s="206"/>
      <c r="I252" s="206"/>
      <c r="J252" s="206"/>
      <c r="K252" s="153"/>
      <c r="L252" s="153"/>
      <c r="M252" s="153"/>
      <c r="N252" s="153"/>
      <c r="O252" s="206"/>
      <c r="P252" s="206"/>
      <c r="Q252" s="206"/>
      <c r="R252" s="230"/>
      <c r="S252" s="206"/>
      <c r="T252" s="206"/>
      <c r="U252" s="206"/>
      <c r="V252" s="206"/>
      <c r="W252" s="206"/>
      <c r="X252" s="206"/>
      <c r="Y252" s="206"/>
      <c r="Z252" s="206"/>
      <c r="AA252" s="206"/>
      <c r="AB252" s="206"/>
      <c r="AC252" s="206"/>
      <c r="AD252" s="153"/>
      <c r="AE252" s="153"/>
      <c r="AF252" s="231"/>
      <c r="AG252" s="231"/>
      <c r="AH252" s="231"/>
    </row>
    <row r="253">
      <c r="A253" s="153"/>
      <c r="B253" s="206"/>
      <c r="C253" s="153"/>
      <c r="D253" s="153"/>
      <c r="E253" s="153"/>
      <c r="F253" s="206"/>
      <c r="G253" s="206"/>
      <c r="H253" s="206"/>
      <c r="I253" s="206"/>
      <c r="J253" s="206"/>
      <c r="K253" s="153"/>
      <c r="L253" s="153"/>
      <c r="M253" s="153"/>
      <c r="N253" s="153"/>
      <c r="O253" s="206"/>
      <c r="P253" s="206"/>
      <c r="Q253" s="206"/>
      <c r="R253" s="230"/>
      <c r="S253" s="206"/>
      <c r="T253" s="206"/>
      <c r="U253" s="206"/>
      <c r="V253" s="206"/>
      <c r="W253" s="206"/>
      <c r="X253" s="206"/>
      <c r="Y253" s="206"/>
      <c r="Z253" s="206"/>
      <c r="AA253" s="206"/>
      <c r="AB253" s="206"/>
      <c r="AC253" s="206"/>
      <c r="AD253" s="153"/>
      <c r="AE253" s="153"/>
      <c r="AF253" s="231"/>
      <c r="AG253" s="231"/>
      <c r="AH253" s="231"/>
    </row>
    <row r="254">
      <c r="A254" s="153"/>
      <c r="B254" s="206"/>
      <c r="C254" s="153"/>
      <c r="D254" s="153"/>
      <c r="E254" s="153"/>
      <c r="F254" s="206"/>
      <c r="G254" s="206"/>
      <c r="H254" s="206"/>
      <c r="I254" s="206"/>
      <c r="J254" s="206"/>
      <c r="K254" s="153"/>
      <c r="L254" s="153"/>
      <c r="M254" s="153"/>
      <c r="N254" s="153"/>
      <c r="O254" s="206"/>
      <c r="P254" s="206"/>
      <c r="Q254" s="206"/>
      <c r="R254" s="230"/>
      <c r="S254" s="206"/>
      <c r="T254" s="206"/>
      <c r="U254" s="206"/>
      <c r="V254" s="206"/>
      <c r="W254" s="206"/>
      <c r="X254" s="206"/>
      <c r="Y254" s="206"/>
      <c r="Z254" s="206"/>
      <c r="AA254" s="206"/>
      <c r="AB254" s="206"/>
      <c r="AC254" s="206"/>
      <c r="AD254" s="153"/>
      <c r="AE254" s="153"/>
      <c r="AF254" s="231"/>
      <c r="AG254" s="231"/>
      <c r="AH254" s="231"/>
    </row>
    <row r="255">
      <c r="A255" s="153"/>
      <c r="B255" s="206"/>
      <c r="C255" s="153"/>
      <c r="D255" s="153"/>
      <c r="E255" s="153"/>
      <c r="F255" s="206"/>
      <c r="G255" s="206"/>
      <c r="H255" s="206"/>
      <c r="I255" s="206"/>
      <c r="J255" s="206"/>
      <c r="K255" s="153"/>
      <c r="L255" s="153"/>
      <c r="M255" s="153"/>
      <c r="N255" s="153"/>
      <c r="O255" s="206"/>
      <c r="P255" s="206"/>
      <c r="Q255" s="206"/>
      <c r="R255" s="230"/>
      <c r="S255" s="206"/>
      <c r="T255" s="206"/>
      <c r="U255" s="206"/>
      <c r="V255" s="206"/>
      <c r="W255" s="206"/>
      <c r="X255" s="206"/>
      <c r="Y255" s="206"/>
      <c r="Z255" s="206"/>
      <c r="AA255" s="206"/>
      <c r="AB255" s="206"/>
      <c r="AC255" s="206"/>
      <c r="AD255" s="153"/>
      <c r="AE255" s="153"/>
      <c r="AF255" s="231"/>
      <c r="AG255" s="231"/>
      <c r="AH255" s="231"/>
    </row>
    <row r="256">
      <c r="A256" s="153"/>
      <c r="B256" s="206"/>
      <c r="C256" s="153"/>
      <c r="D256" s="153"/>
      <c r="E256" s="153"/>
      <c r="F256" s="206"/>
      <c r="G256" s="206"/>
      <c r="H256" s="206"/>
      <c r="I256" s="206"/>
      <c r="J256" s="206"/>
      <c r="K256" s="153"/>
      <c r="L256" s="153"/>
      <c r="M256" s="153"/>
      <c r="N256" s="153"/>
      <c r="O256" s="206"/>
      <c r="P256" s="206"/>
      <c r="Q256" s="206"/>
      <c r="R256" s="230"/>
      <c r="S256" s="206"/>
      <c r="T256" s="206"/>
      <c r="U256" s="206"/>
      <c r="V256" s="206"/>
      <c r="W256" s="206"/>
      <c r="X256" s="206"/>
      <c r="Y256" s="206"/>
      <c r="Z256" s="206"/>
      <c r="AA256" s="206"/>
      <c r="AB256" s="206"/>
      <c r="AC256" s="206"/>
      <c r="AD256" s="153"/>
      <c r="AE256" s="153"/>
      <c r="AF256" s="231"/>
      <c r="AG256" s="231"/>
      <c r="AH256" s="231"/>
    </row>
    <row r="257">
      <c r="A257" s="153"/>
      <c r="B257" s="206"/>
      <c r="C257" s="153"/>
      <c r="D257" s="153"/>
      <c r="E257" s="153"/>
      <c r="F257" s="206"/>
      <c r="G257" s="206"/>
      <c r="H257" s="206"/>
      <c r="I257" s="206"/>
      <c r="J257" s="206"/>
      <c r="K257" s="153"/>
      <c r="L257" s="153"/>
      <c r="M257" s="153"/>
      <c r="N257" s="153"/>
      <c r="O257" s="206"/>
      <c r="P257" s="206"/>
      <c r="Q257" s="206"/>
      <c r="R257" s="230"/>
      <c r="S257" s="206"/>
      <c r="T257" s="206"/>
      <c r="U257" s="206"/>
      <c r="V257" s="206"/>
      <c r="W257" s="206"/>
      <c r="X257" s="206"/>
      <c r="Y257" s="206"/>
      <c r="Z257" s="206"/>
      <c r="AA257" s="206"/>
      <c r="AB257" s="206"/>
      <c r="AC257" s="206"/>
      <c r="AD257" s="153"/>
      <c r="AE257" s="153"/>
      <c r="AF257" s="231"/>
      <c r="AG257" s="231"/>
      <c r="AH257" s="231"/>
    </row>
    <row r="258">
      <c r="A258" s="153"/>
      <c r="B258" s="206"/>
      <c r="C258" s="153"/>
      <c r="D258" s="153"/>
      <c r="E258" s="153"/>
      <c r="F258" s="206"/>
      <c r="G258" s="206"/>
      <c r="H258" s="206"/>
      <c r="I258" s="206"/>
      <c r="J258" s="206"/>
      <c r="K258" s="153"/>
      <c r="L258" s="153"/>
      <c r="M258" s="153"/>
      <c r="N258" s="153"/>
      <c r="O258" s="206"/>
      <c r="P258" s="206"/>
      <c r="Q258" s="206"/>
      <c r="R258" s="230"/>
      <c r="S258" s="206"/>
      <c r="T258" s="206"/>
      <c r="U258" s="206"/>
      <c r="V258" s="206"/>
      <c r="W258" s="206"/>
      <c r="X258" s="206"/>
      <c r="Y258" s="206"/>
      <c r="Z258" s="206"/>
      <c r="AA258" s="206"/>
      <c r="AB258" s="206"/>
      <c r="AC258" s="206"/>
      <c r="AD258" s="153"/>
      <c r="AE258" s="153"/>
      <c r="AF258" s="231"/>
      <c r="AG258" s="231"/>
      <c r="AH258" s="231"/>
    </row>
    <row r="259">
      <c r="A259" s="153"/>
      <c r="B259" s="206"/>
      <c r="C259" s="153"/>
      <c r="D259" s="153"/>
      <c r="E259" s="153"/>
      <c r="F259" s="206"/>
      <c r="G259" s="206"/>
      <c r="H259" s="206"/>
      <c r="I259" s="206"/>
      <c r="J259" s="206"/>
      <c r="K259" s="153"/>
      <c r="L259" s="153"/>
      <c r="M259" s="153"/>
      <c r="N259" s="153"/>
      <c r="O259" s="206"/>
      <c r="P259" s="206"/>
      <c r="Q259" s="206"/>
      <c r="R259" s="230"/>
      <c r="S259" s="206"/>
      <c r="T259" s="206"/>
      <c r="U259" s="206"/>
      <c r="V259" s="206"/>
      <c r="W259" s="206"/>
      <c r="X259" s="206"/>
      <c r="Y259" s="206"/>
      <c r="Z259" s="206"/>
      <c r="AA259" s="206"/>
      <c r="AB259" s="206"/>
      <c r="AC259" s="206"/>
      <c r="AD259" s="153"/>
      <c r="AE259" s="153"/>
      <c r="AF259" s="231"/>
      <c r="AG259" s="231"/>
      <c r="AH259" s="231"/>
    </row>
    <row r="260">
      <c r="A260" s="153"/>
      <c r="B260" s="206"/>
      <c r="C260" s="153"/>
      <c r="D260" s="153"/>
      <c r="E260" s="153"/>
      <c r="F260" s="206"/>
      <c r="G260" s="206"/>
      <c r="H260" s="206"/>
      <c r="I260" s="206"/>
      <c r="J260" s="206"/>
      <c r="K260" s="153"/>
      <c r="L260" s="153"/>
      <c r="M260" s="153"/>
      <c r="N260" s="153"/>
      <c r="O260" s="206"/>
      <c r="P260" s="206"/>
      <c r="Q260" s="206"/>
      <c r="R260" s="230"/>
      <c r="S260" s="206"/>
      <c r="T260" s="206"/>
      <c r="U260" s="206"/>
      <c r="V260" s="206"/>
      <c r="W260" s="206"/>
      <c r="X260" s="206"/>
      <c r="Y260" s="206"/>
      <c r="Z260" s="206"/>
      <c r="AA260" s="206"/>
      <c r="AB260" s="206"/>
      <c r="AC260" s="206"/>
      <c r="AD260" s="153"/>
      <c r="AE260" s="153"/>
      <c r="AF260" s="231"/>
      <c r="AG260" s="231"/>
      <c r="AH260" s="231"/>
    </row>
    <row r="261">
      <c r="A261" s="153"/>
      <c r="B261" s="206"/>
      <c r="C261" s="153"/>
      <c r="D261" s="153"/>
      <c r="E261" s="153"/>
      <c r="F261" s="206"/>
      <c r="G261" s="206"/>
      <c r="H261" s="206"/>
      <c r="I261" s="206"/>
      <c r="J261" s="206"/>
      <c r="K261" s="153"/>
      <c r="L261" s="153"/>
      <c r="M261" s="153"/>
      <c r="N261" s="153"/>
      <c r="O261" s="206"/>
      <c r="P261" s="206"/>
      <c r="Q261" s="206"/>
      <c r="R261" s="230"/>
      <c r="S261" s="206"/>
      <c r="T261" s="206"/>
      <c r="U261" s="206"/>
      <c r="V261" s="206"/>
      <c r="W261" s="206"/>
      <c r="X261" s="206"/>
      <c r="Y261" s="206"/>
      <c r="Z261" s="206"/>
      <c r="AA261" s="206"/>
      <c r="AB261" s="206"/>
      <c r="AC261" s="206"/>
      <c r="AD261" s="153"/>
      <c r="AE261" s="153"/>
      <c r="AF261" s="231"/>
      <c r="AG261" s="231"/>
      <c r="AH261" s="231"/>
    </row>
    <row r="262">
      <c r="A262" s="153"/>
      <c r="B262" s="206"/>
      <c r="C262" s="153"/>
      <c r="D262" s="153"/>
      <c r="E262" s="153"/>
      <c r="F262" s="206"/>
      <c r="G262" s="206"/>
      <c r="H262" s="206"/>
      <c r="I262" s="206"/>
      <c r="J262" s="206"/>
      <c r="K262" s="153"/>
      <c r="L262" s="153"/>
      <c r="M262" s="153"/>
      <c r="N262" s="153"/>
      <c r="O262" s="206"/>
      <c r="P262" s="206"/>
      <c r="Q262" s="206"/>
      <c r="R262" s="230"/>
      <c r="S262" s="206"/>
      <c r="T262" s="206"/>
      <c r="U262" s="206"/>
      <c r="V262" s="206"/>
      <c r="W262" s="206"/>
      <c r="X262" s="206"/>
      <c r="Y262" s="206"/>
      <c r="Z262" s="206"/>
      <c r="AA262" s="206"/>
      <c r="AB262" s="206"/>
      <c r="AC262" s="206"/>
      <c r="AD262" s="153"/>
      <c r="AE262" s="153"/>
      <c r="AF262" s="231"/>
      <c r="AG262" s="231"/>
      <c r="AH262" s="231"/>
    </row>
    <row r="263">
      <c r="A263" s="153"/>
      <c r="B263" s="206"/>
      <c r="C263" s="153"/>
      <c r="D263" s="153"/>
      <c r="E263" s="153"/>
      <c r="F263" s="206"/>
      <c r="G263" s="206"/>
      <c r="H263" s="206"/>
      <c r="I263" s="206"/>
      <c r="J263" s="206"/>
      <c r="K263" s="153"/>
      <c r="L263" s="153"/>
      <c r="M263" s="153"/>
      <c r="N263" s="153"/>
      <c r="O263" s="206"/>
      <c r="P263" s="206"/>
      <c r="Q263" s="206"/>
      <c r="R263" s="230"/>
      <c r="S263" s="206"/>
      <c r="T263" s="206"/>
      <c r="U263" s="206"/>
      <c r="V263" s="206"/>
      <c r="W263" s="206"/>
      <c r="X263" s="206"/>
      <c r="Y263" s="206"/>
      <c r="Z263" s="206"/>
      <c r="AA263" s="206"/>
      <c r="AB263" s="206"/>
      <c r="AC263" s="206"/>
      <c r="AD263" s="153"/>
      <c r="AE263" s="153"/>
      <c r="AF263" s="231"/>
      <c r="AG263" s="231"/>
      <c r="AH263" s="231"/>
    </row>
    <row r="264">
      <c r="A264" s="153"/>
      <c r="B264" s="206"/>
      <c r="C264" s="153"/>
      <c r="D264" s="153"/>
      <c r="E264" s="153"/>
      <c r="F264" s="206"/>
      <c r="G264" s="206"/>
      <c r="H264" s="206"/>
      <c r="I264" s="206"/>
      <c r="J264" s="206"/>
      <c r="K264" s="153"/>
      <c r="L264" s="153"/>
      <c r="M264" s="153"/>
      <c r="N264" s="153"/>
      <c r="O264" s="206"/>
      <c r="P264" s="206"/>
      <c r="Q264" s="206"/>
      <c r="R264" s="230"/>
      <c r="S264" s="206"/>
      <c r="T264" s="206"/>
      <c r="U264" s="206"/>
      <c r="V264" s="206"/>
      <c r="W264" s="206"/>
      <c r="X264" s="206"/>
      <c r="Y264" s="206"/>
      <c r="Z264" s="206"/>
      <c r="AA264" s="206"/>
      <c r="AB264" s="206"/>
      <c r="AC264" s="206"/>
      <c r="AD264" s="153"/>
      <c r="AE264" s="153"/>
      <c r="AF264" s="231"/>
      <c r="AG264" s="231"/>
      <c r="AH264" s="231"/>
    </row>
    <row r="265">
      <c r="A265" s="153"/>
      <c r="B265" s="206"/>
      <c r="C265" s="153"/>
      <c r="D265" s="153"/>
      <c r="E265" s="153"/>
      <c r="F265" s="206"/>
      <c r="G265" s="206"/>
      <c r="H265" s="206"/>
      <c r="I265" s="206"/>
      <c r="J265" s="206"/>
      <c r="K265" s="153"/>
      <c r="L265" s="153"/>
      <c r="M265" s="153"/>
      <c r="N265" s="153"/>
      <c r="O265" s="206"/>
      <c r="P265" s="206"/>
      <c r="Q265" s="206"/>
      <c r="R265" s="230"/>
      <c r="S265" s="206"/>
      <c r="T265" s="206"/>
      <c r="U265" s="206"/>
      <c r="V265" s="206"/>
      <c r="W265" s="206"/>
      <c r="X265" s="206"/>
      <c r="Y265" s="206"/>
      <c r="Z265" s="206"/>
      <c r="AA265" s="206"/>
      <c r="AB265" s="206"/>
      <c r="AC265" s="206"/>
      <c r="AD265" s="153"/>
      <c r="AE265" s="153"/>
      <c r="AF265" s="231"/>
      <c r="AG265" s="231"/>
      <c r="AH265" s="231"/>
    </row>
    <row r="266">
      <c r="A266" s="153"/>
      <c r="B266" s="206"/>
      <c r="C266" s="153"/>
      <c r="D266" s="153"/>
      <c r="E266" s="153"/>
      <c r="F266" s="206"/>
      <c r="G266" s="206"/>
      <c r="H266" s="206"/>
      <c r="I266" s="206"/>
      <c r="J266" s="206"/>
      <c r="K266" s="153"/>
      <c r="L266" s="153"/>
      <c r="M266" s="153"/>
      <c r="N266" s="153"/>
      <c r="O266" s="206"/>
      <c r="P266" s="206"/>
      <c r="Q266" s="206"/>
      <c r="R266" s="230"/>
      <c r="S266" s="206"/>
      <c r="T266" s="206"/>
      <c r="U266" s="206"/>
      <c r="V266" s="206"/>
      <c r="W266" s="206"/>
      <c r="X266" s="206"/>
      <c r="Y266" s="206"/>
      <c r="Z266" s="206"/>
      <c r="AA266" s="206"/>
      <c r="AB266" s="206"/>
      <c r="AC266" s="206"/>
      <c r="AD266" s="153"/>
      <c r="AE266" s="153"/>
      <c r="AF266" s="231"/>
      <c r="AG266" s="231"/>
      <c r="AH266" s="231"/>
    </row>
    <row r="267">
      <c r="A267" s="153"/>
      <c r="B267" s="206"/>
      <c r="C267" s="153"/>
      <c r="D267" s="153"/>
      <c r="E267" s="153"/>
      <c r="F267" s="206"/>
      <c r="G267" s="206"/>
      <c r="H267" s="206"/>
      <c r="I267" s="206"/>
      <c r="J267" s="206"/>
      <c r="K267" s="153"/>
      <c r="L267" s="153"/>
      <c r="M267" s="153"/>
      <c r="N267" s="153"/>
      <c r="O267" s="206"/>
      <c r="P267" s="206"/>
      <c r="Q267" s="206"/>
      <c r="R267" s="230"/>
      <c r="S267" s="206"/>
      <c r="T267" s="206"/>
      <c r="U267" s="206"/>
      <c r="V267" s="206"/>
      <c r="W267" s="206"/>
      <c r="X267" s="206"/>
      <c r="Y267" s="206"/>
      <c r="Z267" s="206"/>
      <c r="AA267" s="206"/>
      <c r="AB267" s="206"/>
      <c r="AC267" s="206"/>
      <c r="AD267" s="153"/>
      <c r="AE267" s="153"/>
      <c r="AF267" s="231"/>
      <c r="AG267" s="231"/>
      <c r="AH267" s="231"/>
    </row>
    <row r="268">
      <c r="A268" s="153"/>
      <c r="B268" s="206"/>
      <c r="C268" s="153"/>
      <c r="D268" s="153"/>
      <c r="E268" s="153"/>
      <c r="F268" s="206"/>
      <c r="G268" s="206"/>
      <c r="H268" s="206"/>
      <c r="I268" s="206"/>
      <c r="J268" s="206"/>
      <c r="K268" s="153"/>
      <c r="L268" s="153"/>
      <c r="M268" s="153"/>
      <c r="N268" s="153"/>
      <c r="O268" s="206"/>
      <c r="P268" s="206"/>
      <c r="Q268" s="206"/>
      <c r="R268" s="230"/>
      <c r="S268" s="206"/>
      <c r="T268" s="206"/>
      <c r="U268" s="206"/>
      <c r="V268" s="206"/>
      <c r="W268" s="206"/>
      <c r="X268" s="206"/>
      <c r="Y268" s="206"/>
      <c r="Z268" s="206"/>
      <c r="AA268" s="206"/>
      <c r="AB268" s="206"/>
      <c r="AC268" s="206"/>
      <c r="AD268" s="153"/>
      <c r="AE268" s="153"/>
      <c r="AF268" s="231"/>
      <c r="AG268" s="231"/>
      <c r="AH268" s="231"/>
    </row>
    <row r="269">
      <c r="A269" s="153"/>
      <c r="B269" s="206"/>
      <c r="C269" s="153"/>
      <c r="D269" s="153"/>
      <c r="E269" s="153"/>
      <c r="F269" s="206"/>
      <c r="G269" s="206"/>
      <c r="H269" s="206"/>
      <c r="I269" s="206"/>
      <c r="J269" s="206"/>
      <c r="K269" s="153"/>
      <c r="L269" s="153"/>
      <c r="M269" s="153"/>
      <c r="N269" s="153"/>
      <c r="O269" s="206"/>
      <c r="P269" s="206"/>
      <c r="Q269" s="206"/>
      <c r="R269" s="230"/>
      <c r="S269" s="206"/>
      <c r="T269" s="206"/>
      <c r="U269" s="206"/>
      <c r="V269" s="206"/>
      <c r="W269" s="206"/>
      <c r="X269" s="206"/>
      <c r="Y269" s="206"/>
      <c r="Z269" s="206"/>
      <c r="AA269" s="206"/>
      <c r="AB269" s="206"/>
      <c r="AC269" s="206"/>
      <c r="AD269" s="153"/>
      <c r="AE269" s="153"/>
      <c r="AF269" s="231"/>
      <c r="AG269" s="231"/>
      <c r="AH269" s="231"/>
    </row>
    <row r="270">
      <c r="A270" s="153"/>
      <c r="B270" s="206"/>
      <c r="C270" s="153"/>
      <c r="D270" s="153"/>
      <c r="E270" s="153"/>
      <c r="F270" s="206"/>
      <c r="G270" s="206"/>
      <c r="H270" s="206"/>
      <c r="I270" s="206"/>
      <c r="J270" s="206"/>
      <c r="K270" s="153"/>
      <c r="L270" s="153"/>
      <c r="M270" s="153"/>
      <c r="N270" s="153"/>
      <c r="O270" s="206"/>
      <c r="P270" s="206"/>
      <c r="Q270" s="206"/>
      <c r="R270" s="230"/>
      <c r="S270" s="206"/>
      <c r="T270" s="206"/>
      <c r="U270" s="206"/>
      <c r="V270" s="206"/>
      <c r="W270" s="206"/>
      <c r="X270" s="206"/>
      <c r="Y270" s="206"/>
      <c r="Z270" s="206"/>
      <c r="AA270" s="206"/>
      <c r="AB270" s="206"/>
      <c r="AC270" s="206"/>
      <c r="AD270" s="153"/>
      <c r="AE270" s="153"/>
      <c r="AF270" s="231"/>
      <c r="AG270" s="231"/>
      <c r="AH270" s="231"/>
    </row>
    <row r="271">
      <c r="A271" s="153"/>
      <c r="B271" s="206"/>
      <c r="C271" s="153"/>
      <c r="D271" s="153"/>
      <c r="E271" s="153"/>
      <c r="F271" s="206"/>
      <c r="G271" s="206"/>
      <c r="H271" s="206"/>
      <c r="I271" s="206"/>
      <c r="J271" s="206"/>
      <c r="K271" s="153"/>
      <c r="L271" s="153"/>
      <c r="M271" s="153"/>
      <c r="N271" s="153"/>
      <c r="O271" s="206"/>
      <c r="P271" s="206"/>
      <c r="Q271" s="206"/>
      <c r="R271" s="230"/>
      <c r="S271" s="206"/>
      <c r="T271" s="206"/>
      <c r="U271" s="206"/>
      <c r="V271" s="206"/>
      <c r="W271" s="206"/>
      <c r="X271" s="206"/>
      <c r="Y271" s="206"/>
      <c r="Z271" s="206"/>
      <c r="AA271" s="206"/>
      <c r="AB271" s="206"/>
      <c r="AC271" s="206"/>
      <c r="AD271" s="153"/>
      <c r="AE271" s="153"/>
      <c r="AF271" s="231"/>
      <c r="AG271" s="231"/>
      <c r="AH271" s="231"/>
    </row>
    <row r="272">
      <c r="A272" s="153"/>
      <c r="B272" s="206"/>
      <c r="C272" s="153"/>
      <c r="D272" s="153"/>
      <c r="E272" s="153"/>
      <c r="F272" s="206"/>
      <c r="G272" s="206"/>
      <c r="H272" s="206"/>
      <c r="I272" s="206"/>
      <c r="J272" s="206"/>
      <c r="K272" s="153"/>
      <c r="L272" s="153"/>
      <c r="M272" s="153"/>
      <c r="N272" s="153"/>
      <c r="O272" s="206"/>
      <c r="P272" s="206"/>
      <c r="Q272" s="206"/>
      <c r="R272" s="230"/>
      <c r="S272" s="206"/>
      <c r="T272" s="206"/>
      <c r="U272" s="206"/>
      <c r="V272" s="206"/>
      <c r="W272" s="206"/>
      <c r="X272" s="206"/>
      <c r="Y272" s="206"/>
      <c r="Z272" s="206"/>
      <c r="AA272" s="206"/>
      <c r="AB272" s="206"/>
      <c r="AC272" s="206"/>
      <c r="AD272" s="153"/>
      <c r="AE272" s="153"/>
      <c r="AF272" s="231"/>
      <c r="AG272" s="231"/>
      <c r="AH272" s="231"/>
    </row>
    <row r="273">
      <c r="A273" s="153"/>
      <c r="B273" s="206"/>
      <c r="C273" s="153"/>
      <c r="D273" s="153"/>
      <c r="E273" s="153"/>
      <c r="F273" s="206"/>
      <c r="G273" s="206"/>
      <c r="H273" s="206"/>
      <c r="I273" s="206"/>
      <c r="J273" s="206"/>
      <c r="K273" s="153"/>
      <c r="L273" s="153"/>
      <c r="M273" s="153"/>
      <c r="N273" s="153"/>
      <c r="O273" s="206"/>
      <c r="P273" s="206"/>
      <c r="Q273" s="206"/>
      <c r="R273" s="230"/>
      <c r="S273" s="206"/>
      <c r="T273" s="206"/>
      <c r="U273" s="206"/>
      <c r="V273" s="206"/>
      <c r="W273" s="206"/>
      <c r="X273" s="206"/>
      <c r="Y273" s="206"/>
      <c r="Z273" s="206"/>
      <c r="AA273" s="206"/>
      <c r="AB273" s="206"/>
      <c r="AC273" s="206"/>
      <c r="AD273" s="153"/>
      <c r="AE273" s="153"/>
      <c r="AF273" s="231"/>
      <c r="AG273" s="231"/>
      <c r="AH273" s="231"/>
    </row>
    <row r="274">
      <c r="A274" s="153"/>
      <c r="B274" s="206"/>
      <c r="C274" s="153"/>
      <c r="D274" s="153"/>
      <c r="E274" s="153"/>
      <c r="F274" s="206"/>
      <c r="G274" s="206"/>
      <c r="H274" s="206"/>
      <c r="I274" s="206"/>
      <c r="J274" s="206"/>
      <c r="K274" s="153"/>
      <c r="L274" s="153"/>
      <c r="M274" s="153"/>
      <c r="N274" s="153"/>
      <c r="O274" s="206"/>
      <c r="P274" s="206"/>
      <c r="Q274" s="206"/>
      <c r="R274" s="230"/>
      <c r="S274" s="206"/>
      <c r="T274" s="206"/>
      <c r="U274" s="206"/>
      <c r="V274" s="206"/>
      <c r="W274" s="206"/>
      <c r="X274" s="206"/>
      <c r="Y274" s="206"/>
      <c r="Z274" s="206"/>
      <c r="AA274" s="206"/>
      <c r="AB274" s="206"/>
      <c r="AC274" s="206"/>
      <c r="AD274" s="153"/>
      <c r="AE274" s="153"/>
      <c r="AF274" s="231"/>
      <c r="AG274" s="231"/>
      <c r="AH274" s="231"/>
    </row>
    <row r="275">
      <c r="A275" s="153"/>
      <c r="B275" s="206"/>
      <c r="C275" s="153"/>
      <c r="D275" s="153"/>
      <c r="E275" s="153"/>
      <c r="F275" s="206"/>
      <c r="G275" s="206"/>
      <c r="H275" s="206"/>
      <c r="I275" s="206"/>
      <c r="J275" s="206"/>
      <c r="K275" s="153"/>
      <c r="L275" s="153"/>
      <c r="M275" s="153"/>
      <c r="N275" s="153"/>
      <c r="O275" s="206"/>
      <c r="P275" s="206"/>
      <c r="Q275" s="206"/>
      <c r="R275" s="230"/>
      <c r="S275" s="206"/>
      <c r="T275" s="206"/>
      <c r="U275" s="206"/>
      <c r="V275" s="206"/>
      <c r="W275" s="206"/>
      <c r="X275" s="206"/>
      <c r="Y275" s="206"/>
      <c r="Z275" s="206"/>
      <c r="AA275" s="206"/>
      <c r="AB275" s="206"/>
      <c r="AC275" s="206"/>
      <c r="AD275" s="153"/>
      <c r="AE275" s="153"/>
      <c r="AF275" s="231"/>
      <c r="AG275" s="231"/>
      <c r="AH275" s="231"/>
    </row>
    <row r="276">
      <c r="A276" s="153"/>
      <c r="B276" s="206"/>
      <c r="C276" s="153"/>
      <c r="D276" s="153"/>
      <c r="E276" s="153"/>
      <c r="F276" s="206"/>
      <c r="G276" s="206"/>
      <c r="H276" s="206"/>
      <c r="I276" s="206"/>
      <c r="J276" s="206"/>
      <c r="K276" s="153"/>
      <c r="L276" s="153"/>
      <c r="M276" s="153"/>
      <c r="N276" s="153"/>
      <c r="O276" s="206"/>
      <c r="P276" s="206"/>
      <c r="Q276" s="206"/>
      <c r="R276" s="230"/>
      <c r="S276" s="206"/>
      <c r="T276" s="206"/>
      <c r="U276" s="206"/>
      <c r="V276" s="206"/>
      <c r="W276" s="206"/>
      <c r="X276" s="206"/>
      <c r="Y276" s="206"/>
      <c r="Z276" s="206"/>
      <c r="AA276" s="206"/>
      <c r="AB276" s="206"/>
      <c r="AC276" s="206"/>
      <c r="AD276" s="153"/>
      <c r="AE276" s="153"/>
      <c r="AF276" s="231"/>
      <c r="AG276" s="231"/>
      <c r="AH276" s="231"/>
    </row>
    <row r="277">
      <c r="A277" s="153"/>
      <c r="B277" s="206"/>
      <c r="C277" s="153"/>
      <c r="D277" s="153"/>
      <c r="E277" s="153"/>
      <c r="F277" s="206"/>
      <c r="G277" s="206"/>
      <c r="H277" s="206"/>
      <c r="I277" s="206"/>
      <c r="J277" s="206"/>
      <c r="K277" s="153"/>
      <c r="L277" s="153"/>
      <c r="M277" s="153"/>
      <c r="N277" s="153"/>
      <c r="O277" s="206"/>
      <c r="P277" s="206"/>
      <c r="Q277" s="206"/>
      <c r="R277" s="230"/>
      <c r="S277" s="206"/>
      <c r="T277" s="206"/>
      <c r="U277" s="206"/>
      <c r="V277" s="206"/>
      <c r="W277" s="206"/>
      <c r="X277" s="206"/>
      <c r="Y277" s="206"/>
      <c r="Z277" s="206"/>
      <c r="AA277" s="206"/>
      <c r="AB277" s="206"/>
      <c r="AC277" s="206"/>
      <c r="AD277" s="153"/>
      <c r="AE277" s="153"/>
      <c r="AF277" s="231"/>
      <c r="AG277" s="231"/>
      <c r="AH277" s="231"/>
    </row>
    <row r="278">
      <c r="A278" s="153"/>
      <c r="B278" s="206"/>
      <c r="C278" s="153"/>
      <c r="D278" s="153"/>
      <c r="E278" s="153"/>
      <c r="F278" s="206"/>
      <c r="G278" s="206"/>
      <c r="H278" s="206"/>
      <c r="I278" s="206"/>
      <c r="J278" s="206"/>
      <c r="K278" s="153"/>
      <c r="L278" s="153"/>
      <c r="M278" s="153"/>
      <c r="N278" s="153"/>
      <c r="O278" s="206"/>
      <c r="P278" s="206"/>
      <c r="Q278" s="206"/>
      <c r="R278" s="230"/>
      <c r="S278" s="206"/>
      <c r="T278" s="206"/>
      <c r="U278" s="206"/>
      <c r="V278" s="206"/>
      <c r="W278" s="206"/>
      <c r="X278" s="206"/>
      <c r="Y278" s="206"/>
      <c r="Z278" s="206"/>
      <c r="AA278" s="206"/>
      <c r="AB278" s="206"/>
      <c r="AC278" s="206"/>
      <c r="AD278" s="153"/>
      <c r="AE278" s="153"/>
      <c r="AF278" s="231"/>
      <c r="AG278" s="231"/>
      <c r="AH278" s="231"/>
    </row>
    <row r="279">
      <c r="A279" s="153"/>
      <c r="B279" s="206"/>
      <c r="C279" s="153"/>
      <c r="D279" s="153"/>
      <c r="E279" s="153"/>
      <c r="F279" s="206"/>
      <c r="G279" s="206"/>
      <c r="H279" s="206"/>
      <c r="I279" s="206"/>
      <c r="J279" s="206"/>
      <c r="K279" s="153"/>
      <c r="L279" s="153"/>
      <c r="M279" s="153"/>
      <c r="N279" s="153"/>
      <c r="O279" s="206"/>
      <c r="P279" s="206"/>
      <c r="Q279" s="206"/>
      <c r="R279" s="230"/>
      <c r="S279" s="206"/>
      <c r="T279" s="206"/>
      <c r="U279" s="206"/>
      <c r="V279" s="206"/>
      <c r="W279" s="206"/>
      <c r="X279" s="206"/>
      <c r="Y279" s="206"/>
      <c r="Z279" s="206"/>
      <c r="AA279" s="206"/>
      <c r="AB279" s="206"/>
      <c r="AC279" s="206"/>
      <c r="AD279" s="153"/>
      <c r="AE279" s="153"/>
      <c r="AF279" s="231"/>
      <c r="AG279" s="231"/>
      <c r="AH279" s="231"/>
    </row>
    <row r="280">
      <c r="A280" s="153"/>
      <c r="B280" s="206"/>
      <c r="C280" s="153"/>
      <c r="D280" s="153"/>
      <c r="E280" s="153"/>
      <c r="F280" s="206"/>
      <c r="G280" s="206"/>
      <c r="H280" s="206"/>
      <c r="I280" s="206"/>
      <c r="J280" s="206"/>
      <c r="K280" s="153"/>
      <c r="L280" s="153"/>
      <c r="M280" s="153"/>
      <c r="N280" s="153"/>
      <c r="O280" s="206"/>
      <c r="P280" s="206"/>
      <c r="Q280" s="206"/>
      <c r="R280" s="230"/>
      <c r="S280" s="206"/>
      <c r="T280" s="206"/>
      <c r="U280" s="206"/>
      <c r="V280" s="206"/>
      <c r="W280" s="206"/>
      <c r="X280" s="206"/>
      <c r="Y280" s="206"/>
      <c r="Z280" s="206"/>
      <c r="AA280" s="206"/>
      <c r="AB280" s="206"/>
      <c r="AC280" s="206"/>
      <c r="AD280" s="153"/>
      <c r="AE280" s="153"/>
      <c r="AF280" s="231"/>
      <c r="AG280" s="231"/>
      <c r="AH280" s="231"/>
    </row>
    <row r="281">
      <c r="A281" s="153"/>
      <c r="B281" s="206"/>
      <c r="C281" s="153"/>
      <c r="D281" s="153"/>
      <c r="E281" s="153"/>
      <c r="F281" s="206"/>
      <c r="G281" s="206"/>
      <c r="H281" s="206"/>
      <c r="I281" s="206"/>
      <c r="J281" s="206"/>
      <c r="K281" s="153"/>
      <c r="L281" s="153"/>
      <c r="M281" s="153"/>
      <c r="N281" s="153"/>
      <c r="O281" s="206"/>
      <c r="P281" s="206"/>
      <c r="Q281" s="206"/>
      <c r="R281" s="230"/>
      <c r="S281" s="206"/>
      <c r="T281" s="206"/>
      <c r="U281" s="206"/>
      <c r="V281" s="206"/>
      <c r="W281" s="206"/>
      <c r="X281" s="206"/>
      <c r="Y281" s="206"/>
      <c r="Z281" s="206"/>
      <c r="AA281" s="206"/>
      <c r="AB281" s="206"/>
      <c r="AC281" s="206"/>
      <c r="AD281" s="153"/>
      <c r="AE281" s="153"/>
      <c r="AF281" s="231"/>
      <c r="AG281" s="231"/>
      <c r="AH281" s="231"/>
    </row>
    <row r="282">
      <c r="A282" s="153"/>
      <c r="B282" s="206"/>
      <c r="C282" s="153"/>
      <c r="D282" s="153"/>
      <c r="E282" s="153"/>
      <c r="F282" s="206"/>
      <c r="G282" s="206"/>
      <c r="H282" s="206"/>
      <c r="I282" s="206"/>
      <c r="J282" s="206"/>
      <c r="K282" s="153"/>
      <c r="L282" s="153"/>
      <c r="M282" s="153"/>
      <c r="N282" s="153"/>
      <c r="O282" s="206"/>
      <c r="P282" s="206"/>
      <c r="Q282" s="206"/>
      <c r="R282" s="230"/>
      <c r="S282" s="206"/>
      <c r="T282" s="206"/>
      <c r="U282" s="206"/>
      <c r="V282" s="206"/>
      <c r="W282" s="206"/>
      <c r="X282" s="206"/>
      <c r="Y282" s="206"/>
      <c r="Z282" s="206"/>
      <c r="AA282" s="206"/>
      <c r="AB282" s="206"/>
      <c r="AC282" s="206"/>
      <c r="AD282" s="153"/>
      <c r="AE282" s="153"/>
      <c r="AF282" s="231"/>
      <c r="AG282" s="231"/>
      <c r="AH282" s="231"/>
    </row>
    <row r="283">
      <c r="A283" s="153"/>
      <c r="B283" s="206"/>
      <c r="C283" s="153"/>
      <c r="D283" s="153"/>
      <c r="E283" s="153"/>
      <c r="F283" s="206"/>
      <c r="G283" s="206"/>
      <c r="H283" s="206"/>
      <c r="I283" s="206"/>
      <c r="J283" s="206"/>
      <c r="K283" s="153"/>
      <c r="L283" s="153"/>
      <c r="M283" s="153"/>
      <c r="N283" s="153"/>
      <c r="O283" s="206"/>
      <c r="P283" s="206"/>
      <c r="Q283" s="206"/>
      <c r="R283" s="230"/>
      <c r="S283" s="206"/>
      <c r="T283" s="206"/>
      <c r="U283" s="206"/>
      <c r="V283" s="206"/>
      <c r="W283" s="206"/>
      <c r="X283" s="206"/>
      <c r="Y283" s="206"/>
      <c r="Z283" s="206"/>
      <c r="AA283" s="206"/>
      <c r="AB283" s="206"/>
      <c r="AC283" s="206"/>
      <c r="AD283" s="153"/>
      <c r="AE283" s="153"/>
      <c r="AF283" s="231"/>
      <c r="AG283" s="231"/>
      <c r="AH283" s="231"/>
    </row>
    <row r="284">
      <c r="A284" s="153"/>
      <c r="B284" s="206"/>
      <c r="C284" s="153"/>
      <c r="D284" s="153"/>
      <c r="E284" s="153"/>
      <c r="F284" s="206"/>
      <c r="G284" s="206"/>
      <c r="H284" s="206"/>
      <c r="I284" s="206"/>
      <c r="J284" s="206"/>
      <c r="K284" s="153"/>
      <c r="L284" s="153"/>
      <c r="M284" s="153"/>
      <c r="N284" s="153"/>
      <c r="O284" s="206"/>
      <c r="P284" s="206"/>
      <c r="Q284" s="206"/>
      <c r="R284" s="230"/>
      <c r="S284" s="206"/>
      <c r="T284" s="206"/>
      <c r="U284" s="206"/>
      <c r="V284" s="206"/>
      <c r="W284" s="206"/>
      <c r="X284" s="206"/>
      <c r="Y284" s="206"/>
      <c r="Z284" s="206"/>
      <c r="AA284" s="206"/>
      <c r="AB284" s="206"/>
      <c r="AC284" s="206"/>
      <c r="AD284" s="153"/>
      <c r="AE284" s="153"/>
      <c r="AF284" s="231"/>
      <c r="AG284" s="231"/>
      <c r="AH284" s="231"/>
    </row>
    <row r="285">
      <c r="A285" s="153"/>
      <c r="B285" s="206"/>
      <c r="C285" s="153"/>
      <c r="D285" s="153"/>
      <c r="E285" s="153"/>
      <c r="F285" s="206"/>
      <c r="G285" s="206"/>
      <c r="H285" s="206"/>
      <c r="I285" s="206"/>
      <c r="J285" s="206"/>
      <c r="K285" s="153"/>
      <c r="L285" s="153"/>
      <c r="M285" s="153"/>
      <c r="N285" s="153"/>
      <c r="O285" s="206"/>
      <c r="P285" s="206"/>
      <c r="Q285" s="206"/>
      <c r="R285" s="230"/>
      <c r="S285" s="206"/>
      <c r="T285" s="206"/>
      <c r="U285" s="206"/>
      <c r="V285" s="206"/>
      <c r="W285" s="206"/>
      <c r="X285" s="206"/>
      <c r="Y285" s="206"/>
      <c r="Z285" s="206"/>
      <c r="AA285" s="206"/>
      <c r="AB285" s="206"/>
      <c r="AC285" s="206"/>
      <c r="AD285" s="153"/>
      <c r="AE285" s="153"/>
      <c r="AF285" s="231"/>
      <c r="AG285" s="231"/>
      <c r="AH285" s="231"/>
    </row>
    <row r="286">
      <c r="A286" s="153"/>
      <c r="B286" s="206"/>
      <c r="C286" s="153"/>
      <c r="D286" s="153"/>
      <c r="E286" s="153"/>
      <c r="F286" s="206"/>
      <c r="G286" s="206"/>
      <c r="H286" s="206"/>
      <c r="I286" s="206"/>
      <c r="J286" s="206"/>
      <c r="K286" s="153"/>
      <c r="L286" s="153"/>
      <c r="M286" s="153"/>
      <c r="N286" s="153"/>
      <c r="O286" s="206"/>
      <c r="P286" s="206"/>
      <c r="Q286" s="206"/>
      <c r="R286" s="230"/>
      <c r="S286" s="206"/>
      <c r="T286" s="206"/>
      <c r="U286" s="206"/>
      <c r="V286" s="206"/>
      <c r="W286" s="206"/>
      <c r="X286" s="206"/>
      <c r="Y286" s="206"/>
      <c r="Z286" s="206"/>
      <c r="AA286" s="206"/>
      <c r="AB286" s="206"/>
      <c r="AC286" s="206"/>
      <c r="AD286" s="153"/>
      <c r="AE286" s="153"/>
      <c r="AF286" s="231"/>
      <c r="AG286" s="231"/>
      <c r="AH286" s="231"/>
    </row>
    <row r="287">
      <c r="A287" s="153"/>
      <c r="B287" s="206"/>
      <c r="C287" s="153"/>
      <c r="D287" s="153"/>
      <c r="E287" s="153"/>
      <c r="F287" s="206"/>
      <c r="G287" s="206"/>
      <c r="H287" s="206"/>
      <c r="I287" s="206"/>
      <c r="J287" s="206"/>
      <c r="K287" s="153"/>
      <c r="L287" s="153"/>
      <c r="M287" s="153"/>
      <c r="N287" s="153"/>
      <c r="O287" s="206"/>
      <c r="P287" s="206"/>
      <c r="Q287" s="206"/>
      <c r="R287" s="230"/>
      <c r="S287" s="206"/>
      <c r="T287" s="206"/>
      <c r="U287" s="206"/>
      <c r="V287" s="206"/>
      <c r="W287" s="206"/>
      <c r="X287" s="206"/>
      <c r="Y287" s="206"/>
      <c r="Z287" s="206"/>
      <c r="AA287" s="206"/>
      <c r="AB287" s="206"/>
      <c r="AC287" s="206"/>
      <c r="AD287" s="153"/>
      <c r="AE287" s="153"/>
      <c r="AF287" s="231"/>
      <c r="AG287" s="231"/>
      <c r="AH287" s="231"/>
    </row>
    <row r="288">
      <c r="A288" s="153"/>
      <c r="B288" s="206"/>
      <c r="C288" s="153"/>
      <c r="D288" s="153"/>
      <c r="E288" s="153"/>
      <c r="F288" s="206"/>
      <c r="G288" s="206"/>
      <c r="H288" s="206"/>
      <c r="I288" s="206"/>
      <c r="J288" s="206"/>
      <c r="K288" s="153"/>
      <c r="L288" s="153"/>
      <c r="M288" s="153"/>
      <c r="N288" s="153"/>
      <c r="O288" s="206"/>
      <c r="P288" s="206"/>
      <c r="Q288" s="206"/>
      <c r="R288" s="230"/>
      <c r="S288" s="206"/>
      <c r="T288" s="206"/>
      <c r="U288" s="206"/>
      <c r="V288" s="206"/>
      <c r="W288" s="206"/>
      <c r="X288" s="206"/>
      <c r="Y288" s="206"/>
      <c r="Z288" s="206"/>
      <c r="AA288" s="206"/>
      <c r="AB288" s="206"/>
      <c r="AC288" s="206"/>
      <c r="AD288" s="153"/>
      <c r="AE288" s="153"/>
      <c r="AF288" s="231"/>
      <c r="AG288" s="231"/>
      <c r="AH288" s="231"/>
    </row>
    <row r="289">
      <c r="A289" s="153"/>
      <c r="B289" s="206"/>
      <c r="C289" s="153"/>
      <c r="D289" s="153"/>
      <c r="E289" s="153"/>
      <c r="F289" s="206"/>
      <c r="G289" s="206"/>
      <c r="H289" s="206"/>
      <c r="I289" s="206"/>
      <c r="J289" s="206"/>
      <c r="K289" s="153"/>
      <c r="L289" s="153"/>
      <c r="M289" s="153"/>
      <c r="N289" s="153"/>
      <c r="O289" s="206"/>
      <c r="P289" s="206"/>
      <c r="Q289" s="206"/>
      <c r="R289" s="230"/>
      <c r="S289" s="206"/>
      <c r="T289" s="206"/>
      <c r="U289" s="206"/>
      <c r="V289" s="206"/>
      <c r="W289" s="206"/>
      <c r="X289" s="206"/>
      <c r="Y289" s="206"/>
      <c r="Z289" s="206"/>
      <c r="AA289" s="206"/>
      <c r="AB289" s="206"/>
      <c r="AC289" s="206"/>
      <c r="AD289" s="153"/>
      <c r="AE289" s="153"/>
      <c r="AF289" s="231"/>
      <c r="AG289" s="231"/>
      <c r="AH289" s="231"/>
    </row>
    <row r="290">
      <c r="A290" s="153"/>
      <c r="B290" s="206"/>
      <c r="C290" s="153"/>
      <c r="D290" s="153"/>
      <c r="E290" s="153"/>
      <c r="F290" s="206"/>
      <c r="G290" s="206"/>
      <c r="H290" s="206"/>
      <c r="I290" s="206"/>
      <c r="J290" s="206"/>
      <c r="K290" s="153"/>
      <c r="L290" s="153"/>
      <c r="M290" s="153"/>
      <c r="N290" s="153"/>
      <c r="O290" s="206"/>
      <c r="P290" s="206"/>
      <c r="Q290" s="206"/>
      <c r="R290" s="230"/>
      <c r="S290" s="206"/>
      <c r="T290" s="206"/>
      <c r="U290" s="206"/>
      <c r="V290" s="206"/>
      <c r="W290" s="206"/>
      <c r="X290" s="206"/>
      <c r="Y290" s="206"/>
      <c r="Z290" s="206"/>
      <c r="AA290" s="206"/>
      <c r="AB290" s="206"/>
      <c r="AC290" s="206"/>
      <c r="AD290" s="153"/>
      <c r="AE290" s="153"/>
      <c r="AF290" s="231"/>
      <c r="AG290" s="231"/>
      <c r="AH290" s="231"/>
    </row>
    <row r="291">
      <c r="A291" s="153"/>
      <c r="B291" s="206"/>
      <c r="C291" s="153"/>
      <c r="D291" s="153"/>
      <c r="E291" s="153"/>
      <c r="F291" s="206"/>
      <c r="G291" s="206"/>
      <c r="H291" s="206"/>
      <c r="I291" s="206"/>
      <c r="J291" s="206"/>
      <c r="K291" s="153"/>
      <c r="L291" s="153"/>
      <c r="M291" s="153"/>
      <c r="N291" s="153"/>
      <c r="O291" s="206"/>
      <c r="P291" s="206"/>
      <c r="Q291" s="206"/>
      <c r="R291" s="230"/>
      <c r="S291" s="206"/>
      <c r="T291" s="206"/>
      <c r="U291" s="206"/>
      <c r="V291" s="206"/>
      <c r="W291" s="206"/>
      <c r="X291" s="206"/>
      <c r="Y291" s="206"/>
      <c r="Z291" s="206"/>
      <c r="AA291" s="206"/>
      <c r="AB291" s="206"/>
      <c r="AC291" s="206"/>
      <c r="AD291" s="153"/>
      <c r="AE291" s="153"/>
      <c r="AF291" s="231"/>
      <c r="AG291" s="231"/>
      <c r="AH291" s="231"/>
    </row>
    <row r="292">
      <c r="A292" s="153"/>
      <c r="B292" s="206"/>
      <c r="C292" s="153"/>
      <c r="D292" s="153"/>
      <c r="E292" s="153"/>
      <c r="F292" s="206"/>
      <c r="G292" s="206"/>
      <c r="H292" s="206"/>
      <c r="I292" s="206"/>
      <c r="J292" s="206"/>
      <c r="K292" s="153"/>
      <c r="L292" s="153"/>
      <c r="M292" s="153"/>
      <c r="N292" s="153"/>
      <c r="O292" s="206"/>
      <c r="P292" s="206"/>
      <c r="Q292" s="206"/>
      <c r="R292" s="230"/>
      <c r="S292" s="206"/>
      <c r="T292" s="206"/>
      <c r="U292" s="206"/>
      <c r="V292" s="206"/>
      <c r="W292" s="206"/>
      <c r="X292" s="206"/>
      <c r="Y292" s="206"/>
      <c r="Z292" s="206"/>
      <c r="AA292" s="206"/>
      <c r="AB292" s="206"/>
      <c r="AC292" s="206"/>
      <c r="AD292" s="153"/>
      <c r="AE292" s="153"/>
      <c r="AF292" s="231"/>
      <c r="AG292" s="231"/>
      <c r="AH292" s="231"/>
    </row>
    <row r="293">
      <c r="A293" s="153"/>
      <c r="B293" s="206"/>
      <c r="C293" s="153"/>
      <c r="D293" s="153"/>
      <c r="E293" s="153"/>
      <c r="F293" s="206"/>
      <c r="G293" s="206"/>
      <c r="H293" s="206"/>
      <c r="I293" s="206"/>
      <c r="J293" s="206"/>
      <c r="K293" s="153"/>
      <c r="L293" s="153"/>
      <c r="M293" s="153"/>
      <c r="N293" s="153"/>
      <c r="O293" s="206"/>
      <c r="P293" s="206"/>
      <c r="Q293" s="206"/>
      <c r="R293" s="230"/>
      <c r="S293" s="206"/>
      <c r="T293" s="206"/>
      <c r="U293" s="206"/>
      <c r="V293" s="206"/>
      <c r="W293" s="206"/>
      <c r="X293" s="206"/>
      <c r="Y293" s="206"/>
      <c r="Z293" s="206"/>
      <c r="AA293" s="206"/>
      <c r="AB293" s="206"/>
      <c r="AC293" s="206"/>
      <c r="AD293" s="153"/>
      <c r="AE293" s="153"/>
      <c r="AF293" s="231"/>
      <c r="AG293" s="231"/>
      <c r="AH293" s="231"/>
    </row>
    <row r="294">
      <c r="A294" s="153"/>
      <c r="B294" s="206"/>
      <c r="C294" s="153"/>
      <c r="D294" s="153"/>
      <c r="E294" s="153"/>
      <c r="F294" s="206"/>
      <c r="G294" s="206"/>
      <c r="H294" s="206"/>
      <c r="I294" s="206"/>
      <c r="J294" s="206"/>
      <c r="K294" s="153"/>
      <c r="L294" s="153"/>
      <c r="M294" s="153"/>
      <c r="N294" s="153"/>
      <c r="O294" s="206"/>
      <c r="P294" s="206"/>
      <c r="Q294" s="206"/>
      <c r="R294" s="230"/>
      <c r="S294" s="206"/>
      <c r="T294" s="206"/>
      <c r="U294" s="206"/>
      <c r="V294" s="206"/>
      <c r="W294" s="206"/>
      <c r="X294" s="206"/>
      <c r="Y294" s="206"/>
      <c r="Z294" s="206"/>
      <c r="AA294" s="206"/>
      <c r="AB294" s="206"/>
      <c r="AC294" s="206"/>
      <c r="AD294" s="153"/>
      <c r="AE294" s="153"/>
      <c r="AF294" s="231"/>
      <c r="AG294" s="231"/>
      <c r="AH294" s="231"/>
    </row>
    <row r="295">
      <c r="A295" s="153"/>
      <c r="B295" s="206"/>
      <c r="C295" s="153"/>
      <c r="D295" s="153"/>
      <c r="E295" s="153"/>
      <c r="F295" s="206"/>
      <c r="G295" s="206"/>
      <c r="H295" s="206"/>
      <c r="I295" s="206"/>
      <c r="J295" s="206"/>
      <c r="K295" s="153"/>
      <c r="L295" s="153"/>
      <c r="M295" s="153"/>
      <c r="N295" s="153"/>
      <c r="O295" s="206"/>
      <c r="P295" s="206"/>
      <c r="Q295" s="206"/>
      <c r="R295" s="230"/>
      <c r="S295" s="206"/>
      <c r="T295" s="206"/>
      <c r="U295" s="206"/>
      <c r="V295" s="206"/>
      <c r="W295" s="206"/>
      <c r="X295" s="206"/>
      <c r="Y295" s="206"/>
      <c r="Z295" s="206"/>
      <c r="AA295" s="206"/>
      <c r="AB295" s="206"/>
      <c r="AC295" s="206"/>
      <c r="AD295" s="153"/>
      <c r="AE295" s="153"/>
      <c r="AF295" s="231"/>
      <c r="AG295" s="231"/>
      <c r="AH295" s="231"/>
    </row>
    <row r="296">
      <c r="A296" s="153"/>
      <c r="B296" s="206"/>
      <c r="C296" s="153"/>
      <c r="D296" s="153"/>
      <c r="E296" s="153"/>
      <c r="F296" s="206"/>
      <c r="G296" s="206"/>
      <c r="H296" s="206"/>
      <c r="I296" s="206"/>
      <c r="J296" s="206"/>
      <c r="K296" s="153"/>
      <c r="L296" s="153"/>
      <c r="M296" s="153"/>
      <c r="N296" s="153"/>
      <c r="O296" s="206"/>
      <c r="P296" s="206"/>
      <c r="Q296" s="206"/>
      <c r="R296" s="230"/>
      <c r="S296" s="206"/>
      <c r="T296" s="206"/>
      <c r="U296" s="206"/>
      <c r="V296" s="206"/>
      <c r="W296" s="206"/>
      <c r="X296" s="206"/>
      <c r="Y296" s="206"/>
      <c r="Z296" s="206"/>
      <c r="AA296" s="206"/>
      <c r="AB296" s="206"/>
      <c r="AC296" s="206"/>
      <c r="AD296" s="153"/>
      <c r="AE296" s="153"/>
      <c r="AF296" s="231"/>
      <c r="AG296" s="231"/>
      <c r="AH296" s="231"/>
    </row>
    <row r="297">
      <c r="A297" s="153"/>
      <c r="B297" s="206"/>
      <c r="C297" s="153"/>
      <c r="D297" s="153"/>
      <c r="E297" s="153"/>
      <c r="F297" s="206"/>
      <c r="G297" s="206"/>
      <c r="H297" s="206"/>
      <c r="I297" s="206"/>
      <c r="J297" s="206"/>
      <c r="K297" s="153"/>
      <c r="L297" s="153"/>
      <c r="M297" s="153"/>
      <c r="N297" s="153"/>
      <c r="O297" s="206"/>
      <c r="P297" s="206"/>
      <c r="Q297" s="206"/>
      <c r="R297" s="230"/>
      <c r="S297" s="206"/>
      <c r="T297" s="206"/>
      <c r="U297" s="206"/>
      <c r="V297" s="206"/>
      <c r="W297" s="206"/>
      <c r="X297" s="206"/>
      <c r="Y297" s="206"/>
      <c r="Z297" s="206"/>
      <c r="AA297" s="206"/>
      <c r="AB297" s="206"/>
      <c r="AC297" s="206"/>
      <c r="AD297" s="153"/>
      <c r="AE297" s="153"/>
      <c r="AF297" s="231"/>
      <c r="AG297" s="231"/>
      <c r="AH297" s="231"/>
    </row>
    <row r="298">
      <c r="A298" s="153"/>
      <c r="B298" s="206"/>
      <c r="C298" s="153"/>
      <c r="D298" s="153"/>
      <c r="E298" s="153"/>
      <c r="F298" s="206"/>
      <c r="G298" s="206"/>
      <c r="H298" s="206"/>
      <c r="I298" s="206"/>
      <c r="J298" s="206"/>
      <c r="K298" s="153"/>
      <c r="L298" s="153"/>
      <c r="M298" s="153"/>
      <c r="N298" s="153"/>
      <c r="O298" s="206"/>
      <c r="P298" s="206"/>
      <c r="Q298" s="206"/>
      <c r="R298" s="230"/>
      <c r="S298" s="206"/>
      <c r="T298" s="206"/>
      <c r="U298" s="206"/>
      <c r="V298" s="206"/>
      <c r="W298" s="206"/>
      <c r="X298" s="206"/>
      <c r="Y298" s="206"/>
      <c r="Z298" s="206"/>
      <c r="AA298" s="206"/>
      <c r="AB298" s="206"/>
      <c r="AC298" s="206"/>
      <c r="AD298" s="153"/>
      <c r="AE298" s="153"/>
      <c r="AF298" s="231"/>
      <c r="AG298" s="231"/>
      <c r="AH298" s="231"/>
    </row>
    <row r="299">
      <c r="A299" s="153"/>
      <c r="B299" s="206"/>
      <c r="C299" s="153"/>
      <c r="D299" s="153"/>
      <c r="E299" s="153"/>
      <c r="F299" s="206"/>
      <c r="G299" s="206"/>
      <c r="H299" s="206"/>
      <c r="I299" s="206"/>
      <c r="J299" s="206"/>
      <c r="K299" s="153"/>
      <c r="L299" s="153"/>
      <c r="M299" s="153"/>
      <c r="N299" s="153"/>
      <c r="O299" s="206"/>
      <c r="P299" s="206"/>
      <c r="Q299" s="206"/>
      <c r="R299" s="230"/>
      <c r="S299" s="206"/>
      <c r="T299" s="206"/>
      <c r="U299" s="206"/>
      <c r="V299" s="206"/>
      <c r="W299" s="206"/>
      <c r="X299" s="206"/>
      <c r="Y299" s="206"/>
      <c r="Z299" s="206"/>
      <c r="AA299" s="206"/>
      <c r="AB299" s="206"/>
      <c r="AC299" s="206"/>
      <c r="AD299" s="153"/>
      <c r="AE299" s="153"/>
      <c r="AF299" s="231"/>
      <c r="AG299" s="231"/>
      <c r="AH299" s="231"/>
    </row>
    <row r="300">
      <c r="A300" s="153"/>
      <c r="B300" s="206"/>
      <c r="C300" s="153"/>
      <c r="D300" s="153"/>
      <c r="E300" s="153"/>
      <c r="F300" s="206"/>
      <c r="G300" s="206"/>
      <c r="H300" s="206"/>
      <c r="I300" s="206"/>
      <c r="J300" s="206"/>
      <c r="K300" s="153"/>
      <c r="L300" s="153"/>
      <c r="M300" s="153"/>
      <c r="N300" s="153"/>
      <c r="O300" s="206"/>
      <c r="P300" s="206"/>
      <c r="Q300" s="206"/>
      <c r="R300" s="230"/>
      <c r="S300" s="206"/>
      <c r="T300" s="206"/>
      <c r="U300" s="206"/>
      <c r="V300" s="206"/>
      <c r="W300" s="206"/>
      <c r="X300" s="206"/>
      <c r="Y300" s="206"/>
      <c r="Z300" s="206"/>
      <c r="AA300" s="206"/>
      <c r="AB300" s="206"/>
      <c r="AC300" s="206"/>
      <c r="AD300" s="153"/>
      <c r="AE300" s="153"/>
      <c r="AF300" s="231"/>
      <c r="AG300" s="231"/>
      <c r="AH300" s="231"/>
    </row>
    <row r="301">
      <c r="A301" s="153"/>
      <c r="B301" s="206"/>
      <c r="C301" s="153"/>
      <c r="D301" s="153"/>
      <c r="E301" s="153"/>
      <c r="F301" s="206"/>
      <c r="G301" s="206"/>
      <c r="H301" s="206"/>
      <c r="I301" s="206"/>
      <c r="J301" s="206"/>
      <c r="K301" s="153"/>
      <c r="L301" s="153"/>
      <c r="M301" s="153"/>
      <c r="N301" s="153"/>
      <c r="O301" s="206"/>
      <c r="P301" s="206"/>
      <c r="Q301" s="206"/>
      <c r="R301" s="230"/>
      <c r="S301" s="206"/>
      <c r="T301" s="206"/>
      <c r="U301" s="206"/>
      <c r="V301" s="206"/>
      <c r="W301" s="206"/>
      <c r="X301" s="206"/>
      <c r="Y301" s="206"/>
      <c r="Z301" s="206"/>
      <c r="AA301" s="206"/>
      <c r="AB301" s="206"/>
      <c r="AC301" s="206"/>
      <c r="AD301" s="153"/>
      <c r="AE301" s="153"/>
      <c r="AF301" s="231"/>
      <c r="AG301" s="231"/>
      <c r="AH301" s="231"/>
    </row>
    <row r="302">
      <c r="A302" s="153"/>
      <c r="B302" s="206"/>
      <c r="C302" s="153"/>
      <c r="D302" s="153"/>
      <c r="E302" s="153"/>
      <c r="F302" s="206"/>
      <c r="G302" s="206"/>
      <c r="H302" s="206"/>
      <c r="I302" s="206"/>
      <c r="J302" s="206"/>
      <c r="K302" s="153"/>
      <c r="L302" s="153"/>
      <c r="M302" s="153"/>
      <c r="N302" s="153"/>
      <c r="O302" s="206"/>
      <c r="P302" s="206"/>
      <c r="Q302" s="206"/>
      <c r="R302" s="230"/>
      <c r="S302" s="206"/>
      <c r="T302" s="206"/>
      <c r="U302" s="206"/>
      <c r="V302" s="206"/>
      <c r="W302" s="206"/>
      <c r="X302" s="206"/>
      <c r="Y302" s="206"/>
      <c r="Z302" s="206"/>
      <c r="AA302" s="206"/>
      <c r="AB302" s="206"/>
      <c r="AC302" s="206"/>
      <c r="AD302" s="153"/>
      <c r="AE302" s="153"/>
      <c r="AF302" s="231"/>
      <c r="AG302" s="231"/>
      <c r="AH302" s="231"/>
    </row>
    <row r="303">
      <c r="A303" s="153"/>
      <c r="B303" s="206"/>
      <c r="C303" s="153"/>
      <c r="D303" s="153"/>
      <c r="E303" s="153"/>
      <c r="F303" s="206"/>
      <c r="G303" s="206"/>
      <c r="H303" s="206"/>
      <c r="I303" s="206"/>
      <c r="J303" s="206"/>
      <c r="K303" s="153"/>
      <c r="L303" s="153"/>
      <c r="M303" s="153"/>
      <c r="N303" s="153"/>
      <c r="O303" s="206"/>
      <c r="P303" s="206"/>
      <c r="Q303" s="206"/>
      <c r="R303" s="230"/>
      <c r="S303" s="206"/>
      <c r="T303" s="206"/>
      <c r="U303" s="206"/>
      <c r="V303" s="206"/>
      <c r="W303" s="206"/>
      <c r="X303" s="206"/>
      <c r="Y303" s="206"/>
      <c r="Z303" s="206"/>
      <c r="AA303" s="206"/>
      <c r="AB303" s="206"/>
      <c r="AC303" s="206"/>
      <c r="AD303" s="153"/>
      <c r="AE303" s="153"/>
      <c r="AF303" s="231"/>
      <c r="AG303" s="231"/>
      <c r="AH303" s="231"/>
    </row>
    <row r="304">
      <c r="A304" s="153"/>
      <c r="B304" s="206"/>
      <c r="C304" s="153"/>
      <c r="D304" s="153"/>
      <c r="E304" s="153"/>
      <c r="F304" s="206"/>
      <c r="G304" s="206"/>
      <c r="H304" s="206"/>
      <c r="I304" s="206"/>
      <c r="J304" s="206"/>
      <c r="K304" s="153"/>
      <c r="L304" s="153"/>
      <c r="M304" s="153"/>
      <c r="N304" s="153"/>
      <c r="O304" s="206"/>
      <c r="P304" s="206"/>
      <c r="Q304" s="206"/>
      <c r="R304" s="230"/>
      <c r="S304" s="206"/>
      <c r="T304" s="206"/>
      <c r="U304" s="206"/>
      <c r="V304" s="206"/>
      <c r="W304" s="206"/>
      <c r="X304" s="206"/>
      <c r="Y304" s="206"/>
      <c r="Z304" s="206"/>
      <c r="AA304" s="206"/>
      <c r="AB304" s="206"/>
      <c r="AC304" s="206"/>
      <c r="AD304" s="153"/>
      <c r="AE304" s="153"/>
      <c r="AF304" s="231"/>
      <c r="AG304" s="231"/>
      <c r="AH304" s="231"/>
    </row>
    <row r="305">
      <c r="A305" s="153"/>
      <c r="B305" s="206"/>
      <c r="C305" s="153"/>
      <c r="D305" s="153"/>
      <c r="E305" s="153"/>
      <c r="F305" s="206"/>
      <c r="G305" s="206"/>
      <c r="H305" s="206"/>
      <c r="I305" s="206"/>
      <c r="J305" s="206"/>
      <c r="K305" s="153"/>
      <c r="L305" s="153"/>
      <c r="M305" s="153"/>
      <c r="N305" s="153"/>
      <c r="O305" s="206"/>
      <c r="P305" s="206"/>
      <c r="Q305" s="206"/>
      <c r="R305" s="230"/>
      <c r="S305" s="206"/>
      <c r="T305" s="206"/>
      <c r="U305" s="206"/>
      <c r="V305" s="206"/>
      <c r="W305" s="206"/>
      <c r="X305" s="206"/>
      <c r="Y305" s="206"/>
      <c r="Z305" s="206"/>
      <c r="AA305" s="206"/>
      <c r="AB305" s="206"/>
      <c r="AC305" s="206"/>
      <c r="AD305" s="153"/>
      <c r="AE305" s="153"/>
      <c r="AF305" s="231"/>
      <c r="AG305" s="231"/>
      <c r="AH305" s="231"/>
    </row>
    <row r="306">
      <c r="A306" s="153"/>
      <c r="B306" s="206"/>
      <c r="C306" s="153"/>
      <c r="D306" s="153"/>
      <c r="E306" s="153"/>
      <c r="F306" s="206"/>
      <c r="G306" s="206"/>
      <c r="H306" s="206"/>
      <c r="I306" s="206"/>
      <c r="J306" s="206"/>
      <c r="K306" s="153"/>
      <c r="L306" s="153"/>
      <c r="M306" s="153"/>
      <c r="N306" s="153"/>
      <c r="O306" s="206"/>
      <c r="P306" s="206"/>
      <c r="Q306" s="206"/>
      <c r="R306" s="230"/>
      <c r="S306" s="206"/>
      <c r="T306" s="206"/>
      <c r="U306" s="206"/>
      <c r="V306" s="206"/>
      <c r="W306" s="206"/>
      <c r="X306" s="206"/>
      <c r="Y306" s="206"/>
      <c r="Z306" s="206"/>
      <c r="AA306" s="206"/>
      <c r="AB306" s="206"/>
      <c r="AC306" s="206"/>
      <c r="AD306" s="153"/>
      <c r="AE306" s="153"/>
      <c r="AF306" s="231"/>
      <c r="AG306" s="231"/>
      <c r="AH306" s="231"/>
    </row>
    <row r="307">
      <c r="A307" s="153"/>
      <c r="B307" s="206"/>
      <c r="C307" s="153"/>
      <c r="D307" s="153"/>
      <c r="E307" s="153"/>
      <c r="F307" s="206"/>
      <c r="G307" s="206"/>
      <c r="H307" s="206"/>
      <c r="I307" s="206"/>
      <c r="J307" s="206"/>
      <c r="K307" s="153"/>
      <c r="L307" s="153"/>
      <c r="M307" s="153"/>
      <c r="N307" s="153"/>
      <c r="O307" s="206"/>
      <c r="P307" s="206"/>
      <c r="Q307" s="206"/>
      <c r="R307" s="230"/>
      <c r="S307" s="206"/>
      <c r="T307" s="206"/>
      <c r="U307" s="206"/>
      <c r="V307" s="206"/>
      <c r="W307" s="206"/>
      <c r="X307" s="206"/>
      <c r="Y307" s="206"/>
      <c r="Z307" s="206"/>
      <c r="AA307" s="206"/>
      <c r="AB307" s="206"/>
      <c r="AC307" s="206"/>
      <c r="AD307" s="153"/>
      <c r="AE307" s="153"/>
      <c r="AF307" s="231"/>
      <c r="AG307" s="231"/>
      <c r="AH307" s="231"/>
    </row>
  </sheetData>
  <autoFilter ref="$A$5:$AE$159">
    <filterColumn colId="8">
      <filters>
        <filter val="Junho"/>
        <filter val="setembro"/>
        <filter val="Maio e Junho"/>
        <filter val="Abril"/>
        <filter val="Maio"/>
      </filters>
    </filterColumn>
  </autoFilter>
  <conditionalFormatting sqref="R6:S159">
    <cfRule type="cellIs" dxfId="7" priority="1" operator="lessThanOrEqual">
      <formula>"10%"</formula>
    </cfRule>
  </conditionalFormatting>
  <conditionalFormatting sqref="R6:S159">
    <cfRule type="cellIs" dxfId="8" priority="2" operator="greaterThan">
      <formula>"10%"</formula>
    </cfRule>
  </conditionalFormatting>
  <conditionalFormatting sqref="C6:C159">
    <cfRule type="cellIs" dxfId="9" priority="3" operator="equal">
      <formula>"Básico (Até 79h)"</formula>
    </cfRule>
  </conditionalFormatting>
  <conditionalFormatting sqref="C6:C159">
    <cfRule type="cellIs" dxfId="10" priority="4" operator="equal">
      <formula>"Atualização (80h-179h)"</formula>
    </cfRule>
  </conditionalFormatting>
  <conditionalFormatting sqref="C6:C159">
    <cfRule type="cellIs" dxfId="11" priority="5" operator="equal">
      <formula>"Aperfeiçoamento (180h-359h)"</formula>
    </cfRule>
  </conditionalFormatting>
  <conditionalFormatting sqref="C6:C159">
    <cfRule type="cellIs" dxfId="12" priority="6" operator="equal">
      <formula>"Digite a CH"</formula>
    </cfRule>
  </conditionalFormatting>
  <dataValidations>
    <dataValidation type="list" allowBlank="1" sqref="B6:B7">
      <formula1>Dados!$E$2:$E$201</formula1>
    </dataValidation>
    <dataValidation type="list" allowBlank="1" sqref="B28:B33">
      <formula1>Dados!$D$2:$D$201</formula1>
    </dataValidation>
    <dataValidation type="list" allowBlank="1" showErrorMessage="1" sqref="H6:H159">
      <formula1>Dados!$AI$2:$AI$4</formula1>
    </dataValidation>
    <dataValidation type="list" allowBlank="1" sqref="B100">
      <formula1>Dados!$K$2:$K$201</formula1>
    </dataValidation>
    <dataValidation type="list" allowBlank="1" sqref="B106:B114">
      <formula1>Dados!$Q$2:$Q$201</formula1>
    </dataValidation>
    <dataValidation type="list" allowBlank="1" sqref="B115:B117">
      <formula1>Dados!$R$2:$R$201</formula1>
    </dataValidation>
    <dataValidation type="list" allowBlank="1" sqref="B118:B124">
      <formula1>Dados!$S$2:$S$201</formula1>
    </dataValidation>
    <dataValidation type="list" allowBlank="1" sqref="B20:B21">
      <formula1>Dados!$C$2:$C$201</formula1>
    </dataValidation>
    <dataValidation type="list" allowBlank="1" showErrorMessage="1" sqref="Z6:Z159">
      <formula1>"Sim,Não"</formula1>
    </dataValidation>
    <dataValidation type="list" allowBlank="1" sqref="B105">
      <formula1>Dados!$J$2:$J$201</formula1>
    </dataValidation>
    <dataValidation type="list" allowBlank="1" sqref="B10:B19">
      <formula1>Dados!$B$2:$B$201</formula1>
    </dataValidation>
    <dataValidation type="list" allowBlank="1" showErrorMessage="1" sqref="A6:A159">
      <formula1>Dados!$A$1:$V$1</formula1>
    </dataValidation>
    <dataValidation type="list" allowBlank="1" sqref="B94:B99">
      <formula1>Dados!$T$2:$T$201</formula1>
    </dataValidation>
    <dataValidation type="list" allowBlank="1" sqref="B22:B27">
      <formula1>Dados!$A$2:$A$201</formula1>
    </dataValidation>
    <dataValidation type="list" allowBlank="1" sqref="B77:B93">
      <formula1>Dados!$I$2:$I$201</formula1>
    </dataValidation>
    <dataValidation type="list" allowBlank="1" sqref="B67:B76">
      <formula1>Dados!$H$2:$H$201</formula1>
    </dataValidation>
    <dataValidation type="list" allowBlank="1" sqref="B34:B35">
      <formula1>Dados!$G$2:$G$201</formula1>
    </dataValidation>
    <dataValidation type="list" allowBlank="1" sqref="B36:B66">
      <formula1>Dados!$O$2:$O$201</formula1>
    </dataValidation>
    <dataValidation type="list" allowBlank="1" sqref="B104">
      <formula1>Dados!$N$2:$N$201</formula1>
    </dataValidation>
    <dataValidation type="list" allowBlank="1" sqref="B101">
      <formula1>Dados!$L$2:$L$201</formula1>
    </dataValidation>
    <dataValidation type="decimal" allowBlank="1" showDropDown="1" showInputMessage="1" prompt="Insira apenas números" sqref="K119:N124 D6:D159">
      <formula1>0.0</formula1>
      <formula2>1000.0</formula2>
    </dataValidation>
    <dataValidation type="list" allowBlank="1" sqref="B8:B9">
      <formula1>Dados!$F$2:$F$201</formula1>
    </dataValidation>
    <dataValidation type="list" allowBlank="1" sqref="B102:B103">
      <formula1>Dados!$M$2:$M$201</formula1>
    </dataValidation>
    <dataValidation type="list" allowBlank="1" showErrorMessage="1" sqref="Q6:Q159">
      <formula1>Dados!$AE$2:$AE$5</formula1>
    </dataValidation>
  </dataValidations>
  <hyperlinks>
    <hyperlink r:id="rId2" ref="F3"/>
    <hyperlink r:id="rId3" ref="M6"/>
    <hyperlink r:id="rId4" ref="AE6"/>
    <hyperlink r:id="rId5" ref="M8"/>
    <hyperlink r:id="rId6" ref="M9"/>
    <hyperlink r:id="rId7" ref="AE9"/>
    <hyperlink r:id="rId8" ref="M12"/>
    <hyperlink r:id="rId9" ref="AE12"/>
    <hyperlink r:id="rId10" ref="M13"/>
    <hyperlink r:id="rId11" ref="AE13"/>
    <hyperlink r:id="rId12" ref="M14"/>
    <hyperlink r:id="rId13" ref="AE14"/>
    <hyperlink r:id="rId14" ref="M15"/>
    <hyperlink r:id="rId15" ref="AE15"/>
    <hyperlink r:id="rId16" ref="M16"/>
    <hyperlink r:id="rId17" ref="AE16"/>
    <hyperlink r:id="rId18" ref="M17"/>
    <hyperlink r:id="rId19" ref="AE17"/>
    <hyperlink r:id="rId20" ref="M18"/>
    <hyperlink r:id="rId21" ref="AE18"/>
    <hyperlink r:id="rId22" ref="M19"/>
    <hyperlink r:id="rId23" ref="M20"/>
    <hyperlink r:id="rId24" ref="AE20"/>
    <hyperlink r:id="rId25" ref="M21"/>
    <hyperlink r:id="rId26" ref="M22"/>
    <hyperlink r:id="rId27" ref="M23"/>
    <hyperlink r:id="rId28" ref="M24"/>
    <hyperlink r:id="rId29" ref="M25"/>
    <hyperlink r:id="rId30" ref="M26"/>
    <hyperlink r:id="rId31" ref="M27"/>
    <hyperlink r:id="rId32" ref="M28"/>
    <hyperlink r:id="rId33" ref="M29"/>
    <hyperlink r:id="rId34" ref="M30"/>
    <hyperlink r:id="rId35" ref="M31"/>
    <hyperlink r:id="rId36" ref="M32"/>
    <hyperlink r:id="rId37" ref="M33"/>
    <hyperlink r:id="rId38" ref="M34"/>
    <hyperlink r:id="rId39" ref="AE34"/>
    <hyperlink r:id="rId40" ref="M35"/>
    <hyperlink r:id="rId41" ref="M36"/>
    <hyperlink r:id="rId42" ref="M38"/>
    <hyperlink r:id="rId43" ref="AE38"/>
    <hyperlink r:id="rId44" ref="M39"/>
    <hyperlink r:id="rId45" ref="AE43"/>
    <hyperlink r:id="rId46" ref="M44"/>
    <hyperlink r:id="rId47" ref="M60"/>
    <hyperlink r:id="rId48" ref="M65"/>
    <hyperlink r:id="rId49" ref="M67"/>
    <hyperlink r:id="rId50" ref="AE94"/>
    <hyperlink r:id="rId51" ref="M95"/>
    <hyperlink r:id="rId52" ref="AE95"/>
    <hyperlink r:id="rId53" ref="M96"/>
    <hyperlink r:id="rId54" ref="AE96"/>
    <hyperlink r:id="rId55" ref="M97"/>
    <hyperlink r:id="rId56" ref="AE97"/>
    <hyperlink r:id="rId57" ref="M98"/>
    <hyperlink r:id="rId58" ref="M100"/>
  </hyperlinks>
  <printOptions gridLines="1" horizontalCentered="1"/>
  <pageMargins bottom="0.75" footer="0.0" header="0.0" left="0.7" right="0.7" top="0.75"/>
  <pageSetup fitToHeight="0" paperSize="9" cellComments="atEnd" orientation="landscape" pageOrder="overThenDown"/>
  <drawing r:id="rId59"/>
  <legacyDrawing r:id="rId6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88"/>
    <col customWidth="1" min="2" max="6" width="26.38"/>
    <col customWidth="1" min="7" max="20" width="12.88"/>
  </cols>
  <sheetData>
    <row r="1">
      <c r="A1" s="266"/>
      <c r="B1" s="267"/>
      <c r="C1" s="267"/>
      <c r="D1" s="267"/>
      <c r="E1" s="267"/>
      <c r="F1" s="267"/>
      <c r="G1" s="268"/>
      <c r="H1" s="268"/>
      <c r="I1" s="269"/>
      <c r="J1" s="269"/>
      <c r="K1" s="269"/>
      <c r="L1" s="269"/>
      <c r="M1" s="269"/>
      <c r="N1" s="269"/>
      <c r="O1" s="269"/>
      <c r="P1" s="269"/>
      <c r="Q1" s="269"/>
      <c r="R1" s="269"/>
      <c r="S1" s="269"/>
      <c r="T1" s="269"/>
    </row>
    <row r="2">
      <c r="A2" s="270"/>
      <c r="B2" s="271"/>
      <c r="C2" s="272"/>
      <c r="D2" s="273" t="s">
        <v>899</v>
      </c>
      <c r="E2" s="272"/>
      <c r="F2" s="272"/>
      <c r="G2" s="271"/>
      <c r="H2" s="271"/>
    </row>
    <row r="3">
      <c r="A3" s="274"/>
      <c r="B3" s="267"/>
      <c r="C3" s="267"/>
      <c r="D3" s="275"/>
      <c r="E3" s="267"/>
      <c r="F3" s="267"/>
      <c r="G3" s="268"/>
      <c r="H3" s="268"/>
      <c r="I3" s="269"/>
      <c r="J3" s="269"/>
      <c r="K3" s="269"/>
      <c r="L3" s="269"/>
      <c r="M3" s="269"/>
      <c r="N3" s="269"/>
      <c r="O3" s="269"/>
      <c r="P3" s="269"/>
      <c r="Q3" s="269"/>
      <c r="R3" s="269"/>
      <c r="S3" s="269"/>
      <c r="T3" s="269"/>
    </row>
    <row r="4">
      <c r="A4" s="274"/>
      <c r="B4" s="276"/>
      <c r="C4" s="276"/>
      <c r="D4" s="276"/>
      <c r="E4" s="276"/>
      <c r="F4" s="276"/>
      <c r="G4" s="268"/>
      <c r="H4" s="268"/>
      <c r="I4" s="269"/>
      <c r="J4" s="269"/>
      <c r="K4" s="269"/>
      <c r="L4" s="269"/>
      <c r="M4" s="269"/>
      <c r="N4" s="269"/>
      <c r="O4" s="269"/>
      <c r="P4" s="269"/>
      <c r="Q4" s="269"/>
      <c r="R4" s="269"/>
      <c r="S4" s="269"/>
      <c r="T4" s="269"/>
    </row>
    <row r="5">
      <c r="A5" s="277"/>
      <c r="B5" s="278" t="s">
        <v>900</v>
      </c>
      <c r="C5" s="279"/>
      <c r="D5" s="279"/>
      <c r="E5" s="279"/>
      <c r="F5" s="280"/>
      <c r="G5" s="281"/>
      <c r="H5" s="281"/>
      <c r="I5" s="269"/>
      <c r="J5" s="269"/>
      <c r="K5" s="269"/>
      <c r="L5" s="269"/>
      <c r="M5" s="269"/>
      <c r="N5" s="269"/>
      <c r="O5" s="269"/>
      <c r="P5" s="269"/>
      <c r="Q5" s="269"/>
      <c r="R5" s="269"/>
      <c r="S5" s="269"/>
      <c r="T5" s="269"/>
    </row>
    <row r="6">
      <c r="A6" s="277"/>
      <c r="B6" s="282"/>
      <c r="C6" s="283"/>
      <c r="D6" s="283"/>
      <c r="E6" s="283"/>
      <c r="F6" s="284"/>
      <c r="G6" s="281"/>
      <c r="H6" s="281"/>
      <c r="I6" s="269"/>
      <c r="J6" s="269"/>
      <c r="K6" s="269"/>
      <c r="L6" s="269"/>
      <c r="M6" s="269"/>
      <c r="N6" s="269"/>
      <c r="O6" s="269"/>
      <c r="P6" s="269"/>
      <c r="Q6" s="269"/>
      <c r="R6" s="269"/>
      <c r="S6" s="269"/>
      <c r="T6" s="269"/>
    </row>
    <row r="7">
      <c r="A7" s="277"/>
      <c r="B7" s="285" t="s">
        <v>901</v>
      </c>
      <c r="C7" s="286" t="s">
        <v>902</v>
      </c>
      <c r="D7" s="286" t="s">
        <v>903</v>
      </c>
      <c r="E7" s="286" t="s">
        <v>904</v>
      </c>
      <c r="F7" s="286" t="s">
        <v>905</v>
      </c>
      <c r="G7" s="281"/>
      <c r="H7" s="281"/>
      <c r="I7" s="269"/>
      <c r="J7" s="269"/>
      <c r="K7" s="269"/>
      <c r="L7" s="269"/>
      <c r="M7" s="269"/>
      <c r="N7" s="269"/>
      <c r="O7" s="269"/>
      <c r="P7" s="269"/>
      <c r="Q7" s="269"/>
      <c r="R7" s="269"/>
      <c r="S7" s="269"/>
      <c r="T7" s="269"/>
    </row>
    <row r="8">
      <c r="A8" s="277"/>
      <c r="B8" s="287">
        <v>1.0</v>
      </c>
      <c r="C8" s="288">
        <v>2.0</v>
      </c>
      <c r="D8" s="288">
        <v>3.0</v>
      </c>
      <c r="E8" s="288">
        <v>4.0</v>
      </c>
      <c r="F8" s="288">
        <v>5.0</v>
      </c>
      <c r="G8" s="281"/>
      <c r="H8" s="281"/>
      <c r="I8" s="269"/>
      <c r="J8" s="269"/>
      <c r="K8" s="269"/>
      <c r="L8" s="269"/>
      <c r="M8" s="269"/>
      <c r="N8" s="269"/>
      <c r="O8" s="269"/>
      <c r="P8" s="269"/>
      <c r="Q8" s="269"/>
      <c r="R8" s="269"/>
      <c r="S8" s="269"/>
      <c r="T8" s="269"/>
    </row>
    <row r="9" hidden="1">
      <c r="A9" s="289"/>
      <c r="B9" s="290" t="s">
        <v>906</v>
      </c>
      <c r="C9" s="291"/>
      <c r="D9" s="291"/>
      <c r="E9" s="291"/>
      <c r="F9" s="291"/>
      <c r="G9" s="281"/>
      <c r="H9" s="281"/>
      <c r="I9" s="269"/>
      <c r="J9" s="269"/>
      <c r="K9" s="269"/>
      <c r="L9" s="269"/>
      <c r="M9" s="269"/>
      <c r="N9" s="269"/>
      <c r="O9" s="269"/>
      <c r="P9" s="269"/>
      <c r="Q9" s="269"/>
      <c r="R9" s="269"/>
      <c r="S9" s="269"/>
      <c r="T9" s="269"/>
    </row>
    <row r="10" hidden="1">
      <c r="A10" s="289"/>
      <c r="B10" s="292"/>
      <c r="C10" s="293"/>
      <c r="D10" s="293"/>
      <c r="E10" s="293"/>
      <c r="F10" s="293"/>
      <c r="G10" s="281"/>
      <c r="H10" s="281"/>
      <c r="I10" s="269"/>
      <c r="J10" s="269"/>
      <c r="K10" s="269"/>
      <c r="L10" s="269"/>
      <c r="M10" s="269"/>
      <c r="N10" s="269"/>
      <c r="O10" s="269"/>
      <c r="P10" s="269"/>
      <c r="Q10" s="269"/>
      <c r="R10" s="269"/>
      <c r="S10" s="269"/>
      <c r="T10" s="269"/>
    </row>
    <row r="11" hidden="1">
      <c r="A11" s="289"/>
      <c r="B11" s="292"/>
      <c r="C11" s="293"/>
      <c r="D11" s="293"/>
      <c r="E11" s="293"/>
      <c r="F11" s="293"/>
      <c r="G11" s="281"/>
      <c r="H11" s="281"/>
      <c r="I11" s="269"/>
      <c r="J11" s="269"/>
      <c r="K11" s="269"/>
      <c r="L11" s="269"/>
      <c r="M11" s="269"/>
      <c r="N11" s="269"/>
      <c r="O11" s="269"/>
      <c r="P11" s="269"/>
      <c r="Q11" s="269"/>
      <c r="R11" s="269"/>
      <c r="S11" s="269"/>
      <c r="T11" s="269"/>
    </row>
    <row r="12" hidden="1">
      <c r="A12" s="289"/>
      <c r="B12" s="292"/>
      <c r="C12" s="293"/>
      <c r="D12" s="293"/>
      <c r="E12" s="293"/>
      <c r="F12" s="293"/>
      <c r="G12" s="281"/>
      <c r="H12" s="281"/>
      <c r="I12" s="269"/>
      <c r="J12" s="269"/>
      <c r="K12" s="269"/>
      <c r="L12" s="269"/>
      <c r="M12" s="269"/>
      <c r="N12" s="269"/>
      <c r="O12" s="269"/>
      <c r="P12" s="269"/>
      <c r="Q12" s="269"/>
      <c r="R12" s="269"/>
      <c r="S12" s="269"/>
      <c r="T12" s="269"/>
    </row>
    <row r="13" hidden="1">
      <c r="A13" s="289"/>
      <c r="B13" s="292"/>
      <c r="C13" s="293"/>
      <c r="D13" s="293"/>
      <c r="E13" s="293"/>
      <c r="F13" s="293"/>
      <c r="G13" s="281"/>
      <c r="H13" s="281"/>
      <c r="I13" s="269"/>
      <c r="J13" s="269"/>
      <c r="K13" s="269"/>
      <c r="L13" s="269"/>
      <c r="M13" s="269"/>
      <c r="N13" s="269"/>
      <c r="O13" s="269"/>
      <c r="P13" s="269"/>
      <c r="Q13" s="269"/>
      <c r="R13" s="269"/>
      <c r="S13" s="269"/>
      <c r="T13" s="269"/>
    </row>
    <row r="14" hidden="1">
      <c r="A14" s="289"/>
      <c r="B14" s="292"/>
      <c r="C14" s="294"/>
      <c r="D14" s="294"/>
      <c r="E14" s="294"/>
      <c r="F14" s="294"/>
      <c r="G14" s="281"/>
      <c r="H14" s="281"/>
      <c r="I14" s="269"/>
      <c r="J14" s="269"/>
      <c r="K14" s="269"/>
      <c r="L14" s="269"/>
      <c r="M14" s="269"/>
      <c r="N14" s="269"/>
      <c r="O14" s="269"/>
      <c r="P14" s="269"/>
      <c r="Q14" s="269"/>
      <c r="R14" s="269"/>
      <c r="S14" s="269"/>
      <c r="T14" s="269"/>
    </row>
    <row r="15" hidden="1">
      <c r="A15" s="289"/>
      <c r="B15" s="292"/>
      <c r="C15" s="294"/>
      <c r="D15" s="294"/>
      <c r="E15" s="294"/>
      <c r="F15" s="294"/>
      <c r="G15" s="281"/>
      <c r="H15" s="281"/>
      <c r="I15" s="269"/>
      <c r="J15" s="269"/>
      <c r="K15" s="269"/>
      <c r="L15" s="269"/>
      <c r="M15" s="269"/>
      <c r="N15" s="269"/>
      <c r="O15" s="269"/>
      <c r="P15" s="269"/>
      <c r="Q15" s="269"/>
      <c r="R15" s="269"/>
      <c r="S15" s="269"/>
      <c r="T15" s="269"/>
    </row>
    <row r="16" hidden="1">
      <c r="A16" s="289"/>
      <c r="B16" s="292"/>
      <c r="C16" s="294"/>
      <c r="D16" s="294"/>
      <c r="E16" s="294"/>
      <c r="F16" s="294"/>
      <c r="G16" s="281"/>
      <c r="H16" s="281"/>
      <c r="I16" s="269"/>
      <c r="J16" s="269"/>
      <c r="K16" s="269"/>
      <c r="L16" s="269"/>
      <c r="M16" s="269"/>
      <c r="N16" s="269"/>
      <c r="O16" s="269"/>
      <c r="P16" s="269"/>
      <c r="Q16" s="269"/>
      <c r="R16" s="269"/>
      <c r="S16" s="269"/>
      <c r="T16" s="269"/>
    </row>
    <row r="17" hidden="1">
      <c r="A17" s="289"/>
      <c r="B17" s="292"/>
      <c r="C17" s="294"/>
      <c r="D17" s="294"/>
      <c r="E17" s="294"/>
      <c r="F17" s="294"/>
      <c r="G17" s="281"/>
      <c r="H17" s="281"/>
      <c r="I17" s="269"/>
      <c r="J17" s="269"/>
      <c r="K17" s="269"/>
      <c r="L17" s="269"/>
      <c r="M17" s="269"/>
      <c r="N17" s="269"/>
      <c r="O17" s="269"/>
      <c r="P17" s="269"/>
      <c r="Q17" s="269"/>
      <c r="R17" s="269"/>
      <c r="S17" s="269"/>
      <c r="T17" s="269"/>
    </row>
    <row r="18" hidden="1">
      <c r="A18" s="289"/>
      <c r="B18" s="292"/>
      <c r="C18" s="295"/>
      <c r="D18" s="295"/>
      <c r="E18" s="295"/>
      <c r="F18" s="295"/>
      <c r="G18" s="281"/>
      <c r="H18" s="281"/>
      <c r="I18" s="269"/>
      <c r="J18" s="269"/>
      <c r="K18" s="269"/>
      <c r="L18" s="269"/>
      <c r="M18" s="269"/>
      <c r="N18" s="269"/>
      <c r="O18" s="269"/>
      <c r="P18" s="269"/>
      <c r="Q18" s="269"/>
      <c r="R18" s="269"/>
      <c r="S18" s="269"/>
      <c r="T18" s="269"/>
    </row>
    <row r="19" hidden="1">
      <c r="A19" s="289"/>
      <c r="B19" s="77"/>
      <c r="C19" s="296"/>
      <c r="D19" s="296"/>
      <c r="E19" s="296"/>
      <c r="F19" s="296"/>
      <c r="G19" s="281"/>
      <c r="H19" s="281"/>
      <c r="I19" s="269"/>
      <c r="J19" s="269"/>
      <c r="K19" s="269"/>
      <c r="L19" s="269"/>
      <c r="M19" s="269"/>
      <c r="N19" s="269"/>
      <c r="O19" s="269"/>
      <c r="P19" s="269"/>
      <c r="Q19" s="269"/>
      <c r="R19" s="269"/>
      <c r="S19" s="269"/>
      <c r="T19" s="269"/>
    </row>
    <row r="20">
      <c r="A20" s="277"/>
      <c r="B20" s="287">
        <v>8.0</v>
      </c>
      <c r="C20" s="288">
        <v>9.0</v>
      </c>
      <c r="D20" s="288">
        <v>10.0</v>
      </c>
      <c r="E20" s="288">
        <v>11.0</v>
      </c>
      <c r="F20" s="288">
        <v>12.0</v>
      </c>
      <c r="G20" s="281"/>
      <c r="H20" s="281"/>
      <c r="I20" s="269"/>
      <c r="J20" s="269"/>
      <c r="K20" s="269"/>
      <c r="L20" s="269"/>
      <c r="M20" s="269"/>
      <c r="N20" s="269"/>
      <c r="O20" s="269"/>
      <c r="P20" s="269"/>
      <c r="Q20" s="269"/>
      <c r="R20" s="269"/>
      <c r="S20" s="269"/>
      <c r="T20" s="269"/>
    </row>
    <row r="21" hidden="1">
      <c r="A21" s="289"/>
      <c r="B21" s="291"/>
      <c r="C21" s="291"/>
      <c r="D21" s="291"/>
      <c r="E21" s="291"/>
      <c r="F21" s="291"/>
      <c r="G21" s="281"/>
      <c r="H21" s="281"/>
      <c r="I21" s="269"/>
      <c r="J21" s="269"/>
      <c r="K21" s="269"/>
      <c r="L21" s="269"/>
      <c r="M21" s="269"/>
      <c r="N21" s="269"/>
      <c r="O21" s="269"/>
      <c r="P21" s="269"/>
      <c r="Q21" s="269"/>
      <c r="R21" s="269"/>
      <c r="S21" s="269"/>
      <c r="T21" s="269"/>
    </row>
    <row r="22" hidden="1">
      <c r="A22" s="289"/>
      <c r="B22" s="293"/>
      <c r="C22" s="294"/>
      <c r="D22" s="293"/>
      <c r="E22" s="293"/>
      <c r="F22" s="293"/>
      <c r="G22" s="281"/>
      <c r="H22" s="281"/>
      <c r="I22" s="269"/>
      <c r="J22" s="269"/>
      <c r="K22" s="269"/>
      <c r="L22" s="269"/>
      <c r="M22" s="269"/>
      <c r="N22" s="269"/>
      <c r="O22" s="269"/>
      <c r="P22" s="269"/>
      <c r="Q22" s="269"/>
      <c r="R22" s="269"/>
      <c r="S22" s="269"/>
      <c r="T22" s="269"/>
    </row>
    <row r="23" hidden="1">
      <c r="A23" s="289"/>
      <c r="B23" s="293"/>
      <c r="C23" s="293"/>
      <c r="D23" s="293"/>
      <c r="E23" s="293"/>
      <c r="F23" s="293"/>
      <c r="G23" s="281"/>
      <c r="H23" s="281"/>
      <c r="I23" s="269"/>
      <c r="J23" s="269"/>
      <c r="K23" s="269"/>
      <c r="L23" s="269"/>
      <c r="M23" s="269"/>
      <c r="N23" s="269"/>
      <c r="O23" s="269"/>
      <c r="P23" s="269"/>
      <c r="Q23" s="269"/>
      <c r="R23" s="269"/>
      <c r="S23" s="269"/>
      <c r="T23" s="269"/>
    </row>
    <row r="24" hidden="1">
      <c r="A24" s="289"/>
      <c r="B24" s="293"/>
      <c r="C24" s="293"/>
      <c r="D24" s="293"/>
      <c r="E24" s="293"/>
      <c r="F24" s="293"/>
      <c r="G24" s="281"/>
      <c r="H24" s="281"/>
      <c r="I24" s="269"/>
      <c r="J24" s="269"/>
      <c r="K24" s="269"/>
      <c r="L24" s="269"/>
      <c r="M24" s="269"/>
      <c r="N24" s="269"/>
      <c r="O24" s="269"/>
      <c r="P24" s="269"/>
      <c r="Q24" s="269"/>
      <c r="R24" s="269"/>
      <c r="S24" s="269"/>
      <c r="T24" s="269"/>
    </row>
    <row r="25" hidden="1">
      <c r="A25" s="289"/>
      <c r="B25" s="293"/>
      <c r="C25" s="293"/>
      <c r="D25" s="293"/>
      <c r="E25" s="293"/>
      <c r="F25" s="293"/>
      <c r="G25" s="281"/>
      <c r="H25" s="281"/>
      <c r="I25" s="269"/>
      <c r="J25" s="269"/>
      <c r="K25" s="269"/>
      <c r="L25" s="269"/>
      <c r="M25" s="269"/>
      <c r="N25" s="269"/>
      <c r="O25" s="269"/>
      <c r="P25" s="269"/>
      <c r="Q25" s="269"/>
      <c r="R25" s="269"/>
      <c r="S25" s="269"/>
      <c r="T25" s="269"/>
    </row>
    <row r="26" hidden="1">
      <c r="A26" s="289"/>
      <c r="B26" s="293"/>
      <c r="C26" s="293"/>
      <c r="D26" s="293"/>
      <c r="E26" s="293"/>
      <c r="F26" s="293"/>
      <c r="G26" s="281"/>
      <c r="H26" s="281"/>
      <c r="I26" s="269"/>
      <c r="J26" s="269"/>
      <c r="K26" s="269"/>
      <c r="L26" s="269"/>
      <c r="M26" s="269"/>
      <c r="N26" s="269"/>
      <c r="O26" s="269"/>
      <c r="P26" s="269"/>
      <c r="Q26" s="269"/>
      <c r="R26" s="269"/>
      <c r="S26" s="269"/>
      <c r="T26" s="269"/>
    </row>
    <row r="27" hidden="1">
      <c r="A27" s="289"/>
      <c r="B27" s="293"/>
      <c r="C27" s="293"/>
      <c r="D27" s="293"/>
      <c r="E27" s="293"/>
      <c r="F27" s="294"/>
      <c r="G27" s="281"/>
      <c r="H27" s="281"/>
      <c r="I27" s="269"/>
      <c r="J27" s="269"/>
      <c r="K27" s="269"/>
      <c r="L27" s="269"/>
      <c r="M27" s="269"/>
      <c r="N27" s="269"/>
      <c r="O27" s="269"/>
      <c r="P27" s="269"/>
      <c r="Q27" s="269"/>
      <c r="R27" s="269"/>
      <c r="S27" s="269"/>
      <c r="T27" s="269"/>
    </row>
    <row r="28" hidden="1">
      <c r="A28" s="289"/>
      <c r="B28" s="293"/>
      <c r="C28" s="293"/>
      <c r="D28" s="293"/>
      <c r="E28" s="293"/>
      <c r="F28" s="294"/>
      <c r="G28" s="281"/>
      <c r="H28" s="281"/>
      <c r="I28" s="269"/>
      <c r="J28" s="269"/>
      <c r="K28" s="269"/>
      <c r="L28" s="269"/>
      <c r="M28" s="269"/>
      <c r="N28" s="269"/>
      <c r="O28" s="269"/>
      <c r="P28" s="269"/>
      <c r="Q28" s="269"/>
      <c r="R28" s="269"/>
      <c r="S28" s="269"/>
      <c r="T28" s="269"/>
    </row>
    <row r="29" hidden="1">
      <c r="A29" s="289"/>
      <c r="B29" s="294"/>
      <c r="C29" s="293"/>
      <c r="D29" s="294"/>
      <c r="E29" s="293"/>
      <c r="F29" s="294"/>
      <c r="G29" s="281"/>
      <c r="H29" s="281"/>
      <c r="I29" s="269"/>
      <c r="J29" s="269"/>
      <c r="K29" s="269"/>
      <c r="L29" s="269"/>
      <c r="M29" s="269"/>
      <c r="N29" s="269"/>
      <c r="O29" s="269"/>
      <c r="P29" s="269"/>
      <c r="Q29" s="269"/>
      <c r="R29" s="269"/>
      <c r="S29" s="269"/>
      <c r="T29" s="269"/>
    </row>
    <row r="30" hidden="1">
      <c r="A30" s="289"/>
      <c r="B30" s="296"/>
      <c r="C30" s="297"/>
      <c r="D30" s="296"/>
      <c r="E30" s="293"/>
      <c r="F30" s="296"/>
      <c r="G30" s="281"/>
      <c r="H30" s="281"/>
      <c r="I30" s="269"/>
      <c r="J30" s="269"/>
      <c r="K30" s="269"/>
      <c r="L30" s="269"/>
      <c r="M30" s="269"/>
      <c r="N30" s="269"/>
      <c r="O30" s="269"/>
      <c r="P30" s="269"/>
      <c r="Q30" s="269"/>
      <c r="R30" s="269"/>
      <c r="S30" s="269"/>
      <c r="T30" s="269"/>
    </row>
    <row r="31">
      <c r="A31" s="277"/>
      <c r="B31" s="287">
        <v>15.0</v>
      </c>
      <c r="C31" s="288">
        <v>16.0</v>
      </c>
      <c r="D31" s="288">
        <v>17.0</v>
      </c>
      <c r="E31" s="288">
        <v>18.0</v>
      </c>
      <c r="F31" s="288">
        <v>19.0</v>
      </c>
      <c r="G31" s="281"/>
      <c r="H31" s="281"/>
      <c r="I31" s="269"/>
      <c r="J31" s="269"/>
      <c r="K31" s="269"/>
      <c r="L31" s="269"/>
      <c r="M31" s="269"/>
      <c r="N31" s="269"/>
      <c r="O31" s="269"/>
      <c r="P31" s="269"/>
      <c r="Q31" s="269"/>
      <c r="R31" s="269"/>
      <c r="S31" s="269"/>
      <c r="T31" s="269"/>
    </row>
    <row r="32" hidden="1">
      <c r="A32" s="289"/>
      <c r="B32" s="293"/>
      <c r="C32" s="293"/>
      <c r="D32" s="291"/>
      <c r="E32" s="291"/>
      <c r="F32" s="291"/>
      <c r="G32" s="281"/>
      <c r="H32" s="281"/>
      <c r="I32" s="269"/>
      <c r="J32" s="269"/>
      <c r="K32" s="269"/>
      <c r="L32" s="269"/>
      <c r="M32" s="269"/>
      <c r="N32" s="269"/>
      <c r="O32" s="269"/>
      <c r="P32" s="269"/>
      <c r="Q32" s="269"/>
      <c r="R32" s="269"/>
      <c r="S32" s="269"/>
      <c r="T32" s="269"/>
    </row>
    <row r="33" hidden="1">
      <c r="A33" s="289"/>
      <c r="B33" s="293"/>
      <c r="C33" s="293"/>
      <c r="D33" s="293"/>
      <c r="E33" s="293"/>
      <c r="F33" s="293"/>
      <c r="G33" s="281"/>
      <c r="H33" s="281"/>
      <c r="I33" s="269"/>
      <c r="J33" s="269"/>
      <c r="K33" s="269"/>
      <c r="L33" s="269"/>
      <c r="M33" s="269"/>
      <c r="N33" s="269"/>
      <c r="O33" s="269"/>
      <c r="P33" s="269"/>
      <c r="Q33" s="269"/>
      <c r="R33" s="269"/>
      <c r="S33" s="269"/>
      <c r="T33" s="269"/>
    </row>
    <row r="34" hidden="1">
      <c r="A34" s="289"/>
      <c r="B34" s="293"/>
      <c r="C34" s="293"/>
      <c r="D34" s="293"/>
      <c r="E34" s="293"/>
      <c r="F34" s="293"/>
      <c r="G34" s="281"/>
      <c r="H34" s="281"/>
      <c r="I34" s="269"/>
      <c r="J34" s="269"/>
      <c r="K34" s="269"/>
      <c r="L34" s="269"/>
      <c r="M34" s="269"/>
      <c r="N34" s="269"/>
      <c r="O34" s="269"/>
      <c r="P34" s="269"/>
      <c r="Q34" s="269"/>
      <c r="R34" s="269"/>
      <c r="S34" s="269"/>
      <c r="T34" s="269"/>
    </row>
    <row r="35" hidden="1">
      <c r="A35" s="289"/>
      <c r="B35" s="293"/>
      <c r="C35" s="293"/>
      <c r="D35" s="293"/>
      <c r="E35" s="293"/>
      <c r="F35" s="293"/>
      <c r="G35" s="281"/>
      <c r="H35" s="281"/>
      <c r="I35" s="269"/>
      <c r="J35" s="269"/>
      <c r="K35" s="269"/>
      <c r="L35" s="269"/>
      <c r="M35" s="269"/>
      <c r="N35" s="269"/>
      <c r="O35" s="269"/>
      <c r="P35" s="269"/>
      <c r="Q35" s="269"/>
      <c r="R35" s="269"/>
      <c r="S35" s="269"/>
      <c r="T35" s="269"/>
    </row>
    <row r="36" hidden="1">
      <c r="A36" s="289"/>
      <c r="B36" s="293"/>
      <c r="C36" s="293"/>
      <c r="D36" s="293"/>
      <c r="E36" s="293"/>
      <c r="F36" s="293"/>
      <c r="G36" s="281"/>
      <c r="H36" s="281"/>
      <c r="I36" s="269"/>
      <c r="J36" s="269"/>
      <c r="K36" s="269"/>
      <c r="L36" s="269"/>
      <c r="M36" s="269"/>
      <c r="N36" s="269"/>
      <c r="O36" s="269"/>
      <c r="P36" s="269"/>
      <c r="Q36" s="269"/>
      <c r="R36" s="269"/>
      <c r="S36" s="269"/>
      <c r="T36" s="269"/>
    </row>
    <row r="37" hidden="1">
      <c r="A37" s="289"/>
      <c r="B37" s="294"/>
      <c r="C37" s="293"/>
      <c r="D37" s="293"/>
      <c r="E37" s="293"/>
      <c r="F37" s="293"/>
      <c r="G37" s="281"/>
      <c r="H37" s="281"/>
      <c r="I37" s="269"/>
      <c r="J37" s="269"/>
      <c r="K37" s="269"/>
      <c r="L37" s="269"/>
      <c r="M37" s="269"/>
      <c r="N37" s="269"/>
      <c r="O37" s="269"/>
      <c r="P37" s="269"/>
      <c r="Q37" s="269"/>
      <c r="R37" s="269"/>
      <c r="S37" s="269"/>
      <c r="T37" s="269"/>
    </row>
    <row r="38" hidden="1">
      <c r="A38" s="289"/>
      <c r="B38" s="294"/>
      <c r="C38" s="293"/>
      <c r="D38" s="293"/>
      <c r="E38" s="293"/>
      <c r="F38" s="293"/>
      <c r="G38" s="281"/>
      <c r="H38" s="281"/>
      <c r="I38" s="269"/>
      <c r="J38" s="269"/>
      <c r="K38" s="269"/>
      <c r="L38" s="269"/>
      <c r="M38" s="269"/>
      <c r="N38" s="269"/>
      <c r="O38" s="269"/>
      <c r="P38" s="269"/>
      <c r="Q38" s="269"/>
      <c r="R38" s="269"/>
      <c r="S38" s="269"/>
      <c r="T38" s="269"/>
    </row>
    <row r="39" hidden="1">
      <c r="A39" s="289"/>
      <c r="B39" s="294"/>
      <c r="C39" s="293"/>
      <c r="D39" s="293"/>
      <c r="E39" s="293"/>
      <c r="F39" s="293"/>
      <c r="G39" s="281"/>
      <c r="H39" s="281"/>
      <c r="I39" s="269"/>
      <c r="J39" s="269"/>
      <c r="K39" s="269"/>
      <c r="L39" s="269"/>
      <c r="M39" s="269"/>
      <c r="N39" s="269"/>
      <c r="O39" s="269"/>
      <c r="P39" s="269"/>
      <c r="Q39" s="269"/>
      <c r="R39" s="269"/>
      <c r="S39" s="269"/>
      <c r="T39" s="269"/>
    </row>
    <row r="40" hidden="1">
      <c r="A40" s="289"/>
      <c r="B40" s="293"/>
      <c r="C40" s="293"/>
      <c r="D40" s="294"/>
      <c r="E40" s="293"/>
      <c r="F40" s="294"/>
      <c r="G40" s="281"/>
      <c r="H40" s="281"/>
      <c r="I40" s="269"/>
      <c r="J40" s="269"/>
      <c r="K40" s="269"/>
      <c r="L40" s="269"/>
      <c r="M40" s="269"/>
      <c r="N40" s="269"/>
      <c r="O40" s="269"/>
      <c r="P40" s="269"/>
      <c r="Q40" s="269"/>
      <c r="R40" s="269"/>
      <c r="S40" s="269"/>
      <c r="T40" s="269"/>
    </row>
    <row r="41" hidden="1">
      <c r="A41" s="289"/>
      <c r="B41" s="296"/>
      <c r="C41" s="296"/>
      <c r="D41" s="296"/>
      <c r="E41" s="296"/>
      <c r="F41" s="296"/>
      <c r="G41" s="281"/>
      <c r="H41" s="281"/>
      <c r="I41" s="269"/>
      <c r="J41" s="269"/>
      <c r="K41" s="269"/>
      <c r="L41" s="269"/>
      <c r="M41" s="269"/>
      <c r="N41" s="269"/>
      <c r="O41" s="269"/>
      <c r="P41" s="269"/>
      <c r="Q41" s="269"/>
      <c r="R41" s="269"/>
      <c r="S41" s="269"/>
      <c r="T41" s="269"/>
    </row>
    <row r="42">
      <c r="A42" s="277"/>
      <c r="B42" s="287">
        <v>22.0</v>
      </c>
      <c r="C42" s="288">
        <v>23.0</v>
      </c>
      <c r="D42" s="288">
        <v>24.0</v>
      </c>
      <c r="E42" s="288">
        <v>25.0</v>
      </c>
      <c r="F42" s="288">
        <v>26.0</v>
      </c>
      <c r="G42" s="281"/>
      <c r="H42" s="281"/>
      <c r="I42" s="269"/>
      <c r="J42" s="269"/>
      <c r="K42" s="269"/>
      <c r="L42" s="269"/>
      <c r="M42" s="269"/>
      <c r="N42" s="269"/>
      <c r="O42" s="269"/>
      <c r="P42" s="269"/>
      <c r="Q42" s="269"/>
      <c r="R42" s="269"/>
      <c r="S42" s="269"/>
      <c r="T42" s="269"/>
    </row>
    <row r="43" hidden="1">
      <c r="A43" s="289"/>
      <c r="B43" s="291"/>
      <c r="C43" s="291"/>
      <c r="D43" s="291"/>
      <c r="E43" s="291"/>
      <c r="F43" s="291"/>
      <c r="G43" s="281"/>
      <c r="H43" s="281"/>
      <c r="I43" s="269"/>
      <c r="J43" s="269"/>
      <c r="K43" s="269"/>
      <c r="L43" s="269"/>
      <c r="M43" s="269"/>
      <c r="N43" s="269"/>
      <c r="O43" s="269"/>
      <c r="P43" s="269"/>
      <c r="Q43" s="269"/>
      <c r="R43" s="269"/>
      <c r="S43" s="269"/>
      <c r="T43" s="269"/>
    </row>
    <row r="44" hidden="1">
      <c r="A44" s="289"/>
      <c r="B44" s="293"/>
      <c r="C44" s="293"/>
      <c r="D44" s="293"/>
      <c r="E44" s="293"/>
      <c r="F44" s="293"/>
      <c r="G44" s="281"/>
      <c r="H44" s="281"/>
      <c r="I44" s="269"/>
      <c r="J44" s="269"/>
      <c r="K44" s="269"/>
      <c r="L44" s="269"/>
      <c r="M44" s="269"/>
      <c r="N44" s="269"/>
      <c r="O44" s="269"/>
      <c r="P44" s="269"/>
      <c r="Q44" s="269"/>
      <c r="R44" s="269"/>
      <c r="S44" s="269"/>
      <c r="T44" s="269"/>
    </row>
    <row r="45" hidden="1">
      <c r="A45" s="289"/>
      <c r="B45" s="293"/>
      <c r="C45" s="293"/>
      <c r="D45" s="293"/>
      <c r="E45" s="293"/>
      <c r="F45" s="293"/>
      <c r="G45" s="281"/>
      <c r="H45" s="281"/>
      <c r="I45" s="269"/>
      <c r="J45" s="269"/>
      <c r="K45" s="269"/>
      <c r="L45" s="269"/>
      <c r="M45" s="269"/>
      <c r="N45" s="269"/>
      <c r="O45" s="269"/>
      <c r="P45" s="269"/>
      <c r="Q45" s="269"/>
      <c r="R45" s="269"/>
      <c r="S45" s="269"/>
      <c r="T45" s="269"/>
    </row>
    <row r="46" hidden="1">
      <c r="A46" s="289"/>
      <c r="B46" s="293"/>
      <c r="C46" s="293"/>
      <c r="D46" s="293"/>
      <c r="E46" s="293"/>
      <c r="F46" s="293"/>
      <c r="G46" s="281"/>
      <c r="H46" s="281"/>
      <c r="I46" s="269"/>
      <c r="J46" s="269"/>
      <c r="K46" s="269"/>
      <c r="L46" s="269"/>
      <c r="M46" s="269"/>
      <c r="N46" s="269"/>
      <c r="O46" s="269"/>
      <c r="P46" s="269"/>
      <c r="Q46" s="269"/>
      <c r="R46" s="269"/>
      <c r="S46" s="269"/>
      <c r="T46" s="269"/>
    </row>
    <row r="47" hidden="1">
      <c r="A47" s="289"/>
      <c r="B47" s="293"/>
      <c r="C47" s="293"/>
      <c r="D47" s="293"/>
      <c r="E47" s="293"/>
      <c r="F47" s="293"/>
      <c r="G47" s="281"/>
      <c r="H47" s="281"/>
      <c r="I47" s="269"/>
      <c r="J47" s="269"/>
      <c r="K47" s="269"/>
      <c r="L47" s="269"/>
      <c r="M47" s="269"/>
      <c r="N47" s="269"/>
      <c r="O47" s="269"/>
      <c r="P47" s="269"/>
      <c r="Q47" s="269"/>
      <c r="R47" s="269"/>
      <c r="S47" s="269"/>
      <c r="T47" s="269"/>
    </row>
    <row r="48" hidden="1">
      <c r="A48" s="289"/>
      <c r="B48" s="293"/>
      <c r="C48" s="293"/>
      <c r="D48" s="293"/>
      <c r="E48" s="293"/>
      <c r="F48" s="293"/>
      <c r="G48" s="281"/>
      <c r="H48" s="281"/>
      <c r="I48" s="269"/>
      <c r="J48" s="269"/>
      <c r="K48" s="269"/>
      <c r="L48" s="269"/>
      <c r="M48" s="269"/>
      <c r="N48" s="269"/>
      <c r="O48" s="269"/>
      <c r="P48" s="269"/>
      <c r="Q48" s="269"/>
      <c r="R48" s="269"/>
      <c r="S48" s="269"/>
      <c r="T48" s="269"/>
    </row>
    <row r="49" hidden="1">
      <c r="A49" s="289"/>
      <c r="B49" s="293"/>
      <c r="C49" s="293"/>
      <c r="D49" s="293"/>
      <c r="E49" s="293"/>
      <c r="F49" s="294"/>
      <c r="G49" s="281"/>
      <c r="H49" s="281"/>
      <c r="I49" s="269"/>
      <c r="J49" s="269"/>
      <c r="K49" s="269"/>
      <c r="L49" s="269"/>
      <c r="M49" s="269"/>
      <c r="N49" s="269"/>
      <c r="O49" s="269"/>
      <c r="P49" s="269"/>
      <c r="Q49" s="269"/>
      <c r="R49" s="269"/>
      <c r="S49" s="269"/>
      <c r="T49" s="269"/>
    </row>
    <row r="50" hidden="1">
      <c r="A50" s="289"/>
      <c r="B50" s="294"/>
      <c r="C50" s="293"/>
      <c r="D50" s="293"/>
      <c r="E50" s="294"/>
      <c r="F50" s="294"/>
      <c r="G50" s="281"/>
      <c r="H50" s="281"/>
      <c r="I50" s="269"/>
      <c r="J50" s="269"/>
      <c r="K50" s="269"/>
      <c r="L50" s="269"/>
      <c r="M50" s="269"/>
      <c r="N50" s="269"/>
      <c r="O50" s="269"/>
      <c r="P50" s="269"/>
      <c r="Q50" s="269"/>
      <c r="R50" s="269"/>
      <c r="S50" s="269"/>
      <c r="T50" s="269"/>
    </row>
    <row r="51" hidden="1">
      <c r="A51" s="289"/>
      <c r="B51" s="294"/>
      <c r="C51" s="293"/>
      <c r="D51" s="293"/>
      <c r="E51" s="294"/>
      <c r="F51" s="294"/>
      <c r="G51" s="281"/>
      <c r="H51" s="281"/>
      <c r="I51" s="269"/>
      <c r="J51" s="269"/>
      <c r="K51" s="269"/>
      <c r="L51" s="269"/>
      <c r="M51" s="269"/>
      <c r="N51" s="269"/>
      <c r="O51" s="269"/>
      <c r="P51" s="269"/>
      <c r="Q51" s="269"/>
      <c r="R51" s="269"/>
      <c r="S51" s="269"/>
      <c r="T51" s="269"/>
    </row>
    <row r="52" hidden="1">
      <c r="A52" s="289"/>
      <c r="B52" s="296"/>
      <c r="C52" s="297"/>
      <c r="D52" s="296"/>
      <c r="E52" s="296"/>
      <c r="F52" s="296"/>
      <c r="G52" s="281"/>
      <c r="H52" s="281"/>
      <c r="I52" s="269"/>
      <c r="J52" s="269"/>
      <c r="K52" s="269"/>
      <c r="L52" s="269"/>
      <c r="M52" s="269"/>
      <c r="N52" s="269"/>
      <c r="O52" s="269"/>
      <c r="P52" s="269"/>
      <c r="Q52" s="269"/>
      <c r="R52" s="269"/>
      <c r="S52" s="269"/>
      <c r="T52" s="269"/>
    </row>
    <row r="53">
      <c r="A53" s="277"/>
      <c r="B53" s="287">
        <v>29.0</v>
      </c>
      <c r="C53" s="288">
        <v>30.0</v>
      </c>
      <c r="D53" s="288">
        <v>31.0</v>
      </c>
      <c r="E53" s="298"/>
      <c r="F53" s="298"/>
      <c r="G53" s="281"/>
      <c r="H53" s="281"/>
      <c r="I53" s="269"/>
      <c r="J53" s="269"/>
      <c r="K53" s="269"/>
      <c r="L53" s="269"/>
      <c r="M53" s="269"/>
      <c r="N53" s="269"/>
      <c r="O53" s="269"/>
      <c r="P53" s="269"/>
      <c r="Q53" s="269"/>
      <c r="R53" s="269"/>
      <c r="S53" s="269"/>
      <c r="T53" s="269"/>
    </row>
    <row r="54" hidden="1">
      <c r="A54" s="289"/>
      <c r="B54" s="291"/>
      <c r="C54" s="291"/>
      <c r="D54" s="291"/>
      <c r="E54" s="299"/>
      <c r="F54" s="299"/>
      <c r="G54" s="281"/>
      <c r="H54" s="281"/>
      <c r="I54" s="269"/>
      <c r="J54" s="269"/>
      <c r="K54" s="269"/>
      <c r="L54" s="269"/>
      <c r="M54" s="269"/>
      <c r="N54" s="269"/>
      <c r="O54" s="269"/>
      <c r="P54" s="269"/>
      <c r="Q54" s="269"/>
      <c r="R54" s="269"/>
      <c r="S54" s="269"/>
      <c r="T54" s="269"/>
    </row>
    <row r="55" hidden="1">
      <c r="A55" s="289"/>
      <c r="B55" s="293"/>
      <c r="C55" s="293"/>
      <c r="D55" s="293"/>
      <c r="E55" s="292"/>
      <c r="F55" s="292"/>
      <c r="G55" s="281"/>
      <c r="H55" s="281"/>
      <c r="I55" s="269"/>
      <c r="J55" s="269"/>
      <c r="K55" s="269"/>
      <c r="L55" s="269"/>
      <c r="M55" s="269"/>
      <c r="N55" s="269"/>
      <c r="O55" s="269"/>
      <c r="P55" s="269"/>
      <c r="Q55" s="269"/>
      <c r="R55" s="269"/>
      <c r="S55" s="269"/>
      <c r="T55" s="269"/>
    </row>
    <row r="56" hidden="1">
      <c r="A56" s="289"/>
      <c r="B56" s="293"/>
      <c r="C56" s="293"/>
      <c r="D56" s="293"/>
      <c r="E56" s="292"/>
      <c r="F56" s="292"/>
      <c r="G56" s="281"/>
      <c r="H56" s="281"/>
      <c r="I56" s="269"/>
      <c r="J56" s="269"/>
      <c r="K56" s="269"/>
      <c r="L56" s="269"/>
      <c r="M56" s="269"/>
      <c r="N56" s="269"/>
      <c r="O56" s="269"/>
      <c r="P56" s="269"/>
      <c r="Q56" s="269"/>
      <c r="R56" s="269"/>
      <c r="S56" s="269"/>
      <c r="T56" s="269"/>
    </row>
    <row r="57" hidden="1">
      <c r="A57" s="289"/>
      <c r="B57" s="293"/>
      <c r="C57" s="293"/>
      <c r="D57" s="293"/>
      <c r="E57" s="292"/>
      <c r="F57" s="292"/>
      <c r="G57" s="281"/>
      <c r="H57" s="281"/>
      <c r="I57" s="269"/>
      <c r="J57" s="269"/>
      <c r="K57" s="269"/>
      <c r="L57" s="269"/>
      <c r="M57" s="269"/>
      <c r="N57" s="269"/>
      <c r="O57" s="269"/>
      <c r="P57" s="269"/>
      <c r="Q57" s="269"/>
      <c r="R57" s="269"/>
      <c r="S57" s="269"/>
      <c r="T57" s="269"/>
    </row>
    <row r="58" hidden="1">
      <c r="A58" s="289"/>
      <c r="B58" s="293"/>
      <c r="C58" s="293"/>
      <c r="D58" s="293"/>
      <c r="E58" s="292"/>
      <c r="F58" s="292"/>
      <c r="G58" s="281"/>
      <c r="H58" s="281"/>
      <c r="I58" s="269"/>
      <c r="J58" s="269"/>
      <c r="K58" s="269"/>
      <c r="L58" s="269"/>
      <c r="M58" s="269"/>
      <c r="N58" s="269"/>
      <c r="O58" s="269"/>
      <c r="P58" s="269"/>
      <c r="Q58" s="269"/>
      <c r="R58" s="269"/>
      <c r="S58" s="269"/>
      <c r="T58" s="269"/>
    </row>
    <row r="59" hidden="1">
      <c r="A59" s="289"/>
      <c r="B59" s="293"/>
      <c r="C59" s="293"/>
      <c r="D59" s="293"/>
      <c r="E59" s="292"/>
      <c r="F59" s="292"/>
      <c r="G59" s="281"/>
      <c r="H59" s="281"/>
      <c r="I59" s="269"/>
      <c r="J59" s="269"/>
      <c r="K59" s="269"/>
      <c r="L59" s="269"/>
      <c r="M59" s="269"/>
      <c r="N59" s="269"/>
      <c r="O59" s="269"/>
      <c r="P59" s="269"/>
      <c r="Q59" s="269"/>
      <c r="R59" s="269"/>
      <c r="S59" s="269"/>
      <c r="T59" s="269"/>
    </row>
    <row r="60" hidden="1">
      <c r="A60" s="289"/>
      <c r="B60" s="293"/>
      <c r="C60" s="293"/>
      <c r="D60" s="293"/>
      <c r="E60" s="292"/>
      <c r="F60" s="292"/>
      <c r="G60" s="281"/>
      <c r="H60" s="281"/>
      <c r="I60" s="269"/>
      <c r="J60" s="269"/>
      <c r="K60" s="269"/>
      <c r="L60" s="269"/>
      <c r="M60" s="269"/>
      <c r="N60" s="269"/>
      <c r="O60" s="269"/>
      <c r="P60" s="269"/>
      <c r="Q60" s="269"/>
      <c r="R60" s="269"/>
      <c r="S60" s="269"/>
      <c r="T60" s="269"/>
    </row>
    <row r="61" hidden="1">
      <c r="A61" s="289"/>
      <c r="B61" s="293"/>
      <c r="C61" s="293"/>
      <c r="D61" s="293"/>
      <c r="E61" s="292"/>
      <c r="F61" s="292"/>
      <c r="G61" s="281"/>
      <c r="H61" s="281"/>
      <c r="I61" s="269"/>
      <c r="J61" s="269"/>
      <c r="K61" s="269"/>
      <c r="L61" s="269"/>
      <c r="M61" s="269"/>
      <c r="N61" s="269"/>
      <c r="O61" s="269"/>
      <c r="P61" s="269"/>
      <c r="Q61" s="269"/>
      <c r="R61" s="269"/>
      <c r="S61" s="269"/>
      <c r="T61" s="269"/>
    </row>
    <row r="62" hidden="1">
      <c r="A62" s="289"/>
      <c r="B62" s="294"/>
      <c r="C62" s="294"/>
      <c r="D62" s="294"/>
      <c r="E62" s="292"/>
      <c r="F62" s="292"/>
      <c r="G62" s="281"/>
      <c r="H62" s="281"/>
      <c r="I62" s="269"/>
      <c r="J62" s="269"/>
      <c r="K62" s="269"/>
      <c r="L62" s="269"/>
      <c r="M62" s="269"/>
      <c r="N62" s="269"/>
      <c r="O62" s="269"/>
      <c r="P62" s="269"/>
      <c r="Q62" s="269"/>
      <c r="R62" s="269"/>
      <c r="S62" s="269"/>
      <c r="T62" s="269"/>
    </row>
    <row r="63" hidden="1">
      <c r="A63" s="289"/>
      <c r="B63" s="296"/>
      <c r="C63" s="296"/>
      <c r="D63" s="296"/>
      <c r="E63" s="77"/>
      <c r="F63" s="77"/>
      <c r="G63" s="281"/>
      <c r="H63" s="281"/>
      <c r="I63" s="269"/>
      <c r="J63" s="269"/>
      <c r="K63" s="269"/>
      <c r="L63" s="269"/>
      <c r="M63" s="269"/>
      <c r="N63" s="269"/>
      <c r="O63" s="269"/>
      <c r="P63" s="269"/>
      <c r="Q63" s="269"/>
      <c r="R63" s="269"/>
      <c r="S63" s="269"/>
      <c r="T63" s="269"/>
    </row>
    <row r="64">
      <c r="A64" s="277"/>
      <c r="B64" s="300"/>
      <c r="C64" s="298"/>
      <c r="D64" s="298"/>
      <c r="E64" s="298"/>
      <c r="F64" s="298"/>
      <c r="G64" s="281"/>
      <c r="H64" s="281"/>
      <c r="I64" s="269"/>
      <c r="J64" s="269"/>
      <c r="K64" s="269"/>
      <c r="L64" s="269"/>
      <c r="M64" s="269"/>
      <c r="N64" s="269"/>
      <c r="O64" s="269"/>
      <c r="P64" s="269"/>
      <c r="Q64" s="269"/>
      <c r="R64" s="269"/>
      <c r="S64" s="269"/>
      <c r="T64" s="269"/>
    </row>
    <row r="65">
      <c r="A65" s="274"/>
      <c r="B65" s="301"/>
      <c r="C65" s="301"/>
      <c r="D65" s="301"/>
      <c r="E65" s="301"/>
      <c r="F65" s="301"/>
      <c r="G65" s="268"/>
      <c r="H65" s="268"/>
      <c r="I65" s="269"/>
      <c r="J65" s="269"/>
      <c r="K65" s="269"/>
      <c r="L65" s="269"/>
      <c r="M65" s="269"/>
      <c r="N65" s="269"/>
      <c r="O65" s="269"/>
      <c r="P65" s="269"/>
      <c r="Q65" s="269"/>
      <c r="R65" s="269"/>
      <c r="S65" s="269"/>
      <c r="T65" s="269"/>
    </row>
    <row r="66">
      <c r="A66" s="274"/>
      <c r="B66" s="268"/>
      <c r="C66" s="268"/>
      <c r="D66" s="268"/>
      <c r="E66" s="268"/>
      <c r="F66" s="268"/>
      <c r="G66" s="268"/>
      <c r="H66" s="268"/>
      <c r="I66" s="269"/>
      <c r="J66" s="269"/>
      <c r="K66" s="269"/>
      <c r="L66" s="269"/>
      <c r="M66" s="269"/>
      <c r="N66" s="269"/>
      <c r="O66" s="269"/>
      <c r="P66" s="269"/>
      <c r="Q66" s="269"/>
      <c r="R66" s="269"/>
      <c r="S66" s="269"/>
      <c r="T66" s="269"/>
    </row>
    <row r="67">
      <c r="A67" s="274"/>
      <c r="B67" s="302"/>
      <c r="C67" s="302"/>
      <c r="D67" s="302"/>
      <c r="E67" s="302"/>
      <c r="F67" s="302"/>
      <c r="G67" s="268"/>
      <c r="H67" s="268"/>
      <c r="I67" s="269"/>
      <c r="J67" s="269"/>
      <c r="K67" s="269"/>
      <c r="L67" s="269"/>
      <c r="M67" s="269"/>
      <c r="N67" s="269"/>
      <c r="O67" s="269"/>
      <c r="P67" s="269"/>
      <c r="Q67" s="269"/>
      <c r="R67" s="269"/>
      <c r="S67" s="269"/>
      <c r="T67" s="269"/>
    </row>
    <row r="68">
      <c r="A68" s="277"/>
      <c r="B68" s="278" t="s">
        <v>907</v>
      </c>
      <c r="C68" s="279"/>
      <c r="D68" s="279"/>
      <c r="E68" s="279"/>
      <c r="F68" s="280"/>
      <c r="G68" s="281"/>
      <c r="H68" s="281"/>
      <c r="I68" s="269"/>
      <c r="J68" s="269"/>
      <c r="K68" s="269"/>
      <c r="L68" s="269"/>
      <c r="M68" s="269"/>
      <c r="N68" s="269"/>
      <c r="O68" s="269"/>
      <c r="P68" s="269"/>
      <c r="Q68" s="269"/>
      <c r="R68" s="269"/>
      <c r="S68" s="269"/>
      <c r="T68" s="269"/>
    </row>
    <row r="69">
      <c r="A69" s="277"/>
      <c r="B69" s="282"/>
      <c r="C69" s="283"/>
      <c r="D69" s="283"/>
      <c r="E69" s="283"/>
      <c r="F69" s="284"/>
      <c r="G69" s="281"/>
      <c r="H69" s="281"/>
      <c r="I69" s="269"/>
      <c r="J69" s="269"/>
      <c r="K69" s="269"/>
      <c r="L69" s="269"/>
      <c r="M69" s="269"/>
      <c r="N69" s="269"/>
      <c r="O69" s="269"/>
      <c r="P69" s="269"/>
      <c r="Q69" s="269"/>
      <c r="R69" s="269"/>
      <c r="S69" s="269"/>
      <c r="T69" s="269"/>
    </row>
    <row r="70">
      <c r="A70" s="277"/>
      <c r="B70" s="285" t="s">
        <v>901</v>
      </c>
      <c r="C70" s="286" t="s">
        <v>902</v>
      </c>
      <c r="D70" s="286" t="s">
        <v>903</v>
      </c>
      <c r="E70" s="286" t="s">
        <v>904</v>
      </c>
      <c r="F70" s="286" t="s">
        <v>905</v>
      </c>
      <c r="G70" s="281"/>
      <c r="H70" s="281"/>
      <c r="I70" s="269"/>
      <c r="J70" s="269"/>
      <c r="K70" s="269"/>
      <c r="L70" s="269"/>
      <c r="M70" s="269"/>
      <c r="N70" s="269"/>
      <c r="O70" s="269"/>
      <c r="P70" s="269"/>
      <c r="Q70" s="269"/>
      <c r="R70" s="269"/>
      <c r="S70" s="269"/>
      <c r="T70" s="269"/>
    </row>
    <row r="71">
      <c r="A71" s="277"/>
      <c r="B71" s="287"/>
      <c r="C71" s="288"/>
      <c r="D71" s="288"/>
      <c r="E71" s="303">
        <v>1.0</v>
      </c>
      <c r="F71" s="303">
        <v>2.0</v>
      </c>
      <c r="G71" s="281"/>
      <c r="H71" s="281"/>
      <c r="I71" s="269"/>
      <c r="J71" s="269"/>
      <c r="K71" s="269"/>
      <c r="L71" s="269"/>
      <c r="M71" s="269"/>
      <c r="N71" s="269"/>
      <c r="O71" s="269"/>
      <c r="P71" s="269"/>
      <c r="Q71" s="269"/>
      <c r="R71" s="269"/>
      <c r="S71" s="269"/>
      <c r="T71" s="269"/>
    </row>
    <row r="72" hidden="1">
      <c r="A72" s="289"/>
      <c r="B72" s="299"/>
      <c r="C72" s="299"/>
      <c r="D72" s="299"/>
      <c r="E72" s="291"/>
      <c r="F72" s="293"/>
      <c r="G72" s="281"/>
      <c r="H72" s="281"/>
      <c r="I72" s="269"/>
      <c r="J72" s="269"/>
      <c r="K72" s="269"/>
      <c r="L72" s="269"/>
      <c r="M72" s="269"/>
      <c r="N72" s="269"/>
      <c r="O72" s="269"/>
      <c r="P72" s="269"/>
      <c r="Q72" s="269"/>
      <c r="R72" s="269"/>
      <c r="S72" s="269"/>
      <c r="T72" s="269"/>
    </row>
    <row r="73" hidden="1">
      <c r="A73" s="289"/>
      <c r="B73" s="292"/>
      <c r="C73" s="292"/>
      <c r="D73" s="292"/>
      <c r="E73" s="293"/>
      <c r="F73" s="293"/>
      <c r="G73" s="281"/>
      <c r="H73" s="281"/>
      <c r="I73" s="269"/>
      <c r="J73" s="269"/>
      <c r="K73" s="269"/>
      <c r="L73" s="269"/>
      <c r="M73" s="269"/>
      <c r="N73" s="269"/>
      <c r="O73" s="269"/>
      <c r="P73" s="269"/>
      <c r="Q73" s="269"/>
      <c r="R73" s="269"/>
      <c r="S73" s="269"/>
      <c r="T73" s="269"/>
    </row>
    <row r="74" hidden="1">
      <c r="A74" s="289"/>
      <c r="B74" s="292"/>
      <c r="C74" s="292"/>
      <c r="D74" s="292"/>
      <c r="E74" s="293"/>
      <c r="F74" s="293"/>
      <c r="G74" s="281"/>
      <c r="H74" s="281"/>
      <c r="I74" s="269"/>
      <c r="J74" s="269"/>
      <c r="K74" s="269"/>
      <c r="L74" s="269"/>
      <c r="M74" s="269"/>
      <c r="N74" s="269"/>
      <c r="O74" s="269"/>
      <c r="P74" s="269"/>
      <c r="Q74" s="269"/>
      <c r="R74" s="269"/>
      <c r="S74" s="269"/>
      <c r="T74" s="269"/>
    </row>
    <row r="75" hidden="1">
      <c r="A75" s="289"/>
      <c r="B75" s="292"/>
      <c r="C75" s="292"/>
      <c r="D75" s="292"/>
      <c r="E75" s="293"/>
      <c r="F75" s="293"/>
      <c r="G75" s="281"/>
      <c r="H75" s="281"/>
      <c r="I75" s="269"/>
      <c r="J75" s="269"/>
      <c r="K75" s="269"/>
      <c r="L75" s="269"/>
      <c r="M75" s="269"/>
      <c r="N75" s="269"/>
      <c r="O75" s="269"/>
      <c r="P75" s="269"/>
      <c r="Q75" s="269"/>
      <c r="R75" s="269"/>
      <c r="S75" s="269"/>
      <c r="T75" s="269"/>
    </row>
    <row r="76" hidden="1">
      <c r="A76" s="289"/>
      <c r="B76" s="292"/>
      <c r="C76" s="292"/>
      <c r="D76" s="292"/>
      <c r="E76" s="293"/>
      <c r="F76" s="293"/>
      <c r="G76" s="281"/>
      <c r="H76" s="281"/>
      <c r="I76" s="269"/>
      <c r="J76" s="269"/>
      <c r="K76" s="269"/>
      <c r="L76" s="269"/>
      <c r="M76" s="269"/>
      <c r="N76" s="269"/>
      <c r="O76" s="269"/>
      <c r="P76" s="269"/>
      <c r="Q76" s="269"/>
      <c r="R76" s="269"/>
      <c r="S76" s="269"/>
      <c r="T76" s="269"/>
    </row>
    <row r="77" hidden="1">
      <c r="A77" s="289"/>
      <c r="B77" s="292"/>
      <c r="C77" s="292"/>
      <c r="D77" s="292"/>
      <c r="E77" s="293"/>
      <c r="F77" s="293"/>
      <c r="G77" s="281"/>
      <c r="H77" s="281"/>
      <c r="I77" s="269"/>
      <c r="J77" s="269"/>
      <c r="K77" s="269"/>
      <c r="L77" s="269"/>
      <c r="M77" s="269"/>
      <c r="N77" s="269"/>
      <c r="O77" s="269"/>
      <c r="P77" s="269"/>
      <c r="Q77" s="269"/>
      <c r="R77" s="269"/>
      <c r="S77" s="269"/>
      <c r="T77" s="269"/>
    </row>
    <row r="78" hidden="1">
      <c r="A78" s="289"/>
      <c r="B78" s="292"/>
      <c r="C78" s="292"/>
      <c r="D78" s="292"/>
      <c r="E78" s="293"/>
      <c r="F78" s="293"/>
      <c r="G78" s="281"/>
      <c r="H78" s="281"/>
      <c r="I78" s="269"/>
      <c r="J78" s="269"/>
      <c r="K78" s="269"/>
      <c r="L78" s="269"/>
      <c r="M78" s="269"/>
      <c r="N78" s="269"/>
      <c r="O78" s="269"/>
      <c r="P78" s="269"/>
      <c r="Q78" s="269"/>
      <c r="R78" s="269"/>
      <c r="S78" s="269"/>
      <c r="T78" s="269"/>
    </row>
    <row r="79" hidden="1">
      <c r="A79" s="289"/>
      <c r="B79" s="292"/>
      <c r="C79" s="292"/>
      <c r="D79" s="292"/>
      <c r="E79" s="293"/>
      <c r="F79" s="293"/>
      <c r="G79" s="281"/>
      <c r="H79" s="281"/>
      <c r="I79" s="269"/>
      <c r="J79" s="269"/>
      <c r="K79" s="269"/>
      <c r="L79" s="269"/>
      <c r="M79" s="269"/>
      <c r="N79" s="269"/>
      <c r="O79" s="269"/>
      <c r="P79" s="269"/>
      <c r="Q79" s="269"/>
      <c r="R79" s="269"/>
      <c r="S79" s="269"/>
      <c r="T79" s="269"/>
    </row>
    <row r="80" hidden="1">
      <c r="A80" s="289"/>
      <c r="B80" s="292"/>
      <c r="C80" s="292"/>
      <c r="D80" s="292"/>
      <c r="E80" s="293"/>
      <c r="F80" s="293"/>
      <c r="G80" s="281"/>
      <c r="H80" s="281"/>
      <c r="I80" s="269"/>
      <c r="J80" s="269"/>
      <c r="K80" s="269"/>
      <c r="L80" s="269"/>
      <c r="M80" s="269"/>
      <c r="N80" s="269"/>
      <c r="O80" s="269"/>
      <c r="P80" s="269"/>
      <c r="Q80" s="269"/>
      <c r="R80" s="269"/>
      <c r="S80" s="269"/>
      <c r="T80" s="269"/>
    </row>
    <row r="81" hidden="1">
      <c r="A81" s="289"/>
      <c r="B81" s="77"/>
      <c r="C81" s="77"/>
      <c r="D81" s="77"/>
      <c r="E81" s="297"/>
      <c r="F81" s="296"/>
      <c r="G81" s="281"/>
      <c r="H81" s="281"/>
      <c r="I81" s="269"/>
      <c r="J81" s="269"/>
      <c r="K81" s="269"/>
      <c r="L81" s="269"/>
      <c r="M81" s="269"/>
      <c r="N81" s="269"/>
      <c r="O81" s="269"/>
      <c r="P81" s="269"/>
      <c r="Q81" s="269"/>
      <c r="R81" s="269"/>
      <c r="S81" s="269"/>
      <c r="T81" s="269"/>
    </row>
    <row r="82">
      <c r="A82" s="277"/>
      <c r="B82" s="304">
        <v>5.0</v>
      </c>
      <c r="C82" s="304">
        <v>6.0</v>
      </c>
      <c r="D82" s="304">
        <v>7.0</v>
      </c>
      <c r="E82" s="304">
        <v>8.0</v>
      </c>
      <c r="F82" s="304">
        <v>9.0</v>
      </c>
      <c r="G82" s="281"/>
      <c r="H82" s="281"/>
      <c r="I82" s="269"/>
      <c r="J82" s="269"/>
      <c r="K82" s="269"/>
      <c r="L82" s="269"/>
      <c r="M82" s="269"/>
      <c r="N82" s="269"/>
      <c r="O82" s="269"/>
      <c r="P82" s="269"/>
      <c r="Q82" s="269"/>
      <c r="R82" s="269"/>
      <c r="S82" s="269"/>
      <c r="T82" s="269"/>
    </row>
    <row r="83" hidden="1">
      <c r="A83" s="289"/>
      <c r="B83" s="291"/>
      <c r="C83" s="291"/>
      <c r="D83" s="291"/>
      <c r="E83" s="291"/>
      <c r="F83" s="291"/>
      <c r="G83" s="281"/>
      <c r="H83" s="281"/>
      <c r="I83" s="269"/>
      <c r="J83" s="269"/>
      <c r="K83" s="269"/>
      <c r="L83" s="269"/>
      <c r="M83" s="269"/>
      <c r="N83" s="269"/>
      <c r="O83" s="269"/>
      <c r="P83" s="269"/>
      <c r="Q83" s="269"/>
      <c r="R83" s="269"/>
      <c r="S83" s="269"/>
      <c r="T83" s="269"/>
    </row>
    <row r="84" hidden="1">
      <c r="A84" s="289"/>
      <c r="B84" s="293"/>
      <c r="C84" s="293"/>
      <c r="D84" s="293"/>
      <c r="E84" s="293"/>
      <c r="F84" s="293"/>
      <c r="G84" s="281"/>
      <c r="H84" s="281"/>
      <c r="I84" s="269"/>
      <c r="J84" s="269"/>
      <c r="K84" s="269"/>
      <c r="L84" s="269"/>
      <c r="M84" s="269"/>
      <c r="N84" s="269"/>
      <c r="O84" s="269"/>
      <c r="P84" s="269"/>
      <c r="Q84" s="269"/>
      <c r="R84" s="269"/>
      <c r="S84" s="269"/>
      <c r="T84" s="269"/>
    </row>
    <row r="85" hidden="1">
      <c r="A85" s="289"/>
      <c r="B85" s="293"/>
      <c r="C85" s="293"/>
      <c r="D85" s="293"/>
      <c r="E85" s="293"/>
      <c r="F85" s="293"/>
      <c r="G85" s="281"/>
      <c r="H85" s="281"/>
      <c r="I85" s="269"/>
      <c r="J85" s="269"/>
      <c r="K85" s="269"/>
      <c r="L85" s="269"/>
      <c r="M85" s="269"/>
      <c r="N85" s="269"/>
      <c r="O85" s="269"/>
      <c r="P85" s="269"/>
      <c r="Q85" s="269"/>
      <c r="R85" s="269"/>
      <c r="S85" s="269"/>
      <c r="T85" s="269"/>
    </row>
    <row r="86" hidden="1">
      <c r="A86" s="289"/>
      <c r="B86" s="293"/>
      <c r="C86" s="293"/>
      <c r="D86" s="293"/>
      <c r="E86" s="293"/>
      <c r="F86" s="293"/>
      <c r="G86" s="281"/>
      <c r="H86" s="281"/>
      <c r="I86" s="269"/>
      <c r="J86" s="269"/>
      <c r="K86" s="269"/>
      <c r="L86" s="269"/>
      <c r="M86" s="269"/>
      <c r="N86" s="269"/>
      <c r="O86" s="269"/>
      <c r="P86" s="269"/>
      <c r="Q86" s="269"/>
      <c r="R86" s="269"/>
      <c r="S86" s="269"/>
      <c r="T86" s="269"/>
    </row>
    <row r="87" hidden="1">
      <c r="A87" s="289"/>
      <c r="B87" s="293"/>
      <c r="C87" s="293"/>
      <c r="D87" s="293"/>
      <c r="E87" s="293"/>
      <c r="F87" s="293"/>
      <c r="G87" s="281"/>
      <c r="H87" s="281"/>
      <c r="I87" s="269"/>
      <c r="J87" s="269"/>
      <c r="K87" s="269"/>
      <c r="L87" s="269"/>
      <c r="M87" s="269"/>
      <c r="N87" s="269"/>
      <c r="O87" s="269"/>
      <c r="P87" s="269"/>
      <c r="Q87" s="269"/>
      <c r="R87" s="269"/>
      <c r="S87" s="269"/>
      <c r="T87" s="269"/>
    </row>
    <row r="88" hidden="1">
      <c r="A88" s="289"/>
      <c r="B88" s="293"/>
      <c r="C88" s="293"/>
      <c r="D88" s="293"/>
      <c r="E88" s="293"/>
      <c r="F88" s="293"/>
      <c r="G88" s="281"/>
      <c r="H88" s="281"/>
      <c r="I88" s="269"/>
      <c r="J88" s="269"/>
      <c r="K88" s="269"/>
      <c r="L88" s="269"/>
      <c r="M88" s="269"/>
      <c r="N88" s="269"/>
      <c r="O88" s="269"/>
      <c r="P88" s="269"/>
      <c r="Q88" s="269"/>
      <c r="R88" s="269"/>
      <c r="S88" s="269"/>
      <c r="T88" s="269"/>
    </row>
    <row r="89" hidden="1">
      <c r="A89" s="289"/>
      <c r="B89" s="293"/>
      <c r="C89" s="293"/>
      <c r="D89" s="293"/>
      <c r="E89" s="293"/>
      <c r="F89" s="294"/>
      <c r="G89" s="281"/>
      <c r="H89" s="281"/>
      <c r="I89" s="269"/>
      <c r="J89" s="269"/>
      <c r="K89" s="269"/>
      <c r="L89" s="269"/>
      <c r="M89" s="269"/>
      <c r="N89" s="269"/>
      <c r="O89" s="269"/>
      <c r="P89" s="269"/>
      <c r="Q89" s="269"/>
      <c r="R89" s="269"/>
      <c r="S89" s="269"/>
      <c r="T89" s="269"/>
    </row>
    <row r="90" hidden="1">
      <c r="A90" s="289"/>
      <c r="B90" s="293"/>
      <c r="C90" s="293"/>
      <c r="D90" s="293"/>
      <c r="E90" s="293"/>
      <c r="F90" s="294"/>
      <c r="G90" s="281"/>
      <c r="H90" s="281"/>
      <c r="I90" s="269"/>
      <c r="J90" s="269"/>
      <c r="K90" s="269"/>
      <c r="L90" s="269"/>
      <c r="M90" s="269"/>
      <c r="N90" s="269"/>
      <c r="O90" s="269"/>
      <c r="P90" s="269"/>
      <c r="Q90" s="269"/>
      <c r="R90" s="269"/>
      <c r="S90" s="269"/>
      <c r="T90" s="269"/>
    </row>
    <row r="91" hidden="1">
      <c r="A91" s="289"/>
      <c r="B91" s="293"/>
      <c r="C91" s="293"/>
      <c r="D91" s="293"/>
      <c r="E91" s="293"/>
      <c r="F91" s="294"/>
      <c r="G91" s="281"/>
      <c r="H91" s="281"/>
      <c r="I91" s="269"/>
      <c r="J91" s="269"/>
      <c r="K91" s="269"/>
      <c r="L91" s="269"/>
      <c r="M91" s="269"/>
      <c r="N91" s="269"/>
      <c r="O91" s="269"/>
      <c r="P91" s="269"/>
      <c r="Q91" s="269"/>
      <c r="R91" s="269"/>
      <c r="S91" s="269"/>
      <c r="T91" s="269"/>
    </row>
    <row r="92" hidden="1">
      <c r="A92" s="289"/>
      <c r="B92" s="296"/>
      <c r="C92" s="296"/>
      <c r="D92" s="296"/>
      <c r="E92" s="296"/>
      <c r="F92" s="296"/>
      <c r="G92" s="281"/>
      <c r="H92" s="281"/>
      <c r="I92" s="269"/>
      <c r="J92" s="269"/>
      <c r="K92" s="269"/>
      <c r="L92" s="269"/>
      <c r="M92" s="269"/>
      <c r="N92" s="269"/>
      <c r="O92" s="269"/>
      <c r="P92" s="269"/>
      <c r="Q92" s="269"/>
      <c r="R92" s="269"/>
      <c r="S92" s="269"/>
      <c r="T92" s="269"/>
    </row>
    <row r="93">
      <c r="A93" s="277"/>
      <c r="B93" s="304">
        <v>12.0</v>
      </c>
      <c r="C93" s="303">
        <v>13.0</v>
      </c>
      <c r="D93" s="303">
        <v>14.0</v>
      </c>
      <c r="E93" s="303">
        <v>15.0</v>
      </c>
      <c r="F93" s="303">
        <v>16.0</v>
      </c>
      <c r="G93" s="281"/>
      <c r="H93" s="281"/>
      <c r="I93" s="269"/>
      <c r="J93" s="269"/>
      <c r="K93" s="269"/>
      <c r="L93" s="269"/>
      <c r="M93" s="269"/>
      <c r="N93" s="269"/>
      <c r="O93" s="269"/>
      <c r="P93" s="269"/>
      <c r="Q93" s="269"/>
      <c r="R93" s="269"/>
      <c r="S93" s="269"/>
      <c r="T93" s="269"/>
    </row>
    <row r="94" hidden="1">
      <c r="A94" s="289"/>
      <c r="B94" s="299"/>
      <c r="C94" s="290" t="s">
        <v>908</v>
      </c>
      <c r="D94" s="291"/>
      <c r="E94" s="305"/>
      <c r="F94" s="305"/>
      <c r="G94" s="281"/>
      <c r="H94" s="281"/>
      <c r="I94" s="269"/>
      <c r="J94" s="269"/>
      <c r="K94" s="269"/>
      <c r="L94" s="269"/>
      <c r="M94" s="269"/>
      <c r="N94" s="269"/>
      <c r="O94" s="269"/>
      <c r="P94" s="269"/>
      <c r="Q94" s="269"/>
      <c r="R94" s="269"/>
      <c r="S94" s="269"/>
      <c r="T94" s="269"/>
    </row>
    <row r="95" hidden="1">
      <c r="A95" s="289"/>
      <c r="B95" s="292"/>
      <c r="C95" s="292"/>
      <c r="D95" s="294"/>
      <c r="E95" s="293"/>
      <c r="F95" s="294"/>
      <c r="G95" s="281"/>
      <c r="H95" s="281"/>
      <c r="I95" s="269"/>
      <c r="J95" s="269"/>
      <c r="K95" s="269"/>
      <c r="L95" s="269"/>
      <c r="M95" s="269"/>
      <c r="N95" s="269"/>
      <c r="O95" s="269"/>
      <c r="P95" s="269"/>
      <c r="Q95" s="269"/>
      <c r="R95" s="269"/>
      <c r="S95" s="269"/>
      <c r="T95" s="269"/>
    </row>
    <row r="96" hidden="1">
      <c r="A96" s="289"/>
      <c r="B96" s="292"/>
      <c r="C96" s="292"/>
      <c r="D96" s="294"/>
      <c r="E96" s="293"/>
      <c r="F96" s="294"/>
      <c r="G96" s="281"/>
      <c r="H96" s="281"/>
      <c r="I96" s="269"/>
      <c r="J96" s="269"/>
      <c r="K96" s="269"/>
      <c r="L96" s="269"/>
      <c r="M96" s="269"/>
      <c r="N96" s="269"/>
      <c r="O96" s="269"/>
      <c r="P96" s="269"/>
      <c r="Q96" s="269"/>
      <c r="R96" s="269"/>
      <c r="S96" s="269"/>
      <c r="T96" s="269"/>
    </row>
    <row r="97" hidden="1">
      <c r="A97" s="289"/>
      <c r="B97" s="292"/>
      <c r="C97" s="292"/>
      <c r="D97" s="294"/>
      <c r="E97" s="293"/>
      <c r="F97" s="293"/>
      <c r="G97" s="281"/>
      <c r="H97" s="281"/>
      <c r="I97" s="269"/>
      <c r="J97" s="269"/>
      <c r="K97" s="269"/>
      <c r="L97" s="269"/>
      <c r="M97" s="269"/>
      <c r="N97" s="269"/>
      <c r="O97" s="269"/>
      <c r="P97" s="269"/>
      <c r="Q97" s="269"/>
      <c r="R97" s="269"/>
      <c r="S97" s="269"/>
      <c r="T97" s="269"/>
    </row>
    <row r="98" hidden="1">
      <c r="A98" s="289"/>
      <c r="B98" s="292"/>
      <c r="C98" s="292"/>
      <c r="D98" s="294"/>
      <c r="E98" s="293"/>
      <c r="F98" s="293"/>
      <c r="G98" s="281"/>
      <c r="H98" s="281"/>
      <c r="I98" s="269"/>
      <c r="J98" s="269"/>
      <c r="K98" s="269"/>
      <c r="L98" s="269"/>
      <c r="M98" s="269"/>
      <c r="N98" s="269"/>
      <c r="O98" s="269"/>
      <c r="P98" s="269"/>
      <c r="Q98" s="269"/>
      <c r="R98" s="269"/>
      <c r="S98" s="269"/>
      <c r="T98" s="269"/>
    </row>
    <row r="99" hidden="1">
      <c r="A99" s="289"/>
      <c r="B99" s="292"/>
      <c r="C99" s="292"/>
      <c r="D99" s="294"/>
      <c r="E99" s="293"/>
      <c r="F99" s="293"/>
      <c r="G99" s="281"/>
      <c r="H99" s="281"/>
      <c r="I99" s="269"/>
      <c r="J99" s="269"/>
      <c r="K99" s="269"/>
      <c r="L99" s="269"/>
      <c r="M99" s="269"/>
      <c r="N99" s="269"/>
      <c r="O99" s="269"/>
      <c r="P99" s="269"/>
      <c r="Q99" s="269"/>
      <c r="R99" s="269"/>
      <c r="S99" s="269"/>
      <c r="T99" s="269"/>
    </row>
    <row r="100" hidden="1">
      <c r="A100" s="289"/>
      <c r="B100" s="292"/>
      <c r="C100" s="292"/>
      <c r="D100" s="294"/>
      <c r="E100" s="293"/>
      <c r="F100" s="293"/>
      <c r="G100" s="281"/>
      <c r="H100" s="281"/>
      <c r="I100" s="269"/>
      <c r="J100" s="269"/>
      <c r="K100" s="269"/>
      <c r="L100" s="269"/>
      <c r="M100" s="269"/>
      <c r="N100" s="269"/>
      <c r="O100" s="269"/>
      <c r="P100" s="269"/>
      <c r="Q100" s="269"/>
      <c r="R100" s="269"/>
      <c r="S100" s="269"/>
      <c r="T100" s="269"/>
    </row>
    <row r="101" hidden="1">
      <c r="A101" s="289"/>
      <c r="B101" s="292"/>
      <c r="C101" s="292"/>
      <c r="D101" s="294"/>
      <c r="E101" s="293"/>
      <c r="F101" s="293"/>
      <c r="G101" s="281"/>
      <c r="H101" s="281"/>
      <c r="I101" s="269"/>
      <c r="J101" s="269"/>
      <c r="K101" s="269"/>
      <c r="L101" s="269"/>
      <c r="M101" s="269"/>
      <c r="N101" s="269"/>
      <c r="O101" s="269"/>
      <c r="P101" s="269"/>
      <c r="Q101" s="269"/>
      <c r="R101" s="269"/>
      <c r="S101" s="269"/>
      <c r="T101" s="269"/>
    </row>
    <row r="102" hidden="1">
      <c r="A102" s="289"/>
      <c r="B102" s="292"/>
      <c r="C102" s="292"/>
      <c r="D102" s="294"/>
      <c r="E102" s="293"/>
      <c r="F102" s="293"/>
      <c r="G102" s="281"/>
      <c r="H102" s="281"/>
      <c r="I102" s="269"/>
      <c r="J102" s="269"/>
      <c r="K102" s="269"/>
      <c r="L102" s="269"/>
      <c r="M102" s="269"/>
      <c r="N102" s="269"/>
      <c r="O102" s="269"/>
      <c r="P102" s="269"/>
      <c r="Q102" s="269"/>
      <c r="R102" s="269"/>
      <c r="S102" s="269"/>
      <c r="T102" s="269"/>
    </row>
    <row r="103" hidden="1">
      <c r="A103" s="289"/>
      <c r="B103" s="292"/>
      <c r="C103" s="292"/>
      <c r="D103" s="294"/>
      <c r="E103" s="223"/>
      <c r="F103" s="293"/>
      <c r="G103" s="281"/>
      <c r="H103" s="281"/>
      <c r="I103" s="269"/>
      <c r="J103" s="269"/>
      <c r="K103" s="269"/>
      <c r="L103" s="269"/>
      <c r="M103" s="269"/>
      <c r="N103" s="269"/>
      <c r="O103" s="269"/>
      <c r="P103" s="269"/>
      <c r="Q103" s="269"/>
      <c r="R103" s="269"/>
      <c r="S103" s="269"/>
      <c r="T103" s="269"/>
    </row>
    <row r="104" hidden="1">
      <c r="A104" s="277"/>
      <c r="B104" s="292"/>
      <c r="C104" s="292"/>
      <c r="D104" s="294"/>
      <c r="E104" s="293"/>
      <c r="F104" s="293"/>
      <c r="G104" s="281"/>
      <c r="H104" s="281"/>
      <c r="I104" s="269"/>
      <c r="J104" s="269"/>
      <c r="K104" s="269"/>
      <c r="L104" s="269"/>
      <c r="M104" s="269"/>
      <c r="N104" s="269"/>
      <c r="O104" s="269"/>
      <c r="P104" s="269"/>
      <c r="Q104" s="269"/>
      <c r="R104" s="269"/>
      <c r="S104" s="269"/>
      <c r="T104" s="269"/>
    </row>
    <row r="105" hidden="1">
      <c r="A105" s="277"/>
      <c r="B105" s="77"/>
      <c r="C105" s="77"/>
      <c r="D105" s="296"/>
      <c r="E105" s="293"/>
      <c r="F105" s="293"/>
      <c r="G105" s="281"/>
      <c r="H105" s="281"/>
      <c r="I105" s="269"/>
      <c r="J105" s="269"/>
      <c r="K105" s="269"/>
      <c r="L105" s="269"/>
      <c r="M105" s="269"/>
      <c r="N105" s="269"/>
      <c r="O105" s="269"/>
      <c r="P105" s="269"/>
      <c r="Q105" s="269"/>
      <c r="R105" s="269"/>
      <c r="S105" s="269"/>
      <c r="T105" s="269"/>
    </row>
    <row r="106">
      <c r="A106" s="277"/>
      <c r="B106" s="304">
        <v>19.0</v>
      </c>
      <c r="C106" s="303">
        <v>20.0</v>
      </c>
      <c r="D106" s="303">
        <v>21.0</v>
      </c>
      <c r="E106" s="303">
        <v>22.0</v>
      </c>
      <c r="F106" s="303">
        <v>23.0</v>
      </c>
      <c r="G106" s="281"/>
      <c r="H106" s="281"/>
      <c r="I106" s="269"/>
      <c r="J106" s="269"/>
      <c r="K106" s="269"/>
      <c r="L106" s="269"/>
      <c r="M106" s="269"/>
      <c r="N106" s="269"/>
      <c r="O106" s="269"/>
      <c r="P106" s="269"/>
      <c r="Q106" s="269"/>
      <c r="R106" s="269"/>
      <c r="S106" s="269"/>
      <c r="T106" s="269"/>
    </row>
    <row r="107" hidden="1">
      <c r="A107" s="289"/>
      <c r="B107" s="291"/>
      <c r="C107" s="291"/>
      <c r="D107" s="291"/>
      <c r="E107" s="291"/>
      <c r="F107" s="291"/>
      <c r="G107" s="281"/>
      <c r="H107" s="281"/>
      <c r="I107" s="269"/>
      <c r="J107" s="269"/>
      <c r="K107" s="269"/>
      <c r="L107" s="269"/>
      <c r="M107" s="269"/>
      <c r="N107" s="269"/>
      <c r="O107" s="269"/>
      <c r="P107" s="269"/>
      <c r="Q107" s="269"/>
      <c r="R107" s="269"/>
      <c r="S107" s="269"/>
      <c r="T107" s="269"/>
    </row>
    <row r="108" hidden="1">
      <c r="A108" s="289"/>
      <c r="B108" s="293"/>
      <c r="C108" s="293"/>
      <c r="D108" s="293"/>
      <c r="E108" s="293"/>
      <c r="F108" s="293"/>
      <c r="G108" s="281"/>
      <c r="H108" s="281"/>
      <c r="I108" s="269"/>
      <c r="J108" s="269"/>
      <c r="K108" s="269"/>
      <c r="L108" s="269"/>
      <c r="M108" s="269"/>
      <c r="N108" s="269"/>
      <c r="O108" s="269"/>
      <c r="P108" s="269"/>
      <c r="Q108" s="269"/>
      <c r="R108" s="269"/>
      <c r="S108" s="269"/>
      <c r="T108" s="269"/>
    </row>
    <row r="109" hidden="1">
      <c r="A109" s="289"/>
      <c r="B109" s="293"/>
      <c r="C109" s="293"/>
      <c r="D109" s="293"/>
      <c r="E109" s="293"/>
      <c r="F109" s="293"/>
      <c r="G109" s="281"/>
      <c r="H109" s="281"/>
      <c r="I109" s="269"/>
      <c r="J109" s="269"/>
      <c r="K109" s="269"/>
      <c r="L109" s="269"/>
      <c r="M109" s="269"/>
      <c r="N109" s="269"/>
      <c r="O109" s="269"/>
      <c r="P109" s="269"/>
      <c r="Q109" s="269"/>
      <c r="R109" s="269"/>
      <c r="S109" s="269"/>
      <c r="T109" s="269"/>
    </row>
    <row r="110" hidden="1">
      <c r="A110" s="289"/>
      <c r="B110" s="293"/>
      <c r="C110" s="293"/>
      <c r="D110" s="293"/>
      <c r="E110" s="293"/>
      <c r="F110" s="293"/>
      <c r="G110" s="281"/>
      <c r="H110" s="281"/>
      <c r="I110" s="269"/>
      <c r="J110" s="269"/>
      <c r="K110" s="269"/>
      <c r="L110" s="269"/>
      <c r="M110" s="269"/>
      <c r="N110" s="269"/>
      <c r="O110" s="269"/>
      <c r="P110" s="269"/>
      <c r="Q110" s="269"/>
      <c r="R110" s="269"/>
      <c r="S110" s="269"/>
      <c r="T110" s="269"/>
    </row>
    <row r="111" hidden="1">
      <c r="A111" s="289"/>
      <c r="B111" s="293"/>
      <c r="C111" s="293"/>
      <c r="D111" s="293"/>
      <c r="E111" s="293"/>
      <c r="F111" s="293"/>
      <c r="G111" s="281"/>
      <c r="H111" s="281"/>
      <c r="I111" s="269"/>
      <c r="J111" s="269"/>
      <c r="K111" s="269"/>
      <c r="L111" s="269"/>
      <c r="M111" s="269"/>
      <c r="N111" s="269"/>
      <c r="O111" s="269"/>
      <c r="P111" s="269"/>
      <c r="Q111" s="269"/>
      <c r="R111" s="269"/>
      <c r="S111" s="269"/>
      <c r="T111" s="269"/>
    </row>
    <row r="112" hidden="1">
      <c r="A112" s="289"/>
      <c r="B112" s="293"/>
      <c r="C112" s="293"/>
      <c r="D112" s="293"/>
      <c r="E112" s="293"/>
      <c r="F112" s="293"/>
      <c r="G112" s="281"/>
      <c r="H112" s="281"/>
      <c r="I112" s="269"/>
      <c r="J112" s="269"/>
      <c r="K112" s="269"/>
      <c r="L112" s="269"/>
      <c r="M112" s="269"/>
      <c r="N112" s="269"/>
      <c r="O112" s="269"/>
      <c r="P112" s="269"/>
      <c r="Q112" s="269"/>
      <c r="R112" s="269"/>
      <c r="S112" s="269"/>
      <c r="T112" s="269"/>
    </row>
    <row r="113" hidden="1">
      <c r="A113" s="289"/>
      <c r="B113" s="293"/>
      <c r="C113" s="293"/>
      <c r="D113" s="293"/>
      <c r="E113" s="293"/>
      <c r="F113" s="293"/>
      <c r="G113" s="281"/>
      <c r="H113" s="281"/>
      <c r="I113" s="269"/>
      <c r="J113" s="269"/>
      <c r="K113" s="269"/>
      <c r="L113" s="269"/>
      <c r="M113" s="269"/>
      <c r="N113" s="269"/>
      <c r="O113" s="269"/>
      <c r="P113" s="269"/>
      <c r="Q113" s="269"/>
      <c r="R113" s="269"/>
      <c r="S113" s="269"/>
      <c r="T113" s="269"/>
    </row>
    <row r="114" hidden="1">
      <c r="A114" s="289"/>
      <c r="B114" s="293"/>
      <c r="C114" s="293"/>
      <c r="D114" s="293"/>
      <c r="E114" s="293"/>
      <c r="F114" s="294"/>
      <c r="G114" s="281"/>
      <c r="H114" s="281"/>
      <c r="I114" s="269"/>
      <c r="J114" s="269"/>
      <c r="K114" s="269"/>
      <c r="L114" s="269"/>
      <c r="M114" s="269"/>
      <c r="N114" s="269"/>
      <c r="O114" s="269"/>
      <c r="P114" s="269"/>
      <c r="Q114" s="269"/>
      <c r="R114" s="269"/>
      <c r="S114" s="269"/>
      <c r="T114" s="269"/>
    </row>
    <row r="115" hidden="1">
      <c r="A115" s="289"/>
      <c r="B115" s="294"/>
      <c r="C115" s="293"/>
      <c r="D115" s="293"/>
      <c r="E115" s="293"/>
      <c r="F115" s="294"/>
      <c r="G115" s="281"/>
      <c r="H115" s="281"/>
      <c r="I115" s="269"/>
      <c r="J115" s="269"/>
      <c r="K115" s="269"/>
      <c r="L115" s="269"/>
      <c r="M115" s="269"/>
      <c r="N115" s="269"/>
      <c r="O115" s="269"/>
      <c r="P115" s="269"/>
      <c r="Q115" s="269"/>
      <c r="R115" s="269"/>
      <c r="S115" s="269"/>
      <c r="T115" s="269"/>
    </row>
    <row r="116" hidden="1">
      <c r="A116" s="289"/>
      <c r="B116" s="296"/>
      <c r="C116" s="296"/>
      <c r="D116" s="296"/>
      <c r="E116" s="297"/>
      <c r="F116" s="296"/>
      <c r="G116" s="281"/>
      <c r="H116" s="281"/>
      <c r="I116" s="269"/>
      <c r="J116" s="269"/>
      <c r="K116" s="269"/>
      <c r="L116" s="269"/>
      <c r="M116" s="269"/>
      <c r="N116" s="269"/>
      <c r="O116" s="269"/>
      <c r="P116" s="269"/>
      <c r="Q116" s="269"/>
      <c r="R116" s="269"/>
      <c r="S116" s="269"/>
      <c r="T116" s="269"/>
    </row>
    <row r="117">
      <c r="A117" s="277"/>
      <c r="B117" s="304">
        <v>26.0</v>
      </c>
      <c r="C117" s="303">
        <v>27.0</v>
      </c>
      <c r="D117" s="303">
        <v>28.0</v>
      </c>
      <c r="E117" s="306">
        <v>29.0</v>
      </c>
      <c r="F117" s="298"/>
      <c r="G117" s="281"/>
      <c r="H117" s="281"/>
      <c r="I117" s="269"/>
      <c r="J117" s="269"/>
      <c r="K117" s="269"/>
      <c r="L117" s="269"/>
      <c r="M117" s="269"/>
      <c r="N117" s="269"/>
      <c r="O117" s="269"/>
      <c r="P117" s="269"/>
      <c r="Q117" s="269"/>
      <c r="R117" s="269"/>
      <c r="S117" s="269"/>
      <c r="T117" s="269"/>
    </row>
    <row r="118">
      <c r="A118" s="289"/>
      <c r="B118" s="291"/>
      <c r="C118" s="291"/>
      <c r="D118" s="291"/>
      <c r="E118" s="291"/>
      <c r="F118" s="299"/>
      <c r="G118" s="281"/>
      <c r="H118" s="281"/>
      <c r="I118" s="269"/>
      <c r="J118" s="269"/>
      <c r="K118" s="269"/>
      <c r="L118" s="269"/>
      <c r="M118" s="269"/>
      <c r="N118" s="269"/>
      <c r="O118" s="269"/>
      <c r="P118" s="269"/>
      <c r="Q118" s="269"/>
      <c r="R118" s="269"/>
      <c r="S118" s="269"/>
      <c r="T118" s="269"/>
    </row>
    <row r="119">
      <c r="A119" s="289"/>
      <c r="B119" s="293"/>
      <c r="C119" s="293"/>
      <c r="D119" s="293"/>
      <c r="E119" s="293"/>
      <c r="F119" s="292"/>
      <c r="G119" s="281"/>
      <c r="H119" s="281"/>
      <c r="I119" s="269"/>
      <c r="J119" s="269"/>
      <c r="K119" s="269"/>
      <c r="L119" s="269"/>
      <c r="M119" s="269"/>
      <c r="N119" s="269"/>
      <c r="O119" s="269"/>
      <c r="P119" s="269"/>
      <c r="Q119" s="269"/>
      <c r="R119" s="269"/>
      <c r="S119" s="269"/>
      <c r="T119" s="269"/>
    </row>
    <row r="120">
      <c r="A120" s="289"/>
      <c r="B120" s="293"/>
      <c r="C120" s="293"/>
      <c r="D120" s="293"/>
      <c r="E120" s="293"/>
      <c r="F120" s="292"/>
      <c r="G120" s="281"/>
      <c r="H120" s="281"/>
      <c r="I120" s="269"/>
      <c r="J120" s="269"/>
      <c r="K120" s="269"/>
      <c r="L120" s="269"/>
      <c r="M120" s="269"/>
      <c r="N120" s="269"/>
      <c r="O120" s="269"/>
      <c r="P120" s="269"/>
      <c r="Q120" s="269"/>
      <c r="R120" s="269"/>
      <c r="S120" s="269"/>
      <c r="T120" s="269"/>
    </row>
    <row r="121">
      <c r="A121" s="289"/>
      <c r="B121" s="293"/>
      <c r="C121" s="293"/>
      <c r="D121" s="293"/>
      <c r="E121" s="293"/>
      <c r="F121" s="292"/>
      <c r="G121" s="281"/>
      <c r="H121" s="281"/>
      <c r="I121" s="269"/>
      <c r="J121" s="269"/>
      <c r="K121" s="269"/>
      <c r="L121" s="269"/>
      <c r="M121" s="269"/>
      <c r="N121" s="269"/>
      <c r="O121" s="269"/>
      <c r="P121" s="269"/>
      <c r="Q121" s="269"/>
      <c r="R121" s="269"/>
      <c r="S121" s="269"/>
      <c r="T121" s="269"/>
    </row>
    <row r="122">
      <c r="A122" s="289"/>
      <c r="B122" s="293"/>
      <c r="C122" s="293"/>
      <c r="D122" s="293"/>
      <c r="E122" s="293"/>
      <c r="F122" s="292"/>
      <c r="G122" s="281"/>
      <c r="H122" s="281"/>
      <c r="I122" s="269"/>
      <c r="J122" s="269"/>
      <c r="K122" s="269"/>
      <c r="L122" s="269"/>
      <c r="M122" s="269"/>
      <c r="N122" s="269"/>
      <c r="O122" s="269"/>
      <c r="P122" s="269"/>
      <c r="Q122" s="269"/>
      <c r="R122" s="269"/>
      <c r="S122" s="269"/>
      <c r="T122" s="269"/>
    </row>
    <row r="123">
      <c r="A123" s="289"/>
      <c r="B123" s="293"/>
      <c r="C123" s="293"/>
      <c r="D123" s="293"/>
      <c r="E123" s="293"/>
      <c r="F123" s="292"/>
      <c r="G123" s="281"/>
      <c r="H123" s="281"/>
      <c r="I123" s="269"/>
      <c r="J123" s="269"/>
      <c r="K123" s="269"/>
      <c r="L123" s="269"/>
      <c r="M123" s="269"/>
      <c r="N123" s="269"/>
      <c r="O123" s="269"/>
      <c r="P123" s="269"/>
      <c r="Q123" s="269"/>
      <c r="R123" s="269"/>
      <c r="S123" s="269"/>
      <c r="T123" s="269"/>
    </row>
    <row r="124">
      <c r="A124" s="289"/>
      <c r="B124" s="293"/>
      <c r="C124" s="293"/>
      <c r="D124" s="293"/>
      <c r="E124" s="293"/>
      <c r="F124" s="292"/>
      <c r="G124" s="281"/>
      <c r="H124" s="281"/>
      <c r="I124" s="269"/>
      <c r="J124" s="269"/>
      <c r="K124" s="269"/>
      <c r="L124" s="269"/>
      <c r="M124" s="269"/>
      <c r="N124" s="269"/>
      <c r="O124" s="269"/>
      <c r="P124" s="269"/>
      <c r="Q124" s="269"/>
      <c r="R124" s="269"/>
      <c r="S124" s="269"/>
      <c r="T124" s="269"/>
    </row>
    <row r="125">
      <c r="A125" s="289"/>
      <c r="B125" s="293"/>
      <c r="C125" s="293"/>
      <c r="D125" s="293"/>
      <c r="E125" s="293"/>
      <c r="F125" s="292"/>
      <c r="G125" s="281"/>
      <c r="H125" s="281"/>
      <c r="I125" s="269"/>
      <c r="J125" s="269"/>
      <c r="K125" s="269"/>
      <c r="L125" s="269"/>
      <c r="M125" s="269"/>
      <c r="N125" s="269"/>
      <c r="O125" s="269"/>
      <c r="P125" s="269"/>
      <c r="Q125" s="269"/>
      <c r="R125" s="269"/>
      <c r="S125" s="269"/>
      <c r="T125" s="269"/>
    </row>
    <row r="126">
      <c r="A126" s="289"/>
      <c r="B126" s="293"/>
      <c r="C126" s="293"/>
      <c r="D126" s="293"/>
      <c r="E126" s="293"/>
      <c r="F126" s="292"/>
      <c r="G126" s="281"/>
      <c r="H126" s="281"/>
      <c r="I126" s="269"/>
      <c r="J126" s="269"/>
      <c r="K126" s="269"/>
      <c r="L126" s="269"/>
      <c r="M126" s="269"/>
      <c r="N126" s="269"/>
      <c r="O126" s="269"/>
      <c r="P126" s="269"/>
      <c r="Q126" s="269"/>
      <c r="R126" s="269"/>
      <c r="S126" s="269"/>
      <c r="T126" s="269"/>
    </row>
    <row r="127">
      <c r="A127" s="289"/>
      <c r="B127" s="297"/>
      <c r="C127" s="297"/>
      <c r="D127" s="297"/>
      <c r="E127" s="297"/>
      <c r="F127" s="77"/>
      <c r="G127" s="281"/>
      <c r="H127" s="281"/>
      <c r="I127" s="269"/>
      <c r="J127" s="269"/>
      <c r="K127" s="269"/>
      <c r="L127" s="269"/>
      <c r="M127" s="269"/>
      <c r="N127" s="269"/>
      <c r="O127" s="269"/>
      <c r="P127" s="269"/>
      <c r="Q127" s="269"/>
      <c r="R127" s="269"/>
      <c r="S127" s="269"/>
      <c r="T127" s="269"/>
    </row>
    <row r="128">
      <c r="A128" s="277"/>
      <c r="B128" s="300"/>
      <c r="C128" s="298"/>
      <c r="D128" s="298"/>
      <c r="E128" s="298"/>
      <c r="F128" s="298"/>
      <c r="G128" s="281"/>
      <c r="H128" s="281"/>
      <c r="I128" s="269"/>
      <c r="J128" s="269"/>
      <c r="K128" s="269"/>
      <c r="L128" s="269"/>
      <c r="M128" s="269"/>
      <c r="N128" s="269"/>
      <c r="O128" s="269"/>
      <c r="P128" s="269"/>
      <c r="Q128" s="269"/>
      <c r="R128" s="269"/>
      <c r="S128" s="269"/>
      <c r="T128" s="269"/>
    </row>
    <row r="129">
      <c r="A129" s="274"/>
      <c r="B129" s="301"/>
      <c r="C129" s="301"/>
      <c r="D129" s="301"/>
      <c r="E129" s="301"/>
      <c r="F129" s="301"/>
      <c r="G129" s="268"/>
      <c r="H129" s="268"/>
      <c r="I129" s="269"/>
      <c r="J129" s="269"/>
      <c r="K129" s="269"/>
      <c r="L129" s="269"/>
      <c r="M129" s="269"/>
      <c r="N129" s="269"/>
      <c r="O129" s="269"/>
      <c r="P129" s="269"/>
      <c r="Q129" s="269"/>
      <c r="R129" s="269"/>
      <c r="S129" s="269"/>
      <c r="T129" s="269"/>
    </row>
    <row r="130">
      <c r="A130" s="274"/>
      <c r="B130" s="301"/>
      <c r="C130" s="301"/>
      <c r="D130" s="301"/>
      <c r="E130" s="301"/>
      <c r="F130" s="301"/>
      <c r="G130" s="268"/>
      <c r="H130" s="268"/>
      <c r="I130" s="269"/>
      <c r="J130" s="269"/>
      <c r="K130" s="269"/>
      <c r="L130" s="269"/>
      <c r="M130" s="269"/>
      <c r="N130" s="269"/>
      <c r="O130" s="269"/>
      <c r="P130" s="269"/>
      <c r="Q130" s="269"/>
      <c r="R130" s="269"/>
      <c r="S130" s="269"/>
      <c r="T130" s="269"/>
    </row>
    <row r="131">
      <c r="A131" s="274"/>
      <c r="B131" s="301"/>
      <c r="C131" s="301"/>
      <c r="D131" s="301"/>
      <c r="E131" s="301"/>
      <c r="F131" s="301"/>
      <c r="G131" s="268"/>
      <c r="H131" s="268"/>
      <c r="I131" s="269"/>
      <c r="J131" s="269"/>
      <c r="K131" s="269"/>
      <c r="L131" s="269"/>
      <c r="M131" s="269"/>
      <c r="N131" s="269"/>
      <c r="O131" s="269"/>
      <c r="P131" s="269"/>
      <c r="Q131" s="269"/>
      <c r="R131" s="269"/>
      <c r="S131" s="269"/>
      <c r="T131" s="269"/>
    </row>
    <row r="132">
      <c r="A132" s="274"/>
      <c r="B132" s="278" t="s">
        <v>909</v>
      </c>
      <c r="C132" s="279"/>
      <c r="D132" s="279"/>
      <c r="E132" s="279"/>
      <c r="F132" s="280"/>
      <c r="G132" s="268"/>
      <c r="H132" s="268"/>
      <c r="I132" s="269"/>
      <c r="J132" s="269"/>
      <c r="K132" s="269"/>
      <c r="L132" s="269"/>
      <c r="M132" s="269"/>
      <c r="N132" s="269"/>
      <c r="O132" s="269"/>
      <c r="P132" s="269"/>
      <c r="Q132" s="269"/>
      <c r="R132" s="269"/>
      <c r="S132" s="269"/>
      <c r="T132" s="269"/>
    </row>
    <row r="133">
      <c r="A133" s="274"/>
      <c r="B133" s="282"/>
      <c r="C133" s="283"/>
      <c r="D133" s="283"/>
      <c r="E133" s="283"/>
      <c r="F133" s="284"/>
      <c r="G133" s="268"/>
      <c r="H133" s="268"/>
      <c r="I133" s="269"/>
      <c r="J133" s="269"/>
      <c r="K133" s="269"/>
      <c r="L133" s="269"/>
      <c r="M133" s="269"/>
      <c r="N133" s="269"/>
      <c r="O133" s="269"/>
      <c r="P133" s="269"/>
      <c r="Q133" s="269"/>
      <c r="R133" s="269"/>
      <c r="S133" s="269"/>
      <c r="T133" s="269"/>
    </row>
    <row r="134">
      <c r="A134" s="307"/>
      <c r="B134" s="285" t="s">
        <v>901</v>
      </c>
      <c r="C134" s="286" t="s">
        <v>902</v>
      </c>
      <c r="D134" s="286" t="s">
        <v>903</v>
      </c>
      <c r="E134" s="286" t="s">
        <v>904</v>
      </c>
      <c r="F134" s="286" t="s">
        <v>905</v>
      </c>
      <c r="G134" s="269"/>
      <c r="H134" s="269"/>
      <c r="I134" s="269"/>
      <c r="J134" s="269"/>
      <c r="K134" s="269"/>
      <c r="L134" s="269"/>
      <c r="M134" s="269"/>
      <c r="N134" s="269"/>
      <c r="O134" s="269"/>
      <c r="P134" s="269"/>
      <c r="Q134" s="269"/>
      <c r="R134" s="269"/>
      <c r="S134" s="269"/>
      <c r="T134" s="269"/>
    </row>
    <row r="135">
      <c r="A135" s="307"/>
      <c r="B135" s="287"/>
      <c r="C135" s="288"/>
      <c r="D135" s="288"/>
      <c r="E135" s="303"/>
      <c r="F135" s="303">
        <v>1.0</v>
      </c>
      <c r="G135" s="269"/>
      <c r="H135" s="269"/>
      <c r="I135" s="269"/>
      <c r="J135" s="269"/>
      <c r="K135" s="269"/>
      <c r="L135" s="269"/>
      <c r="M135" s="269"/>
      <c r="N135" s="269"/>
      <c r="O135" s="269"/>
      <c r="P135" s="269"/>
      <c r="Q135" s="269"/>
      <c r="R135" s="269"/>
      <c r="S135" s="269"/>
      <c r="T135" s="269"/>
    </row>
    <row r="136">
      <c r="A136" s="307"/>
      <c r="B136" s="299"/>
      <c r="C136" s="299"/>
      <c r="D136" s="299"/>
      <c r="E136" s="299"/>
      <c r="F136" s="293"/>
      <c r="G136" s="269"/>
      <c r="H136" s="269"/>
      <c r="I136" s="269"/>
      <c r="J136" s="269"/>
      <c r="K136" s="269"/>
      <c r="L136" s="269"/>
      <c r="M136" s="269"/>
      <c r="N136" s="269"/>
      <c r="O136" s="269"/>
      <c r="P136" s="269"/>
      <c r="Q136" s="269"/>
      <c r="R136" s="269"/>
      <c r="S136" s="269"/>
      <c r="T136" s="269"/>
    </row>
    <row r="137">
      <c r="A137" s="307"/>
      <c r="B137" s="292"/>
      <c r="C137" s="292"/>
      <c r="D137" s="292"/>
      <c r="E137" s="292"/>
      <c r="F137" s="293"/>
      <c r="G137" s="269"/>
      <c r="H137" s="269"/>
      <c r="I137" s="269"/>
      <c r="J137" s="269"/>
      <c r="K137" s="269"/>
      <c r="L137" s="269"/>
      <c r="M137" s="269"/>
      <c r="N137" s="269"/>
      <c r="O137" s="269"/>
      <c r="P137" s="269"/>
      <c r="Q137" s="269"/>
      <c r="R137" s="269"/>
      <c r="S137" s="269"/>
      <c r="T137" s="269"/>
    </row>
    <row r="138">
      <c r="A138" s="307"/>
      <c r="B138" s="292"/>
      <c r="C138" s="292"/>
      <c r="D138" s="292"/>
      <c r="E138" s="292"/>
      <c r="F138" s="293"/>
      <c r="G138" s="269"/>
      <c r="H138" s="269"/>
      <c r="I138" s="269"/>
      <c r="J138" s="269"/>
      <c r="K138" s="269"/>
      <c r="L138" s="269"/>
      <c r="M138" s="269"/>
      <c r="N138" s="269"/>
      <c r="O138" s="269"/>
      <c r="P138" s="269"/>
      <c r="Q138" s="269"/>
      <c r="R138" s="269"/>
      <c r="S138" s="269"/>
      <c r="T138" s="269"/>
    </row>
    <row r="139">
      <c r="A139" s="307"/>
      <c r="B139" s="292"/>
      <c r="C139" s="292"/>
      <c r="D139" s="292"/>
      <c r="E139" s="292"/>
      <c r="F139" s="293"/>
      <c r="G139" s="269"/>
      <c r="H139" s="269"/>
      <c r="I139" s="269"/>
      <c r="J139" s="269"/>
      <c r="K139" s="269"/>
      <c r="L139" s="269"/>
      <c r="M139" s="269"/>
      <c r="N139" s="269"/>
      <c r="O139" s="269"/>
      <c r="P139" s="269"/>
      <c r="Q139" s="269"/>
      <c r="R139" s="269"/>
      <c r="S139" s="269"/>
      <c r="T139" s="269"/>
    </row>
    <row r="140">
      <c r="A140" s="307"/>
      <c r="B140" s="292"/>
      <c r="C140" s="292"/>
      <c r="D140" s="292"/>
      <c r="E140" s="292"/>
      <c r="F140" s="293"/>
      <c r="G140" s="269"/>
      <c r="H140" s="269"/>
      <c r="I140" s="269"/>
      <c r="J140" s="269"/>
      <c r="K140" s="269"/>
      <c r="L140" s="269"/>
      <c r="M140" s="269"/>
      <c r="N140" s="269"/>
      <c r="O140" s="269"/>
      <c r="P140" s="269"/>
      <c r="Q140" s="269"/>
      <c r="R140" s="269"/>
      <c r="S140" s="269"/>
      <c r="T140" s="269"/>
    </row>
    <row r="141">
      <c r="A141" s="307"/>
      <c r="B141" s="292"/>
      <c r="C141" s="292"/>
      <c r="D141" s="292"/>
      <c r="E141" s="292"/>
      <c r="F141" s="293"/>
      <c r="G141" s="269"/>
      <c r="H141" s="269"/>
      <c r="I141" s="269"/>
      <c r="J141" s="269"/>
      <c r="K141" s="269"/>
      <c r="L141" s="269"/>
      <c r="M141" s="269"/>
      <c r="N141" s="269"/>
      <c r="O141" s="269"/>
      <c r="P141" s="269"/>
      <c r="Q141" s="269"/>
      <c r="R141" s="269"/>
      <c r="S141" s="269"/>
      <c r="T141" s="269"/>
    </row>
    <row r="142">
      <c r="A142" s="307"/>
      <c r="B142" s="292"/>
      <c r="C142" s="292"/>
      <c r="D142" s="292"/>
      <c r="E142" s="292"/>
      <c r="F142" s="293"/>
      <c r="G142" s="269"/>
      <c r="H142" s="269"/>
      <c r="I142" s="269"/>
      <c r="J142" s="269"/>
      <c r="K142" s="269"/>
      <c r="L142" s="269"/>
      <c r="M142" s="269"/>
      <c r="N142" s="269"/>
      <c r="O142" s="269"/>
      <c r="P142" s="269"/>
      <c r="Q142" s="269"/>
      <c r="R142" s="269"/>
      <c r="S142" s="269"/>
      <c r="T142" s="269"/>
    </row>
    <row r="143">
      <c r="A143" s="307"/>
      <c r="B143" s="292"/>
      <c r="C143" s="292"/>
      <c r="D143" s="292"/>
      <c r="E143" s="292"/>
      <c r="F143" s="293"/>
      <c r="G143" s="269"/>
      <c r="H143" s="269"/>
      <c r="I143" s="269"/>
      <c r="J143" s="269"/>
      <c r="K143" s="269"/>
      <c r="L143" s="269"/>
      <c r="M143" s="269"/>
      <c r="N143" s="269"/>
      <c r="O143" s="269"/>
      <c r="P143" s="269"/>
      <c r="Q143" s="269"/>
      <c r="R143" s="269"/>
      <c r="S143" s="269"/>
      <c r="T143" s="269"/>
    </row>
    <row r="144">
      <c r="A144" s="307"/>
      <c r="B144" s="292"/>
      <c r="C144" s="292"/>
      <c r="D144" s="292"/>
      <c r="E144" s="292"/>
      <c r="F144" s="293"/>
      <c r="G144" s="269"/>
      <c r="H144" s="269"/>
      <c r="I144" s="269"/>
      <c r="J144" s="269"/>
      <c r="K144" s="269"/>
      <c r="L144" s="269"/>
      <c r="M144" s="269"/>
      <c r="N144" s="269"/>
      <c r="O144" s="269"/>
      <c r="P144" s="269"/>
      <c r="Q144" s="269"/>
      <c r="R144" s="269"/>
      <c r="S144" s="269"/>
      <c r="T144" s="269"/>
    </row>
    <row r="145">
      <c r="A145" s="307"/>
      <c r="B145" s="77"/>
      <c r="C145" s="77"/>
      <c r="D145" s="77"/>
      <c r="E145" s="77"/>
      <c r="F145" s="296"/>
      <c r="G145" s="269"/>
      <c r="H145" s="269"/>
      <c r="I145" s="269"/>
      <c r="J145" s="269"/>
      <c r="K145" s="269"/>
      <c r="L145" s="269"/>
      <c r="M145" s="269"/>
      <c r="N145" s="269"/>
      <c r="O145" s="269"/>
      <c r="P145" s="269"/>
      <c r="Q145" s="269"/>
      <c r="R145" s="269"/>
      <c r="S145" s="269"/>
      <c r="T145" s="269"/>
    </row>
    <row r="146">
      <c r="A146" s="307"/>
      <c r="B146" s="304">
        <v>4.0</v>
      </c>
      <c r="C146" s="304">
        <v>5.0</v>
      </c>
      <c r="D146" s="304">
        <v>6.0</v>
      </c>
      <c r="E146" s="304">
        <v>7.0</v>
      </c>
      <c r="F146" s="304">
        <v>8.0</v>
      </c>
      <c r="G146" s="269"/>
      <c r="H146" s="269"/>
      <c r="I146" s="269"/>
      <c r="J146" s="269"/>
      <c r="K146" s="269"/>
      <c r="L146" s="269"/>
      <c r="M146" s="269"/>
      <c r="N146" s="269"/>
      <c r="O146" s="269"/>
      <c r="P146" s="269"/>
      <c r="Q146" s="269"/>
      <c r="R146" s="269"/>
      <c r="S146" s="269"/>
      <c r="T146" s="269"/>
    </row>
    <row r="147">
      <c r="A147" s="307"/>
      <c r="B147" s="291"/>
      <c r="C147" s="291"/>
      <c r="D147" s="291"/>
      <c r="E147" s="291"/>
      <c r="F147" s="291"/>
      <c r="G147" s="269"/>
      <c r="H147" s="269"/>
      <c r="I147" s="269"/>
      <c r="J147" s="269"/>
      <c r="K147" s="269"/>
      <c r="L147" s="269"/>
      <c r="M147" s="269"/>
      <c r="N147" s="269"/>
      <c r="O147" s="269"/>
      <c r="P147" s="269"/>
      <c r="Q147" s="269"/>
      <c r="R147" s="269"/>
      <c r="S147" s="269"/>
      <c r="T147" s="269"/>
    </row>
    <row r="148">
      <c r="A148" s="307"/>
      <c r="B148" s="293"/>
      <c r="C148" s="293"/>
      <c r="D148" s="293"/>
      <c r="E148" s="293"/>
      <c r="F148" s="293"/>
      <c r="G148" s="269"/>
      <c r="H148" s="269"/>
      <c r="I148" s="269"/>
      <c r="J148" s="269"/>
      <c r="K148" s="269"/>
      <c r="L148" s="269"/>
      <c r="M148" s="269"/>
      <c r="N148" s="269"/>
      <c r="O148" s="269"/>
      <c r="P148" s="269"/>
      <c r="Q148" s="269"/>
      <c r="R148" s="269"/>
      <c r="S148" s="269"/>
      <c r="T148" s="269"/>
    </row>
    <row r="149">
      <c r="A149" s="307"/>
      <c r="B149" s="293"/>
      <c r="C149" s="293"/>
      <c r="D149" s="293"/>
      <c r="E149" s="293"/>
      <c r="F149" s="293"/>
      <c r="G149" s="269"/>
      <c r="H149" s="269"/>
      <c r="I149" s="269"/>
      <c r="J149" s="269"/>
      <c r="K149" s="269"/>
      <c r="L149" s="269"/>
      <c r="M149" s="269"/>
      <c r="N149" s="269"/>
      <c r="O149" s="269"/>
      <c r="P149" s="269"/>
      <c r="Q149" s="269"/>
      <c r="R149" s="269"/>
      <c r="S149" s="269"/>
      <c r="T149" s="269"/>
    </row>
    <row r="150">
      <c r="A150" s="307"/>
      <c r="B150" s="293"/>
      <c r="C150" s="293"/>
      <c r="D150" s="293"/>
      <c r="E150" s="293"/>
      <c r="F150" s="293"/>
      <c r="G150" s="269"/>
      <c r="H150" s="269"/>
      <c r="I150" s="269"/>
      <c r="J150" s="269"/>
      <c r="K150" s="269"/>
      <c r="L150" s="269"/>
      <c r="M150" s="269"/>
      <c r="N150" s="269"/>
      <c r="O150" s="269"/>
      <c r="P150" s="269"/>
      <c r="Q150" s="269"/>
      <c r="R150" s="269"/>
      <c r="S150" s="269"/>
      <c r="T150" s="269"/>
    </row>
    <row r="151">
      <c r="A151" s="307"/>
      <c r="B151" s="293"/>
      <c r="C151" s="293"/>
      <c r="D151" s="293"/>
      <c r="E151" s="293"/>
      <c r="F151" s="293"/>
      <c r="G151" s="269"/>
      <c r="H151" s="269"/>
      <c r="I151" s="269"/>
      <c r="J151" s="269"/>
      <c r="K151" s="269"/>
      <c r="L151" s="269"/>
      <c r="M151" s="269"/>
      <c r="N151" s="269"/>
      <c r="O151" s="269"/>
      <c r="P151" s="269"/>
      <c r="Q151" s="269"/>
      <c r="R151" s="269"/>
      <c r="S151" s="269"/>
      <c r="T151" s="269"/>
    </row>
    <row r="152">
      <c r="A152" s="307"/>
      <c r="B152" s="293"/>
      <c r="C152" s="293"/>
      <c r="D152" s="293"/>
      <c r="E152" s="293"/>
      <c r="F152" s="293"/>
      <c r="G152" s="269"/>
      <c r="H152" s="269"/>
      <c r="I152" s="269"/>
      <c r="J152" s="269"/>
      <c r="K152" s="269"/>
      <c r="L152" s="269"/>
      <c r="M152" s="269"/>
      <c r="N152" s="269"/>
      <c r="O152" s="269"/>
      <c r="P152" s="269"/>
      <c r="Q152" s="269"/>
      <c r="R152" s="269"/>
      <c r="S152" s="269"/>
      <c r="T152" s="269"/>
    </row>
    <row r="153">
      <c r="A153" s="307"/>
      <c r="B153" s="293"/>
      <c r="C153" s="293"/>
      <c r="D153" s="293"/>
      <c r="E153" s="293"/>
      <c r="F153" s="294"/>
      <c r="G153" s="269"/>
      <c r="H153" s="269"/>
      <c r="I153" s="269"/>
      <c r="J153" s="269"/>
      <c r="K153" s="269"/>
      <c r="L153" s="269"/>
      <c r="M153" s="269"/>
      <c r="N153" s="269"/>
      <c r="O153" s="269"/>
      <c r="P153" s="269"/>
      <c r="Q153" s="269"/>
      <c r="R153" s="269"/>
      <c r="S153" s="269"/>
      <c r="T153" s="269"/>
    </row>
    <row r="154">
      <c r="A154" s="307"/>
      <c r="B154" s="293"/>
      <c r="C154" s="293"/>
      <c r="D154" s="293"/>
      <c r="E154" s="293"/>
      <c r="F154" s="294"/>
      <c r="G154" s="269"/>
      <c r="H154" s="269"/>
      <c r="I154" s="269"/>
      <c r="J154" s="269"/>
      <c r="K154" s="269"/>
      <c r="L154" s="269"/>
      <c r="M154" s="269"/>
      <c r="N154" s="269"/>
      <c r="O154" s="269"/>
      <c r="P154" s="269"/>
      <c r="Q154" s="269"/>
      <c r="R154" s="269"/>
      <c r="S154" s="269"/>
      <c r="T154" s="269"/>
    </row>
    <row r="155">
      <c r="A155" s="307"/>
      <c r="B155" s="293"/>
      <c r="C155" s="293"/>
      <c r="D155" s="293"/>
      <c r="E155" s="293"/>
      <c r="F155" s="294"/>
      <c r="G155" s="269"/>
      <c r="H155" s="269"/>
      <c r="I155" s="269"/>
      <c r="J155" s="269"/>
      <c r="K155" s="269"/>
      <c r="L155" s="269"/>
      <c r="M155" s="269"/>
      <c r="N155" s="269"/>
      <c r="O155" s="269"/>
      <c r="P155" s="269"/>
      <c r="Q155" s="269"/>
      <c r="R155" s="269"/>
      <c r="S155" s="269"/>
      <c r="T155" s="269"/>
    </row>
    <row r="156">
      <c r="A156" s="307"/>
      <c r="B156" s="296"/>
      <c r="C156" s="296"/>
      <c r="D156" s="296"/>
      <c r="E156" s="296"/>
      <c r="F156" s="296"/>
      <c r="G156" s="269"/>
      <c r="H156" s="269"/>
      <c r="I156" s="269"/>
      <c r="J156" s="269"/>
      <c r="K156" s="269"/>
      <c r="L156" s="269"/>
      <c r="M156" s="269"/>
      <c r="N156" s="269"/>
      <c r="O156" s="269"/>
      <c r="P156" s="269"/>
      <c r="Q156" s="269"/>
      <c r="R156" s="269"/>
      <c r="S156" s="269"/>
      <c r="T156" s="269"/>
    </row>
    <row r="157">
      <c r="A157" s="307"/>
      <c r="B157" s="304">
        <v>11.0</v>
      </c>
      <c r="C157" s="303">
        <v>12.0</v>
      </c>
      <c r="D157" s="303">
        <v>13.0</v>
      </c>
      <c r="E157" s="303">
        <v>14.0</v>
      </c>
      <c r="F157" s="303">
        <v>15.0</v>
      </c>
      <c r="G157" s="269"/>
      <c r="H157" s="269"/>
      <c r="I157" s="269"/>
      <c r="J157" s="269"/>
      <c r="K157" s="269"/>
      <c r="L157" s="269"/>
      <c r="M157" s="269"/>
      <c r="N157" s="269"/>
      <c r="O157" s="269"/>
      <c r="P157" s="269"/>
      <c r="Q157" s="269"/>
      <c r="R157" s="269"/>
      <c r="S157" s="269"/>
      <c r="T157" s="269"/>
    </row>
    <row r="158">
      <c r="A158" s="307"/>
      <c r="B158" s="308" t="s">
        <v>910</v>
      </c>
      <c r="C158" s="308" t="s">
        <v>911</v>
      </c>
      <c r="D158" s="308" t="s">
        <v>911</v>
      </c>
      <c r="E158" s="308" t="s">
        <v>911</v>
      </c>
      <c r="F158" s="308" t="s">
        <v>911</v>
      </c>
      <c r="G158" s="269"/>
      <c r="H158" s="269"/>
      <c r="I158" s="269"/>
      <c r="J158" s="269"/>
      <c r="K158" s="269"/>
      <c r="L158" s="269"/>
      <c r="M158" s="269"/>
      <c r="N158" s="269"/>
      <c r="O158" s="269"/>
      <c r="P158" s="269"/>
      <c r="Q158" s="269"/>
      <c r="R158" s="269"/>
      <c r="S158" s="269"/>
      <c r="T158" s="269"/>
    </row>
    <row r="159">
      <c r="A159" s="307"/>
      <c r="B159" s="294"/>
      <c r="C159" s="294"/>
      <c r="D159" s="294"/>
      <c r="E159" s="293"/>
      <c r="F159" s="294"/>
      <c r="G159" s="269"/>
      <c r="H159" s="269"/>
      <c r="I159" s="269"/>
      <c r="J159" s="269"/>
      <c r="K159" s="269"/>
      <c r="L159" s="269"/>
      <c r="M159" s="269"/>
      <c r="N159" s="269"/>
      <c r="O159" s="269"/>
      <c r="P159" s="269"/>
      <c r="Q159" s="269"/>
      <c r="R159" s="269"/>
      <c r="S159" s="269"/>
      <c r="T159" s="269"/>
    </row>
    <row r="160">
      <c r="A160" s="307"/>
      <c r="B160" s="294"/>
      <c r="C160" s="294"/>
      <c r="D160" s="294"/>
      <c r="E160" s="293"/>
      <c r="F160" s="294"/>
      <c r="G160" s="269"/>
      <c r="H160" s="269"/>
      <c r="I160" s="269"/>
      <c r="J160" s="269"/>
      <c r="K160" s="269"/>
      <c r="L160" s="269"/>
      <c r="M160" s="269"/>
      <c r="N160" s="269"/>
      <c r="O160" s="269"/>
      <c r="P160" s="269"/>
      <c r="Q160" s="269"/>
      <c r="R160" s="269"/>
      <c r="S160" s="269"/>
      <c r="T160" s="269"/>
    </row>
    <row r="161">
      <c r="A161" s="307"/>
      <c r="B161" s="294"/>
      <c r="C161" s="294"/>
      <c r="D161" s="294"/>
      <c r="E161" s="293"/>
      <c r="F161" s="293"/>
      <c r="G161" s="269"/>
      <c r="H161" s="269"/>
      <c r="I161" s="269"/>
      <c r="J161" s="269"/>
      <c r="K161" s="269"/>
      <c r="L161" s="269"/>
      <c r="M161" s="269"/>
      <c r="N161" s="269"/>
      <c r="O161" s="269"/>
      <c r="P161" s="269"/>
      <c r="Q161" s="269"/>
      <c r="R161" s="269"/>
      <c r="S161" s="269"/>
      <c r="T161" s="269"/>
    </row>
    <row r="162">
      <c r="A162" s="307"/>
      <c r="B162" s="294"/>
      <c r="C162" s="294"/>
      <c r="D162" s="294"/>
      <c r="E162" s="293"/>
      <c r="F162" s="293"/>
      <c r="G162" s="269"/>
      <c r="H162" s="269"/>
      <c r="I162" s="269"/>
      <c r="J162" s="269"/>
      <c r="K162" s="269"/>
      <c r="L162" s="269"/>
      <c r="M162" s="269"/>
      <c r="N162" s="269"/>
      <c r="O162" s="269"/>
      <c r="P162" s="269"/>
      <c r="Q162" s="269"/>
      <c r="R162" s="269"/>
      <c r="S162" s="269"/>
      <c r="T162" s="269"/>
    </row>
    <row r="163">
      <c r="A163" s="307"/>
      <c r="B163" s="294"/>
      <c r="C163" s="294"/>
      <c r="D163" s="294"/>
      <c r="E163" s="293"/>
      <c r="F163" s="293"/>
      <c r="G163" s="269"/>
      <c r="H163" s="269"/>
      <c r="I163" s="269"/>
      <c r="J163" s="269"/>
      <c r="K163" s="269"/>
      <c r="L163" s="269"/>
      <c r="M163" s="269"/>
      <c r="N163" s="269"/>
      <c r="O163" s="269"/>
      <c r="P163" s="269"/>
      <c r="Q163" s="269"/>
      <c r="R163" s="269"/>
      <c r="S163" s="269"/>
      <c r="T163" s="269"/>
    </row>
    <row r="164">
      <c r="A164" s="307"/>
      <c r="B164" s="294"/>
      <c r="C164" s="294"/>
      <c r="D164" s="294"/>
      <c r="E164" s="293"/>
      <c r="F164" s="293"/>
      <c r="G164" s="269"/>
      <c r="H164" s="269"/>
      <c r="I164" s="269"/>
      <c r="J164" s="269"/>
      <c r="K164" s="269"/>
      <c r="L164" s="269"/>
      <c r="M164" s="269"/>
      <c r="N164" s="269"/>
      <c r="O164" s="269"/>
      <c r="P164" s="269"/>
      <c r="Q164" s="269"/>
      <c r="R164" s="269"/>
      <c r="S164" s="269"/>
      <c r="T164" s="269"/>
    </row>
    <row r="165">
      <c r="A165" s="307"/>
      <c r="B165" s="294"/>
      <c r="C165" s="294"/>
      <c r="D165" s="294"/>
      <c r="E165" s="293"/>
      <c r="F165" s="293"/>
      <c r="G165" s="269"/>
      <c r="H165" s="269"/>
      <c r="I165" s="269"/>
      <c r="J165" s="269"/>
      <c r="K165" s="269"/>
      <c r="L165" s="269"/>
      <c r="M165" s="269"/>
      <c r="N165" s="269"/>
      <c r="O165" s="269"/>
      <c r="P165" s="269"/>
      <c r="Q165" s="269"/>
      <c r="R165" s="269"/>
      <c r="S165" s="269"/>
      <c r="T165" s="269"/>
    </row>
    <row r="166">
      <c r="A166" s="307"/>
      <c r="B166" s="294"/>
      <c r="C166" s="294"/>
      <c r="D166" s="294"/>
      <c r="E166" s="293"/>
      <c r="F166" s="293"/>
      <c r="G166" s="269"/>
      <c r="H166" s="269"/>
      <c r="I166" s="269"/>
      <c r="J166" s="269"/>
      <c r="K166" s="269"/>
      <c r="L166" s="269"/>
      <c r="M166" s="269"/>
      <c r="N166" s="269"/>
      <c r="O166" s="269"/>
      <c r="P166" s="269"/>
      <c r="Q166" s="269"/>
      <c r="R166" s="269"/>
      <c r="S166" s="269"/>
      <c r="T166" s="269"/>
    </row>
    <row r="167">
      <c r="A167" s="307"/>
      <c r="B167" s="294"/>
      <c r="C167" s="294"/>
      <c r="D167" s="294"/>
      <c r="E167" s="223"/>
      <c r="F167" s="293"/>
      <c r="G167" s="269"/>
      <c r="H167" s="269"/>
      <c r="I167" s="269"/>
      <c r="J167" s="269"/>
      <c r="K167" s="269"/>
      <c r="L167" s="269"/>
      <c r="M167" s="269"/>
      <c r="N167" s="269"/>
      <c r="O167" s="269"/>
      <c r="P167" s="269"/>
      <c r="Q167" s="269"/>
      <c r="R167" s="269"/>
      <c r="S167" s="269"/>
      <c r="T167" s="269"/>
    </row>
    <row r="168">
      <c r="A168" s="307"/>
      <c r="B168" s="294"/>
      <c r="C168" s="294"/>
      <c r="D168" s="294"/>
      <c r="E168" s="293"/>
      <c r="F168" s="293"/>
      <c r="G168" s="269"/>
      <c r="H168" s="269"/>
      <c r="I168" s="269"/>
      <c r="J168" s="269"/>
      <c r="K168" s="269"/>
      <c r="L168" s="269"/>
      <c r="M168" s="269"/>
      <c r="N168" s="269"/>
      <c r="O168" s="269"/>
      <c r="P168" s="269"/>
      <c r="Q168" s="269"/>
      <c r="R168" s="269"/>
      <c r="S168" s="269"/>
      <c r="T168" s="269"/>
    </row>
    <row r="169">
      <c r="A169" s="307"/>
      <c r="B169" s="296"/>
      <c r="C169" s="296"/>
      <c r="D169" s="296"/>
      <c r="E169" s="293"/>
      <c r="F169" s="293"/>
      <c r="G169" s="269"/>
      <c r="H169" s="269"/>
      <c r="I169" s="269"/>
      <c r="J169" s="269"/>
      <c r="K169" s="269"/>
      <c r="L169" s="269"/>
      <c r="M169" s="269"/>
      <c r="N169" s="269"/>
      <c r="O169" s="269"/>
      <c r="P169" s="269"/>
      <c r="Q169" s="269"/>
      <c r="R169" s="269"/>
      <c r="S169" s="269"/>
      <c r="T169" s="269"/>
    </row>
    <row r="170">
      <c r="A170" s="307"/>
      <c r="B170" s="304">
        <v>18.0</v>
      </c>
      <c r="C170" s="303">
        <v>19.0</v>
      </c>
      <c r="D170" s="303">
        <v>20.0</v>
      </c>
      <c r="E170" s="303">
        <v>21.0</v>
      </c>
      <c r="F170" s="303">
        <v>22.0</v>
      </c>
      <c r="G170" s="269"/>
      <c r="H170" s="269"/>
      <c r="I170" s="269"/>
      <c r="J170" s="269"/>
      <c r="K170" s="269"/>
      <c r="L170" s="269"/>
      <c r="M170" s="269"/>
      <c r="N170" s="269"/>
      <c r="O170" s="269"/>
      <c r="P170" s="269"/>
      <c r="Q170" s="269"/>
      <c r="R170" s="269"/>
      <c r="S170" s="269"/>
      <c r="T170" s="269"/>
    </row>
    <row r="171">
      <c r="A171" s="307"/>
      <c r="B171" s="291"/>
      <c r="C171" s="290" t="s">
        <v>912</v>
      </c>
      <c r="D171" s="291"/>
      <c r="E171" s="291"/>
      <c r="F171" s="291"/>
      <c r="G171" s="269"/>
      <c r="H171" s="269"/>
      <c r="I171" s="269"/>
      <c r="J171" s="269"/>
      <c r="K171" s="269"/>
      <c r="L171" s="269"/>
      <c r="M171" s="269"/>
      <c r="N171" s="269"/>
      <c r="O171" s="269"/>
      <c r="P171" s="269"/>
      <c r="Q171" s="269"/>
      <c r="R171" s="269"/>
      <c r="S171" s="269"/>
      <c r="T171" s="269"/>
    </row>
    <row r="172">
      <c r="A172" s="307"/>
      <c r="B172" s="293"/>
      <c r="C172" s="292"/>
      <c r="D172" s="293"/>
      <c r="E172" s="293"/>
      <c r="F172" s="293"/>
      <c r="G172" s="269"/>
      <c r="H172" s="269"/>
      <c r="I172" s="269"/>
      <c r="J172" s="269"/>
      <c r="K172" s="269"/>
      <c r="L172" s="269"/>
      <c r="M172" s="269"/>
      <c r="N172" s="269"/>
      <c r="O172" s="269"/>
      <c r="P172" s="269"/>
      <c r="Q172" s="269"/>
      <c r="R172" s="269"/>
      <c r="S172" s="269"/>
      <c r="T172" s="269"/>
    </row>
    <row r="173">
      <c r="A173" s="307"/>
      <c r="B173" s="293"/>
      <c r="C173" s="292"/>
      <c r="D173" s="293"/>
      <c r="E173" s="293"/>
      <c r="F173" s="293"/>
      <c r="G173" s="269"/>
      <c r="H173" s="269"/>
      <c r="I173" s="269"/>
      <c r="J173" s="269"/>
      <c r="K173" s="269"/>
      <c r="L173" s="269"/>
      <c r="M173" s="269"/>
      <c r="N173" s="269"/>
      <c r="O173" s="269"/>
      <c r="P173" s="269"/>
      <c r="Q173" s="269"/>
      <c r="R173" s="269"/>
      <c r="S173" s="269"/>
      <c r="T173" s="269"/>
    </row>
    <row r="174">
      <c r="A174" s="307"/>
      <c r="B174" s="293"/>
      <c r="C174" s="292"/>
      <c r="D174" s="293"/>
      <c r="E174" s="293"/>
      <c r="F174" s="293"/>
      <c r="G174" s="269"/>
      <c r="H174" s="269"/>
      <c r="I174" s="269"/>
      <c r="J174" s="269"/>
      <c r="K174" s="269"/>
      <c r="L174" s="269"/>
      <c r="M174" s="269"/>
      <c r="N174" s="269"/>
      <c r="O174" s="269"/>
      <c r="P174" s="269"/>
      <c r="Q174" s="269"/>
      <c r="R174" s="269"/>
      <c r="S174" s="269"/>
      <c r="T174" s="269"/>
    </row>
    <row r="175">
      <c r="A175" s="307"/>
      <c r="B175" s="293"/>
      <c r="C175" s="292"/>
      <c r="D175" s="293"/>
      <c r="E175" s="293"/>
      <c r="F175" s="293"/>
      <c r="G175" s="269"/>
      <c r="H175" s="269"/>
      <c r="I175" s="269"/>
      <c r="J175" s="269"/>
      <c r="K175" s="269"/>
      <c r="L175" s="269"/>
      <c r="M175" s="269"/>
      <c r="N175" s="269"/>
      <c r="O175" s="269"/>
      <c r="P175" s="269"/>
      <c r="Q175" s="269"/>
      <c r="R175" s="269"/>
      <c r="S175" s="269"/>
      <c r="T175" s="269"/>
    </row>
    <row r="176">
      <c r="A176" s="307"/>
      <c r="B176" s="293"/>
      <c r="C176" s="292"/>
      <c r="D176" s="293"/>
      <c r="E176" s="293"/>
      <c r="F176" s="293"/>
      <c r="G176" s="269"/>
      <c r="H176" s="269"/>
      <c r="I176" s="269"/>
      <c r="J176" s="269"/>
      <c r="K176" s="269"/>
      <c r="L176" s="269"/>
      <c r="M176" s="269"/>
      <c r="N176" s="269"/>
      <c r="O176" s="269"/>
      <c r="P176" s="269"/>
      <c r="Q176" s="269"/>
      <c r="R176" s="269"/>
      <c r="S176" s="269"/>
      <c r="T176" s="269"/>
    </row>
    <row r="177">
      <c r="A177" s="307"/>
      <c r="B177" s="293"/>
      <c r="C177" s="292"/>
      <c r="D177" s="293"/>
      <c r="E177" s="293"/>
      <c r="F177" s="293"/>
      <c r="G177" s="269"/>
      <c r="H177" s="269"/>
      <c r="I177" s="269"/>
      <c r="J177" s="269"/>
      <c r="K177" s="269"/>
      <c r="L177" s="269"/>
      <c r="M177" s="269"/>
      <c r="N177" s="269"/>
      <c r="O177" s="269"/>
      <c r="P177" s="269"/>
      <c r="Q177" s="269"/>
      <c r="R177" s="269"/>
      <c r="S177" s="269"/>
      <c r="T177" s="269"/>
    </row>
    <row r="178">
      <c r="A178" s="307"/>
      <c r="B178" s="293"/>
      <c r="C178" s="292"/>
      <c r="D178" s="293"/>
      <c r="E178" s="293"/>
      <c r="F178" s="294"/>
      <c r="G178" s="269"/>
      <c r="H178" s="269"/>
      <c r="I178" s="269"/>
      <c r="J178" s="269"/>
      <c r="K178" s="269"/>
      <c r="L178" s="269"/>
      <c r="M178" s="269"/>
      <c r="N178" s="269"/>
      <c r="O178" s="269"/>
      <c r="P178" s="269"/>
      <c r="Q178" s="269"/>
      <c r="R178" s="269"/>
      <c r="S178" s="269"/>
      <c r="T178" s="269"/>
    </row>
    <row r="179">
      <c r="A179" s="307"/>
      <c r="B179" s="294"/>
      <c r="C179" s="292"/>
      <c r="D179" s="293"/>
      <c r="E179" s="293"/>
      <c r="F179" s="294"/>
      <c r="G179" s="269"/>
      <c r="H179" s="269"/>
      <c r="I179" s="269"/>
      <c r="J179" s="269"/>
      <c r="K179" s="269"/>
      <c r="L179" s="269"/>
      <c r="M179" s="269"/>
      <c r="N179" s="269"/>
      <c r="O179" s="269"/>
      <c r="P179" s="269"/>
      <c r="Q179" s="269"/>
      <c r="R179" s="269"/>
      <c r="S179" s="269"/>
      <c r="T179" s="269"/>
    </row>
    <row r="180">
      <c r="A180" s="307"/>
      <c r="B180" s="296"/>
      <c r="C180" s="77"/>
      <c r="D180" s="296"/>
      <c r="E180" s="297"/>
      <c r="F180" s="296"/>
      <c r="G180" s="269"/>
      <c r="H180" s="269"/>
      <c r="I180" s="269"/>
      <c r="J180" s="269"/>
      <c r="K180" s="269"/>
      <c r="L180" s="269"/>
      <c r="M180" s="269"/>
      <c r="N180" s="269"/>
      <c r="O180" s="269"/>
      <c r="P180" s="269"/>
      <c r="Q180" s="269"/>
      <c r="R180" s="269"/>
      <c r="S180" s="269"/>
      <c r="T180" s="269"/>
    </row>
    <row r="181">
      <c r="A181" s="307"/>
      <c r="B181" s="304">
        <v>25.0</v>
      </c>
      <c r="C181" s="303">
        <v>26.0</v>
      </c>
      <c r="D181" s="303">
        <v>27.0</v>
      </c>
      <c r="E181" s="306">
        <v>28.0</v>
      </c>
      <c r="F181" s="306">
        <v>29.0</v>
      </c>
      <c r="G181" s="269"/>
      <c r="H181" s="269"/>
      <c r="I181" s="269"/>
      <c r="J181" s="269"/>
      <c r="K181" s="269"/>
      <c r="L181" s="269"/>
      <c r="M181" s="269"/>
      <c r="N181" s="269"/>
      <c r="O181" s="269"/>
      <c r="P181" s="269"/>
      <c r="Q181" s="269"/>
      <c r="R181" s="269"/>
      <c r="S181" s="269"/>
      <c r="T181" s="269"/>
    </row>
    <row r="182">
      <c r="A182" s="307"/>
      <c r="B182" s="290" t="s">
        <v>913</v>
      </c>
      <c r="C182" s="291"/>
      <c r="D182" s="291"/>
      <c r="E182" s="290" t="s">
        <v>914</v>
      </c>
      <c r="F182" s="290" t="s">
        <v>915</v>
      </c>
      <c r="G182" s="269"/>
      <c r="H182" s="269"/>
      <c r="I182" s="269"/>
      <c r="J182" s="269"/>
      <c r="K182" s="269"/>
      <c r="L182" s="269"/>
      <c r="M182" s="269"/>
      <c r="N182" s="269"/>
      <c r="O182" s="269"/>
      <c r="P182" s="269"/>
      <c r="Q182" s="269"/>
      <c r="R182" s="269"/>
      <c r="S182" s="269"/>
      <c r="T182" s="269"/>
    </row>
    <row r="183">
      <c r="A183" s="307"/>
      <c r="B183" s="292"/>
      <c r="C183" s="293"/>
      <c r="D183" s="293"/>
      <c r="E183" s="292"/>
      <c r="F183" s="292"/>
      <c r="G183" s="269"/>
      <c r="H183" s="269"/>
      <c r="I183" s="269"/>
      <c r="J183" s="269"/>
      <c r="K183" s="269"/>
      <c r="L183" s="269"/>
      <c r="M183" s="269"/>
      <c r="N183" s="269"/>
      <c r="O183" s="269"/>
      <c r="P183" s="269"/>
      <c r="Q183" s="269"/>
      <c r="R183" s="269"/>
      <c r="S183" s="269"/>
      <c r="T183" s="269"/>
    </row>
    <row r="184">
      <c r="A184" s="307"/>
      <c r="B184" s="292"/>
      <c r="C184" s="293"/>
      <c r="D184" s="293"/>
      <c r="E184" s="292"/>
      <c r="F184" s="292"/>
      <c r="G184" s="269"/>
      <c r="H184" s="269"/>
      <c r="I184" s="269"/>
      <c r="J184" s="269"/>
      <c r="K184" s="269"/>
      <c r="L184" s="269"/>
      <c r="M184" s="269"/>
      <c r="N184" s="269"/>
      <c r="O184" s="269"/>
      <c r="P184" s="269"/>
      <c r="Q184" s="269"/>
      <c r="R184" s="269"/>
      <c r="S184" s="269"/>
      <c r="T184" s="269"/>
    </row>
    <row r="185">
      <c r="A185" s="307"/>
      <c r="B185" s="292"/>
      <c r="C185" s="293"/>
      <c r="D185" s="293"/>
      <c r="E185" s="292"/>
      <c r="F185" s="292"/>
      <c r="G185" s="269"/>
      <c r="H185" s="269"/>
      <c r="I185" s="269"/>
      <c r="J185" s="269"/>
      <c r="K185" s="269"/>
      <c r="L185" s="269"/>
      <c r="M185" s="269"/>
      <c r="N185" s="269"/>
      <c r="O185" s="269"/>
      <c r="P185" s="269"/>
      <c r="Q185" s="269"/>
      <c r="R185" s="269"/>
      <c r="S185" s="269"/>
      <c r="T185" s="269"/>
    </row>
    <row r="186">
      <c r="A186" s="307"/>
      <c r="B186" s="292"/>
      <c r="C186" s="293"/>
      <c r="D186" s="293"/>
      <c r="E186" s="292"/>
      <c r="F186" s="292"/>
      <c r="G186" s="269"/>
      <c r="H186" s="269"/>
      <c r="I186" s="269"/>
      <c r="J186" s="269"/>
      <c r="K186" s="269"/>
      <c r="L186" s="269"/>
      <c r="M186" s="269"/>
      <c r="N186" s="269"/>
      <c r="O186" s="269"/>
      <c r="P186" s="269"/>
      <c r="Q186" s="269"/>
      <c r="R186" s="269"/>
      <c r="S186" s="269"/>
      <c r="T186" s="269"/>
    </row>
    <row r="187">
      <c r="A187" s="307"/>
      <c r="B187" s="292"/>
      <c r="C187" s="293"/>
      <c r="D187" s="293"/>
      <c r="E187" s="292"/>
      <c r="F187" s="292"/>
      <c r="G187" s="269"/>
      <c r="H187" s="269"/>
      <c r="I187" s="269"/>
      <c r="J187" s="269"/>
      <c r="K187" s="269"/>
      <c r="L187" s="269"/>
      <c r="M187" s="269"/>
      <c r="N187" s="269"/>
      <c r="O187" s="269"/>
      <c r="P187" s="269"/>
      <c r="Q187" s="269"/>
      <c r="R187" s="269"/>
      <c r="S187" s="269"/>
      <c r="T187" s="269"/>
    </row>
    <row r="188">
      <c r="A188" s="307"/>
      <c r="B188" s="292"/>
      <c r="C188" s="293"/>
      <c r="D188" s="293"/>
      <c r="E188" s="292"/>
      <c r="F188" s="292"/>
      <c r="G188" s="269"/>
      <c r="H188" s="269"/>
      <c r="I188" s="269"/>
      <c r="J188" s="269"/>
      <c r="K188" s="269"/>
      <c r="L188" s="269"/>
      <c r="M188" s="269"/>
      <c r="N188" s="269"/>
      <c r="O188" s="269"/>
      <c r="P188" s="269"/>
      <c r="Q188" s="269"/>
      <c r="R188" s="269"/>
      <c r="S188" s="269"/>
      <c r="T188" s="269"/>
    </row>
    <row r="189">
      <c r="A189" s="307"/>
      <c r="B189" s="292"/>
      <c r="C189" s="293"/>
      <c r="D189" s="293"/>
      <c r="E189" s="292"/>
      <c r="F189" s="292"/>
      <c r="G189" s="269"/>
      <c r="H189" s="269"/>
      <c r="I189" s="269"/>
      <c r="J189" s="269"/>
      <c r="K189" s="269"/>
      <c r="L189" s="269"/>
      <c r="M189" s="269"/>
      <c r="N189" s="269"/>
      <c r="O189" s="269"/>
      <c r="P189" s="269"/>
      <c r="Q189" s="269"/>
      <c r="R189" s="269"/>
      <c r="S189" s="269"/>
      <c r="T189" s="269"/>
    </row>
    <row r="190">
      <c r="A190" s="307"/>
      <c r="B190" s="292"/>
      <c r="C190" s="293"/>
      <c r="D190" s="293"/>
      <c r="E190" s="292"/>
      <c r="F190" s="292"/>
      <c r="G190" s="269"/>
      <c r="H190" s="269"/>
      <c r="I190" s="269"/>
      <c r="J190" s="269"/>
      <c r="K190" s="269"/>
      <c r="L190" s="269"/>
      <c r="M190" s="269"/>
      <c r="N190" s="269"/>
      <c r="O190" s="269"/>
      <c r="P190" s="269"/>
      <c r="Q190" s="269"/>
      <c r="R190" s="269"/>
      <c r="S190" s="269"/>
      <c r="T190" s="269"/>
    </row>
    <row r="191">
      <c r="A191" s="307"/>
      <c r="B191" s="77"/>
      <c r="C191" s="297"/>
      <c r="D191" s="297"/>
      <c r="E191" s="77"/>
      <c r="F191" s="77"/>
      <c r="G191" s="269"/>
      <c r="H191" s="269"/>
      <c r="I191" s="269"/>
      <c r="J191" s="269"/>
      <c r="K191" s="269"/>
      <c r="L191" s="269"/>
      <c r="M191" s="269"/>
      <c r="N191" s="269"/>
      <c r="O191" s="269"/>
      <c r="P191" s="269"/>
      <c r="Q191" s="269"/>
      <c r="R191" s="269"/>
      <c r="S191" s="269"/>
      <c r="T191" s="269"/>
    </row>
    <row r="192">
      <c r="A192" s="307"/>
      <c r="B192" s="300"/>
      <c r="C192" s="298"/>
      <c r="D192" s="298"/>
      <c r="E192" s="298"/>
      <c r="F192" s="298"/>
      <c r="G192" s="269"/>
      <c r="H192" s="269"/>
      <c r="I192" s="269"/>
      <c r="J192" s="269"/>
      <c r="K192" s="269"/>
      <c r="L192" s="269"/>
      <c r="M192" s="269"/>
      <c r="N192" s="269"/>
      <c r="O192" s="269"/>
      <c r="P192" s="269"/>
      <c r="Q192" s="269"/>
      <c r="R192" s="269"/>
      <c r="S192" s="269"/>
      <c r="T192" s="269"/>
    </row>
    <row r="193">
      <c r="A193" s="307"/>
      <c r="B193" s="269"/>
      <c r="C193" s="269"/>
      <c r="D193" s="269"/>
      <c r="E193" s="269"/>
      <c r="F193" s="269"/>
      <c r="G193" s="269"/>
      <c r="H193" s="269"/>
      <c r="I193" s="269"/>
      <c r="J193" s="269"/>
      <c r="K193" s="269"/>
      <c r="L193" s="269"/>
      <c r="M193" s="269"/>
      <c r="N193" s="269"/>
      <c r="O193" s="269"/>
      <c r="P193" s="269"/>
      <c r="Q193" s="269"/>
      <c r="R193" s="269"/>
      <c r="S193" s="269"/>
      <c r="T193" s="269"/>
    </row>
    <row r="194">
      <c r="A194" s="307"/>
      <c r="B194" s="269"/>
      <c r="C194" s="269"/>
      <c r="D194" s="269"/>
      <c r="E194" s="269"/>
      <c r="F194" s="269"/>
      <c r="G194" s="269"/>
      <c r="H194" s="269"/>
      <c r="I194" s="269"/>
      <c r="J194" s="269"/>
      <c r="K194" s="269"/>
      <c r="L194" s="269"/>
      <c r="M194" s="269"/>
      <c r="N194" s="269"/>
      <c r="O194" s="269"/>
      <c r="P194" s="269"/>
      <c r="Q194" s="269"/>
      <c r="R194" s="269"/>
      <c r="S194" s="269"/>
      <c r="T194" s="269"/>
    </row>
    <row r="195">
      <c r="A195" s="307"/>
      <c r="B195" s="269"/>
      <c r="C195" s="269"/>
      <c r="D195" s="269"/>
      <c r="E195" s="269"/>
      <c r="F195" s="269"/>
      <c r="G195" s="269"/>
      <c r="H195" s="269"/>
      <c r="I195" s="269"/>
      <c r="J195" s="269"/>
      <c r="K195" s="269"/>
      <c r="L195" s="269"/>
      <c r="M195" s="269"/>
      <c r="N195" s="269"/>
      <c r="O195" s="269"/>
      <c r="P195" s="269"/>
      <c r="Q195" s="269"/>
      <c r="R195" s="269"/>
      <c r="S195" s="269"/>
      <c r="T195" s="269"/>
    </row>
    <row r="196">
      <c r="A196" s="307"/>
      <c r="B196" s="278" t="s">
        <v>916</v>
      </c>
      <c r="C196" s="279"/>
      <c r="D196" s="279"/>
      <c r="E196" s="279"/>
      <c r="F196" s="280"/>
      <c r="G196" s="269"/>
      <c r="H196" s="269"/>
      <c r="I196" s="269"/>
      <c r="J196" s="269"/>
      <c r="K196" s="269"/>
      <c r="L196" s="269"/>
      <c r="M196" s="269"/>
      <c r="N196" s="269"/>
      <c r="O196" s="269"/>
      <c r="P196" s="269"/>
      <c r="Q196" s="269"/>
      <c r="R196" s="269"/>
      <c r="S196" s="269"/>
      <c r="T196" s="269"/>
    </row>
    <row r="197">
      <c r="A197" s="307"/>
      <c r="B197" s="282"/>
      <c r="C197" s="283"/>
      <c r="D197" s="283"/>
      <c r="E197" s="283"/>
      <c r="F197" s="284"/>
      <c r="G197" s="269"/>
      <c r="H197" s="269"/>
      <c r="I197" s="269"/>
      <c r="J197" s="269"/>
      <c r="K197" s="269"/>
      <c r="L197" s="269"/>
      <c r="M197" s="269"/>
      <c r="N197" s="269"/>
      <c r="O197" s="269"/>
      <c r="P197" s="269"/>
      <c r="Q197" s="269"/>
      <c r="R197" s="269"/>
      <c r="S197" s="269"/>
      <c r="T197" s="269"/>
    </row>
    <row r="198">
      <c r="A198" s="307"/>
      <c r="B198" s="285" t="s">
        <v>901</v>
      </c>
      <c r="C198" s="286" t="s">
        <v>902</v>
      </c>
      <c r="D198" s="286" t="s">
        <v>903</v>
      </c>
      <c r="E198" s="286" t="s">
        <v>904</v>
      </c>
      <c r="F198" s="286" t="s">
        <v>905</v>
      </c>
      <c r="G198" s="269"/>
      <c r="H198" s="269"/>
      <c r="I198" s="269"/>
      <c r="J198" s="269"/>
      <c r="K198" s="269"/>
      <c r="L198" s="269"/>
      <c r="M198" s="269"/>
      <c r="N198" s="269"/>
      <c r="O198" s="269"/>
      <c r="P198" s="269"/>
      <c r="Q198" s="269"/>
      <c r="R198" s="269"/>
      <c r="S198" s="269"/>
      <c r="T198" s="269"/>
    </row>
    <row r="199">
      <c r="A199" s="307"/>
      <c r="B199" s="287">
        <v>1.0</v>
      </c>
      <c r="C199" s="288">
        <v>2.0</v>
      </c>
      <c r="D199" s="288">
        <v>3.0</v>
      </c>
      <c r="E199" s="288">
        <v>4.0</v>
      </c>
      <c r="F199" s="288">
        <v>5.0</v>
      </c>
      <c r="G199" s="269"/>
      <c r="H199" s="269"/>
      <c r="I199" s="269"/>
      <c r="J199" s="269"/>
      <c r="K199" s="269"/>
      <c r="L199" s="269"/>
      <c r="M199" s="269"/>
      <c r="N199" s="269"/>
      <c r="O199" s="269"/>
      <c r="P199" s="269"/>
      <c r="Q199" s="269"/>
      <c r="R199" s="269"/>
      <c r="S199" s="269"/>
      <c r="T199" s="269"/>
    </row>
    <row r="200">
      <c r="A200" s="307"/>
      <c r="B200" s="309"/>
      <c r="C200" s="310"/>
      <c r="D200" s="310"/>
      <c r="E200" s="310"/>
      <c r="F200" s="310"/>
      <c r="G200" s="269"/>
      <c r="H200" s="269"/>
      <c r="I200" s="269"/>
      <c r="J200" s="269"/>
      <c r="K200" s="269"/>
      <c r="L200" s="269"/>
      <c r="M200" s="269"/>
      <c r="N200" s="269"/>
      <c r="O200" s="269"/>
      <c r="P200" s="269"/>
      <c r="Q200" s="269"/>
      <c r="R200" s="269"/>
      <c r="S200" s="269"/>
      <c r="T200" s="269"/>
    </row>
    <row r="201">
      <c r="A201" s="307"/>
      <c r="B201" s="293"/>
      <c r="C201" s="293"/>
      <c r="D201" s="293"/>
      <c r="E201" s="293"/>
      <c r="F201" s="293"/>
      <c r="G201" s="269"/>
      <c r="H201" s="269"/>
      <c r="I201" s="269"/>
      <c r="J201" s="269"/>
      <c r="K201" s="269"/>
      <c r="L201" s="269"/>
      <c r="M201" s="269"/>
      <c r="N201" s="269"/>
      <c r="O201" s="269"/>
      <c r="P201" s="269"/>
      <c r="Q201" s="269"/>
      <c r="R201" s="269"/>
      <c r="S201" s="269"/>
      <c r="T201" s="269"/>
    </row>
    <row r="202">
      <c r="A202" s="307"/>
      <c r="B202" s="293"/>
      <c r="C202" s="293"/>
      <c r="D202" s="293"/>
      <c r="E202" s="293"/>
      <c r="F202" s="293"/>
      <c r="G202" s="269"/>
      <c r="H202" s="269"/>
      <c r="I202" s="269"/>
      <c r="J202" s="269"/>
      <c r="K202" s="269"/>
      <c r="L202" s="269"/>
      <c r="M202" s="269"/>
      <c r="N202" s="269"/>
      <c r="O202" s="269"/>
      <c r="P202" s="269"/>
      <c r="Q202" s="269"/>
      <c r="R202" s="269"/>
      <c r="S202" s="269"/>
      <c r="T202" s="269"/>
    </row>
    <row r="203">
      <c r="A203" s="307"/>
      <c r="B203" s="293"/>
      <c r="C203" s="293"/>
      <c r="D203" s="293"/>
      <c r="E203" s="293"/>
      <c r="F203" s="293"/>
      <c r="G203" s="269"/>
      <c r="H203" s="269"/>
      <c r="I203" s="269"/>
      <c r="J203" s="269"/>
      <c r="K203" s="269"/>
      <c r="L203" s="269"/>
      <c r="M203" s="269"/>
      <c r="N203" s="269"/>
      <c r="O203" s="269"/>
      <c r="P203" s="269"/>
      <c r="Q203" s="269"/>
      <c r="R203" s="269"/>
      <c r="S203" s="269"/>
      <c r="T203" s="269"/>
    </row>
    <row r="204">
      <c r="A204" s="307"/>
      <c r="B204" s="293"/>
      <c r="C204" s="293"/>
      <c r="D204" s="293"/>
      <c r="E204" s="293"/>
      <c r="F204" s="293"/>
      <c r="G204" s="269"/>
      <c r="H204" s="269"/>
      <c r="I204" s="269"/>
      <c r="J204" s="269"/>
      <c r="K204" s="269"/>
      <c r="L204" s="269"/>
      <c r="M204" s="269"/>
      <c r="N204" s="269"/>
      <c r="O204" s="269"/>
      <c r="P204" s="269"/>
      <c r="Q204" s="269"/>
      <c r="R204" s="269"/>
      <c r="S204" s="269"/>
      <c r="T204" s="269"/>
    </row>
    <row r="205">
      <c r="A205" s="307"/>
      <c r="B205" s="294"/>
      <c r="C205" s="294"/>
      <c r="D205" s="294"/>
      <c r="E205" s="294"/>
      <c r="F205" s="294"/>
      <c r="G205" s="269"/>
      <c r="H205" s="269"/>
      <c r="I205" s="269"/>
      <c r="J205" s="269"/>
      <c r="K205" s="269"/>
      <c r="L205" s="269"/>
      <c r="M205" s="269"/>
      <c r="N205" s="269"/>
      <c r="O205" s="269"/>
      <c r="P205" s="269"/>
      <c r="Q205" s="269"/>
      <c r="R205" s="269"/>
      <c r="S205" s="269"/>
      <c r="T205" s="269"/>
    </row>
    <row r="206">
      <c r="A206" s="307"/>
      <c r="B206" s="294"/>
      <c r="C206" s="294"/>
      <c r="D206" s="294"/>
      <c r="E206" s="294"/>
      <c r="F206" s="294"/>
      <c r="G206" s="269"/>
      <c r="H206" s="269"/>
      <c r="I206" s="269"/>
      <c r="J206" s="269"/>
      <c r="K206" s="269"/>
      <c r="L206" s="269"/>
      <c r="M206" s="269"/>
      <c r="N206" s="269"/>
      <c r="O206" s="269"/>
      <c r="P206" s="269"/>
      <c r="Q206" s="269"/>
      <c r="R206" s="269"/>
      <c r="S206" s="269"/>
      <c r="T206" s="269"/>
    </row>
    <row r="207">
      <c r="A207" s="307"/>
      <c r="B207" s="294"/>
      <c r="C207" s="294"/>
      <c r="D207" s="294"/>
      <c r="E207" s="294"/>
      <c r="F207" s="294"/>
      <c r="G207" s="269"/>
      <c r="H207" s="269"/>
      <c r="I207" s="269"/>
      <c r="J207" s="269"/>
      <c r="K207" s="269"/>
      <c r="L207" s="269"/>
      <c r="M207" s="269"/>
      <c r="N207" s="269"/>
      <c r="O207" s="269"/>
      <c r="P207" s="269"/>
      <c r="Q207" s="269"/>
      <c r="R207" s="269"/>
      <c r="S207" s="269"/>
      <c r="T207" s="269"/>
    </row>
    <row r="208">
      <c r="A208" s="307"/>
      <c r="B208" s="294"/>
      <c r="C208" s="294"/>
      <c r="D208" s="294"/>
      <c r="E208" s="294"/>
      <c r="F208" s="294"/>
      <c r="G208" s="269"/>
      <c r="H208" s="269"/>
      <c r="I208" s="269"/>
      <c r="J208" s="269"/>
      <c r="K208" s="269"/>
      <c r="L208" s="269"/>
      <c r="M208" s="269"/>
      <c r="N208" s="269"/>
      <c r="O208" s="269"/>
      <c r="P208" s="269"/>
      <c r="Q208" s="269"/>
      <c r="R208" s="269"/>
      <c r="S208" s="269"/>
      <c r="T208" s="269"/>
    </row>
    <row r="209">
      <c r="A209" s="307"/>
      <c r="B209" s="295"/>
      <c r="C209" s="295"/>
      <c r="D209" s="295"/>
      <c r="E209" s="295"/>
      <c r="F209" s="295"/>
      <c r="G209" s="269"/>
      <c r="H209" s="269"/>
      <c r="I209" s="269"/>
      <c r="J209" s="269"/>
      <c r="K209" s="269"/>
      <c r="L209" s="269"/>
      <c r="M209" s="269"/>
      <c r="N209" s="269"/>
      <c r="O209" s="269"/>
      <c r="P209" s="269"/>
      <c r="Q209" s="269"/>
      <c r="R209" s="269"/>
      <c r="S209" s="269"/>
      <c r="T209" s="269"/>
    </row>
    <row r="210">
      <c r="A210" s="307"/>
      <c r="B210" s="296"/>
      <c r="C210" s="296"/>
      <c r="D210" s="296"/>
      <c r="E210" s="296"/>
      <c r="F210" s="296"/>
      <c r="G210" s="269"/>
      <c r="H210" s="269"/>
      <c r="I210" s="269"/>
      <c r="J210" s="269"/>
      <c r="K210" s="269"/>
      <c r="L210" s="269"/>
      <c r="M210" s="269"/>
      <c r="N210" s="269"/>
      <c r="O210" s="269"/>
      <c r="P210" s="269"/>
      <c r="Q210" s="269"/>
      <c r="R210" s="269"/>
      <c r="S210" s="269"/>
      <c r="T210" s="269"/>
    </row>
    <row r="211">
      <c r="A211" s="307"/>
      <c r="B211" s="287">
        <v>8.0</v>
      </c>
      <c r="C211" s="288">
        <v>9.0</v>
      </c>
      <c r="D211" s="288">
        <v>10.0</v>
      </c>
      <c r="E211" s="288">
        <v>11.0</v>
      </c>
      <c r="F211" s="288">
        <v>12.0</v>
      </c>
      <c r="G211" s="269"/>
      <c r="H211" s="269"/>
      <c r="I211" s="269"/>
      <c r="J211" s="269"/>
      <c r="K211" s="269"/>
      <c r="L211" s="269"/>
      <c r="M211" s="269"/>
      <c r="N211" s="269"/>
      <c r="O211" s="269"/>
      <c r="P211" s="269"/>
      <c r="Q211" s="269"/>
      <c r="R211" s="269"/>
      <c r="S211" s="269"/>
      <c r="T211" s="269"/>
    </row>
    <row r="212">
      <c r="A212" s="307"/>
      <c r="B212" s="311" t="s">
        <v>917</v>
      </c>
      <c r="C212" s="311" t="s">
        <v>917</v>
      </c>
      <c r="D212" s="311" t="s">
        <v>917</v>
      </c>
      <c r="E212" s="311" t="s">
        <v>917</v>
      </c>
      <c r="F212" s="311" t="s">
        <v>917</v>
      </c>
      <c r="G212" s="269"/>
      <c r="H212" s="269"/>
      <c r="I212" s="269"/>
      <c r="J212" s="269"/>
      <c r="K212" s="269"/>
      <c r="L212" s="269"/>
      <c r="M212" s="269"/>
      <c r="N212" s="269"/>
      <c r="O212" s="269"/>
      <c r="P212" s="269"/>
      <c r="Q212" s="269"/>
      <c r="R212" s="269"/>
      <c r="S212" s="269"/>
      <c r="T212" s="269"/>
    </row>
    <row r="213">
      <c r="A213" s="307"/>
      <c r="B213" s="293"/>
      <c r="C213" s="294"/>
      <c r="D213" s="293"/>
      <c r="E213" s="293"/>
      <c r="F213" s="293"/>
      <c r="G213" s="269"/>
      <c r="H213" s="269"/>
      <c r="I213" s="269"/>
      <c r="J213" s="269"/>
      <c r="K213" s="269"/>
      <c r="L213" s="269"/>
      <c r="M213" s="269"/>
      <c r="N213" s="269"/>
      <c r="O213" s="269"/>
      <c r="P213" s="269"/>
      <c r="Q213" s="269"/>
      <c r="R213" s="269"/>
      <c r="S213" s="269"/>
      <c r="T213" s="269"/>
    </row>
    <row r="214">
      <c r="A214" s="307"/>
      <c r="B214" s="293"/>
      <c r="C214" s="293"/>
      <c r="D214" s="293"/>
      <c r="E214" s="293"/>
      <c r="F214" s="293"/>
      <c r="G214" s="269"/>
      <c r="H214" s="269"/>
      <c r="I214" s="269"/>
      <c r="J214" s="269"/>
      <c r="K214" s="269"/>
      <c r="L214" s="269"/>
      <c r="M214" s="269"/>
      <c r="N214" s="269"/>
      <c r="O214" s="269"/>
      <c r="P214" s="269"/>
      <c r="Q214" s="269"/>
      <c r="R214" s="269"/>
      <c r="S214" s="269"/>
      <c r="T214" s="269"/>
    </row>
    <row r="215">
      <c r="A215" s="307"/>
      <c r="B215" s="293"/>
      <c r="C215" s="293"/>
      <c r="D215" s="293"/>
      <c r="E215" s="293"/>
      <c r="F215" s="293"/>
      <c r="G215" s="269"/>
      <c r="H215" s="269"/>
      <c r="I215" s="269"/>
      <c r="J215" s="269"/>
      <c r="K215" s="269"/>
      <c r="L215" s="269"/>
      <c r="M215" s="269"/>
      <c r="N215" s="269"/>
      <c r="O215" s="269"/>
      <c r="P215" s="269"/>
      <c r="Q215" s="269"/>
      <c r="R215" s="269"/>
      <c r="S215" s="269"/>
      <c r="T215" s="269"/>
    </row>
    <row r="216">
      <c r="A216" s="307"/>
      <c r="B216" s="293"/>
      <c r="C216" s="293"/>
      <c r="D216" s="293"/>
      <c r="E216" s="293"/>
      <c r="F216" s="293"/>
      <c r="G216" s="269"/>
      <c r="H216" s="269"/>
      <c r="I216" s="269"/>
      <c r="J216" s="269"/>
      <c r="K216" s="269"/>
      <c r="L216" s="269"/>
      <c r="M216" s="269"/>
      <c r="N216" s="269"/>
      <c r="O216" s="269"/>
      <c r="P216" s="269"/>
      <c r="Q216" s="269"/>
      <c r="R216" s="269"/>
      <c r="S216" s="269"/>
      <c r="T216" s="269"/>
    </row>
    <row r="217">
      <c r="A217" s="307"/>
      <c r="B217" s="293"/>
      <c r="C217" s="293"/>
      <c r="D217" s="293"/>
      <c r="E217" s="293"/>
      <c r="F217" s="293"/>
      <c r="G217" s="269"/>
      <c r="H217" s="269"/>
      <c r="I217" s="269"/>
      <c r="J217" s="269"/>
      <c r="K217" s="269"/>
      <c r="L217" s="269"/>
      <c r="M217" s="269"/>
      <c r="N217" s="269"/>
      <c r="O217" s="269"/>
      <c r="P217" s="269"/>
      <c r="Q217" s="269"/>
      <c r="R217" s="269"/>
      <c r="S217" s="269"/>
      <c r="T217" s="269"/>
    </row>
    <row r="218">
      <c r="A218" s="307"/>
      <c r="B218" s="293"/>
      <c r="C218" s="293"/>
      <c r="D218" s="293"/>
      <c r="E218" s="293"/>
      <c r="F218" s="294"/>
      <c r="G218" s="269"/>
      <c r="H218" s="269"/>
      <c r="I218" s="269"/>
      <c r="J218" s="269"/>
      <c r="K218" s="269"/>
      <c r="L218" s="269"/>
      <c r="M218" s="269"/>
      <c r="N218" s="269"/>
      <c r="O218" s="269"/>
      <c r="P218" s="269"/>
      <c r="Q218" s="269"/>
      <c r="R218" s="269"/>
      <c r="S218" s="269"/>
      <c r="T218" s="269"/>
    </row>
    <row r="219">
      <c r="A219" s="307"/>
      <c r="B219" s="293"/>
      <c r="C219" s="293"/>
      <c r="D219" s="293"/>
      <c r="E219" s="293"/>
      <c r="F219" s="294"/>
      <c r="G219" s="269"/>
      <c r="H219" s="269"/>
      <c r="I219" s="269"/>
      <c r="J219" s="269"/>
      <c r="K219" s="269"/>
      <c r="L219" s="269"/>
      <c r="M219" s="269"/>
      <c r="N219" s="269"/>
      <c r="O219" s="269"/>
      <c r="P219" s="269"/>
      <c r="Q219" s="269"/>
      <c r="R219" s="269"/>
      <c r="S219" s="269"/>
      <c r="T219" s="269"/>
    </row>
    <row r="220">
      <c r="A220" s="307"/>
      <c r="B220" s="294"/>
      <c r="C220" s="293"/>
      <c r="D220" s="294"/>
      <c r="E220" s="293"/>
      <c r="F220" s="294"/>
      <c r="G220" s="269"/>
      <c r="H220" s="269"/>
      <c r="I220" s="269"/>
      <c r="J220" s="269"/>
      <c r="K220" s="269"/>
      <c r="L220" s="269"/>
      <c r="M220" s="269"/>
      <c r="N220" s="269"/>
      <c r="O220" s="269"/>
      <c r="P220" s="269"/>
      <c r="Q220" s="269"/>
      <c r="R220" s="269"/>
      <c r="S220" s="269"/>
      <c r="T220" s="269"/>
    </row>
    <row r="221">
      <c r="A221" s="307"/>
      <c r="B221" s="296"/>
      <c r="C221" s="297"/>
      <c r="D221" s="296"/>
      <c r="E221" s="293"/>
      <c r="F221" s="296"/>
      <c r="G221" s="269"/>
      <c r="H221" s="269"/>
      <c r="I221" s="269"/>
      <c r="J221" s="269"/>
      <c r="K221" s="269"/>
      <c r="L221" s="269"/>
      <c r="M221" s="269"/>
      <c r="N221" s="269"/>
      <c r="O221" s="269"/>
      <c r="P221" s="269"/>
      <c r="Q221" s="269"/>
      <c r="R221" s="269"/>
      <c r="S221" s="269"/>
      <c r="T221" s="269"/>
    </row>
    <row r="222">
      <c r="A222" s="307"/>
      <c r="B222" s="287">
        <v>15.0</v>
      </c>
      <c r="C222" s="288">
        <v>16.0</v>
      </c>
      <c r="D222" s="288">
        <v>17.0</v>
      </c>
      <c r="E222" s="288">
        <v>18.0</v>
      </c>
      <c r="F222" s="288">
        <v>19.0</v>
      </c>
      <c r="G222" s="269"/>
      <c r="H222" s="269"/>
      <c r="I222" s="269"/>
      <c r="J222" s="269"/>
      <c r="K222" s="269"/>
      <c r="L222" s="269"/>
      <c r="M222" s="269"/>
      <c r="N222" s="269"/>
      <c r="O222" s="269"/>
      <c r="P222" s="269"/>
      <c r="Q222" s="269"/>
      <c r="R222" s="269"/>
      <c r="S222" s="269"/>
      <c r="T222" s="269"/>
    </row>
    <row r="223">
      <c r="A223" s="307"/>
      <c r="B223" s="293"/>
      <c r="C223" s="293"/>
      <c r="D223" s="291"/>
      <c r="E223" s="291"/>
      <c r="F223" s="291"/>
      <c r="G223" s="269"/>
      <c r="H223" s="269"/>
      <c r="I223" s="269"/>
      <c r="J223" s="269"/>
      <c r="K223" s="269"/>
      <c r="L223" s="269"/>
      <c r="M223" s="269"/>
      <c r="N223" s="269"/>
      <c r="O223" s="269"/>
      <c r="P223" s="269"/>
      <c r="Q223" s="269"/>
      <c r="R223" s="269"/>
      <c r="S223" s="269"/>
      <c r="T223" s="269"/>
    </row>
    <row r="224">
      <c r="A224" s="307"/>
      <c r="B224" s="293"/>
      <c r="C224" s="293"/>
      <c r="D224" s="293"/>
      <c r="E224" s="293"/>
      <c r="F224" s="293"/>
      <c r="G224" s="269"/>
      <c r="H224" s="269"/>
      <c r="I224" s="269"/>
      <c r="J224" s="269"/>
      <c r="K224" s="269"/>
      <c r="L224" s="269"/>
      <c r="M224" s="269"/>
      <c r="N224" s="269"/>
      <c r="O224" s="269"/>
      <c r="P224" s="269"/>
      <c r="Q224" s="269"/>
      <c r="R224" s="269"/>
      <c r="S224" s="269"/>
      <c r="T224" s="269"/>
    </row>
    <row r="225">
      <c r="A225" s="307"/>
      <c r="B225" s="293"/>
      <c r="C225" s="293"/>
      <c r="D225" s="293"/>
      <c r="E225" s="293"/>
      <c r="F225" s="293"/>
      <c r="G225" s="269"/>
      <c r="H225" s="269"/>
      <c r="I225" s="269"/>
      <c r="J225" s="269"/>
      <c r="K225" s="269"/>
      <c r="L225" s="269"/>
      <c r="M225" s="269"/>
      <c r="N225" s="269"/>
      <c r="O225" s="269"/>
      <c r="P225" s="269"/>
      <c r="Q225" s="269"/>
      <c r="R225" s="269"/>
      <c r="S225" s="269"/>
      <c r="T225" s="269"/>
    </row>
    <row r="226">
      <c r="A226" s="307"/>
      <c r="B226" s="293"/>
      <c r="C226" s="293"/>
      <c r="D226" s="293"/>
      <c r="E226" s="293"/>
      <c r="F226" s="293"/>
      <c r="G226" s="269"/>
      <c r="H226" s="269"/>
      <c r="I226" s="269"/>
      <c r="J226" s="269"/>
      <c r="K226" s="269"/>
      <c r="L226" s="269"/>
      <c r="M226" s="269"/>
      <c r="N226" s="269"/>
      <c r="O226" s="269"/>
      <c r="P226" s="269"/>
      <c r="Q226" s="269"/>
      <c r="R226" s="269"/>
      <c r="S226" s="269"/>
      <c r="T226" s="269"/>
    </row>
    <row r="227">
      <c r="A227" s="307"/>
      <c r="B227" s="293"/>
      <c r="C227" s="293"/>
      <c r="D227" s="293"/>
      <c r="E227" s="293"/>
      <c r="F227" s="293"/>
      <c r="G227" s="269"/>
      <c r="H227" s="269"/>
      <c r="I227" s="269"/>
      <c r="J227" s="269"/>
      <c r="K227" s="269"/>
      <c r="L227" s="269"/>
      <c r="M227" s="269"/>
      <c r="N227" s="269"/>
      <c r="O227" s="269"/>
      <c r="P227" s="269"/>
      <c r="Q227" s="269"/>
      <c r="R227" s="269"/>
      <c r="S227" s="269"/>
      <c r="T227" s="269"/>
    </row>
    <row r="228">
      <c r="A228" s="307"/>
      <c r="B228" s="294"/>
      <c r="C228" s="293"/>
      <c r="D228" s="293"/>
      <c r="E228" s="293"/>
      <c r="F228" s="293"/>
      <c r="G228" s="269"/>
      <c r="H228" s="269"/>
      <c r="I228" s="269"/>
      <c r="J228" s="269"/>
      <c r="K228" s="269"/>
      <c r="L228" s="269"/>
      <c r="M228" s="269"/>
      <c r="N228" s="269"/>
      <c r="O228" s="269"/>
      <c r="P228" s="269"/>
      <c r="Q228" s="269"/>
      <c r="R228" s="269"/>
      <c r="S228" s="269"/>
      <c r="T228" s="269"/>
    </row>
    <row r="229">
      <c r="A229" s="307"/>
      <c r="B229" s="294"/>
      <c r="C229" s="293"/>
      <c r="D229" s="293"/>
      <c r="E229" s="293"/>
      <c r="F229" s="293"/>
      <c r="G229" s="269"/>
      <c r="H229" s="269"/>
      <c r="I229" s="269"/>
      <c r="J229" s="269"/>
      <c r="K229" s="269"/>
      <c r="L229" s="269"/>
      <c r="M229" s="269"/>
      <c r="N229" s="269"/>
      <c r="O229" s="269"/>
      <c r="P229" s="269"/>
      <c r="Q229" s="269"/>
      <c r="R229" s="269"/>
      <c r="S229" s="269"/>
      <c r="T229" s="269"/>
    </row>
    <row r="230">
      <c r="A230" s="307"/>
      <c r="B230" s="294"/>
      <c r="C230" s="293"/>
      <c r="D230" s="293"/>
      <c r="E230" s="293"/>
      <c r="F230" s="293"/>
      <c r="G230" s="269"/>
      <c r="H230" s="269"/>
      <c r="I230" s="269"/>
      <c r="J230" s="269"/>
      <c r="K230" s="269"/>
      <c r="L230" s="269"/>
      <c r="M230" s="269"/>
      <c r="N230" s="269"/>
      <c r="O230" s="269"/>
      <c r="P230" s="269"/>
      <c r="Q230" s="269"/>
      <c r="R230" s="269"/>
      <c r="S230" s="269"/>
      <c r="T230" s="269"/>
    </row>
    <row r="231">
      <c r="A231" s="307"/>
      <c r="B231" s="293"/>
      <c r="C231" s="293"/>
      <c r="D231" s="294"/>
      <c r="E231" s="293"/>
      <c r="F231" s="294"/>
      <c r="G231" s="269"/>
      <c r="H231" s="269"/>
      <c r="I231" s="269"/>
      <c r="J231" s="269"/>
      <c r="K231" s="269"/>
      <c r="L231" s="269"/>
      <c r="M231" s="269"/>
      <c r="N231" s="269"/>
      <c r="O231" s="269"/>
      <c r="P231" s="269"/>
      <c r="Q231" s="269"/>
      <c r="R231" s="269"/>
      <c r="S231" s="269"/>
      <c r="T231" s="269"/>
    </row>
    <row r="232">
      <c r="A232" s="307"/>
      <c r="B232" s="296"/>
      <c r="C232" s="296"/>
      <c r="D232" s="296"/>
      <c r="E232" s="296"/>
      <c r="F232" s="296"/>
      <c r="G232" s="269"/>
      <c r="H232" s="269"/>
      <c r="I232" s="269"/>
      <c r="J232" s="269"/>
      <c r="K232" s="269"/>
      <c r="L232" s="269"/>
      <c r="M232" s="269"/>
      <c r="N232" s="269"/>
      <c r="O232" s="269"/>
      <c r="P232" s="269"/>
      <c r="Q232" s="269"/>
      <c r="R232" s="269"/>
      <c r="S232" s="269"/>
      <c r="T232" s="269"/>
    </row>
    <row r="233">
      <c r="A233" s="307"/>
      <c r="B233" s="287">
        <v>22.0</v>
      </c>
      <c r="C233" s="288">
        <v>23.0</v>
      </c>
      <c r="D233" s="288">
        <v>24.0</v>
      </c>
      <c r="E233" s="288">
        <v>25.0</v>
      </c>
      <c r="F233" s="288">
        <v>26.0</v>
      </c>
      <c r="G233" s="269"/>
      <c r="H233" s="269"/>
      <c r="I233" s="269"/>
      <c r="J233" s="269"/>
      <c r="K233" s="269"/>
      <c r="L233" s="269"/>
      <c r="M233" s="269"/>
      <c r="N233" s="269"/>
      <c r="O233" s="269"/>
      <c r="P233" s="269"/>
      <c r="Q233" s="269"/>
      <c r="R233" s="269"/>
      <c r="S233" s="269"/>
      <c r="T233" s="269"/>
    </row>
    <row r="234">
      <c r="A234" s="307"/>
      <c r="B234" s="312" t="s">
        <v>918</v>
      </c>
      <c r="C234" s="313" t="s">
        <v>918</v>
      </c>
      <c r="D234" s="313" t="s">
        <v>918</v>
      </c>
      <c r="E234" s="313" t="s">
        <v>918</v>
      </c>
      <c r="F234" s="313" t="s">
        <v>918</v>
      </c>
      <c r="G234" s="269"/>
      <c r="H234" s="269"/>
      <c r="I234" s="269"/>
      <c r="J234" s="269"/>
      <c r="K234" s="269"/>
      <c r="L234" s="269"/>
      <c r="M234" s="269"/>
      <c r="N234" s="269"/>
      <c r="O234" s="269"/>
      <c r="P234" s="269"/>
      <c r="Q234" s="269"/>
      <c r="R234" s="269"/>
      <c r="S234" s="269"/>
      <c r="T234" s="269"/>
    </row>
    <row r="235">
      <c r="A235" s="307"/>
      <c r="B235" s="293"/>
      <c r="C235" s="293"/>
      <c r="D235" s="293"/>
      <c r="E235" s="293"/>
      <c r="F235" s="293"/>
      <c r="G235" s="269"/>
      <c r="H235" s="269"/>
      <c r="I235" s="269"/>
      <c r="J235" s="269"/>
      <c r="K235" s="269"/>
      <c r="L235" s="269"/>
      <c r="M235" s="269"/>
      <c r="N235" s="269"/>
      <c r="O235" s="269"/>
      <c r="P235" s="269"/>
      <c r="Q235" s="269"/>
      <c r="R235" s="269"/>
      <c r="S235" s="269"/>
      <c r="T235" s="269"/>
    </row>
    <row r="236">
      <c r="A236" s="307"/>
      <c r="B236" s="293"/>
      <c r="C236" s="293"/>
      <c r="D236" s="293"/>
      <c r="E236" s="293"/>
      <c r="F236" s="293"/>
      <c r="G236" s="269"/>
      <c r="H236" s="269"/>
      <c r="I236" s="269"/>
      <c r="J236" s="269"/>
      <c r="K236" s="269"/>
      <c r="L236" s="269"/>
      <c r="M236" s="269"/>
      <c r="N236" s="269"/>
      <c r="O236" s="269"/>
      <c r="P236" s="269"/>
      <c r="Q236" s="269"/>
      <c r="R236" s="269"/>
      <c r="S236" s="269"/>
      <c r="T236" s="269"/>
    </row>
    <row r="237">
      <c r="A237" s="307"/>
      <c r="B237" s="293"/>
      <c r="C237" s="293"/>
      <c r="D237" s="293"/>
      <c r="E237" s="293"/>
      <c r="F237" s="293"/>
      <c r="G237" s="269"/>
      <c r="H237" s="269"/>
      <c r="I237" s="269"/>
      <c r="J237" s="269"/>
      <c r="K237" s="269"/>
      <c r="L237" s="269"/>
      <c r="M237" s="269"/>
      <c r="N237" s="269"/>
      <c r="O237" s="269"/>
      <c r="P237" s="269"/>
      <c r="Q237" s="269"/>
      <c r="R237" s="269"/>
      <c r="S237" s="269"/>
      <c r="T237" s="269"/>
    </row>
    <row r="238">
      <c r="A238" s="307"/>
      <c r="B238" s="293"/>
      <c r="C238" s="293"/>
      <c r="D238" s="293"/>
      <c r="E238" s="293"/>
      <c r="F238" s="293"/>
      <c r="G238" s="269"/>
      <c r="H238" s="269"/>
      <c r="I238" s="269"/>
      <c r="J238" s="269"/>
      <c r="K238" s="269"/>
      <c r="L238" s="269"/>
      <c r="M238" s="269"/>
      <c r="N238" s="269"/>
      <c r="O238" s="269"/>
      <c r="P238" s="269"/>
      <c r="Q238" s="269"/>
      <c r="R238" s="269"/>
      <c r="S238" s="269"/>
      <c r="T238" s="269"/>
    </row>
    <row r="239">
      <c r="A239" s="307"/>
      <c r="B239" s="293"/>
      <c r="C239" s="293"/>
      <c r="D239" s="293"/>
      <c r="E239" s="293"/>
      <c r="F239" s="293"/>
      <c r="G239" s="269"/>
      <c r="H239" s="269"/>
      <c r="I239" s="269"/>
      <c r="J239" s="269"/>
      <c r="K239" s="269"/>
      <c r="L239" s="269"/>
      <c r="M239" s="269"/>
      <c r="N239" s="269"/>
      <c r="O239" s="269"/>
      <c r="P239" s="269"/>
      <c r="Q239" s="269"/>
      <c r="R239" s="269"/>
      <c r="S239" s="269"/>
      <c r="T239" s="269"/>
    </row>
    <row r="240">
      <c r="A240" s="307"/>
      <c r="B240" s="293"/>
      <c r="C240" s="293"/>
      <c r="D240" s="293"/>
      <c r="E240" s="293"/>
      <c r="F240" s="294"/>
      <c r="G240" s="269"/>
      <c r="H240" s="269"/>
      <c r="I240" s="269"/>
      <c r="J240" s="269"/>
      <c r="K240" s="269"/>
      <c r="L240" s="269"/>
      <c r="M240" s="269"/>
      <c r="N240" s="269"/>
      <c r="O240" s="269"/>
      <c r="P240" s="269"/>
      <c r="Q240" s="269"/>
      <c r="R240" s="269"/>
      <c r="S240" s="269"/>
      <c r="T240" s="269"/>
    </row>
    <row r="241">
      <c r="A241" s="307"/>
      <c r="B241" s="294"/>
      <c r="C241" s="293"/>
      <c r="D241" s="293"/>
      <c r="E241" s="294"/>
      <c r="F241" s="294"/>
      <c r="G241" s="269"/>
      <c r="H241" s="269"/>
      <c r="I241" s="269"/>
      <c r="J241" s="269"/>
      <c r="K241" s="269"/>
      <c r="L241" s="269"/>
      <c r="M241" s="269"/>
      <c r="N241" s="269"/>
      <c r="O241" s="269"/>
      <c r="P241" s="269"/>
      <c r="Q241" s="269"/>
      <c r="R241" s="269"/>
      <c r="S241" s="269"/>
      <c r="T241" s="269"/>
    </row>
    <row r="242">
      <c r="A242" s="307"/>
      <c r="B242" s="294"/>
      <c r="C242" s="293"/>
      <c r="D242" s="293"/>
      <c r="E242" s="294"/>
      <c r="F242" s="294"/>
      <c r="G242" s="269"/>
      <c r="H242" s="269"/>
      <c r="I242" s="269"/>
      <c r="J242" s="269"/>
      <c r="K242" s="269"/>
      <c r="L242" s="269"/>
      <c r="M242" s="269"/>
      <c r="N242" s="269"/>
      <c r="O242" s="269"/>
      <c r="P242" s="269"/>
      <c r="Q242" s="269"/>
      <c r="R242" s="269"/>
      <c r="S242" s="269"/>
      <c r="T242" s="269"/>
    </row>
    <row r="243">
      <c r="A243" s="307"/>
      <c r="B243" s="296"/>
      <c r="C243" s="297"/>
      <c r="D243" s="296"/>
      <c r="E243" s="296"/>
      <c r="F243" s="296"/>
      <c r="G243" s="269"/>
      <c r="H243" s="269"/>
      <c r="I243" s="269"/>
      <c r="J243" s="269"/>
      <c r="K243" s="269"/>
      <c r="L243" s="269"/>
      <c r="M243" s="269"/>
      <c r="N243" s="269"/>
      <c r="O243" s="269"/>
      <c r="P243" s="269"/>
      <c r="Q243" s="269"/>
      <c r="R243" s="269"/>
      <c r="S243" s="269"/>
      <c r="T243" s="269"/>
    </row>
    <row r="244">
      <c r="A244" s="307"/>
      <c r="B244" s="287">
        <v>29.0</v>
      </c>
      <c r="C244" s="288">
        <v>30.0</v>
      </c>
      <c r="D244" s="288"/>
      <c r="E244" s="298"/>
      <c r="F244" s="298"/>
      <c r="G244" s="269"/>
      <c r="H244" s="269"/>
      <c r="I244" s="269"/>
      <c r="J244" s="269"/>
      <c r="K244" s="269"/>
      <c r="L244" s="269"/>
      <c r="M244" s="269"/>
      <c r="N244" s="269"/>
      <c r="O244" s="269"/>
      <c r="P244" s="269"/>
      <c r="Q244" s="269"/>
      <c r="R244" s="269"/>
      <c r="S244" s="269"/>
      <c r="T244" s="269"/>
    </row>
    <row r="245">
      <c r="A245" s="307"/>
      <c r="B245" s="291"/>
      <c r="C245" s="291"/>
      <c r="D245" s="299"/>
      <c r="E245" s="299"/>
      <c r="F245" s="299"/>
      <c r="G245" s="269"/>
      <c r="H245" s="269"/>
      <c r="I245" s="269"/>
      <c r="J245" s="269"/>
      <c r="K245" s="269"/>
      <c r="L245" s="269"/>
      <c r="M245" s="269"/>
      <c r="N245" s="269"/>
      <c r="O245" s="269"/>
      <c r="P245" s="269"/>
      <c r="Q245" s="269"/>
      <c r="R245" s="269"/>
      <c r="S245" s="269"/>
      <c r="T245" s="269"/>
    </row>
    <row r="246">
      <c r="A246" s="307"/>
      <c r="B246" s="293"/>
      <c r="C246" s="293"/>
      <c r="D246" s="292"/>
      <c r="E246" s="292"/>
      <c r="F246" s="292"/>
      <c r="G246" s="269"/>
      <c r="H246" s="269"/>
      <c r="I246" s="269"/>
      <c r="J246" s="269"/>
      <c r="K246" s="269"/>
      <c r="L246" s="269"/>
      <c r="M246" s="269"/>
      <c r="N246" s="269"/>
      <c r="O246" s="269"/>
      <c r="P246" s="269"/>
      <c r="Q246" s="269"/>
      <c r="R246" s="269"/>
      <c r="S246" s="269"/>
      <c r="T246" s="269"/>
    </row>
    <row r="247">
      <c r="A247" s="307"/>
      <c r="B247" s="293"/>
      <c r="C247" s="293"/>
      <c r="D247" s="292"/>
      <c r="E247" s="292"/>
      <c r="F247" s="292"/>
      <c r="G247" s="269"/>
      <c r="H247" s="269"/>
      <c r="I247" s="269"/>
      <c r="J247" s="269"/>
      <c r="K247" s="269"/>
      <c r="L247" s="269"/>
      <c r="M247" s="269"/>
      <c r="N247" s="269"/>
      <c r="O247" s="269"/>
      <c r="P247" s="269"/>
      <c r="Q247" s="269"/>
      <c r="R247" s="269"/>
      <c r="S247" s="269"/>
      <c r="T247" s="269"/>
    </row>
    <row r="248">
      <c r="A248" s="307"/>
      <c r="B248" s="293"/>
      <c r="C248" s="293"/>
      <c r="D248" s="292"/>
      <c r="E248" s="292"/>
      <c r="F248" s="292"/>
      <c r="G248" s="269"/>
      <c r="H248" s="269"/>
      <c r="I248" s="269"/>
      <c r="J248" s="269"/>
      <c r="K248" s="269"/>
      <c r="L248" s="269"/>
      <c r="M248" s="269"/>
      <c r="N248" s="269"/>
      <c r="O248" s="269"/>
      <c r="P248" s="269"/>
      <c r="Q248" s="269"/>
      <c r="R248" s="269"/>
      <c r="S248" s="269"/>
      <c r="T248" s="269"/>
    </row>
    <row r="249">
      <c r="A249" s="307"/>
      <c r="B249" s="293"/>
      <c r="C249" s="293"/>
      <c r="D249" s="292"/>
      <c r="E249" s="292"/>
      <c r="F249" s="292"/>
      <c r="G249" s="269"/>
      <c r="H249" s="269"/>
      <c r="I249" s="269"/>
      <c r="J249" s="269"/>
      <c r="K249" s="269"/>
      <c r="L249" s="269"/>
      <c r="M249" s="269"/>
      <c r="N249" s="269"/>
      <c r="O249" s="269"/>
      <c r="P249" s="269"/>
      <c r="Q249" s="269"/>
      <c r="R249" s="269"/>
      <c r="S249" s="269"/>
      <c r="T249" s="269"/>
    </row>
    <row r="250">
      <c r="A250" s="307"/>
      <c r="B250" s="293"/>
      <c r="C250" s="293"/>
      <c r="D250" s="292"/>
      <c r="E250" s="292"/>
      <c r="F250" s="292"/>
      <c r="G250" s="269"/>
      <c r="H250" s="269"/>
      <c r="I250" s="269"/>
      <c r="J250" s="269"/>
      <c r="K250" s="269"/>
      <c r="L250" s="269"/>
      <c r="M250" s="269"/>
      <c r="N250" s="269"/>
      <c r="O250" s="269"/>
      <c r="P250" s="269"/>
      <c r="Q250" s="269"/>
      <c r="R250" s="269"/>
      <c r="S250" s="269"/>
      <c r="T250" s="269"/>
    </row>
    <row r="251">
      <c r="A251" s="307"/>
      <c r="B251" s="293"/>
      <c r="C251" s="293"/>
      <c r="D251" s="292"/>
      <c r="E251" s="292"/>
      <c r="F251" s="292"/>
      <c r="G251" s="269"/>
      <c r="H251" s="269"/>
      <c r="I251" s="269"/>
      <c r="J251" s="269"/>
      <c r="K251" s="269"/>
      <c r="L251" s="269"/>
      <c r="M251" s="269"/>
      <c r="N251" s="269"/>
      <c r="O251" s="269"/>
      <c r="P251" s="269"/>
      <c r="Q251" s="269"/>
      <c r="R251" s="269"/>
      <c r="S251" s="269"/>
      <c r="T251" s="269"/>
    </row>
    <row r="252">
      <c r="A252" s="307"/>
      <c r="B252" s="293"/>
      <c r="C252" s="293"/>
      <c r="D252" s="292"/>
      <c r="E252" s="292"/>
      <c r="F252" s="292"/>
      <c r="G252" s="269"/>
      <c r="H252" s="269"/>
      <c r="I252" s="269"/>
      <c r="J252" s="269"/>
      <c r="K252" s="269"/>
      <c r="L252" s="269"/>
      <c r="M252" s="269"/>
      <c r="N252" s="269"/>
      <c r="O252" s="269"/>
      <c r="P252" s="269"/>
      <c r="Q252" s="269"/>
      <c r="R252" s="269"/>
      <c r="S252" s="269"/>
      <c r="T252" s="269"/>
    </row>
    <row r="253">
      <c r="A253" s="307"/>
      <c r="B253" s="294"/>
      <c r="C253" s="294"/>
      <c r="D253" s="292"/>
      <c r="E253" s="292"/>
      <c r="F253" s="292"/>
      <c r="G253" s="269"/>
      <c r="H253" s="269"/>
      <c r="I253" s="269"/>
      <c r="J253" s="269"/>
      <c r="K253" s="269"/>
      <c r="L253" s="269"/>
      <c r="M253" s="269"/>
      <c r="N253" s="269"/>
      <c r="O253" s="269"/>
      <c r="P253" s="269"/>
      <c r="Q253" s="269"/>
      <c r="R253" s="269"/>
      <c r="S253" s="269"/>
      <c r="T253" s="269"/>
    </row>
    <row r="254">
      <c r="A254" s="307"/>
      <c r="B254" s="296"/>
      <c r="C254" s="296"/>
      <c r="D254" s="77"/>
      <c r="E254" s="77"/>
      <c r="F254" s="77"/>
      <c r="G254" s="269"/>
      <c r="H254" s="269"/>
      <c r="I254" s="269"/>
      <c r="J254" s="269"/>
      <c r="K254" s="269"/>
      <c r="L254" s="269"/>
      <c r="M254" s="269"/>
      <c r="N254" s="269"/>
      <c r="O254" s="269"/>
      <c r="P254" s="269"/>
      <c r="Q254" s="269"/>
      <c r="R254" s="269"/>
      <c r="S254" s="269"/>
      <c r="T254" s="269"/>
    </row>
    <row r="255">
      <c r="A255" s="307"/>
      <c r="B255" s="269"/>
      <c r="C255" s="269"/>
      <c r="D255" s="269"/>
      <c r="E255" s="269"/>
      <c r="F255" s="269"/>
      <c r="G255" s="269"/>
      <c r="H255" s="269"/>
      <c r="I255" s="269"/>
      <c r="J255" s="269"/>
      <c r="K255" s="269"/>
      <c r="L255" s="269"/>
      <c r="M255" s="269"/>
      <c r="N255" s="269"/>
      <c r="O255" s="269"/>
      <c r="P255" s="269"/>
      <c r="Q255" s="269"/>
      <c r="R255" s="269"/>
      <c r="S255" s="269"/>
      <c r="T255" s="269"/>
    </row>
    <row r="256">
      <c r="A256" s="307"/>
      <c r="B256" s="269"/>
      <c r="C256" s="269"/>
      <c r="D256" s="269"/>
      <c r="E256" s="269"/>
      <c r="F256" s="269"/>
      <c r="G256" s="269"/>
      <c r="H256" s="269"/>
      <c r="I256" s="269"/>
      <c r="J256" s="269"/>
      <c r="K256" s="269"/>
      <c r="L256" s="269"/>
      <c r="M256" s="269"/>
      <c r="N256" s="269"/>
      <c r="O256" s="269"/>
      <c r="P256" s="269"/>
      <c r="Q256" s="269"/>
      <c r="R256" s="269"/>
      <c r="S256" s="269"/>
      <c r="T256" s="269"/>
    </row>
    <row r="257">
      <c r="A257" s="307"/>
      <c r="B257" s="269"/>
      <c r="C257" s="269"/>
      <c r="D257" s="269"/>
      <c r="E257" s="269"/>
      <c r="F257" s="269"/>
      <c r="G257" s="269"/>
      <c r="H257" s="269"/>
      <c r="I257" s="269"/>
      <c r="J257" s="269"/>
      <c r="K257" s="269"/>
      <c r="L257" s="269"/>
      <c r="M257" s="269"/>
      <c r="N257" s="269"/>
      <c r="O257" s="269"/>
      <c r="P257" s="269"/>
      <c r="Q257" s="269"/>
      <c r="R257" s="269"/>
      <c r="S257" s="269"/>
      <c r="T257" s="269"/>
    </row>
    <row r="258">
      <c r="A258" s="307"/>
      <c r="B258" s="278" t="s">
        <v>919</v>
      </c>
      <c r="C258" s="279"/>
      <c r="D258" s="279"/>
      <c r="E258" s="279"/>
      <c r="F258" s="280"/>
      <c r="G258" s="269"/>
      <c r="H258" s="269"/>
      <c r="I258" s="269"/>
      <c r="J258" s="269"/>
      <c r="K258" s="269"/>
      <c r="L258" s="269"/>
      <c r="M258" s="269"/>
      <c r="N258" s="269"/>
      <c r="O258" s="269"/>
      <c r="P258" s="269"/>
      <c r="Q258" s="269"/>
      <c r="R258" s="269"/>
      <c r="S258" s="269"/>
      <c r="T258" s="269"/>
    </row>
    <row r="259">
      <c r="A259" s="307"/>
      <c r="B259" s="282"/>
      <c r="C259" s="283"/>
      <c r="D259" s="283"/>
      <c r="E259" s="283"/>
      <c r="F259" s="284"/>
      <c r="G259" s="269"/>
      <c r="H259" s="269"/>
      <c r="I259" s="269"/>
      <c r="J259" s="269"/>
      <c r="K259" s="269"/>
      <c r="L259" s="269"/>
      <c r="M259" s="269"/>
      <c r="N259" s="269"/>
      <c r="O259" s="269"/>
      <c r="P259" s="269"/>
      <c r="Q259" s="269"/>
      <c r="R259" s="269"/>
      <c r="S259" s="269"/>
      <c r="T259" s="269"/>
    </row>
    <row r="260">
      <c r="A260" s="307"/>
      <c r="B260" s="285" t="s">
        <v>901</v>
      </c>
      <c r="C260" s="286" t="s">
        <v>902</v>
      </c>
      <c r="D260" s="286" t="s">
        <v>903</v>
      </c>
      <c r="E260" s="286" t="s">
        <v>904</v>
      </c>
      <c r="F260" s="286" t="s">
        <v>905</v>
      </c>
      <c r="G260" s="269"/>
      <c r="H260" s="269"/>
      <c r="I260" s="269"/>
      <c r="J260" s="269"/>
      <c r="K260" s="269"/>
      <c r="L260" s="269"/>
      <c r="M260" s="269"/>
      <c r="N260" s="269"/>
      <c r="O260" s="269"/>
      <c r="P260" s="269"/>
      <c r="Q260" s="269"/>
      <c r="R260" s="269"/>
      <c r="S260" s="269"/>
      <c r="T260" s="269"/>
    </row>
    <row r="261">
      <c r="A261" s="307"/>
      <c r="B261" s="287"/>
      <c r="C261" s="288"/>
      <c r="D261" s="303">
        <v>1.0</v>
      </c>
      <c r="E261" s="303">
        <v>2.0</v>
      </c>
      <c r="F261" s="303">
        <v>3.0</v>
      </c>
      <c r="G261" s="269"/>
      <c r="H261" s="269"/>
      <c r="I261" s="269"/>
      <c r="J261" s="269"/>
      <c r="K261" s="269"/>
      <c r="L261" s="269"/>
      <c r="M261" s="269"/>
      <c r="N261" s="269"/>
      <c r="O261" s="269"/>
      <c r="P261" s="269"/>
      <c r="Q261" s="269"/>
      <c r="R261" s="269"/>
      <c r="S261" s="269"/>
      <c r="T261" s="269"/>
    </row>
    <row r="262">
      <c r="A262" s="307"/>
      <c r="B262" s="299"/>
      <c r="C262" s="299"/>
      <c r="D262" s="290" t="s">
        <v>920</v>
      </c>
      <c r="E262" s="291"/>
      <c r="F262" s="291"/>
      <c r="G262" s="269"/>
      <c r="H262" s="269"/>
      <c r="I262" s="269"/>
      <c r="J262" s="269"/>
      <c r="K262" s="269"/>
      <c r="L262" s="269"/>
      <c r="M262" s="269"/>
      <c r="N262" s="269"/>
      <c r="O262" s="269"/>
      <c r="P262" s="269"/>
      <c r="Q262" s="269"/>
      <c r="R262" s="269"/>
      <c r="S262" s="269"/>
      <c r="T262" s="269"/>
    </row>
    <row r="263">
      <c r="A263" s="307"/>
      <c r="B263" s="292"/>
      <c r="C263" s="292"/>
      <c r="D263" s="292"/>
      <c r="E263" s="293"/>
      <c r="F263" s="293"/>
      <c r="G263" s="269"/>
      <c r="H263" s="269"/>
      <c r="I263" s="269"/>
      <c r="J263" s="269"/>
      <c r="K263" s="269"/>
      <c r="L263" s="269"/>
      <c r="M263" s="269"/>
      <c r="N263" s="269"/>
      <c r="O263" s="269"/>
      <c r="P263" s="269"/>
      <c r="Q263" s="269"/>
      <c r="R263" s="269"/>
      <c r="S263" s="269"/>
      <c r="T263" s="269"/>
    </row>
    <row r="264">
      <c r="A264" s="307"/>
      <c r="B264" s="292"/>
      <c r="C264" s="292"/>
      <c r="D264" s="292"/>
      <c r="E264" s="293"/>
      <c r="F264" s="293"/>
      <c r="G264" s="269"/>
      <c r="H264" s="269"/>
      <c r="I264" s="269"/>
      <c r="J264" s="269"/>
      <c r="K264" s="269"/>
      <c r="L264" s="269"/>
      <c r="M264" s="269"/>
      <c r="N264" s="269"/>
      <c r="O264" s="269"/>
      <c r="P264" s="269"/>
      <c r="Q264" s="269"/>
      <c r="R264" s="269"/>
      <c r="S264" s="269"/>
      <c r="T264" s="269"/>
    </row>
    <row r="265">
      <c r="A265" s="307"/>
      <c r="B265" s="292"/>
      <c r="C265" s="292"/>
      <c r="D265" s="292"/>
      <c r="E265" s="293"/>
      <c r="F265" s="293"/>
      <c r="G265" s="269"/>
      <c r="H265" s="269"/>
      <c r="I265" s="269"/>
      <c r="J265" s="269"/>
      <c r="K265" s="269"/>
      <c r="L265" s="269"/>
      <c r="M265" s="269"/>
      <c r="N265" s="269"/>
      <c r="O265" s="269"/>
      <c r="P265" s="269"/>
      <c r="Q265" s="269"/>
      <c r="R265" s="269"/>
      <c r="S265" s="269"/>
      <c r="T265" s="269"/>
    </row>
    <row r="266">
      <c r="A266" s="307"/>
      <c r="B266" s="292"/>
      <c r="C266" s="292"/>
      <c r="D266" s="292"/>
      <c r="E266" s="293"/>
      <c r="F266" s="293"/>
      <c r="G266" s="269"/>
      <c r="H266" s="269"/>
      <c r="I266" s="269"/>
      <c r="J266" s="269"/>
      <c r="K266" s="269"/>
      <c r="L266" s="269"/>
      <c r="M266" s="269"/>
      <c r="N266" s="269"/>
      <c r="O266" s="269"/>
      <c r="P266" s="269"/>
      <c r="Q266" s="269"/>
      <c r="R266" s="269"/>
      <c r="S266" s="269"/>
      <c r="T266" s="269"/>
    </row>
    <row r="267">
      <c r="A267" s="307"/>
      <c r="B267" s="292"/>
      <c r="C267" s="292"/>
      <c r="D267" s="292"/>
      <c r="E267" s="294"/>
      <c r="F267" s="294"/>
      <c r="G267" s="269"/>
      <c r="H267" s="269"/>
      <c r="I267" s="269"/>
      <c r="J267" s="269"/>
      <c r="K267" s="269"/>
      <c r="L267" s="269"/>
      <c r="M267" s="269"/>
      <c r="N267" s="269"/>
      <c r="O267" s="269"/>
      <c r="P267" s="269"/>
      <c r="Q267" s="269"/>
      <c r="R267" s="269"/>
      <c r="S267" s="269"/>
      <c r="T267" s="269"/>
    </row>
    <row r="268">
      <c r="A268" s="307"/>
      <c r="B268" s="292"/>
      <c r="C268" s="292"/>
      <c r="D268" s="292"/>
      <c r="E268" s="294"/>
      <c r="F268" s="294"/>
      <c r="G268" s="269"/>
      <c r="H268" s="269"/>
      <c r="I268" s="269"/>
      <c r="J268" s="269"/>
      <c r="K268" s="269"/>
      <c r="L268" s="269"/>
      <c r="M268" s="269"/>
      <c r="N268" s="269"/>
      <c r="O268" s="269"/>
      <c r="P268" s="269"/>
      <c r="Q268" s="269"/>
      <c r="R268" s="269"/>
      <c r="S268" s="269"/>
      <c r="T268" s="269"/>
    </row>
    <row r="269">
      <c r="A269" s="307"/>
      <c r="B269" s="292"/>
      <c r="C269" s="292"/>
      <c r="D269" s="292"/>
      <c r="E269" s="294"/>
      <c r="F269" s="294"/>
      <c r="G269" s="269"/>
      <c r="H269" s="269"/>
      <c r="I269" s="269"/>
      <c r="J269" s="269"/>
      <c r="K269" s="269"/>
      <c r="L269" s="269"/>
      <c r="M269" s="269"/>
      <c r="N269" s="269"/>
      <c r="O269" s="269"/>
      <c r="P269" s="269"/>
      <c r="Q269" s="269"/>
      <c r="R269" s="269"/>
      <c r="S269" s="269"/>
      <c r="T269" s="269"/>
    </row>
    <row r="270">
      <c r="A270" s="307"/>
      <c r="B270" s="292"/>
      <c r="C270" s="292"/>
      <c r="D270" s="292"/>
      <c r="E270" s="294"/>
      <c r="F270" s="294"/>
      <c r="G270" s="269"/>
      <c r="H270" s="269"/>
      <c r="I270" s="269"/>
      <c r="J270" s="269"/>
      <c r="K270" s="269"/>
      <c r="L270" s="269"/>
      <c r="M270" s="269"/>
      <c r="N270" s="269"/>
      <c r="O270" s="269"/>
      <c r="P270" s="269"/>
      <c r="Q270" s="269"/>
      <c r="R270" s="269"/>
      <c r="S270" s="269"/>
      <c r="T270" s="269"/>
    </row>
    <row r="271">
      <c r="A271" s="307"/>
      <c r="B271" s="77"/>
      <c r="C271" s="77"/>
      <c r="D271" s="77"/>
      <c r="E271" s="295"/>
      <c r="F271" s="295"/>
      <c r="G271" s="269"/>
      <c r="H271" s="269"/>
      <c r="I271" s="269"/>
      <c r="J271" s="269"/>
      <c r="K271" s="269"/>
      <c r="L271" s="269"/>
      <c r="M271" s="269"/>
      <c r="N271" s="269"/>
      <c r="O271" s="269"/>
      <c r="P271" s="269"/>
      <c r="Q271" s="269"/>
      <c r="R271" s="269"/>
      <c r="S271" s="269"/>
      <c r="T271" s="269"/>
    </row>
    <row r="272">
      <c r="A272" s="307"/>
      <c r="B272" s="304">
        <v>6.0</v>
      </c>
      <c r="C272" s="303">
        <v>7.0</v>
      </c>
      <c r="D272" s="303">
        <v>8.0</v>
      </c>
      <c r="E272" s="303">
        <v>9.0</v>
      </c>
      <c r="F272" s="303">
        <v>10.0</v>
      </c>
      <c r="G272" s="269"/>
      <c r="H272" s="269"/>
      <c r="I272" s="269"/>
      <c r="J272" s="269"/>
      <c r="K272" s="269"/>
      <c r="L272" s="269"/>
      <c r="M272" s="269"/>
      <c r="N272" s="269"/>
      <c r="O272" s="269"/>
      <c r="P272" s="269"/>
      <c r="Q272" s="269"/>
      <c r="R272" s="269"/>
      <c r="S272" s="269"/>
      <c r="T272" s="269"/>
    </row>
    <row r="273">
      <c r="A273" s="307"/>
      <c r="B273" s="309" t="s">
        <v>921</v>
      </c>
      <c r="C273" s="310" t="s">
        <v>921</v>
      </c>
      <c r="D273" s="310" t="s">
        <v>921</v>
      </c>
      <c r="E273" s="310" t="s">
        <v>921</v>
      </c>
      <c r="F273" s="310" t="s">
        <v>921</v>
      </c>
      <c r="G273" s="269"/>
      <c r="H273" s="269"/>
      <c r="I273" s="269"/>
      <c r="J273" s="269"/>
      <c r="K273" s="269"/>
      <c r="L273" s="269"/>
      <c r="M273" s="269"/>
      <c r="N273" s="269"/>
      <c r="O273" s="269"/>
      <c r="P273" s="269"/>
      <c r="Q273" s="269"/>
      <c r="R273" s="269"/>
      <c r="S273" s="269"/>
      <c r="T273" s="269"/>
    </row>
    <row r="274">
      <c r="A274" s="307"/>
      <c r="B274" s="314" t="s">
        <v>922</v>
      </c>
      <c r="C274" s="314" t="s">
        <v>922</v>
      </c>
      <c r="D274" s="314" t="s">
        <v>922</v>
      </c>
      <c r="E274" s="314" t="s">
        <v>922</v>
      </c>
      <c r="F274" s="314" t="s">
        <v>922</v>
      </c>
      <c r="G274" s="269"/>
      <c r="H274" s="269"/>
      <c r="I274" s="269"/>
      <c r="J274" s="269"/>
      <c r="K274" s="269"/>
      <c r="L274" s="269"/>
      <c r="M274" s="269"/>
      <c r="N274" s="269"/>
      <c r="O274" s="269"/>
      <c r="P274" s="269"/>
      <c r="Q274" s="269"/>
      <c r="R274" s="269"/>
      <c r="S274" s="269"/>
      <c r="T274" s="269"/>
    </row>
    <row r="275">
      <c r="A275" s="307"/>
      <c r="B275" s="293"/>
      <c r="C275" s="293"/>
      <c r="D275" s="293"/>
      <c r="E275" s="293"/>
      <c r="F275" s="293"/>
      <c r="G275" s="269"/>
      <c r="H275" s="269"/>
      <c r="I275" s="269"/>
      <c r="J275" s="269"/>
      <c r="K275" s="269"/>
      <c r="L275" s="269"/>
      <c r="M275" s="269"/>
      <c r="N275" s="269"/>
      <c r="O275" s="269"/>
      <c r="P275" s="269"/>
      <c r="Q275" s="269"/>
      <c r="R275" s="269"/>
      <c r="S275" s="269"/>
      <c r="T275" s="269"/>
    </row>
    <row r="276">
      <c r="A276" s="307"/>
      <c r="B276" s="293"/>
      <c r="C276" s="293"/>
      <c r="D276" s="293"/>
      <c r="E276" s="293"/>
      <c r="F276" s="293"/>
      <c r="G276" s="269"/>
      <c r="H276" s="269"/>
      <c r="I276" s="269"/>
      <c r="J276" s="269"/>
      <c r="K276" s="269"/>
      <c r="L276" s="269"/>
      <c r="M276" s="269"/>
      <c r="N276" s="269"/>
      <c r="O276" s="269"/>
      <c r="P276" s="269"/>
      <c r="Q276" s="269"/>
      <c r="R276" s="269"/>
      <c r="S276" s="269"/>
      <c r="T276" s="269"/>
    </row>
    <row r="277">
      <c r="A277" s="307"/>
      <c r="B277" s="293"/>
      <c r="C277" s="293"/>
      <c r="D277" s="293"/>
      <c r="E277" s="293"/>
      <c r="F277" s="293"/>
      <c r="G277" s="269"/>
      <c r="H277" s="269"/>
      <c r="I277" s="269"/>
      <c r="J277" s="269"/>
      <c r="K277" s="269"/>
      <c r="L277" s="269"/>
      <c r="M277" s="269"/>
      <c r="N277" s="269"/>
      <c r="O277" s="269"/>
      <c r="P277" s="269"/>
      <c r="Q277" s="269"/>
      <c r="R277" s="269"/>
      <c r="S277" s="269"/>
      <c r="T277" s="269"/>
    </row>
    <row r="278">
      <c r="A278" s="307"/>
      <c r="B278" s="293"/>
      <c r="C278" s="293"/>
      <c r="D278" s="293"/>
      <c r="E278" s="293"/>
      <c r="F278" s="293"/>
      <c r="G278" s="269"/>
      <c r="H278" s="269"/>
      <c r="I278" s="269"/>
      <c r="J278" s="269"/>
      <c r="K278" s="269"/>
      <c r="L278" s="269"/>
      <c r="M278" s="269"/>
      <c r="N278" s="269"/>
      <c r="O278" s="269"/>
      <c r="P278" s="269"/>
      <c r="Q278" s="269"/>
      <c r="R278" s="269"/>
      <c r="S278" s="269"/>
      <c r="T278" s="269"/>
    </row>
    <row r="279">
      <c r="A279" s="307"/>
      <c r="B279" s="293"/>
      <c r="C279" s="293"/>
      <c r="D279" s="293"/>
      <c r="E279" s="293"/>
      <c r="F279" s="294"/>
      <c r="G279" s="269"/>
      <c r="H279" s="269"/>
      <c r="I279" s="269"/>
      <c r="J279" s="269"/>
      <c r="K279" s="269"/>
      <c r="L279" s="269"/>
      <c r="M279" s="269"/>
      <c r="N279" s="269"/>
      <c r="O279" s="269"/>
      <c r="P279" s="269"/>
      <c r="Q279" s="269"/>
      <c r="R279" s="269"/>
      <c r="S279" s="269"/>
      <c r="T279" s="269"/>
    </row>
    <row r="280">
      <c r="A280" s="307"/>
      <c r="B280" s="293"/>
      <c r="C280" s="293"/>
      <c r="D280" s="293"/>
      <c r="E280" s="293"/>
      <c r="F280" s="294"/>
      <c r="G280" s="269"/>
      <c r="H280" s="269"/>
      <c r="I280" s="269"/>
      <c r="J280" s="269"/>
      <c r="K280" s="269"/>
      <c r="L280" s="269"/>
      <c r="M280" s="269"/>
      <c r="N280" s="269"/>
      <c r="O280" s="269"/>
      <c r="P280" s="269"/>
      <c r="Q280" s="269"/>
      <c r="R280" s="269"/>
      <c r="S280" s="269"/>
      <c r="T280" s="269"/>
    </row>
    <row r="281">
      <c r="A281" s="307"/>
      <c r="B281" s="294"/>
      <c r="C281" s="293"/>
      <c r="D281" s="294"/>
      <c r="E281" s="293"/>
      <c r="F281" s="294"/>
      <c r="G281" s="269"/>
      <c r="H281" s="269"/>
      <c r="I281" s="269"/>
      <c r="J281" s="269"/>
      <c r="K281" s="269"/>
      <c r="L281" s="269"/>
      <c r="M281" s="269"/>
      <c r="N281" s="269"/>
      <c r="O281" s="269"/>
      <c r="P281" s="269"/>
      <c r="Q281" s="269"/>
      <c r="R281" s="269"/>
      <c r="S281" s="269"/>
      <c r="T281" s="269"/>
    </row>
    <row r="282">
      <c r="A282" s="307"/>
      <c r="B282" s="296"/>
      <c r="C282" s="297"/>
      <c r="D282" s="296"/>
      <c r="E282" s="293"/>
      <c r="F282" s="296"/>
      <c r="G282" s="269"/>
      <c r="H282" s="269"/>
      <c r="I282" s="269"/>
      <c r="J282" s="269"/>
      <c r="K282" s="269"/>
      <c r="L282" s="269"/>
      <c r="M282" s="269"/>
      <c r="N282" s="269"/>
      <c r="O282" s="269"/>
      <c r="P282" s="269"/>
      <c r="Q282" s="269"/>
      <c r="R282" s="269"/>
      <c r="S282" s="269"/>
      <c r="T282" s="269"/>
    </row>
    <row r="283">
      <c r="A283" s="307"/>
      <c r="B283" s="304">
        <v>13.0</v>
      </c>
      <c r="C283" s="303">
        <v>14.0</v>
      </c>
      <c r="D283" s="303">
        <v>15.0</v>
      </c>
      <c r="E283" s="303">
        <v>16.0</v>
      </c>
      <c r="F283" s="303">
        <v>17.0</v>
      </c>
      <c r="G283" s="269"/>
      <c r="H283" s="269"/>
      <c r="I283" s="269"/>
      <c r="J283" s="269"/>
      <c r="K283" s="269"/>
      <c r="L283" s="269"/>
      <c r="M283" s="269"/>
      <c r="N283" s="269"/>
      <c r="O283" s="269"/>
      <c r="P283" s="269"/>
      <c r="Q283" s="269"/>
      <c r="R283" s="269"/>
      <c r="S283" s="269"/>
      <c r="T283" s="269"/>
    </row>
    <row r="284">
      <c r="A284" s="307"/>
      <c r="B284" s="315" t="s">
        <v>923</v>
      </c>
      <c r="C284" s="315" t="s">
        <v>923</v>
      </c>
      <c r="D284" s="315" t="s">
        <v>923</v>
      </c>
      <c r="E284" s="315" t="s">
        <v>923</v>
      </c>
      <c r="F284" s="315" t="s">
        <v>923</v>
      </c>
      <c r="G284" s="269"/>
      <c r="H284" s="269"/>
      <c r="I284" s="269"/>
      <c r="J284" s="269"/>
      <c r="K284" s="269"/>
      <c r="L284" s="269"/>
      <c r="M284" s="269"/>
      <c r="N284" s="269"/>
      <c r="O284" s="269"/>
      <c r="P284" s="269"/>
      <c r="Q284" s="269"/>
      <c r="R284" s="269"/>
      <c r="S284" s="269"/>
      <c r="T284" s="269"/>
    </row>
    <row r="285">
      <c r="A285" s="307"/>
      <c r="B285" s="314" t="s">
        <v>924</v>
      </c>
      <c r="C285" s="314" t="s">
        <v>924</v>
      </c>
      <c r="D285" s="314" t="s">
        <v>924</v>
      </c>
      <c r="E285" s="314" t="s">
        <v>924</v>
      </c>
      <c r="F285" s="314" t="s">
        <v>924</v>
      </c>
      <c r="G285" s="269"/>
      <c r="H285" s="269"/>
      <c r="I285" s="269"/>
      <c r="J285" s="269"/>
      <c r="K285" s="269"/>
      <c r="L285" s="269"/>
      <c r="M285" s="269"/>
      <c r="N285" s="269"/>
      <c r="O285" s="269"/>
      <c r="P285" s="269"/>
      <c r="Q285" s="269"/>
      <c r="R285" s="269"/>
      <c r="S285" s="269"/>
      <c r="T285" s="269"/>
    </row>
    <row r="286">
      <c r="A286" s="307"/>
      <c r="B286" s="293"/>
      <c r="C286" s="293"/>
      <c r="D286" s="293"/>
      <c r="E286" s="293"/>
      <c r="F286" s="316" t="s">
        <v>925</v>
      </c>
      <c r="G286" s="269"/>
      <c r="H286" s="269"/>
      <c r="I286" s="269"/>
      <c r="J286" s="269"/>
      <c r="K286" s="269"/>
      <c r="L286" s="269"/>
      <c r="M286" s="269"/>
      <c r="N286" s="269"/>
      <c r="O286" s="269"/>
      <c r="P286" s="269"/>
      <c r="Q286" s="269"/>
      <c r="R286" s="269"/>
      <c r="S286" s="269"/>
      <c r="T286" s="269"/>
    </row>
    <row r="287">
      <c r="A287" s="307"/>
      <c r="B287" s="293"/>
      <c r="C287" s="293"/>
      <c r="D287" s="293"/>
      <c r="E287" s="293"/>
      <c r="F287" s="293"/>
      <c r="G287" s="269"/>
      <c r="H287" s="269"/>
      <c r="I287" s="269"/>
      <c r="J287" s="269"/>
      <c r="K287" s="269"/>
      <c r="L287" s="269"/>
      <c r="M287" s="269"/>
      <c r="N287" s="269"/>
      <c r="O287" s="269"/>
      <c r="P287" s="269"/>
      <c r="Q287" s="269"/>
      <c r="R287" s="269"/>
      <c r="S287" s="269"/>
      <c r="T287" s="269"/>
    </row>
    <row r="288">
      <c r="A288" s="307"/>
      <c r="B288" s="294"/>
      <c r="C288" s="293"/>
      <c r="D288" s="293"/>
      <c r="E288" s="293"/>
      <c r="F288" s="293"/>
      <c r="G288" s="269"/>
      <c r="H288" s="269"/>
      <c r="I288" s="269"/>
      <c r="J288" s="269"/>
      <c r="K288" s="269"/>
      <c r="L288" s="269"/>
      <c r="M288" s="269"/>
      <c r="N288" s="269"/>
      <c r="O288" s="269"/>
      <c r="P288" s="269"/>
      <c r="Q288" s="269"/>
      <c r="R288" s="269"/>
      <c r="S288" s="269"/>
      <c r="T288" s="269"/>
    </row>
    <row r="289">
      <c r="A289" s="307"/>
      <c r="B289" s="294"/>
      <c r="C289" s="293"/>
      <c r="D289" s="293"/>
      <c r="E289" s="293"/>
      <c r="F289" s="293"/>
      <c r="G289" s="269"/>
      <c r="H289" s="269"/>
      <c r="I289" s="269"/>
      <c r="J289" s="269"/>
      <c r="K289" s="269"/>
      <c r="L289" s="269"/>
      <c r="M289" s="269"/>
      <c r="N289" s="269"/>
      <c r="O289" s="269"/>
      <c r="P289" s="269"/>
      <c r="Q289" s="269"/>
      <c r="R289" s="269"/>
      <c r="S289" s="269"/>
      <c r="T289" s="269"/>
    </row>
    <row r="290">
      <c r="A290" s="307"/>
      <c r="B290" s="294"/>
      <c r="C290" s="293"/>
      <c r="D290" s="293"/>
      <c r="E290" s="293"/>
      <c r="F290" s="293"/>
      <c r="G290" s="269"/>
      <c r="H290" s="269"/>
      <c r="I290" s="269"/>
      <c r="J290" s="269"/>
      <c r="K290" s="269"/>
      <c r="L290" s="269"/>
      <c r="M290" s="269"/>
      <c r="N290" s="269"/>
      <c r="O290" s="269"/>
      <c r="P290" s="269"/>
      <c r="Q290" s="269"/>
      <c r="R290" s="269"/>
      <c r="S290" s="269"/>
      <c r="T290" s="269"/>
    </row>
    <row r="291">
      <c r="A291" s="307"/>
      <c r="B291" s="293"/>
      <c r="C291" s="293"/>
      <c r="D291" s="294"/>
      <c r="E291" s="293"/>
      <c r="F291" s="294"/>
      <c r="G291" s="269"/>
      <c r="H291" s="269"/>
      <c r="I291" s="269"/>
      <c r="J291" s="269"/>
      <c r="K291" s="269"/>
      <c r="L291" s="269"/>
      <c r="M291" s="269"/>
      <c r="N291" s="269"/>
      <c r="O291" s="269"/>
      <c r="P291" s="269"/>
      <c r="Q291" s="269"/>
      <c r="R291" s="269"/>
      <c r="S291" s="269"/>
      <c r="T291" s="269"/>
    </row>
    <row r="292">
      <c r="A292" s="307"/>
      <c r="B292" s="296"/>
      <c r="C292" s="296"/>
      <c r="D292" s="296"/>
      <c r="E292" s="296"/>
      <c r="F292" s="296"/>
      <c r="G292" s="269"/>
      <c r="H292" s="269"/>
      <c r="I292" s="269"/>
      <c r="J292" s="269"/>
      <c r="K292" s="269"/>
      <c r="L292" s="269"/>
      <c r="M292" s="269"/>
      <c r="N292" s="269"/>
      <c r="O292" s="269"/>
      <c r="P292" s="269"/>
      <c r="Q292" s="269"/>
      <c r="R292" s="269"/>
      <c r="S292" s="269"/>
      <c r="T292" s="269"/>
    </row>
    <row r="293">
      <c r="A293" s="307"/>
      <c r="B293" s="304">
        <v>20.0</v>
      </c>
      <c r="C293" s="303">
        <v>21.0</v>
      </c>
      <c r="D293" s="303">
        <v>22.0</v>
      </c>
      <c r="E293" s="303">
        <v>23.0</v>
      </c>
      <c r="F293" s="303">
        <v>24.0</v>
      </c>
      <c r="G293" s="269"/>
      <c r="H293" s="269"/>
      <c r="I293" s="269"/>
      <c r="J293" s="269"/>
      <c r="K293" s="269"/>
      <c r="L293" s="269"/>
      <c r="M293" s="269"/>
      <c r="N293" s="269"/>
      <c r="O293" s="269"/>
      <c r="P293" s="269"/>
      <c r="Q293" s="269"/>
      <c r="R293" s="269"/>
      <c r="S293" s="269"/>
      <c r="T293" s="269"/>
    </row>
    <row r="294">
      <c r="A294" s="307"/>
      <c r="B294" s="317" t="s">
        <v>926</v>
      </c>
      <c r="C294" s="317" t="s">
        <v>926</v>
      </c>
      <c r="D294" s="317" t="s">
        <v>926</v>
      </c>
      <c r="E294" s="317" t="s">
        <v>926</v>
      </c>
      <c r="F294" s="317" t="s">
        <v>926</v>
      </c>
      <c r="G294" s="269"/>
      <c r="H294" s="269"/>
      <c r="I294" s="269"/>
      <c r="J294" s="269"/>
      <c r="K294" s="269"/>
      <c r="L294" s="269"/>
      <c r="M294" s="269"/>
      <c r="N294" s="269"/>
      <c r="O294" s="269"/>
      <c r="P294" s="269"/>
      <c r="Q294" s="269"/>
      <c r="R294" s="269"/>
      <c r="S294" s="269"/>
      <c r="T294" s="269"/>
    </row>
    <row r="295">
      <c r="A295" s="307"/>
      <c r="B295" s="318" t="s">
        <v>927</v>
      </c>
      <c r="C295" s="318" t="s">
        <v>927</v>
      </c>
      <c r="D295" s="318" t="s">
        <v>927</v>
      </c>
      <c r="E295" s="318" t="s">
        <v>927</v>
      </c>
      <c r="F295" s="318" t="s">
        <v>927</v>
      </c>
      <c r="G295" s="269"/>
      <c r="H295" s="269"/>
      <c r="I295" s="269"/>
      <c r="J295" s="269"/>
      <c r="K295" s="269"/>
      <c r="L295" s="269"/>
      <c r="M295" s="269"/>
      <c r="N295" s="269"/>
      <c r="O295" s="269"/>
      <c r="P295" s="269"/>
      <c r="Q295" s="269"/>
      <c r="R295" s="269"/>
      <c r="S295" s="269"/>
      <c r="T295" s="269"/>
    </row>
    <row r="296">
      <c r="A296" s="307"/>
      <c r="B296" s="319" t="s">
        <v>928</v>
      </c>
      <c r="C296" s="319" t="s">
        <v>928</v>
      </c>
      <c r="D296" s="319" t="s">
        <v>928</v>
      </c>
      <c r="E296" s="319" t="s">
        <v>928</v>
      </c>
      <c r="F296" s="319" t="s">
        <v>928</v>
      </c>
      <c r="G296" s="269"/>
      <c r="H296" s="269"/>
      <c r="I296" s="269"/>
      <c r="J296" s="269"/>
      <c r="K296" s="269"/>
      <c r="L296" s="269"/>
      <c r="M296" s="269"/>
      <c r="N296" s="269"/>
      <c r="O296" s="269"/>
      <c r="P296" s="269"/>
      <c r="Q296" s="269"/>
      <c r="R296" s="269"/>
      <c r="S296" s="269"/>
      <c r="T296" s="269"/>
    </row>
    <row r="297">
      <c r="A297" s="307"/>
      <c r="B297" s="320"/>
      <c r="C297" s="320"/>
      <c r="D297" s="320"/>
      <c r="E297" s="320"/>
      <c r="F297" s="320"/>
      <c r="G297" s="269"/>
      <c r="H297" s="269"/>
      <c r="I297" s="269"/>
      <c r="J297" s="269"/>
      <c r="K297" s="269"/>
      <c r="L297" s="269"/>
      <c r="M297" s="269"/>
      <c r="N297" s="269"/>
      <c r="O297" s="269"/>
      <c r="P297" s="269"/>
      <c r="Q297" s="269"/>
      <c r="R297" s="269"/>
      <c r="S297" s="269"/>
      <c r="T297" s="269"/>
    </row>
    <row r="298">
      <c r="A298" s="307"/>
      <c r="B298" s="321"/>
      <c r="C298" s="321"/>
      <c r="D298" s="321"/>
      <c r="E298" s="321"/>
      <c r="F298" s="321"/>
      <c r="G298" s="269"/>
      <c r="H298" s="269"/>
      <c r="I298" s="269"/>
      <c r="J298" s="269"/>
      <c r="K298" s="269"/>
      <c r="L298" s="269"/>
      <c r="M298" s="269"/>
      <c r="N298" s="269"/>
      <c r="O298" s="269"/>
      <c r="P298" s="269"/>
      <c r="Q298" s="269"/>
      <c r="R298" s="269"/>
      <c r="S298" s="269"/>
      <c r="T298" s="269"/>
    </row>
    <row r="299">
      <c r="A299" s="307"/>
      <c r="B299" s="293"/>
      <c r="C299" s="293"/>
      <c r="D299" s="293"/>
      <c r="E299" s="293"/>
      <c r="F299" s="293"/>
      <c r="G299" s="269"/>
      <c r="H299" s="269"/>
      <c r="I299" s="269"/>
      <c r="J299" s="269"/>
      <c r="K299" s="269"/>
      <c r="L299" s="269"/>
      <c r="M299" s="269"/>
      <c r="N299" s="269"/>
      <c r="O299" s="269"/>
      <c r="P299" s="269"/>
      <c r="Q299" s="269"/>
      <c r="R299" s="269"/>
      <c r="S299" s="269"/>
      <c r="T299" s="269"/>
    </row>
    <row r="300">
      <c r="A300" s="307"/>
      <c r="B300" s="293"/>
      <c r="C300" s="293"/>
      <c r="D300" s="293"/>
      <c r="E300" s="293"/>
      <c r="F300" s="294"/>
      <c r="G300" s="269"/>
      <c r="H300" s="269"/>
      <c r="I300" s="269"/>
      <c r="J300" s="269"/>
      <c r="K300" s="269"/>
      <c r="L300" s="269"/>
      <c r="M300" s="269"/>
      <c r="N300" s="269"/>
      <c r="O300" s="269"/>
      <c r="P300" s="269"/>
      <c r="Q300" s="269"/>
      <c r="R300" s="269"/>
      <c r="S300" s="269"/>
      <c r="T300" s="269"/>
    </row>
    <row r="301">
      <c r="A301" s="307"/>
      <c r="B301" s="294"/>
      <c r="C301" s="293"/>
      <c r="D301" s="293"/>
      <c r="E301" s="294"/>
      <c r="F301" s="294"/>
      <c r="G301" s="269"/>
      <c r="H301" s="269"/>
      <c r="I301" s="269"/>
      <c r="J301" s="269"/>
      <c r="K301" s="269"/>
      <c r="L301" s="269"/>
      <c r="M301" s="269"/>
      <c r="N301" s="269"/>
      <c r="O301" s="269"/>
      <c r="P301" s="269"/>
      <c r="Q301" s="269"/>
      <c r="R301" s="269"/>
      <c r="S301" s="269"/>
      <c r="T301" s="269"/>
    </row>
    <row r="302">
      <c r="A302" s="307"/>
      <c r="B302" s="294"/>
      <c r="C302" s="293"/>
      <c r="D302" s="293"/>
      <c r="E302" s="294"/>
      <c r="F302" s="294"/>
      <c r="G302" s="269"/>
      <c r="H302" s="269"/>
      <c r="I302" s="269"/>
      <c r="J302" s="269"/>
      <c r="K302" s="269"/>
      <c r="L302" s="269"/>
      <c r="M302" s="269"/>
      <c r="N302" s="269"/>
      <c r="O302" s="269"/>
      <c r="P302" s="269"/>
      <c r="Q302" s="269"/>
      <c r="R302" s="269"/>
      <c r="S302" s="269"/>
      <c r="T302" s="269"/>
    </row>
    <row r="303">
      <c r="A303" s="307"/>
      <c r="B303" s="296"/>
      <c r="C303" s="297"/>
      <c r="D303" s="296"/>
      <c r="E303" s="296"/>
      <c r="F303" s="296"/>
      <c r="G303" s="269"/>
      <c r="H303" s="269"/>
      <c r="I303" s="269"/>
      <c r="J303" s="269"/>
      <c r="K303" s="269"/>
      <c r="L303" s="269"/>
      <c r="M303" s="269"/>
      <c r="N303" s="269"/>
      <c r="O303" s="269"/>
      <c r="P303" s="269"/>
      <c r="Q303" s="269"/>
      <c r="R303" s="269"/>
      <c r="S303" s="269"/>
      <c r="T303" s="269"/>
    </row>
    <row r="304">
      <c r="A304" s="307"/>
      <c r="B304" s="304">
        <v>27.0</v>
      </c>
      <c r="C304" s="303">
        <v>28.0</v>
      </c>
      <c r="D304" s="303">
        <v>29.0</v>
      </c>
      <c r="E304" s="306">
        <v>30.0</v>
      </c>
      <c r="F304" s="306">
        <v>31.0</v>
      </c>
      <c r="G304" s="269"/>
      <c r="H304" s="269"/>
      <c r="I304" s="269"/>
      <c r="J304" s="269"/>
      <c r="K304" s="269"/>
      <c r="L304" s="269"/>
      <c r="M304" s="269"/>
      <c r="N304" s="269"/>
      <c r="O304" s="269"/>
      <c r="P304" s="269"/>
      <c r="Q304" s="269"/>
      <c r="R304" s="269"/>
      <c r="S304" s="269"/>
      <c r="T304" s="269"/>
    </row>
    <row r="305">
      <c r="A305" s="307"/>
      <c r="B305" s="291"/>
      <c r="C305" s="291"/>
      <c r="D305" s="291"/>
      <c r="E305" s="290" t="s">
        <v>929</v>
      </c>
      <c r="F305" s="291"/>
      <c r="G305" s="269"/>
      <c r="H305" s="269"/>
      <c r="I305" s="269"/>
      <c r="J305" s="269"/>
      <c r="K305" s="269"/>
      <c r="L305" s="269"/>
      <c r="M305" s="269"/>
      <c r="N305" s="269"/>
      <c r="O305" s="269"/>
      <c r="P305" s="269"/>
      <c r="Q305" s="269"/>
      <c r="R305" s="269"/>
      <c r="S305" s="269"/>
      <c r="T305" s="269"/>
    </row>
    <row r="306">
      <c r="A306" s="307"/>
      <c r="B306" s="293"/>
      <c r="C306" s="293"/>
      <c r="D306" s="293"/>
      <c r="E306" s="292"/>
      <c r="F306" s="293"/>
      <c r="G306" s="269"/>
      <c r="H306" s="269"/>
      <c r="I306" s="269"/>
      <c r="J306" s="269"/>
      <c r="K306" s="269"/>
      <c r="L306" s="269"/>
      <c r="M306" s="269"/>
      <c r="N306" s="269"/>
      <c r="O306" s="269"/>
      <c r="P306" s="269"/>
      <c r="Q306" s="269"/>
      <c r="R306" s="269"/>
      <c r="S306" s="269"/>
      <c r="T306" s="269"/>
    </row>
    <row r="307">
      <c r="A307" s="307"/>
      <c r="B307" s="293"/>
      <c r="C307" s="293"/>
      <c r="D307" s="293"/>
      <c r="E307" s="292"/>
      <c r="F307" s="293"/>
      <c r="G307" s="269"/>
      <c r="H307" s="269"/>
      <c r="I307" s="269"/>
      <c r="J307" s="269"/>
      <c r="K307" s="269"/>
      <c r="L307" s="269"/>
      <c r="M307" s="269"/>
      <c r="N307" s="269"/>
      <c r="O307" s="269"/>
      <c r="P307" s="269"/>
      <c r="Q307" s="269"/>
      <c r="R307" s="269"/>
      <c r="S307" s="269"/>
      <c r="T307" s="269"/>
    </row>
    <row r="308">
      <c r="A308" s="307"/>
      <c r="B308" s="293"/>
      <c r="C308" s="293"/>
      <c r="D308" s="293"/>
      <c r="E308" s="292"/>
      <c r="F308" s="293"/>
      <c r="G308" s="269"/>
      <c r="H308" s="269"/>
      <c r="I308" s="269"/>
      <c r="J308" s="269"/>
      <c r="K308" s="269"/>
      <c r="L308" s="269"/>
      <c r="M308" s="269"/>
      <c r="N308" s="269"/>
      <c r="O308" s="269"/>
      <c r="P308" s="269"/>
      <c r="Q308" s="269"/>
      <c r="R308" s="269"/>
      <c r="S308" s="269"/>
      <c r="T308" s="269"/>
    </row>
    <row r="309">
      <c r="A309" s="307"/>
      <c r="B309" s="293"/>
      <c r="C309" s="293"/>
      <c r="D309" s="293"/>
      <c r="E309" s="292"/>
      <c r="F309" s="293"/>
      <c r="G309" s="269"/>
      <c r="H309" s="269"/>
      <c r="I309" s="269"/>
      <c r="J309" s="269"/>
      <c r="K309" s="269"/>
      <c r="L309" s="269"/>
      <c r="M309" s="269"/>
      <c r="N309" s="269"/>
      <c r="O309" s="269"/>
      <c r="P309" s="269"/>
      <c r="Q309" s="269"/>
      <c r="R309" s="269"/>
      <c r="S309" s="269"/>
      <c r="T309" s="269"/>
    </row>
    <row r="310">
      <c r="A310" s="307"/>
      <c r="B310" s="293"/>
      <c r="C310" s="293"/>
      <c r="D310" s="293"/>
      <c r="E310" s="292"/>
      <c r="F310" s="293"/>
      <c r="G310" s="269"/>
      <c r="H310" s="269"/>
      <c r="I310" s="269"/>
      <c r="J310" s="269"/>
      <c r="K310" s="269"/>
      <c r="L310" s="269"/>
      <c r="M310" s="269"/>
      <c r="N310" s="269"/>
      <c r="O310" s="269"/>
      <c r="P310" s="269"/>
      <c r="Q310" s="269"/>
      <c r="R310" s="269"/>
      <c r="S310" s="269"/>
      <c r="T310" s="269"/>
    </row>
    <row r="311">
      <c r="A311" s="307"/>
      <c r="B311" s="293"/>
      <c r="C311" s="293"/>
      <c r="D311" s="293"/>
      <c r="E311" s="292"/>
      <c r="F311" s="293"/>
      <c r="G311" s="269"/>
      <c r="H311" s="269"/>
      <c r="I311" s="269"/>
      <c r="J311" s="269"/>
      <c r="K311" s="269"/>
      <c r="L311" s="269"/>
      <c r="M311" s="269"/>
      <c r="N311" s="269"/>
      <c r="O311" s="269"/>
      <c r="P311" s="269"/>
      <c r="Q311" s="269"/>
      <c r="R311" s="269"/>
      <c r="S311" s="269"/>
      <c r="T311" s="269"/>
    </row>
    <row r="312">
      <c r="A312" s="307"/>
      <c r="B312" s="293"/>
      <c r="C312" s="293"/>
      <c r="D312" s="293"/>
      <c r="E312" s="292"/>
      <c r="F312" s="293"/>
      <c r="G312" s="269"/>
      <c r="H312" s="269"/>
      <c r="I312" s="269"/>
      <c r="J312" s="269"/>
      <c r="K312" s="269"/>
      <c r="L312" s="269"/>
      <c r="M312" s="269"/>
      <c r="N312" s="269"/>
      <c r="O312" s="269"/>
      <c r="P312" s="269"/>
      <c r="Q312" s="269"/>
      <c r="R312" s="269"/>
      <c r="S312" s="269"/>
      <c r="T312" s="269"/>
    </row>
    <row r="313">
      <c r="A313" s="307"/>
      <c r="B313" s="294"/>
      <c r="C313" s="294"/>
      <c r="D313" s="294"/>
      <c r="E313" s="292"/>
      <c r="F313" s="294"/>
      <c r="G313" s="269"/>
      <c r="H313" s="269"/>
      <c r="I313" s="269"/>
      <c r="J313" s="269"/>
      <c r="K313" s="269"/>
      <c r="L313" s="269"/>
      <c r="M313" s="269"/>
      <c r="N313" s="269"/>
      <c r="O313" s="269"/>
      <c r="P313" s="269"/>
      <c r="Q313" s="269"/>
      <c r="R313" s="269"/>
      <c r="S313" s="269"/>
      <c r="T313" s="269"/>
    </row>
    <row r="314">
      <c r="A314" s="307"/>
      <c r="B314" s="296"/>
      <c r="C314" s="296"/>
      <c r="D314" s="296"/>
      <c r="E314" s="77"/>
      <c r="F314" s="296"/>
      <c r="G314" s="269"/>
      <c r="H314" s="269"/>
      <c r="I314" s="269"/>
      <c r="J314" s="269"/>
      <c r="K314" s="269"/>
      <c r="L314" s="269"/>
      <c r="M314" s="269"/>
      <c r="N314" s="269"/>
      <c r="O314" s="269"/>
      <c r="P314" s="269"/>
      <c r="Q314" s="269"/>
      <c r="R314" s="269"/>
      <c r="S314" s="269"/>
      <c r="T314" s="269"/>
    </row>
    <row r="315">
      <c r="A315" s="307"/>
      <c r="B315" s="269"/>
      <c r="C315" s="269"/>
      <c r="D315" s="269"/>
      <c r="E315" s="269"/>
      <c r="F315" s="269"/>
      <c r="G315" s="269"/>
      <c r="H315" s="269"/>
      <c r="I315" s="269"/>
      <c r="J315" s="269"/>
      <c r="K315" s="269"/>
      <c r="L315" s="269"/>
      <c r="M315" s="269"/>
      <c r="N315" s="269"/>
      <c r="O315" s="269"/>
      <c r="P315" s="269"/>
      <c r="Q315" s="269"/>
      <c r="R315" s="269"/>
      <c r="S315" s="269"/>
      <c r="T315" s="269"/>
    </row>
    <row r="316">
      <c r="A316" s="307"/>
      <c r="B316" s="269"/>
      <c r="C316" s="269"/>
      <c r="D316" s="269"/>
      <c r="E316" s="269"/>
      <c r="F316" s="269"/>
      <c r="G316" s="269"/>
      <c r="H316" s="269"/>
      <c r="I316" s="269"/>
      <c r="J316" s="269"/>
      <c r="K316" s="269"/>
      <c r="L316" s="269"/>
      <c r="M316" s="269"/>
      <c r="N316" s="269"/>
      <c r="O316" s="269"/>
      <c r="P316" s="269"/>
      <c r="Q316" s="269"/>
      <c r="R316" s="269"/>
      <c r="S316" s="269"/>
      <c r="T316" s="269"/>
    </row>
    <row r="317">
      <c r="A317" s="307"/>
      <c r="B317" s="269"/>
      <c r="C317" s="269"/>
      <c r="D317" s="269"/>
      <c r="E317" s="269"/>
      <c r="F317" s="269"/>
      <c r="G317" s="269"/>
      <c r="H317" s="269"/>
      <c r="I317" s="269"/>
      <c r="J317" s="269"/>
      <c r="K317" s="269"/>
      <c r="L317" s="269"/>
      <c r="M317" s="269"/>
      <c r="N317" s="269"/>
      <c r="O317" s="269"/>
      <c r="P317" s="269"/>
      <c r="Q317" s="269"/>
      <c r="R317" s="269"/>
      <c r="S317" s="269"/>
      <c r="T317" s="269"/>
    </row>
    <row r="318">
      <c r="A318" s="307"/>
      <c r="B318" s="278" t="s">
        <v>930</v>
      </c>
      <c r="C318" s="279"/>
      <c r="D318" s="279"/>
      <c r="E318" s="279"/>
      <c r="F318" s="280"/>
      <c r="G318" s="269"/>
      <c r="H318" s="269"/>
      <c r="I318" s="269"/>
      <c r="J318" s="269"/>
      <c r="K318" s="269"/>
      <c r="L318" s="269"/>
      <c r="M318" s="269"/>
      <c r="N318" s="269"/>
      <c r="O318" s="269"/>
      <c r="P318" s="269"/>
      <c r="Q318" s="269"/>
      <c r="R318" s="269"/>
      <c r="S318" s="269"/>
      <c r="T318" s="269"/>
    </row>
    <row r="319">
      <c r="A319" s="307"/>
      <c r="B319" s="282"/>
      <c r="C319" s="283"/>
      <c r="D319" s="283"/>
      <c r="E319" s="283"/>
      <c r="F319" s="284"/>
      <c r="G319" s="269"/>
      <c r="H319" s="269"/>
      <c r="I319" s="269"/>
      <c r="J319" s="269"/>
      <c r="K319" s="269"/>
      <c r="L319" s="269"/>
      <c r="M319" s="269"/>
      <c r="N319" s="269"/>
      <c r="O319" s="269"/>
      <c r="P319" s="269"/>
      <c r="Q319" s="269"/>
      <c r="R319" s="269"/>
      <c r="S319" s="269"/>
      <c r="T319" s="269"/>
    </row>
    <row r="320">
      <c r="A320" s="307"/>
      <c r="B320" s="285" t="s">
        <v>901</v>
      </c>
      <c r="C320" s="286" t="s">
        <v>902</v>
      </c>
      <c r="D320" s="286" t="s">
        <v>903</v>
      </c>
      <c r="E320" s="286" t="s">
        <v>904</v>
      </c>
      <c r="F320" s="286" t="s">
        <v>905</v>
      </c>
      <c r="G320" s="269"/>
      <c r="H320" s="269"/>
      <c r="I320" s="269"/>
      <c r="J320" s="269"/>
      <c r="K320" s="269"/>
      <c r="L320" s="269"/>
      <c r="M320" s="269"/>
      <c r="N320" s="269"/>
      <c r="O320" s="269"/>
      <c r="P320" s="269"/>
      <c r="Q320" s="269"/>
      <c r="R320" s="269"/>
      <c r="S320" s="269"/>
      <c r="T320" s="269"/>
    </row>
    <row r="321">
      <c r="A321" s="307"/>
      <c r="B321" s="304">
        <v>3.0</v>
      </c>
      <c r="C321" s="303">
        <v>4.0</v>
      </c>
      <c r="D321" s="303">
        <v>5.0</v>
      </c>
      <c r="E321" s="303">
        <v>6.0</v>
      </c>
      <c r="F321" s="303">
        <v>7.0</v>
      </c>
      <c r="G321" s="269"/>
      <c r="H321" s="269"/>
      <c r="I321" s="269"/>
      <c r="J321" s="269"/>
      <c r="K321" s="269"/>
      <c r="L321" s="269"/>
      <c r="M321" s="269"/>
      <c r="N321" s="269"/>
      <c r="O321" s="269"/>
      <c r="P321" s="269"/>
      <c r="Q321" s="269"/>
      <c r="R321" s="269"/>
      <c r="S321" s="269"/>
      <c r="T321" s="269"/>
    </row>
    <row r="322">
      <c r="A322" s="307"/>
      <c r="B322" s="322" t="s">
        <v>931</v>
      </c>
      <c r="C322" s="322" t="s">
        <v>931</v>
      </c>
      <c r="D322" s="322" t="s">
        <v>931</v>
      </c>
      <c r="E322" s="322" t="s">
        <v>931</v>
      </c>
      <c r="F322" s="322" t="s">
        <v>931</v>
      </c>
      <c r="G322" s="269"/>
      <c r="H322" s="269"/>
      <c r="I322" s="269"/>
      <c r="J322" s="269"/>
      <c r="K322" s="269"/>
      <c r="L322" s="269"/>
      <c r="M322" s="269"/>
      <c r="N322" s="269"/>
      <c r="O322" s="269"/>
      <c r="P322" s="269"/>
      <c r="Q322" s="269"/>
      <c r="R322" s="269"/>
      <c r="S322" s="269"/>
      <c r="T322" s="269"/>
    </row>
    <row r="323">
      <c r="A323" s="307"/>
      <c r="B323" s="293"/>
      <c r="C323" s="293"/>
      <c r="D323" s="323" t="s">
        <v>932</v>
      </c>
      <c r="E323" s="323" t="s">
        <v>932</v>
      </c>
      <c r="F323" s="293"/>
      <c r="G323" s="269"/>
      <c r="H323" s="269"/>
      <c r="I323" s="269"/>
      <c r="J323" s="269"/>
      <c r="K323" s="269"/>
      <c r="L323" s="269"/>
      <c r="M323" s="269"/>
      <c r="N323" s="269"/>
      <c r="O323" s="269"/>
      <c r="P323" s="269"/>
      <c r="Q323" s="269"/>
      <c r="R323" s="269"/>
      <c r="S323" s="269"/>
      <c r="T323" s="269"/>
    </row>
    <row r="324">
      <c r="A324" s="307"/>
      <c r="B324" s="314" t="s">
        <v>933</v>
      </c>
      <c r="C324" s="314" t="s">
        <v>933</v>
      </c>
      <c r="D324" s="314" t="s">
        <v>933</v>
      </c>
      <c r="E324" s="314" t="s">
        <v>933</v>
      </c>
      <c r="F324" s="314" t="s">
        <v>933</v>
      </c>
      <c r="G324" s="269"/>
      <c r="H324" s="269"/>
      <c r="I324" s="269"/>
      <c r="J324" s="269"/>
      <c r="K324" s="269"/>
      <c r="L324" s="269"/>
      <c r="M324" s="269"/>
      <c r="N324" s="269"/>
      <c r="O324" s="269"/>
      <c r="P324" s="269"/>
      <c r="Q324" s="269"/>
      <c r="R324" s="269"/>
      <c r="S324" s="269"/>
      <c r="T324" s="269"/>
    </row>
    <row r="325">
      <c r="A325" s="307"/>
      <c r="B325" s="314" t="s">
        <v>934</v>
      </c>
      <c r="C325" s="314" t="s">
        <v>934</v>
      </c>
      <c r="D325" s="314" t="s">
        <v>934</v>
      </c>
      <c r="E325" s="314" t="s">
        <v>934</v>
      </c>
      <c r="F325" s="314" t="s">
        <v>934</v>
      </c>
      <c r="G325" s="269"/>
      <c r="H325" s="269"/>
      <c r="I325" s="269"/>
      <c r="J325" s="269"/>
      <c r="K325" s="269"/>
      <c r="L325" s="269"/>
      <c r="M325" s="269"/>
      <c r="N325" s="269"/>
      <c r="O325" s="269"/>
      <c r="P325" s="269"/>
      <c r="Q325" s="269"/>
      <c r="R325" s="269"/>
      <c r="S325" s="269"/>
      <c r="T325" s="269"/>
    </row>
    <row r="326">
      <c r="A326" s="307"/>
      <c r="B326" s="294"/>
      <c r="C326" s="294"/>
      <c r="D326" s="294"/>
      <c r="E326" s="294"/>
      <c r="F326" s="294"/>
      <c r="G326" s="269"/>
      <c r="H326" s="269"/>
      <c r="I326" s="269"/>
      <c r="J326" s="269"/>
      <c r="K326" s="269"/>
      <c r="L326" s="269"/>
      <c r="M326" s="269"/>
      <c r="N326" s="269"/>
      <c r="O326" s="269"/>
      <c r="P326" s="269"/>
      <c r="Q326" s="269"/>
      <c r="R326" s="269"/>
      <c r="S326" s="269"/>
      <c r="T326" s="269"/>
    </row>
    <row r="327">
      <c r="A327" s="307"/>
      <c r="B327" s="294"/>
      <c r="C327" s="294"/>
      <c r="D327" s="294"/>
      <c r="E327" s="294"/>
      <c r="F327" s="294"/>
      <c r="G327" s="269"/>
      <c r="H327" s="269"/>
      <c r="I327" s="269"/>
      <c r="J327" s="269"/>
      <c r="K327" s="269"/>
      <c r="L327" s="269"/>
      <c r="M327" s="269"/>
      <c r="N327" s="269"/>
      <c r="O327" s="269"/>
      <c r="P327" s="269"/>
      <c r="Q327" s="269"/>
      <c r="R327" s="269"/>
      <c r="S327" s="269"/>
      <c r="T327" s="269"/>
    </row>
    <row r="328">
      <c r="A328" s="307"/>
      <c r="B328" s="294"/>
      <c r="C328" s="294"/>
      <c r="D328" s="294"/>
      <c r="E328" s="294"/>
      <c r="F328" s="294"/>
      <c r="G328" s="269"/>
      <c r="H328" s="269"/>
      <c r="I328" s="269"/>
      <c r="J328" s="269"/>
      <c r="K328" s="269"/>
      <c r="L328" s="269"/>
      <c r="M328" s="269"/>
      <c r="N328" s="269"/>
      <c r="O328" s="269"/>
      <c r="P328" s="269"/>
      <c r="Q328" s="269"/>
      <c r="R328" s="269"/>
      <c r="S328" s="269"/>
      <c r="T328" s="269"/>
    </row>
    <row r="329">
      <c r="A329" s="307"/>
      <c r="B329" s="294"/>
      <c r="C329" s="294"/>
      <c r="D329" s="294"/>
      <c r="E329" s="294"/>
      <c r="F329" s="294"/>
      <c r="G329" s="269"/>
      <c r="H329" s="269"/>
      <c r="I329" s="269"/>
      <c r="J329" s="269"/>
      <c r="K329" s="269"/>
      <c r="L329" s="269"/>
      <c r="M329" s="269"/>
      <c r="N329" s="269"/>
      <c r="O329" s="269"/>
      <c r="P329" s="269"/>
      <c r="Q329" s="269"/>
      <c r="R329" s="269"/>
      <c r="S329" s="269"/>
      <c r="T329" s="269"/>
    </row>
    <row r="330">
      <c r="A330" s="307"/>
      <c r="B330" s="295"/>
      <c r="C330" s="295"/>
      <c r="D330" s="295"/>
      <c r="E330" s="295"/>
      <c r="F330" s="295"/>
      <c r="G330" s="269"/>
      <c r="H330" s="269"/>
      <c r="I330" s="269"/>
      <c r="J330" s="269"/>
      <c r="K330" s="269"/>
      <c r="L330" s="269"/>
      <c r="M330" s="269"/>
      <c r="N330" s="269"/>
      <c r="O330" s="269"/>
      <c r="P330" s="269"/>
      <c r="Q330" s="269"/>
      <c r="R330" s="269"/>
      <c r="S330" s="269"/>
      <c r="T330" s="269"/>
    </row>
    <row r="331">
      <c r="A331" s="307"/>
      <c r="B331" s="304">
        <v>10.0</v>
      </c>
      <c r="C331" s="303">
        <v>11.0</v>
      </c>
      <c r="D331" s="303">
        <v>12.0</v>
      </c>
      <c r="E331" s="303">
        <v>13.0</v>
      </c>
      <c r="F331" s="303">
        <v>14.0</v>
      </c>
      <c r="G331" s="269"/>
      <c r="H331" s="269"/>
      <c r="I331" s="269"/>
      <c r="J331" s="269"/>
      <c r="K331" s="269"/>
      <c r="L331" s="269"/>
      <c r="M331" s="269"/>
      <c r="N331" s="269"/>
      <c r="O331" s="269"/>
      <c r="P331" s="269"/>
      <c r="Q331" s="269"/>
      <c r="R331" s="269"/>
      <c r="S331" s="269"/>
      <c r="T331" s="269"/>
    </row>
    <row r="332">
      <c r="A332" s="307"/>
      <c r="B332" s="324" t="s">
        <v>935</v>
      </c>
      <c r="C332" s="324" t="s">
        <v>935</v>
      </c>
      <c r="D332" s="324" t="s">
        <v>935</v>
      </c>
      <c r="E332" s="324" t="s">
        <v>935</v>
      </c>
      <c r="F332" s="324" t="s">
        <v>935</v>
      </c>
      <c r="G332" s="269"/>
      <c r="H332" s="269"/>
      <c r="I332" s="269"/>
      <c r="J332" s="269"/>
      <c r="K332" s="269"/>
      <c r="L332" s="269"/>
      <c r="M332" s="269"/>
      <c r="N332" s="269"/>
      <c r="O332" s="269"/>
      <c r="P332" s="269"/>
      <c r="Q332" s="269"/>
      <c r="R332" s="269"/>
      <c r="S332" s="269"/>
      <c r="T332" s="269"/>
    </row>
    <row r="333">
      <c r="A333" s="307"/>
      <c r="B333" s="322" t="s">
        <v>931</v>
      </c>
      <c r="C333" s="322" t="s">
        <v>931</v>
      </c>
      <c r="D333" s="323" t="s">
        <v>932</v>
      </c>
      <c r="E333" s="323" t="s">
        <v>932</v>
      </c>
      <c r="F333" s="293"/>
      <c r="G333" s="269"/>
      <c r="H333" s="269"/>
      <c r="I333" s="269"/>
      <c r="J333" s="269"/>
      <c r="K333" s="269"/>
      <c r="L333" s="269"/>
      <c r="M333" s="269"/>
      <c r="N333" s="269"/>
      <c r="O333" s="269"/>
      <c r="P333" s="269"/>
      <c r="Q333" s="269"/>
      <c r="R333" s="269"/>
      <c r="S333" s="269"/>
      <c r="T333" s="269"/>
    </row>
    <row r="334">
      <c r="A334" s="307"/>
      <c r="B334" s="314" t="s">
        <v>936</v>
      </c>
      <c r="C334" s="314" t="s">
        <v>936</v>
      </c>
      <c r="D334" s="314" t="s">
        <v>936</v>
      </c>
      <c r="E334" s="314" t="s">
        <v>936</v>
      </c>
      <c r="F334" s="314" t="s">
        <v>936</v>
      </c>
      <c r="G334" s="269"/>
      <c r="H334" s="269"/>
      <c r="I334" s="269"/>
      <c r="J334" s="269"/>
      <c r="K334" s="269"/>
      <c r="L334" s="269"/>
      <c r="M334" s="269"/>
      <c r="N334" s="269"/>
      <c r="O334" s="269"/>
      <c r="P334" s="269"/>
      <c r="Q334" s="269"/>
      <c r="R334" s="269"/>
      <c r="S334" s="269"/>
      <c r="T334" s="269"/>
    </row>
    <row r="335">
      <c r="A335" s="307"/>
      <c r="B335" s="325"/>
      <c r="C335" s="325"/>
      <c r="D335" s="293"/>
      <c r="E335" s="326" t="s">
        <v>937</v>
      </c>
      <c r="F335" s="293"/>
      <c r="G335" s="269"/>
      <c r="H335" s="269"/>
      <c r="I335" s="269"/>
      <c r="J335" s="269"/>
      <c r="K335" s="269"/>
      <c r="L335" s="269"/>
      <c r="M335" s="269"/>
      <c r="N335" s="269"/>
      <c r="O335" s="269"/>
      <c r="P335" s="269"/>
      <c r="Q335" s="269"/>
      <c r="R335" s="269"/>
      <c r="S335" s="269"/>
      <c r="T335" s="269"/>
    </row>
    <row r="336">
      <c r="A336" s="307"/>
      <c r="B336" s="293"/>
      <c r="C336" s="293"/>
      <c r="D336" s="293"/>
      <c r="E336" s="293"/>
      <c r="F336" s="293"/>
      <c r="G336" s="269"/>
      <c r="H336" s="269"/>
      <c r="I336" s="269"/>
      <c r="J336" s="269"/>
      <c r="K336" s="269"/>
      <c r="L336" s="269"/>
      <c r="M336" s="269"/>
      <c r="N336" s="269"/>
      <c r="O336" s="269"/>
      <c r="P336" s="269"/>
      <c r="Q336" s="269"/>
      <c r="R336" s="269"/>
      <c r="S336" s="269"/>
      <c r="T336" s="269"/>
    </row>
    <row r="337">
      <c r="A337" s="307"/>
      <c r="B337" s="293"/>
      <c r="C337" s="293"/>
      <c r="D337" s="293"/>
      <c r="E337" s="293"/>
      <c r="F337" s="293"/>
      <c r="G337" s="269"/>
      <c r="H337" s="269"/>
      <c r="I337" s="269"/>
      <c r="J337" s="269"/>
      <c r="K337" s="269"/>
      <c r="L337" s="269"/>
      <c r="M337" s="269"/>
      <c r="N337" s="269"/>
      <c r="O337" s="269"/>
      <c r="P337" s="269"/>
      <c r="Q337" s="269"/>
      <c r="R337" s="269"/>
      <c r="S337" s="269"/>
      <c r="T337" s="269"/>
    </row>
    <row r="338">
      <c r="A338" s="307"/>
      <c r="B338" s="293"/>
      <c r="C338" s="293"/>
      <c r="D338" s="293"/>
      <c r="E338" s="293"/>
      <c r="F338" s="294"/>
      <c r="G338" s="269"/>
      <c r="H338" s="269"/>
      <c r="I338" s="269"/>
      <c r="J338" s="269"/>
      <c r="K338" s="269"/>
      <c r="L338" s="269"/>
      <c r="M338" s="269"/>
      <c r="N338" s="269"/>
      <c r="O338" s="269"/>
      <c r="P338" s="269"/>
      <c r="Q338" s="269"/>
      <c r="R338" s="269"/>
      <c r="S338" s="269"/>
      <c r="T338" s="269"/>
    </row>
    <row r="339">
      <c r="A339" s="307"/>
      <c r="B339" s="293"/>
      <c r="C339" s="293"/>
      <c r="D339" s="293"/>
      <c r="E339" s="293"/>
      <c r="F339" s="294"/>
      <c r="G339" s="269"/>
      <c r="H339" s="269"/>
      <c r="I339" s="269"/>
      <c r="J339" s="269"/>
      <c r="K339" s="269"/>
      <c r="L339" s="269"/>
      <c r="M339" s="269"/>
      <c r="N339" s="269"/>
      <c r="O339" s="269"/>
      <c r="P339" s="269"/>
      <c r="Q339" s="269"/>
      <c r="R339" s="269"/>
      <c r="S339" s="269"/>
      <c r="T339" s="269"/>
    </row>
    <row r="340">
      <c r="A340" s="307"/>
      <c r="B340" s="294"/>
      <c r="C340" s="293"/>
      <c r="D340" s="294"/>
      <c r="E340" s="293"/>
      <c r="F340" s="294"/>
      <c r="G340" s="269"/>
      <c r="H340" s="269"/>
      <c r="I340" s="269"/>
      <c r="J340" s="269"/>
      <c r="K340" s="269"/>
      <c r="L340" s="269"/>
      <c r="M340" s="269"/>
      <c r="N340" s="269"/>
      <c r="O340" s="269"/>
      <c r="P340" s="269"/>
      <c r="Q340" s="269"/>
      <c r="R340" s="269"/>
      <c r="S340" s="269"/>
      <c r="T340" s="269"/>
    </row>
    <row r="341">
      <c r="A341" s="307"/>
      <c r="B341" s="296"/>
      <c r="C341" s="297"/>
      <c r="D341" s="296"/>
      <c r="E341" s="293"/>
      <c r="F341" s="296"/>
      <c r="G341" s="269"/>
      <c r="H341" s="269"/>
      <c r="I341" s="269"/>
      <c r="J341" s="269"/>
      <c r="K341" s="269"/>
      <c r="L341" s="269"/>
      <c r="M341" s="269"/>
      <c r="N341" s="269"/>
      <c r="O341" s="269"/>
      <c r="P341" s="269"/>
      <c r="Q341" s="269"/>
      <c r="R341" s="269"/>
      <c r="S341" s="269"/>
      <c r="T341" s="269"/>
    </row>
    <row r="342">
      <c r="A342" s="307"/>
      <c r="B342" s="304">
        <v>17.0</v>
      </c>
      <c r="C342" s="303">
        <v>18.0</v>
      </c>
      <c r="D342" s="304">
        <v>19.0</v>
      </c>
      <c r="E342" s="303">
        <v>20.0</v>
      </c>
      <c r="F342" s="304">
        <v>21.0</v>
      </c>
      <c r="G342" s="269"/>
      <c r="H342" s="269"/>
      <c r="I342" s="269"/>
      <c r="J342" s="269"/>
      <c r="K342" s="269"/>
      <c r="L342" s="269"/>
      <c r="M342" s="269"/>
      <c r="N342" s="269"/>
      <c r="O342" s="269"/>
      <c r="P342" s="269"/>
      <c r="Q342" s="269"/>
      <c r="R342" s="269"/>
      <c r="S342" s="269"/>
      <c r="T342" s="269"/>
    </row>
    <row r="343">
      <c r="A343" s="307"/>
      <c r="B343" s="293"/>
      <c r="C343" s="293"/>
      <c r="D343" s="323" t="s">
        <v>932</v>
      </c>
      <c r="E343" s="323" t="s">
        <v>932</v>
      </c>
      <c r="F343" s="291"/>
      <c r="G343" s="269"/>
      <c r="H343" s="269"/>
      <c r="I343" s="269"/>
      <c r="J343" s="269"/>
      <c r="K343" s="269"/>
      <c r="L343" s="269"/>
      <c r="M343" s="269"/>
      <c r="N343" s="269"/>
      <c r="O343" s="269"/>
      <c r="P343" s="269"/>
      <c r="Q343" s="269"/>
      <c r="R343" s="269"/>
      <c r="S343" s="269"/>
      <c r="T343" s="269"/>
    </row>
    <row r="344">
      <c r="A344" s="307"/>
      <c r="B344" s="327" t="s">
        <v>938</v>
      </c>
      <c r="C344" s="327" t="s">
        <v>938</v>
      </c>
      <c r="D344" s="327" t="s">
        <v>938</v>
      </c>
      <c r="E344" s="327" t="s">
        <v>938</v>
      </c>
      <c r="F344" s="327" t="s">
        <v>938</v>
      </c>
      <c r="G344" s="269"/>
      <c r="H344" s="269"/>
      <c r="I344" s="269"/>
      <c r="J344" s="269"/>
      <c r="K344" s="269"/>
      <c r="L344" s="269"/>
      <c r="M344" s="269"/>
      <c r="N344" s="269"/>
      <c r="O344" s="269"/>
      <c r="P344" s="269"/>
      <c r="Q344" s="269"/>
      <c r="R344" s="269"/>
      <c r="S344" s="269"/>
      <c r="T344" s="269"/>
    </row>
    <row r="345">
      <c r="A345" s="307"/>
      <c r="B345" s="314" t="s">
        <v>939</v>
      </c>
      <c r="C345" s="314" t="s">
        <v>939</v>
      </c>
      <c r="D345" s="314" t="s">
        <v>939</v>
      </c>
      <c r="E345" s="314" t="s">
        <v>939</v>
      </c>
      <c r="F345" s="314" t="s">
        <v>939</v>
      </c>
      <c r="G345" s="269"/>
      <c r="H345" s="269"/>
      <c r="I345" s="269"/>
      <c r="J345" s="269"/>
      <c r="K345" s="269"/>
      <c r="L345" s="269"/>
      <c r="M345" s="269"/>
      <c r="N345" s="269"/>
      <c r="O345" s="269"/>
      <c r="P345" s="269"/>
      <c r="Q345" s="269"/>
      <c r="R345" s="269"/>
      <c r="S345" s="269"/>
      <c r="T345" s="269"/>
    </row>
    <row r="346">
      <c r="A346" s="307"/>
      <c r="B346" s="293"/>
      <c r="C346" s="293"/>
      <c r="D346" s="293"/>
      <c r="E346" s="293"/>
      <c r="F346" s="293"/>
      <c r="G346" s="269"/>
      <c r="H346" s="269"/>
      <c r="I346" s="269"/>
      <c r="J346" s="269"/>
      <c r="K346" s="269"/>
      <c r="L346" s="269"/>
      <c r="M346" s="269"/>
      <c r="N346" s="269"/>
      <c r="O346" s="269"/>
      <c r="P346" s="269"/>
      <c r="Q346" s="269"/>
      <c r="R346" s="269"/>
      <c r="S346" s="269"/>
      <c r="T346" s="269"/>
    </row>
    <row r="347">
      <c r="A347" s="307"/>
      <c r="B347" s="293"/>
      <c r="C347" s="293"/>
      <c r="D347" s="293"/>
      <c r="E347" s="293"/>
      <c r="F347" s="293"/>
      <c r="G347" s="269"/>
      <c r="H347" s="269"/>
      <c r="I347" s="269"/>
      <c r="J347" s="269"/>
      <c r="K347" s="269"/>
      <c r="L347" s="269"/>
      <c r="M347" s="269"/>
      <c r="N347" s="269"/>
      <c r="O347" s="269"/>
      <c r="P347" s="269"/>
      <c r="Q347" s="269"/>
      <c r="R347" s="269"/>
      <c r="S347" s="269"/>
      <c r="T347" s="269"/>
    </row>
    <row r="348">
      <c r="A348" s="307"/>
      <c r="B348" s="294"/>
      <c r="C348" s="293"/>
      <c r="D348" s="293"/>
      <c r="E348" s="293"/>
      <c r="F348" s="293"/>
      <c r="G348" s="269"/>
      <c r="H348" s="269"/>
      <c r="I348" s="269"/>
      <c r="J348" s="269"/>
      <c r="K348" s="269"/>
      <c r="L348" s="269"/>
      <c r="M348" s="269"/>
      <c r="N348" s="269"/>
      <c r="O348" s="269"/>
      <c r="P348" s="269"/>
      <c r="Q348" s="269"/>
      <c r="R348" s="269"/>
      <c r="S348" s="269"/>
      <c r="T348" s="269"/>
    </row>
    <row r="349">
      <c r="A349" s="307"/>
      <c r="B349" s="294"/>
      <c r="C349" s="293"/>
      <c r="D349" s="293"/>
      <c r="E349" s="293"/>
      <c r="F349" s="293"/>
      <c r="G349" s="269"/>
      <c r="H349" s="269"/>
      <c r="I349" s="269"/>
      <c r="J349" s="269"/>
      <c r="K349" s="269"/>
      <c r="L349" s="269"/>
      <c r="M349" s="269"/>
      <c r="N349" s="269"/>
      <c r="O349" s="269"/>
      <c r="P349" s="269"/>
      <c r="Q349" s="269"/>
      <c r="R349" s="269"/>
      <c r="S349" s="269"/>
      <c r="T349" s="269"/>
    </row>
    <row r="350">
      <c r="A350" s="307"/>
      <c r="B350" s="294"/>
      <c r="C350" s="293"/>
      <c r="D350" s="293"/>
      <c r="E350" s="293"/>
      <c r="F350" s="293"/>
      <c r="G350" s="269"/>
      <c r="H350" s="269"/>
      <c r="I350" s="269"/>
      <c r="J350" s="269"/>
      <c r="K350" s="269"/>
      <c r="L350" s="269"/>
      <c r="M350" s="269"/>
      <c r="N350" s="269"/>
      <c r="O350" s="269"/>
      <c r="P350" s="269"/>
      <c r="Q350" s="269"/>
      <c r="R350" s="269"/>
      <c r="S350" s="269"/>
      <c r="T350" s="269"/>
    </row>
    <row r="351">
      <c r="A351" s="307"/>
      <c r="B351" s="293"/>
      <c r="C351" s="293"/>
      <c r="D351" s="294"/>
      <c r="E351" s="293"/>
      <c r="F351" s="294"/>
      <c r="G351" s="269"/>
      <c r="H351" s="269"/>
      <c r="I351" s="269"/>
      <c r="J351" s="269"/>
      <c r="K351" s="269"/>
      <c r="L351" s="269"/>
      <c r="M351" s="269"/>
      <c r="N351" s="269"/>
      <c r="O351" s="269"/>
      <c r="P351" s="269"/>
      <c r="Q351" s="269"/>
      <c r="R351" s="269"/>
      <c r="S351" s="269"/>
      <c r="T351" s="269"/>
    </row>
    <row r="352">
      <c r="A352" s="307"/>
      <c r="B352" s="296"/>
      <c r="C352" s="296"/>
      <c r="D352" s="296"/>
      <c r="E352" s="296"/>
      <c r="F352" s="296"/>
      <c r="G352" s="269"/>
      <c r="H352" s="269"/>
      <c r="I352" s="269"/>
      <c r="J352" s="269"/>
      <c r="K352" s="269"/>
      <c r="L352" s="269"/>
      <c r="M352" s="269"/>
      <c r="N352" s="269"/>
      <c r="O352" s="269"/>
      <c r="P352" s="269"/>
      <c r="Q352" s="269"/>
      <c r="R352" s="269"/>
      <c r="S352" s="269"/>
      <c r="T352" s="269"/>
    </row>
    <row r="353">
      <c r="A353" s="307"/>
      <c r="B353" s="304">
        <v>24.0</v>
      </c>
      <c r="C353" s="303">
        <v>25.0</v>
      </c>
      <c r="D353" s="304">
        <v>26.0</v>
      </c>
      <c r="E353" s="303">
        <v>27.0</v>
      </c>
      <c r="F353" s="304">
        <v>28.0</v>
      </c>
      <c r="G353" s="269"/>
      <c r="H353" s="269"/>
      <c r="I353" s="269"/>
      <c r="J353" s="269"/>
      <c r="K353" s="269"/>
      <c r="L353" s="269"/>
      <c r="M353" s="269"/>
      <c r="N353" s="269"/>
      <c r="O353" s="269"/>
      <c r="P353" s="269"/>
      <c r="Q353" s="269"/>
      <c r="R353" s="269"/>
      <c r="S353" s="269"/>
      <c r="T353" s="269"/>
    </row>
    <row r="354">
      <c r="A354" s="307"/>
      <c r="B354" s="328" t="s">
        <v>940</v>
      </c>
      <c r="C354" s="328" t="s">
        <v>940</v>
      </c>
      <c r="D354" s="328" t="s">
        <v>940</v>
      </c>
      <c r="E354" s="328" t="s">
        <v>940</v>
      </c>
      <c r="F354" s="328" t="s">
        <v>940</v>
      </c>
      <c r="G354" s="269"/>
      <c r="H354" s="269"/>
      <c r="I354" s="269"/>
      <c r="J354" s="269"/>
      <c r="K354" s="269"/>
      <c r="L354" s="269"/>
      <c r="M354" s="269"/>
      <c r="N354" s="269"/>
      <c r="O354" s="269"/>
      <c r="P354" s="269"/>
      <c r="Q354" s="269"/>
      <c r="R354" s="269"/>
      <c r="S354" s="269"/>
      <c r="T354" s="269"/>
    </row>
    <row r="355">
      <c r="A355" s="307"/>
      <c r="B355" s="314" t="s">
        <v>941</v>
      </c>
      <c r="C355" s="314" t="s">
        <v>941</v>
      </c>
      <c r="D355" s="314" t="s">
        <v>941</v>
      </c>
      <c r="E355" s="314" t="s">
        <v>941</v>
      </c>
      <c r="F355" s="314" t="s">
        <v>941</v>
      </c>
      <c r="G355" s="269"/>
      <c r="H355" s="269"/>
      <c r="I355" s="269"/>
      <c r="J355" s="269"/>
      <c r="K355" s="269"/>
      <c r="L355" s="269"/>
      <c r="M355" s="269"/>
      <c r="N355" s="269"/>
      <c r="O355" s="269"/>
      <c r="P355" s="269"/>
      <c r="Q355" s="269"/>
      <c r="R355" s="269"/>
      <c r="S355" s="269"/>
      <c r="T355" s="269"/>
    </row>
    <row r="356">
      <c r="A356" s="307"/>
      <c r="B356" s="293"/>
      <c r="C356" s="326" t="s">
        <v>942</v>
      </c>
      <c r="D356" s="293"/>
      <c r="E356" s="293"/>
      <c r="F356" s="316" t="s">
        <v>925</v>
      </c>
      <c r="G356" s="269"/>
      <c r="H356" s="269"/>
      <c r="I356" s="269"/>
      <c r="J356" s="269"/>
      <c r="K356" s="269"/>
      <c r="L356" s="269"/>
      <c r="M356" s="269"/>
      <c r="N356" s="269"/>
      <c r="O356" s="269"/>
      <c r="P356" s="269"/>
      <c r="Q356" s="269"/>
      <c r="R356" s="269"/>
      <c r="S356" s="269"/>
      <c r="T356" s="269"/>
    </row>
    <row r="357" ht="89.25" customHeight="1">
      <c r="A357" s="307"/>
      <c r="B357" s="293"/>
      <c r="C357" s="293"/>
      <c r="D357" s="293"/>
      <c r="E357" s="293"/>
      <c r="F357" s="329" t="s">
        <v>943</v>
      </c>
      <c r="G357" s="269"/>
      <c r="H357" s="269"/>
      <c r="I357" s="269"/>
      <c r="J357" s="269"/>
      <c r="K357" s="269"/>
      <c r="L357" s="269"/>
      <c r="M357" s="269"/>
      <c r="N357" s="269"/>
      <c r="O357" s="269"/>
      <c r="P357" s="269"/>
      <c r="Q357" s="269"/>
      <c r="R357" s="269"/>
      <c r="S357" s="269"/>
      <c r="T357" s="269"/>
    </row>
    <row r="358">
      <c r="A358" s="307"/>
      <c r="B358" s="293"/>
      <c r="C358" s="293"/>
      <c r="D358" s="293"/>
      <c r="E358" s="293"/>
      <c r="F358" s="293"/>
      <c r="G358" s="269"/>
      <c r="H358" s="269"/>
      <c r="I358" s="269"/>
      <c r="J358" s="269"/>
      <c r="K358" s="269"/>
      <c r="L358" s="269"/>
      <c r="M358" s="269"/>
      <c r="N358" s="269"/>
      <c r="O358" s="269"/>
      <c r="P358" s="269"/>
      <c r="Q358" s="269"/>
      <c r="R358" s="269"/>
      <c r="S358" s="269"/>
      <c r="T358" s="269"/>
    </row>
    <row r="359">
      <c r="A359" s="307"/>
      <c r="B359" s="293"/>
      <c r="C359" s="293"/>
      <c r="D359" s="293"/>
      <c r="E359" s="293"/>
      <c r="F359" s="293"/>
      <c r="G359" s="269"/>
      <c r="H359" s="269"/>
      <c r="I359" s="269"/>
      <c r="J359" s="269"/>
      <c r="K359" s="269"/>
      <c r="L359" s="269"/>
      <c r="M359" s="269"/>
      <c r="N359" s="269"/>
      <c r="O359" s="269"/>
      <c r="P359" s="269"/>
      <c r="Q359" s="269"/>
      <c r="R359" s="269"/>
      <c r="S359" s="269"/>
      <c r="T359" s="269"/>
    </row>
    <row r="360">
      <c r="A360" s="307"/>
      <c r="B360" s="293"/>
      <c r="C360" s="293"/>
      <c r="D360" s="293"/>
      <c r="E360" s="293"/>
      <c r="F360" s="294"/>
      <c r="G360" s="269"/>
      <c r="H360" s="269"/>
      <c r="I360" s="269"/>
      <c r="J360" s="269"/>
      <c r="K360" s="269"/>
      <c r="L360" s="269"/>
      <c r="M360" s="269"/>
      <c r="N360" s="269"/>
      <c r="O360" s="269"/>
      <c r="P360" s="269"/>
      <c r="Q360" s="269"/>
      <c r="R360" s="269"/>
      <c r="S360" s="269"/>
      <c r="T360" s="269"/>
    </row>
    <row r="361">
      <c r="A361" s="307"/>
      <c r="B361" s="294"/>
      <c r="C361" s="293"/>
      <c r="D361" s="293"/>
      <c r="E361" s="294"/>
      <c r="F361" s="294"/>
      <c r="G361" s="269"/>
      <c r="H361" s="269"/>
      <c r="I361" s="269"/>
      <c r="J361" s="269"/>
      <c r="K361" s="269"/>
      <c r="L361" s="269"/>
      <c r="M361" s="269"/>
      <c r="N361" s="269"/>
      <c r="O361" s="269"/>
      <c r="P361" s="269"/>
      <c r="Q361" s="269"/>
      <c r="R361" s="269"/>
      <c r="S361" s="269"/>
      <c r="T361" s="269"/>
    </row>
    <row r="362">
      <c r="A362" s="307"/>
      <c r="B362" s="294"/>
      <c r="C362" s="293"/>
      <c r="D362" s="293"/>
      <c r="E362" s="294"/>
      <c r="F362" s="294"/>
      <c r="G362" s="269"/>
      <c r="H362" s="269"/>
      <c r="I362" s="269"/>
      <c r="J362" s="269"/>
      <c r="K362" s="269"/>
      <c r="L362" s="269"/>
      <c r="M362" s="269"/>
      <c r="N362" s="269"/>
      <c r="O362" s="269"/>
      <c r="P362" s="269"/>
      <c r="Q362" s="269"/>
      <c r="R362" s="269"/>
      <c r="S362" s="269"/>
      <c r="T362" s="269"/>
    </row>
    <row r="363">
      <c r="A363" s="307"/>
      <c r="B363" s="296"/>
      <c r="C363" s="297"/>
      <c r="D363" s="296"/>
      <c r="E363" s="296"/>
      <c r="F363" s="296"/>
      <c r="G363" s="269"/>
      <c r="H363" s="269"/>
      <c r="I363" s="269"/>
      <c r="J363" s="269"/>
      <c r="K363" s="269"/>
      <c r="L363" s="269"/>
      <c r="M363" s="269"/>
      <c r="N363" s="269"/>
      <c r="O363" s="269"/>
      <c r="P363" s="269"/>
      <c r="Q363" s="269"/>
      <c r="R363" s="269"/>
      <c r="S363" s="269"/>
      <c r="T363" s="269"/>
    </row>
    <row r="364">
      <c r="A364" s="307"/>
      <c r="B364" s="269"/>
      <c r="C364" s="269"/>
      <c r="D364" s="269"/>
      <c r="E364" s="269"/>
      <c r="F364" s="269"/>
      <c r="G364" s="269"/>
      <c r="H364" s="269"/>
      <c r="I364" s="269"/>
      <c r="J364" s="269"/>
      <c r="K364" s="269"/>
      <c r="L364" s="269"/>
      <c r="M364" s="269"/>
      <c r="N364" s="269"/>
      <c r="O364" s="269"/>
      <c r="P364" s="269"/>
      <c r="Q364" s="269"/>
      <c r="R364" s="269"/>
      <c r="S364" s="269"/>
      <c r="T364" s="269"/>
    </row>
    <row r="365">
      <c r="A365" s="307"/>
      <c r="B365" s="269"/>
      <c r="C365" s="269"/>
      <c r="D365" s="269"/>
      <c r="E365" s="269"/>
      <c r="F365" s="269"/>
      <c r="G365" s="269"/>
      <c r="H365" s="269"/>
      <c r="I365" s="269"/>
      <c r="J365" s="269"/>
      <c r="K365" s="269"/>
      <c r="L365" s="269"/>
      <c r="M365" s="269"/>
      <c r="N365" s="269"/>
      <c r="O365" s="269"/>
      <c r="P365" s="269"/>
      <c r="Q365" s="269"/>
      <c r="R365" s="269"/>
      <c r="S365" s="269"/>
      <c r="T365" s="269"/>
    </row>
    <row r="366">
      <c r="A366" s="307"/>
      <c r="B366" s="269"/>
      <c r="C366" s="269"/>
      <c r="D366" s="269"/>
      <c r="E366" s="269"/>
      <c r="F366" s="269"/>
      <c r="G366" s="269"/>
      <c r="H366" s="269"/>
      <c r="I366" s="269"/>
      <c r="J366" s="269"/>
      <c r="K366" s="269"/>
      <c r="L366" s="269"/>
      <c r="M366" s="269"/>
      <c r="N366" s="269"/>
      <c r="O366" s="269"/>
      <c r="P366" s="269"/>
      <c r="Q366" s="269"/>
      <c r="R366" s="269"/>
      <c r="S366" s="269"/>
      <c r="T366" s="269"/>
    </row>
    <row r="367">
      <c r="A367" s="307"/>
      <c r="B367" s="278" t="s">
        <v>944</v>
      </c>
      <c r="C367" s="279"/>
      <c r="D367" s="279"/>
      <c r="E367" s="279"/>
      <c r="F367" s="280"/>
      <c r="G367" s="269"/>
      <c r="H367" s="269"/>
      <c r="I367" s="269"/>
      <c r="J367" s="269"/>
      <c r="K367" s="269"/>
      <c r="L367" s="269"/>
      <c r="M367" s="269"/>
      <c r="N367" s="269"/>
      <c r="O367" s="269"/>
      <c r="P367" s="269"/>
      <c r="Q367" s="269"/>
      <c r="R367" s="269"/>
      <c r="S367" s="269"/>
      <c r="T367" s="269"/>
    </row>
    <row r="368">
      <c r="A368" s="307"/>
      <c r="B368" s="282"/>
      <c r="C368" s="283"/>
      <c r="D368" s="283"/>
      <c r="E368" s="283"/>
      <c r="F368" s="284"/>
      <c r="G368" s="269"/>
      <c r="H368" s="269"/>
      <c r="I368" s="269"/>
      <c r="J368" s="269"/>
      <c r="K368" s="269"/>
      <c r="L368" s="269"/>
      <c r="M368" s="269"/>
      <c r="N368" s="269"/>
      <c r="O368" s="269"/>
      <c r="P368" s="269"/>
      <c r="Q368" s="269"/>
      <c r="R368" s="269"/>
      <c r="S368" s="269"/>
      <c r="T368" s="269"/>
    </row>
    <row r="369">
      <c r="A369" s="307"/>
      <c r="B369" s="285" t="s">
        <v>901</v>
      </c>
      <c r="C369" s="286" t="s">
        <v>902</v>
      </c>
      <c r="D369" s="286" t="s">
        <v>903</v>
      </c>
      <c r="E369" s="286" t="s">
        <v>904</v>
      </c>
      <c r="F369" s="286" t="s">
        <v>905</v>
      </c>
      <c r="G369" s="269"/>
      <c r="H369" s="269"/>
      <c r="I369" s="269"/>
      <c r="J369" s="269"/>
      <c r="K369" s="269"/>
      <c r="L369" s="269"/>
      <c r="M369" s="269"/>
      <c r="N369" s="269"/>
      <c r="O369" s="269"/>
      <c r="P369" s="269"/>
      <c r="Q369" s="269"/>
      <c r="R369" s="269"/>
      <c r="S369" s="269"/>
      <c r="T369" s="269"/>
    </row>
    <row r="370">
      <c r="A370" s="307"/>
      <c r="B370" s="304">
        <v>1.0</v>
      </c>
      <c r="C370" s="303">
        <v>2.0</v>
      </c>
      <c r="D370" s="304">
        <v>3.0</v>
      </c>
      <c r="E370" s="303">
        <v>4.0</v>
      </c>
      <c r="F370" s="304">
        <v>5.0</v>
      </c>
      <c r="G370" s="269"/>
      <c r="H370" s="269"/>
      <c r="I370" s="269"/>
      <c r="J370" s="269"/>
      <c r="K370" s="269"/>
      <c r="L370" s="269"/>
      <c r="M370" s="269"/>
      <c r="N370" s="269"/>
      <c r="O370" s="269"/>
      <c r="P370" s="269"/>
      <c r="Q370" s="269"/>
      <c r="R370" s="269"/>
      <c r="S370" s="269"/>
      <c r="T370" s="269"/>
    </row>
    <row r="371">
      <c r="A371" s="307"/>
      <c r="B371" s="330" t="s">
        <v>945</v>
      </c>
      <c r="C371" s="330" t="s">
        <v>945</v>
      </c>
      <c r="D371" s="330" t="s">
        <v>945</v>
      </c>
      <c r="E371" s="331"/>
      <c r="F371" s="331"/>
      <c r="G371" s="269"/>
      <c r="H371" s="269"/>
      <c r="I371" s="269"/>
      <c r="J371" s="269"/>
      <c r="K371" s="269"/>
      <c r="L371" s="269"/>
      <c r="M371" s="269"/>
      <c r="N371" s="269"/>
      <c r="O371" s="269"/>
      <c r="P371" s="269"/>
      <c r="Q371" s="269"/>
      <c r="R371" s="269"/>
      <c r="S371" s="269"/>
      <c r="T371" s="269"/>
    </row>
    <row r="372">
      <c r="A372" s="307"/>
      <c r="B372" s="332" t="s">
        <v>946</v>
      </c>
      <c r="C372" s="332" t="s">
        <v>946</v>
      </c>
      <c r="D372" s="332" t="s">
        <v>946</v>
      </c>
      <c r="E372" s="332" t="s">
        <v>946</v>
      </c>
      <c r="F372" s="332" t="s">
        <v>946</v>
      </c>
      <c r="G372" s="269"/>
      <c r="H372" s="269"/>
      <c r="I372" s="269"/>
      <c r="J372" s="269"/>
      <c r="K372" s="269"/>
      <c r="L372" s="269"/>
      <c r="M372" s="269"/>
      <c r="N372" s="269"/>
      <c r="O372" s="269"/>
      <c r="P372" s="269"/>
      <c r="Q372" s="269"/>
      <c r="R372" s="269"/>
      <c r="S372" s="269"/>
      <c r="T372" s="269"/>
    </row>
    <row r="373">
      <c r="A373" s="307"/>
      <c r="B373" s="319" t="s">
        <v>947</v>
      </c>
      <c r="C373" s="319" t="s">
        <v>947</v>
      </c>
      <c r="D373" s="319" t="s">
        <v>947</v>
      </c>
      <c r="E373" s="319" t="s">
        <v>947</v>
      </c>
      <c r="F373" s="319" t="s">
        <v>947</v>
      </c>
      <c r="G373" s="269"/>
      <c r="H373" s="269"/>
      <c r="I373" s="269"/>
      <c r="J373" s="269"/>
      <c r="K373" s="269"/>
      <c r="L373" s="269"/>
      <c r="M373" s="269"/>
      <c r="N373" s="269"/>
      <c r="O373" s="269"/>
      <c r="P373" s="269"/>
      <c r="Q373" s="269"/>
      <c r="R373" s="269"/>
      <c r="S373" s="269"/>
      <c r="T373" s="269"/>
    </row>
    <row r="374">
      <c r="A374" s="307"/>
      <c r="B374" s="333" t="s">
        <v>948</v>
      </c>
      <c r="C374" s="333" t="s">
        <v>948</v>
      </c>
      <c r="D374" s="333" t="s">
        <v>948</v>
      </c>
      <c r="E374" s="333" t="s">
        <v>948</v>
      </c>
      <c r="F374" s="333" t="s">
        <v>948</v>
      </c>
      <c r="G374" s="269"/>
      <c r="H374" s="269"/>
      <c r="I374" s="269"/>
      <c r="J374" s="269"/>
      <c r="K374" s="269"/>
      <c r="L374" s="269"/>
      <c r="M374" s="269"/>
      <c r="N374" s="269"/>
      <c r="O374" s="269"/>
      <c r="P374" s="269"/>
      <c r="Q374" s="269"/>
      <c r="R374" s="269"/>
      <c r="S374" s="269"/>
      <c r="T374" s="269"/>
    </row>
    <row r="375">
      <c r="A375" s="307"/>
      <c r="B375" s="334"/>
      <c r="C375" s="334"/>
      <c r="D375" s="326" t="s">
        <v>949</v>
      </c>
      <c r="E375" s="334"/>
      <c r="F375" s="334"/>
      <c r="G375" s="269"/>
      <c r="H375" s="269"/>
      <c r="I375" s="269"/>
      <c r="J375" s="269"/>
      <c r="K375" s="269"/>
      <c r="L375" s="269"/>
      <c r="M375" s="269"/>
      <c r="N375" s="269"/>
      <c r="O375" s="269"/>
      <c r="P375" s="269"/>
      <c r="Q375" s="269"/>
      <c r="R375" s="269"/>
      <c r="S375" s="269"/>
      <c r="T375" s="269"/>
    </row>
    <row r="376">
      <c r="A376" s="307"/>
      <c r="B376" s="294"/>
      <c r="C376" s="294"/>
      <c r="D376" s="294"/>
      <c r="E376" s="294"/>
      <c r="F376" s="294"/>
      <c r="G376" s="269"/>
      <c r="H376" s="269"/>
      <c r="I376" s="269"/>
      <c r="J376" s="269"/>
      <c r="K376" s="269"/>
      <c r="L376" s="269"/>
      <c r="M376" s="269"/>
      <c r="N376" s="269"/>
      <c r="O376" s="269"/>
      <c r="P376" s="269"/>
      <c r="Q376" s="269"/>
      <c r="R376" s="269"/>
      <c r="S376" s="269"/>
      <c r="T376" s="269"/>
    </row>
    <row r="377">
      <c r="A377" s="307"/>
      <c r="B377" s="294"/>
      <c r="C377" s="294"/>
      <c r="D377" s="294"/>
      <c r="E377" s="294"/>
      <c r="F377" s="294"/>
      <c r="G377" s="269"/>
      <c r="H377" s="269"/>
      <c r="I377" s="269"/>
      <c r="J377" s="269"/>
      <c r="K377" s="269"/>
      <c r="L377" s="269"/>
      <c r="M377" s="269"/>
      <c r="N377" s="269"/>
      <c r="O377" s="269"/>
      <c r="P377" s="269"/>
      <c r="Q377" s="269"/>
      <c r="R377" s="269"/>
      <c r="S377" s="269"/>
      <c r="T377" s="269"/>
    </row>
    <row r="378">
      <c r="A378" s="307"/>
      <c r="B378" s="294"/>
      <c r="C378" s="294"/>
      <c r="D378" s="294"/>
      <c r="E378" s="294"/>
      <c r="F378" s="294"/>
      <c r="G378" s="269"/>
      <c r="H378" s="269"/>
      <c r="I378" s="269"/>
      <c r="J378" s="269"/>
      <c r="K378" s="269"/>
      <c r="L378" s="269"/>
      <c r="M378" s="269"/>
      <c r="N378" s="269"/>
      <c r="O378" s="269"/>
      <c r="P378" s="269"/>
      <c r="Q378" s="269"/>
      <c r="R378" s="269"/>
      <c r="S378" s="269"/>
      <c r="T378" s="269"/>
    </row>
    <row r="379">
      <c r="A379" s="307"/>
      <c r="B379" s="295"/>
      <c r="C379" s="295"/>
      <c r="D379" s="295"/>
      <c r="E379" s="295"/>
      <c r="F379" s="295"/>
      <c r="G379" s="269"/>
      <c r="H379" s="269"/>
      <c r="I379" s="269"/>
      <c r="J379" s="269"/>
      <c r="K379" s="269"/>
      <c r="L379" s="269"/>
      <c r="M379" s="269"/>
      <c r="N379" s="269"/>
      <c r="O379" s="269"/>
      <c r="P379" s="269"/>
      <c r="Q379" s="269"/>
      <c r="R379" s="269"/>
      <c r="S379" s="269"/>
      <c r="T379" s="269"/>
    </row>
    <row r="380">
      <c r="A380" s="307"/>
      <c r="B380" s="304">
        <v>8.0</v>
      </c>
      <c r="C380" s="303">
        <v>9.0</v>
      </c>
      <c r="D380" s="304">
        <v>10.0</v>
      </c>
      <c r="E380" s="303">
        <v>11.0</v>
      </c>
      <c r="F380" s="304">
        <v>12.0</v>
      </c>
      <c r="G380" s="269"/>
      <c r="H380" s="269"/>
      <c r="I380" s="269"/>
      <c r="J380" s="269"/>
      <c r="K380" s="269"/>
      <c r="L380" s="269"/>
      <c r="M380" s="269"/>
      <c r="N380" s="269"/>
      <c r="O380" s="269"/>
      <c r="P380" s="269"/>
      <c r="Q380" s="269"/>
      <c r="R380" s="269"/>
      <c r="S380" s="269"/>
      <c r="T380" s="269"/>
    </row>
    <row r="381">
      <c r="A381" s="307"/>
      <c r="B381" s="314" t="s">
        <v>950</v>
      </c>
      <c r="C381" s="314" t="s">
        <v>950</v>
      </c>
      <c r="D381" s="314" t="s">
        <v>950</v>
      </c>
      <c r="E381" s="314" t="s">
        <v>950</v>
      </c>
      <c r="F381" s="314" t="s">
        <v>950</v>
      </c>
      <c r="G381" s="269"/>
      <c r="H381" s="269"/>
      <c r="I381" s="269"/>
      <c r="J381" s="269"/>
      <c r="K381" s="269"/>
      <c r="L381" s="269"/>
      <c r="M381" s="269"/>
      <c r="N381" s="269"/>
      <c r="O381" s="269"/>
      <c r="P381" s="269"/>
      <c r="Q381" s="269"/>
      <c r="R381" s="269"/>
      <c r="S381" s="269"/>
      <c r="T381" s="269"/>
    </row>
    <row r="382">
      <c r="A382" s="307"/>
      <c r="B382" s="293"/>
      <c r="C382" s="294"/>
      <c r="D382" s="293"/>
      <c r="E382" s="324" t="s">
        <v>951</v>
      </c>
      <c r="F382" s="324" t="s">
        <v>951</v>
      </c>
      <c r="G382" s="269"/>
      <c r="H382" s="269"/>
      <c r="I382" s="269"/>
      <c r="J382" s="269"/>
      <c r="K382" s="269"/>
      <c r="L382" s="269"/>
      <c r="M382" s="269"/>
      <c r="N382" s="269"/>
      <c r="O382" s="269"/>
      <c r="P382" s="269"/>
      <c r="Q382" s="269"/>
      <c r="R382" s="269"/>
      <c r="S382" s="269"/>
      <c r="T382" s="269"/>
    </row>
    <row r="383">
      <c r="A383" s="307"/>
      <c r="B383" s="293"/>
      <c r="C383" s="293"/>
      <c r="D383" s="326" t="s">
        <v>952</v>
      </c>
      <c r="E383" s="293"/>
      <c r="F383" s="293"/>
      <c r="G383" s="269"/>
      <c r="H383" s="269"/>
      <c r="I383" s="269"/>
      <c r="J383" s="269"/>
      <c r="K383" s="269"/>
      <c r="L383" s="269"/>
      <c r="M383" s="269"/>
      <c r="N383" s="269"/>
      <c r="O383" s="269"/>
      <c r="P383" s="269"/>
      <c r="Q383" s="269"/>
      <c r="R383" s="269"/>
      <c r="S383" s="269"/>
      <c r="T383" s="269"/>
    </row>
    <row r="384">
      <c r="A384" s="307"/>
      <c r="B384" s="293"/>
      <c r="C384" s="293"/>
      <c r="D384" s="293"/>
      <c r="E384" s="293"/>
      <c r="F384" s="293"/>
      <c r="G384" s="269"/>
      <c r="H384" s="269"/>
      <c r="I384" s="269"/>
      <c r="J384" s="269"/>
      <c r="K384" s="269"/>
      <c r="L384" s="269"/>
      <c r="M384" s="269"/>
      <c r="N384" s="269"/>
      <c r="O384" s="269"/>
      <c r="P384" s="269"/>
      <c r="Q384" s="269"/>
      <c r="R384" s="269"/>
      <c r="S384" s="269"/>
      <c r="T384" s="269"/>
    </row>
    <row r="385">
      <c r="A385" s="307"/>
      <c r="B385" s="293"/>
      <c r="C385" s="293"/>
      <c r="D385" s="293"/>
      <c r="E385" s="293"/>
      <c r="F385" s="293"/>
      <c r="G385" s="269"/>
      <c r="H385" s="269"/>
      <c r="I385" s="269"/>
      <c r="J385" s="269"/>
      <c r="K385" s="269"/>
      <c r="L385" s="269"/>
      <c r="M385" s="269"/>
      <c r="N385" s="269"/>
      <c r="O385" s="269"/>
      <c r="P385" s="269"/>
      <c r="Q385" s="269"/>
      <c r="R385" s="269"/>
      <c r="S385" s="269"/>
      <c r="T385" s="269"/>
    </row>
    <row r="386">
      <c r="A386" s="307"/>
      <c r="B386" s="293"/>
      <c r="C386" s="293"/>
      <c r="D386" s="293"/>
      <c r="E386" s="293"/>
      <c r="F386" s="293"/>
      <c r="G386" s="269"/>
      <c r="H386" s="269"/>
      <c r="I386" s="269"/>
      <c r="J386" s="269"/>
      <c r="K386" s="269"/>
      <c r="L386" s="269"/>
      <c r="M386" s="269"/>
      <c r="N386" s="269"/>
      <c r="O386" s="269"/>
      <c r="P386" s="269"/>
      <c r="Q386" s="269"/>
      <c r="R386" s="269"/>
      <c r="S386" s="269"/>
      <c r="T386" s="269"/>
    </row>
    <row r="387">
      <c r="A387" s="307"/>
      <c r="B387" s="293"/>
      <c r="C387" s="293"/>
      <c r="D387" s="293"/>
      <c r="E387" s="293"/>
      <c r="F387" s="294"/>
      <c r="G387" s="269"/>
      <c r="H387" s="269"/>
      <c r="I387" s="269"/>
      <c r="J387" s="269"/>
      <c r="K387" s="269"/>
      <c r="L387" s="269"/>
      <c r="M387" s="269"/>
      <c r="N387" s="269"/>
      <c r="O387" s="269"/>
      <c r="P387" s="269"/>
      <c r="Q387" s="269"/>
      <c r="R387" s="269"/>
      <c r="S387" s="269"/>
      <c r="T387" s="269"/>
    </row>
    <row r="388">
      <c r="A388" s="307"/>
      <c r="B388" s="293"/>
      <c r="C388" s="293"/>
      <c r="D388" s="293"/>
      <c r="E388" s="293"/>
      <c r="F388" s="294"/>
      <c r="G388" s="269"/>
      <c r="H388" s="269"/>
      <c r="I388" s="269"/>
      <c r="J388" s="269"/>
      <c r="K388" s="269"/>
      <c r="L388" s="269"/>
      <c r="M388" s="269"/>
      <c r="N388" s="269"/>
      <c r="O388" s="269"/>
      <c r="P388" s="269"/>
      <c r="Q388" s="269"/>
      <c r="R388" s="269"/>
      <c r="S388" s="269"/>
      <c r="T388" s="269"/>
    </row>
    <row r="389">
      <c r="A389" s="307"/>
      <c r="B389" s="294"/>
      <c r="C389" s="293"/>
      <c r="D389" s="294"/>
      <c r="E389" s="293"/>
      <c r="F389" s="294"/>
      <c r="G389" s="269"/>
      <c r="H389" s="269"/>
      <c r="I389" s="269"/>
      <c r="J389" s="269"/>
      <c r="K389" s="269"/>
      <c r="L389" s="269"/>
      <c r="M389" s="269"/>
      <c r="N389" s="269"/>
      <c r="O389" s="269"/>
      <c r="P389" s="269"/>
      <c r="Q389" s="269"/>
      <c r="R389" s="269"/>
      <c r="S389" s="269"/>
      <c r="T389" s="269"/>
    </row>
    <row r="390">
      <c r="A390" s="307"/>
      <c r="B390" s="296"/>
      <c r="C390" s="297"/>
      <c r="D390" s="296"/>
      <c r="E390" s="293"/>
      <c r="F390" s="296"/>
      <c r="G390" s="269"/>
      <c r="H390" s="269"/>
      <c r="I390" s="269"/>
      <c r="J390" s="269"/>
      <c r="K390" s="269"/>
      <c r="L390" s="269"/>
      <c r="M390" s="269"/>
      <c r="N390" s="269"/>
      <c r="O390" s="269"/>
      <c r="P390" s="269"/>
      <c r="Q390" s="269"/>
      <c r="R390" s="269"/>
      <c r="S390" s="269"/>
      <c r="T390" s="269"/>
    </row>
    <row r="391">
      <c r="A391" s="307"/>
      <c r="B391" s="304">
        <v>15.0</v>
      </c>
      <c r="C391" s="303">
        <v>16.0</v>
      </c>
      <c r="D391" s="304">
        <v>17.0</v>
      </c>
      <c r="E391" s="303">
        <v>18.0</v>
      </c>
      <c r="F391" s="304">
        <v>19.0</v>
      </c>
      <c r="G391" s="269"/>
      <c r="H391" s="269"/>
      <c r="I391" s="269"/>
      <c r="J391" s="269"/>
      <c r="K391" s="269"/>
      <c r="L391" s="269"/>
      <c r="M391" s="269"/>
      <c r="N391" s="269"/>
      <c r="O391" s="269"/>
      <c r="P391" s="269"/>
      <c r="Q391" s="269"/>
      <c r="R391" s="269"/>
      <c r="S391" s="269"/>
      <c r="T391" s="269"/>
    </row>
    <row r="392">
      <c r="A392" s="307"/>
      <c r="B392" s="335" t="s">
        <v>953</v>
      </c>
      <c r="C392" s="336" t="s">
        <v>953</v>
      </c>
      <c r="D392" s="336" t="s">
        <v>953</v>
      </c>
      <c r="E392" s="336" t="s">
        <v>953</v>
      </c>
      <c r="F392" s="336" t="s">
        <v>953</v>
      </c>
      <c r="G392" s="269"/>
      <c r="H392" s="269"/>
      <c r="I392" s="269"/>
      <c r="J392" s="269"/>
      <c r="K392" s="269"/>
      <c r="L392" s="269"/>
      <c r="M392" s="269"/>
      <c r="N392" s="269"/>
      <c r="O392" s="269"/>
      <c r="P392" s="269"/>
      <c r="Q392" s="269"/>
      <c r="R392" s="269"/>
      <c r="S392" s="269"/>
      <c r="T392" s="269"/>
    </row>
    <row r="393">
      <c r="A393" s="307"/>
      <c r="B393" s="337" t="s">
        <v>954</v>
      </c>
      <c r="C393" s="337" t="s">
        <v>954</v>
      </c>
      <c r="D393" s="337" t="s">
        <v>954</v>
      </c>
      <c r="E393" s="337" t="s">
        <v>954</v>
      </c>
      <c r="F393" s="337" t="s">
        <v>954</v>
      </c>
      <c r="G393" s="269"/>
      <c r="H393" s="269"/>
      <c r="I393" s="269"/>
      <c r="J393" s="269"/>
      <c r="K393" s="269"/>
      <c r="L393" s="269"/>
      <c r="M393" s="269"/>
      <c r="N393" s="269"/>
      <c r="O393" s="269"/>
      <c r="P393" s="269"/>
      <c r="Q393" s="269"/>
      <c r="R393" s="269"/>
      <c r="S393" s="269"/>
      <c r="T393" s="269"/>
    </row>
    <row r="394">
      <c r="A394" s="307"/>
      <c r="B394" s="293"/>
      <c r="C394" s="293"/>
      <c r="D394" s="293"/>
      <c r="E394" s="324" t="s">
        <v>951</v>
      </c>
      <c r="F394" s="324" t="s">
        <v>951</v>
      </c>
      <c r="G394" s="269"/>
      <c r="H394" s="269"/>
      <c r="I394" s="269"/>
      <c r="J394" s="269"/>
      <c r="K394" s="269"/>
      <c r="L394" s="269"/>
      <c r="M394" s="269"/>
      <c r="N394" s="269"/>
      <c r="O394" s="269"/>
      <c r="P394" s="269"/>
      <c r="Q394" s="269"/>
      <c r="R394" s="269"/>
      <c r="S394" s="269"/>
      <c r="T394" s="269"/>
    </row>
    <row r="395">
      <c r="A395" s="307"/>
      <c r="B395" s="293"/>
      <c r="C395" s="293"/>
      <c r="D395" s="293"/>
      <c r="E395" s="293"/>
      <c r="F395" s="293"/>
      <c r="G395" s="269"/>
      <c r="H395" s="269"/>
      <c r="I395" s="269"/>
      <c r="J395" s="269"/>
      <c r="K395" s="269"/>
      <c r="L395" s="269"/>
      <c r="M395" s="269"/>
      <c r="N395" s="269"/>
      <c r="O395" s="269"/>
      <c r="P395" s="269"/>
      <c r="Q395" s="269"/>
      <c r="R395" s="269"/>
      <c r="S395" s="269"/>
      <c r="T395" s="269"/>
    </row>
    <row r="396">
      <c r="A396" s="307"/>
      <c r="B396" s="294"/>
      <c r="C396" s="293"/>
      <c r="D396" s="293"/>
      <c r="E396" s="293"/>
      <c r="F396" s="293"/>
      <c r="G396" s="269"/>
      <c r="H396" s="269"/>
      <c r="I396" s="269"/>
      <c r="J396" s="269"/>
      <c r="K396" s="269"/>
      <c r="L396" s="269"/>
      <c r="M396" s="269"/>
      <c r="N396" s="269"/>
      <c r="O396" s="269"/>
      <c r="P396" s="269"/>
      <c r="Q396" s="269"/>
      <c r="R396" s="269"/>
      <c r="S396" s="269"/>
      <c r="T396" s="269"/>
    </row>
    <row r="397">
      <c r="A397" s="307"/>
      <c r="B397" s="294"/>
      <c r="C397" s="293"/>
      <c r="D397" s="293"/>
      <c r="E397" s="293"/>
      <c r="F397" s="293"/>
      <c r="G397" s="269"/>
      <c r="H397" s="269"/>
      <c r="I397" s="269"/>
      <c r="J397" s="269"/>
      <c r="K397" s="269"/>
      <c r="L397" s="269"/>
      <c r="M397" s="269"/>
      <c r="N397" s="269"/>
      <c r="O397" s="269"/>
      <c r="P397" s="269"/>
      <c r="Q397" s="269"/>
      <c r="R397" s="269"/>
      <c r="S397" s="269"/>
      <c r="T397" s="269"/>
    </row>
    <row r="398">
      <c r="A398" s="307"/>
      <c r="B398" s="294"/>
      <c r="C398" s="293"/>
      <c r="D398" s="293"/>
      <c r="E398" s="293"/>
      <c r="F398" s="293"/>
      <c r="G398" s="269"/>
      <c r="H398" s="269"/>
      <c r="I398" s="269"/>
      <c r="J398" s="269"/>
      <c r="K398" s="269"/>
      <c r="L398" s="269"/>
      <c r="M398" s="269"/>
      <c r="N398" s="269"/>
      <c r="O398" s="269"/>
      <c r="P398" s="269"/>
      <c r="Q398" s="269"/>
      <c r="R398" s="269"/>
      <c r="S398" s="269"/>
      <c r="T398" s="269"/>
    </row>
    <row r="399">
      <c r="A399" s="307"/>
      <c r="B399" s="293"/>
      <c r="C399" s="293"/>
      <c r="D399" s="294"/>
      <c r="E399" s="293"/>
      <c r="F399" s="294"/>
      <c r="G399" s="269"/>
      <c r="H399" s="269"/>
      <c r="I399" s="269"/>
      <c r="J399" s="269"/>
      <c r="K399" s="269"/>
      <c r="L399" s="269"/>
      <c r="M399" s="269"/>
      <c r="N399" s="269"/>
      <c r="O399" s="269"/>
      <c r="P399" s="269"/>
      <c r="Q399" s="269"/>
      <c r="R399" s="269"/>
      <c r="S399" s="269"/>
      <c r="T399" s="269"/>
    </row>
    <row r="400">
      <c r="A400" s="307"/>
      <c r="B400" s="296"/>
      <c r="C400" s="296"/>
      <c r="D400" s="296"/>
      <c r="E400" s="296"/>
      <c r="F400" s="296"/>
      <c r="G400" s="269"/>
      <c r="H400" s="269"/>
      <c r="I400" s="269"/>
      <c r="J400" s="269"/>
      <c r="K400" s="269"/>
      <c r="L400" s="269"/>
      <c r="M400" s="269"/>
      <c r="N400" s="269"/>
      <c r="O400" s="269"/>
      <c r="P400" s="269"/>
      <c r="Q400" s="269"/>
      <c r="R400" s="269"/>
      <c r="S400" s="269"/>
      <c r="T400" s="269"/>
    </row>
    <row r="401">
      <c r="A401" s="307"/>
      <c r="B401" s="304">
        <v>22.0</v>
      </c>
      <c r="C401" s="303">
        <v>23.0</v>
      </c>
      <c r="D401" s="304">
        <v>24.0</v>
      </c>
      <c r="E401" s="303">
        <v>25.0</v>
      </c>
      <c r="F401" s="304">
        <v>26.0</v>
      </c>
      <c r="G401" s="269"/>
      <c r="H401" s="269"/>
      <c r="I401" s="269"/>
      <c r="J401" s="269"/>
      <c r="K401" s="269"/>
      <c r="L401" s="269"/>
      <c r="M401" s="269"/>
      <c r="N401" s="269"/>
      <c r="O401" s="269"/>
      <c r="P401" s="269"/>
      <c r="Q401" s="269"/>
      <c r="R401" s="269"/>
      <c r="S401" s="269"/>
      <c r="T401" s="269"/>
    </row>
    <row r="402">
      <c r="A402" s="307"/>
      <c r="B402" s="338" t="s">
        <v>953</v>
      </c>
      <c r="C402" s="339" t="s">
        <v>953</v>
      </c>
      <c r="D402" s="339" t="s">
        <v>953</v>
      </c>
      <c r="E402" s="339" t="s">
        <v>953</v>
      </c>
      <c r="F402" s="339" t="s">
        <v>953</v>
      </c>
      <c r="G402" s="269"/>
      <c r="H402" s="269"/>
      <c r="I402" s="269"/>
      <c r="J402" s="269"/>
      <c r="K402" s="269"/>
      <c r="L402" s="269"/>
      <c r="M402" s="269"/>
      <c r="N402" s="269"/>
      <c r="O402" s="269"/>
      <c r="P402" s="269"/>
      <c r="Q402" s="269"/>
      <c r="R402" s="269"/>
      <c r="S402" s="269"/>
      <c r="T402" s="269"/>
    </row>
    <row r="403">
      <c r="A403" s="307"/>
      <c r="B403" s="293"/>
      <c r="C403" s="293"/>
      <c r="D403" s="337" t="s">
        <v>955</v>
      </c>
      <c r="E403" s="337" t="s">
        <v>955</v>
      </c>
      <c r="F403" s="293"/>
      <c r="G403" s="269"/>
      <c r="H403" s="269"/>
      <c r="I403" s="269"/>
      <c r="J403" s="269"/>
      <c r="K403" s="269"/>
      <c r="L403" s="269"/>
      <c r="M403" s="269"/>
      <c r="N403" s="269"/>
      <c r="O403" s="269"/>
      <c r="P403" s="269"/>
      <c r="Q403" s="269"/>
      <c r="R403" s="269"/>
      <c r="S403" s="269"/>
      <c r="T403" s="269"/>
    </row>
    <row r="404">
      <c r="A404" s="307"/>
      <c r="B404" s="327" t="s">
        <v>938</v>
      </c>
      <c r="C404" s="327" t="s">
        <v>938</v>
      </c>
      <c r="D404" s="327" t="s">
        <v>938</v>
      </c>
      <c r="E404" s="327" t="s">
        <v>938</v>
      </c>
      <c r="F404" s="327" t="s">
        <v>938</v>
      </c>
      <c r="G404" s="269"/>
      <c r="H404" s="269"/>
      <c r="I404" s="269"/>
      <c r="J404" s="269"/>
      <c r="K404" s="269"/>
      <c r="L404" s="269"/>
      <c r="M404" s="269"/>
      <c r="N404" s="269"/>
      <c r="O404" s="269"/>
      <c r="P404" s="269"/>
      <c r="Q404" s="269"/>
      <c r="R404" s="269"/>
      <c r="S404" s="269"/>
      <c r="T404" s="269"/>
    </row>
    <row r="405">
      <c r="A405" s="307"/>
      <c r="B405" s="293"/>
      <c r="C405" s="293"/>
      <c r="D405" s="293"/>
      <c r="E405" s="293"/>
      <c r="F405" s="293"/>
      <c r="G405" s="269"/>
      <c r="H405" s="269"/>
      <c r="I405" s="269"/>
      <c r="J405" s="269"/>
      <c r="K405" s="269"/>
      <c r="L405" s="269"/>
      <c r="M405" s="269"/>
      <c r="N405" s="269"/>
      <c r="O405" s="269"/>
      <c r="P405" s="269"/>
      <c r="Q405" s="269"/>
      <c r="R405" s="269"/>
      <c r="S405" s="269"/>
      <c r="T405" s="269"/>
    </row>
    <row r="406">
      <c r="A406" s="307"/>
      <c r="B406" s="293"/>
      <c r="C406" s="293"/>
      <c r="D406" s="293"/>
      <c r="E406" s="293"/>
      <c r="F406" s="293"/>
      <c r="G406" s="269"/>
      <c r="H406" s="269"/>
      <c r="I406" s="269"/>
      <c r="J406" s="269"/>
      <c r="K406" s="269"/>
      <c r="L406" s="269"/>
      <c r="M406" s="269"/>
      <c r="N406" s="269"/>
      <c r="O406" s="269"/>
      <c r="P406" s="269"/>
      <c r="Q406" s="269"/>
      <c r="R406" s="269"/>
      <c r="S406" s="269"/>
      <c r="T406" s="269"/>
    </row>
    <row r="407">
      <c r="A407" s="307"/>
      <c r="B407" s="293"/>
      <c r="C407" s="293"/>
      <c r="D407" s="293"/>
      <c r="E407" s="293"/>
      <c r="F407" s="293"/>
      <c r="G407" s="269"/>
      <c r="H407" s="269"/>
      <c r="I407" s="269"/>
      <c r="J407" s="269"/>
      <c r="K407" s="269"/>
      <c r="L407" s="269"/>
      <c r="M407" s="269"/>
      <c r="N407" s="269"/>
      <c r="O407" s="269"/>
      <c r="P407" s="269"/>
      <c r="Q407" s="269"/>
      <c r="R407" s="269"/>
      <c r="S407" s="269"/>
      <c r="T407" s="269"/>
    </row>
    <row r="408">
      <c r="A408" s="307"/>
      <c r="B408" s="293"/>
      <c r="C408" s="293"/>
      <c r="D408" s="293"/>
      <c r="E408" s="293"/>
      <c r="F408" s="294"/>
      <c r="G408" s="269"/>
      <c r="H408" s="269"/>
      <c r="I408" s="269"/>
      <c r="J408" s="269"/>
      <c r="K408" s="269"/>
      <c r="L408" s="269"/>
      <c r="M408" s="269"/>
      <c r="N408" s="269"/>
      <c r="O408" s="269"/>
      <c r="P408" s="269"/>
      <c r="Q408" s="269"/>
      <c r="R408" s="269"/>
      <c r="S408" s="269"/>
      <c r="T408" s="269"/>
    </row>
    <row r="409">
      <c r="A409" s="307"/>
      <c r="B409" s="294"/>
      <c r="C409" s="293"/>
      <c r="D409" s="293"/>
      <c r="E409" s="294"/>
      <c r="F409" s="294"/>
      <c r="G409" s="269"/>
      <c r="H409" s="269"/>
      <c r="I409" s="269"/>
      <c r="J409" s="269"/>
      <c r="K409" s="269"/>
      <c r="L409" s="269"/>
      <c r="M409" s="269"/>
      <c r="N409" s="269"/>
      <c r="O409" s="269"/>
      <c r="P409" s="269"/>
      <c r="Q409" s="269"/>
      <c r="R409" s="269"/>
      <c r="S409" s="269"/>
      <c r="T409" s="269"/>
    </row>
    <row r="410">
      <c r="A410" s="307"/>
      <c r="B410" s="294"/>
      <c r="C410" s="293"/>
      <c r="D410" s="293"/>
      <c r="E410" s="294"/>
      <c r="F410" s="294"/>
      <c r="G410" s="269"/>
      <c r="H410" s="269"/>
      <c r="I410" s="269"/>
      <c r="J410" s="269"/>
      <c r="K410" s="269"/>
      <c r="L410" s="269"/>
      <c r="M410" s="269"/>
      <c r="N410" s="269"/>
      <c r="O410" s="269"/>
      <c r="P410" s="269"/>
      <c r="Q410" s="269"/>
      <c r="R410" s="269"/>
      <c r="S410" s="269"/>
      <c r="T410" s="269"/>
    </row>
    <row r="411">
      <c r="A411" s="307"/>
      <c r="B411" s="296"/>
      <c r="C411" s="297"/>
      <c r="D411" s="296"/>
      <c r="E411" s="296"/>
      <c r="F411" s="296"/>
      <c r="G411" s="269"/>
      <c r="H411" s="269"/>
      <c r="I411" s="269"/>
      <c r="J411" s="269"/>
      <c r="K411" s="269"/>
      <c r="L411" s="269"/>
      <c r="M411" s="269"/>
      <c r="N411" s="269"/>
      <c r="O411" s="269"/>
      <c r="P411" s="269"/>
      <c r="Q411" s="269"/>
      <c r="R411" s="269"/>
      <c r="S411" s="269"/>
      <c r="T411" s="269"/>
    </row>
    <row r="412">
      <c r="A412" s="307"/>
      <c r="B412" s="304">
        <v>29.0</v>
      </c>
      <c r="C412" s="303">
        <v>30.0</v>
      </c>
      <c r="D412" s="304">
        <v>31.0</v>
      </c>
      <c r="E412" s="303"/>
      <c r="F412" s="304"/>
      <c r="G412" s="269"/>
      <c r="H412" s="269"/>
      <c r="I412" s="269"/>
      <c r="J412" s="269"/>
      <c r="K412" s="269"/>
      <c r="L412" s="269"/>
      <c r="M412" s="269"/>
      <c r="N412" s="269"/>
      <c r="O412" s="269"/>
      <c r="P412" s="269"/>
      <c r="Q412" s="269"/>
      <c r="R412" s="269"/>
      <c r="S412" s="269"/>
      <c r="T412" s="269"/>
    </row>
    <row r="413">
      <c r="A413" s="307"/>
      <c r="B413" s="340" t="s">
        <v>956</v>
      </c>
      <c r="C413" s="340" t="s">
        <v>956</v>
      </c>
      <c r="D413" s="340" t="s">
        <v>956</v>
      </c>
      <c r="E413" s="299"/>
      <c r="F413" s="299"/>
      <c r="G413" s="269"/>
      <c r="H413" s="269"/>
      <c r="I413" s="269"/>
      <c r="J413" s="269"/>
      <c r="K413" s="269"/>
      <c r="L413" s="269"/>
      <c r="M413" s="269"/>
      <c r="N413" s="269"/>
      <c r="O413" s="269"/>
      <c r="P413" s="269"/>
      <c r="Q413" s="269"/>
      <c r="R413" s="269"/>
      <c r="S413" s="269"/>
      <c r="T413" s="269"/>
    </row>
    <row r="414">
      <c r="A414" s="307"/>
      <c r="B414" s="341" t="s">
        <v>957</v>
      </c>
      <c r="C414" s="341" t="s">
        <v>957</v>
      </c>
      <c r="D414" s="341" t="s">
        <v>957</v>
      </c>
      <c r="E414" s="292"/>
      <c r="F414" s="292"/>
      <c r="G414" s="269"/>
      <c r="H414" s="269"/>
      <c r="I414" s="269"/>
      <c r="J414" s="269"/>
      <c r="K414" s="269"/>
      <c r="L414" s="269"/>
      <c r="M414" s="269"/>
      <c r="N414" s="269"/>
      <c r="O414" s="269"/>
      <c r="P414" s="269"/>
      <c r="Q414" s="269"/>
      <c r="R414" s="269"/>
      <c r="S414" s="269"/>
      <c r="T414" s="269"/>
    </row>
    <row r="415">
      <c r="A415" s="307"/>
      <c r="B415" s="324" t="s">
        <v>958</v>
      </c>
      <c r="C415" s="324" t="s">
        <v>958</v>
      </c>
      <c r="D415" s="324" t="s">
        <v>958</v>
      </c>
      <c r="E415" s="292"/>
      <c r="F415" s="292"/>
      <c r="G415" s="269"/>
      <c r="H415" s="269"/>
      <c r="I415" s="269"/>
      <c r="J415" s="269"/>
      <c r="K415" s="269"/>
      <c r="L415" s="269"/>
      <c r="M415" s="269"/>
      <c r="N415" s="269"/>
      <c r="O415" s="269"/>
      <c r="P415" s="269"/>
      <c r="Q415" s="269"/>
      <c r="R415" s="269"/>
      <c r="S415" s="269"/>
      <c r="T415" s="269"/>
    </row>
    <row r="416">
      <c r="A416" s="307"/>
      <c r="B416" s="342" t="s">
        <v>959</v>
      </c>
      <c r="C416" s="293"/>
      <c r="D416" s="293"/>
      <c r="E416" s="292"/>
      <c r="F416" s="292"/>
      <c r="G416" s="269"/>
      <c r="H416" s="269"/>
      <c r="I416" s="269"/>
      <c r="J416" s="269"/>
      <c r="K416" s="269"/>
      <c r="L416" s="269"/>
      <c r="M416" s="269"/>
      <c r="N416" s="269"/>
      <c r="O416" s="269"/>
      <c r="P416" s="269"/>
      <c r="Q416" s="269"/>
      <c r="R416" s="269"/>
      <c r="S416" s="269"/>
      <c r="T416" s="269"/>
    </row>
    <row r="417">
      <c r="A417" s="307"/>
      <c r="B417" s="293"/>
      <c r="C417" s="293"/>
      <c r="D417" s="293"/>
      <c r="E417" s="292"/>
      <c r="F417" s="292"/>
      <c r="G417" s="269"/>
      <c r="H417" s="269"/>
      <c r="I417" s="269"/>
      <c r="J417" s="269"/>
      <c r="K417" s="269"/>
      <c r="L417" s="269"/>
      <c r="M417" s="269"/>
      <c r="N417" s="269"/>
      <c r="O417" s="269"/>
      <c r="P417" s="269"/>
      <c r="Q417" s="269"/>
      <c r="R417" s="269"/>
      <c r="S417" s="269"/>
      <c r="T417" s="269"/>
    </row>
    <row r="418">
      <c r="A418" s="307"/>
      <c r="B418" s="293"/>
      <c r="C418" s="293"/>
      <c r="D418" s="293"/>
      <c r="E418" s="292"/>
      <c r="F418" s="292"/>
      <c r="G418" s="269"/>
      <c r="H418" s="269"/>
      <c r="I418" s="269"/>
      <c r="J418" s="269"/>
      <c r="K418" s="269"/>
      <c r="L418" s="269"/>
      <c r="M418" s="269"/>
      <c r="N418" s="269"/>
      <c r="O418" s="269"/>
      <c r="P418" s="269"/>
      <c r="Q418" s="269"/>
      <c r="R418" s="269"/>
      <c r="S418" s="269"/>
      <c r="T418" s="269"/>
    </row>
    <row r="419">
      <c r="A419" s="307"/>
      <c r="B419" s="293"/>
      <c r="C419" s="293"/>
      <c r="D419" s="293"/>
      <c r="E419" s="292"/>
      <c r="F419" s="292"/>
      <c r="G419" s="269"/>
      <c r="H419" s="269"/>
      <c r="I419" s="269"/>
      <c r="J419" s="269"/>
      <c r="K419" s="269"/>
      <c r="L419" s="269"/>
      <c r="M419" s="269"/>
      <c r="N419" s="269"/>
      <c r="O419" s="269"/>
      <c r="P419" s="269"/>
      <c r="Q419" s="269"/>
      <c r="R419" s="269"/>
      <c r="S419" s="269"/>
      <c r="T419" s="269"/>
    </row>
    <row r="420">
      <c r="A420" s="307"/>
      <c r="B420" s="294"/>
      <c r="C420" s="293"/>
      <c r="D420" s="293"/>
      <c r="E420" s="292"/>
      <c r="F420" s="292"/>
      <c r="G420" s="269"/>
      <c r="H420" s="269"/>
      <c r="I420" s="269"/>
      <c r="J420" s="269"/>
      <c r="K420" s="269"/>
      <c r="L420" s="269"/>
      <c r="M420" s="269"/>
      <c r="N420" s="269"/>
      <c r="O420" s="269"/>
      <c r="P420" s="269"/>
      <c r="Q420" s="269"/>
      <c r="R420" s="269"/>
      <c r="S420" s="269"/>
      <c r="T420" s="269"/>
    </row>
    <row r="421">
      <c r="A421" s="307"/>
      <c r="B421" s="294"/>
      <c r="C421" s="293"/>
      <c r="D421" s="293"/>
      <c r="E421" s="292"/>
      <c r="F421" s="292"/>
      <c r="G421" s="269"/>
      <c r="H421" s="269"/>
      <c r="I421" s="269"/>
      <c r="J421" s="269"/>
      <c r="K421" s="269"/>
      <c r="L421" s="269"/>
      <c r="M421" s="269"/>
      <c r="N421" s="269"/>
      <c r="O421" s="269"/>
      <c r="P421" s="269"/>
      <c r="Q421" s="269"/>
      <c r="R421" s="269"/>
      <c r="S421" s="269"/>
      <c r="T421" s="269"/>
    </row>
    <row r="422">
      <c r="A422" s="307"/>
      <c r="B422" s="296"/>
      <c r="C422" s="297"/>
      <c r="D422" s="296"/>
      <c r="E422" s="77"/>
      <c r="F422" s="77"/>
      <c r="G422" s="269"/>
      <c r="H422" s="269"/>
      <c r="I422" s="269"/>
      <c r="J422" s="269"/>
      <c r="K422" s="269"/>
      <c r="L422" s="269"/>
      <c r="M422" s="269"/>
      <c r="N422" s="269"/>
      <c r="O422" s="269"/>
      <c r="P422" s="269"/>
      <c r="Q422" s="269"/>
      <c r="R422" s="269"/>
      <c r="S422" s="269"/>
      <c r="T422" s="269"/>
    </row>
    <row r="423">
      <c r="A423" s="307"/>
      <c r="B423" s="269"/>
      <c r="C423" s="269"/>
      <c r="D423" s="269"/>
      <c r="E423" s="269"/>
      <c r="F423" s="269"/>
      <c r="G423" s="269"/>
      <c r="H423" s="269"/>
      <c r="I423" s="269"/>
      <c r="J423" s="269"/>
      <c r="K423" s="269"/>
      <c r="L423" s="269"/>
      <c r="M423" s="269"/>
      <c r="N423" s="269"/>
      <c r="O423" s="269"/>
      <c r="P423" s="269"/>
      <c r="Q423" s="269"/>
      <c r="R423" s="269"/>
      <c r="S423" s="269"/>
      <c r="T423" s="269"/>
    </row>
    <row r="424">
      <c r="A424" s="307"/>
      <c r="B424" s="269"/>
      <c r="C424" s="269"/>
      <c r="D424" s="269"/>
      <c r="E424" s="269"/>
      <c r="F424" s="269"/>
      <c r="G424" s="269"/>
      <c r="H424" s="269"/>
      <c r="I424" s="269"/>
      <c r="J424" s="269"/>
      <c r="K424" s="269"/>
      <c r="L424" s="269"/>
      <c r="M424" s="269"/>
      <c r="N424" s="269"/>
      <c r="O424" s="269"/>
      <c r="P424" s="269"/>
      <c r="Q424" s="269"/>
      <c r="R424" s="269"/>
      <c r="S424" s="269"/>
      <c r="T424" s="269"/>
    </row>
    <row r="425">
      <c r="A425" s="307"/>
      <c r="B425" s="269"/>
      <c r="C425" s="269"/>
      <c r="D425" s="269"/>
      <c r="E425" s="269"/>
      <c r="F425" s="269"/>
      <c r="G425" s="269"/>
      <c r="H425" s="269"/>
      <c r="I425" s="269"/>
      <c r="J425" s="269"/>
      <c r="K425" s="269"/>
      <c r="L425" s="269"/>
      <c r="M425" s="269"/>
      <c r="N425" s="269"/>
      <c r="O425" s="269"/>
      <c r="P425" s="269"/>
      <c r="Q425" s="269"/>
      <c r="R425" s="269"/>
      <c r="S425" s="269"/>
      <c r="T425" s="269"/>
    </row>
    <row r="426">
      <c r="A426" s="307"/>
      <c r="B426" s="278" t="s">
        <v>960</v>
      </c>
      <c r="C426" s="279"/>
      <c r="D426" s="279"/>
      <c r="E426" s="279"/>
      <c r="F426" s="280"/>
      <c r="G426" s="269"/>
      <c r="H426" s="269"/>
      <c r="I426" s="269"/>
      <c r="J426" s="269"/>
      <c r="K426" s="269"/>
      <c r="L426" s="269"/>
      <c r="M426" s="269"/>
      <c r="N426" s="269"/>
      <c r="O426" s="269"/>
      <c r="P426" s="269"/>
      <c r="Q426" s="269"/>
      <c r="R426" s="269"/>
      <c r="S426" s="269"/>
      <c r="T426" s="269"/>
    </row>
    <row r="427">
      <c r="A427" s="307"/>
      <c r="B427" s="282"/>
      <c r="C427" s="283"/>
      <c r="D427" s="283"/>
      <c r="E427" s="283"/>
      <c r="F427" s="284"/>
      <c r="G427" s="269"/>
      <c r="H427" s="269"/>
      <c r="I427" s="269"/>
      <c r="J427" s="269"/>
      <c r="K427" s="269"/>
      <c r="L427" s="269"/>
      <c r="M427" s="269"/>
      <c r="N427" s="269"/>
      <c r="O427" s="269"/>
      <c r="P427" s="269"/>
      <c r="Q427" s="269"/>
      <c r="R427" s="269"/>
      <c r="S427" s="269"/>
      <c r="T427" s="269"/>
    </row>
    <row r="428">
      <c r="A428" s="307"/>
      <c r="B428" s="285" t="s">
        <v>901</v>
      </c>
      <c r="C428" s="286" t="s">
        <v>902</v>
      </c>
      <c r="D428" s="286" t="s">
        <v>903</v>
      </c>
      <c r="E428" s="286" t="s">
        <v>904</v>
      </c>
      <c r="F428" s="286" t="s">
        <v>905</v>
      </c>
      <c r="G428" s="269"/>
      <c r="H428" s="269"/>
      <c r="I428" s="269"/>
      <c r="J428" s="269"/>
      <c r="K428" s="269"/>
      <c r="L428" s="269"/>
      <c r="M428" s="269"/>
      <c r="N428" s="269"/>
      <c r="O428" s="269"/>
      <c r="P428" s="269"/>
      <c r="Q428" s="269"/>
      <c r="R428" s="269"/>
      <c r="S428" s="269"/>
      <c r="T428" s="269"/>
    </row>
    <row r="429">
      <c r="A429" s="307"/>
      <c r="B429" s="304"/>
      <c r="C429" s="303"/>
      <c r="D429" s="304"/>
      <c r="E429" s="303">
        <v>1.0</v>
      </c>
      <c r="F429" s="304">
        <v>2.0</v>
      </c>
      <c r="G429" s="269"/>
      <c r="H429" s="269"/>
      <c r="I429" s="269"/>
      <c r="J429" s="269"/>
      <c r="K429" s="269"/>
      <c r="L429" s="269"/>
      <c r="M429" s="269"/>
      <c r="N429" s="269"/>
      <c r="O429" s="269"/>
      <c r="P429" s="269"/>
      <c r="Q429" s="269"/>
      <c r="R429" s="269"/>
      <c r="S429" s="269"/>
      <c r="T429" s="269"/>
    </row>
    <row r="430">
      <c r="A430" s="307"/>
      <c r="B430" s="299"/>
      <c r="C430" s="299"/>
      <c r="D430" s="299"/>
      <c r="E430" s="340" t="s">
        <v>961</v>
      </c>
      <c r="F430" s="340" t="s">
        <v>961</v>
      </c>
      <c r="G430" s="269"/>
      <c r="H430" s="269"/>
      <c r="I430" s="269"/>
      <c r="J430" s="269"/>
      <c r="K430" s="269"/>
      <c r="L430" s="269"/>
      <c r="M430" s="269"/>
      <c r="N430" s="269"/>
      <c r="O430" s="269"/>
      <c r="P430" s="269"/>
      <c r="Q430" s="269"/>
      <c r="R430" s="269"/>
      <c r="S430" s="269"/>
      <c r="T430" s="269"/>
    </row>
    <row r="431">
      <c r="A431" s="307"/>
      <c r="B431" s="292"/>
      <c r="C431" s="292"/>
      <c r="D431" s="292"/>
      <c r="E431" s="341" t="s">
        <v>957</v>
      </c>
      <c r="F431" s="341" t="s">
        <v>957</v>
      </c>
      <c r="G431" s="269"/>
      <c r="H431" s="269"/>
      <c r="I431" s="269"/>
      <c r="J431" s="269"/>
      <c r="K431" s="269"/>
      <c r="L431" s="269"/>
      <c r="M431" s="269"/>
      <c r="N431" s="269"/>
      <c r="O431" s="269"/>
      <c r="P431" s="269"/>
      <c r="Q431" s="269"/>
      <c r="R431" s="269"/>
      <c r="S431" s="269"/>
      <c r="T431" s="269"/>
    </row>
    <row r="432">
      <c r="A432" s="307"/>
      <c r="B432" s="292"/>
      <c r="C432" s="292"/>
      <c r="D432" s="292"/>
      <c r="E432" s="324" t="s">
        <v>958</v>
      </c>
      <c r="F432" s="324" t="s">
        <v>958</v>
      </c>
      <c r="G432" s="269"/>
      <c r="H432" s="269"/>
      <c r="I432" s="269"/>
      <c r="J432" s="269"/>
      <c r="K432" s="269"/>
      <c r="L432" s="269"/>
      <c r="M432" s="269"/>
      <c r="N432" s="269"/>
      <c r="O432" s="269"/>
      <c r="P432" s="269"/>
      <c r="Q432" s="269"/>
      <c r="R432" s="269"/>
      <c r="S432" s="269"/>
      <c r="T432" s="269"/>
    </row>
    <row r="433">
      <c r="A433" s="307"/>
      <c r="B433" s="292"/>
      <c r="C433" s="292"/>
      <c r="D433" s="292"/>
      <c r="E433" s="293"/>
      <c r="F433" s="293"/>
      <c r="G433" s="269"/>
      <c r="H433" s="269"/>
      <c r="I433" s="269"/>
      <c r="J433" s="269"/>
      <c r="K433" s="269"/>
      <c r="L433" s="269"/>
      <c r="M433" s="269"/>
      <c r="N433" s="269"/>
      <c r="O433" s="269"/>
      <c r="P433" s="269"/>
      <c r="Q433" s="269"/>
      <c r="R433" s="269"/>
      <c r="S433" s="269"/>
      <c r="T433" s="269"/>
    </row>
    <row r="434">
      <c r="A434" s="307"/>
      <c r="B434" s="292"/>
      <c r="C434" s="292"/>
      <c r="D434" s="292"/>
      <c r="E434" s="293"/>
      <c r="F434" s="293"/>
      <c r="G434" s="269"/>
      <c r="H434" s="269"/>
      <c r="I434" s="269"/>
      <c r="J434" s="269"/>
      <c r="K434" s="269"/>
      <c r="L434" s="269"/>
      <c r="M434" s="269"/>
      <c r="N434" s="269"/>
      <c r="O434" s="269"/>
      <c r="P434" s="269"/>
      <c r="Q434" s="269"/>
      <c r="R434" s="269"/>
      <c r="S434" s="269"/>
      <c r="T434" s="269"/>
    </row>
    <row r="435">
      <c r="A435" s="307"/>
      <c r="B435" s="292"/>
      <c r="C435" s="292"/>
      <c r="D435" s="292"/>
      <c r="E435" s="294"/>
      <c r="F435" s="294"/>
      <c r="G435" s="269"/>
      <c r="H435" s="269"/>
      <c r="I435" s="269"/>
      <c r="J435" s="269"/>
      <c r="K435" s="269"/>
      <c r="L435" s="269"/>
      <c r="M435" s="269"/>
      <c r="N435" s="269"/>
      <c r="O435" s="269"/>
      <c r="P435" s="269"/>
      <c r="Q435" s="269"/>
      <c r="R435" s="269"/>
      <c r="S435" s="269"/>
      <c r="T435" s="269"/>
    </row>
    <row r="436">
      <c r="A436" s="307"/>
      <c r="B436" s="292"/>
      <c r="C436" s="292"/>
      <c r="D436" s="292"/>
      <c r="E436" s="294"/>
      <c r="F436" s="294"/>
      <c r="G436" s="269"/>
      <c r="H436" s="269"/>
      <c r="I436" s="269"/>
      <c r="J436" s="269"/>
      <c r="K436" s="269"/>
      <c r="L436" s="269"/>
      <c r="M436" s="269"/>
      <c r="N436" s="269"/>
      <c r="O436" s="269"/>
      <c r="P436" s="269"/>
      <c r="Q436" s="269"/>
      <c r="R436" s="269"/>
      <c r="S436" s="269"/>
      <c r="T436" s="269"/>
    </row>
    <row r="437">
      <c r="A437" s="307"/>
      <c r="B437" s="292"/>
      <c r="C437" s="292"/>
      <c r="D437" s="292"/>
      <c r="E437" s="294"/>
      <c r="F437" s="294"/>
      <c r="G437" s="269"/>
      <c r="H437" s="269"/>
      <c r="I437" s="269"/>
      <c r="J437" s="269"/>
      <c r="K437" s="269"/>
      <c r="L437" s="269"/>
      <c r="M437" s="269"/>
      <c r="N437" s="269"/>
      <c r="O437" s="269"/>
      <c r="P437" s="269"/>
      <c r="Q437" s="269"/>
      <c r="R437" s="269"/>
      <c r="S437" s="269"/>
      <c r="T437" s="269"/>
    </row>
    <row r="438">
      <c r="A438" s="307"/>
      <c r="B438" s="292"/>
      <c r="C438" s="292"/>
      <c r="D438" s="292"/>
      <c r="E438" s="294"/>
      <c r="F438" s="294"/>
      <c r="G438" s="269"/>
      <c r="H438" s="269"/>
      <c r="I438" s="269"/>
      <c r="J438" s="269"/>
      <c r="K438" s="269"/>
      <c r="L438" s="269"/>
      <c r="M438" s="269"/>
      <c r="N438" s="269"/>
      <c r="O438" s="269"/>
      <c r="P438" s="269"/>
      <c r="Q438" s="269"/>
      <c r="R438" s="269"/>
      <c r="S438" s="269"/>
      <c r="T438" s="269"/>
    </row>
    <row r="439">
      <c r="A439" s="307"/>
      <c r="B439" s="77"/>
      <c r="C439" s="77"/>
      <c r="D439" s="77"/>
      <c r="E439" s="295"/>
      <c r="F439" s="295"/>
      <c r="G439" s="269"/>
      <c r="H439" s="269"/>
      <c r="I439" s="269"/>
      <c r="J439" s="269"/>
      <c r="K439" s="269"/>
      <c r="L439" s="269"/>
      <c r="M439" s="269"/>
      <c r="N439" s="269"/>
      <c r="O439" s="269"/>
      <c r="P439" s="269"/>
      <c r="Q439" s="269"/>
      <c r="R439" s="269"/>
      <c r="S439" s="269"/>
      <c r="T439" s="269"/>
    </row>
    <row r="440">
      <c r="A440" s="307"/>
      <c r="B440" s="304">
        <v>5.0</v>
      </c>
      <c r="C440" s="303">
        <v>6.0</v>
      </c>
      <c r="D440" s="304">
        <v>7.0</v>
      </c>
      <c r="E440" s="304">
        <v>8.0</v>
      </c>
      <c r="F440" s="304">
        <v>9.0</v>
      </c>
      <c r="G440" s="269"/>
      <c r="H440" s="269"/>
      <c r="I440" s="269"/>
      <c r="J440" s="269"/>
      <c r="K440" s="269"/>
      <c r="L440" s="269"/>
      <c r="M440" s="269"/>
      <c r="N440" s="269"/>
      <c r="O440" s="269"/>
      <c r="P440" s="269"/>
      <c r="Q440" s="269"/>
      <c r="R440" s="269"/>
      <c r="S440" s="269"/>
      <c r="T440" s="269"/>
    </row>
    <row r="441">
      <c r="A441" s="307"/>
      <c r="B441" s="343" t="s">
        <v>962</v>
      </c>
      <c r="C441" s="344" t="s">
        <v>962</v>
      </c>
      <c r="D441" s="344" t="s">
        <v>962</v>
      </c>
      <c r="E441" s="344" t="s">
        <v>962</v>
      </c>
      <c r="F441" s="344" t="s">
        <v>962</v>
      </c>
      <c r="G441" s="269"/>
      <c r="H441" s="269"/>
      <c r="I441" s="269"/>
      <c r="J441" s="269"/>
      <c r="K441" s="269"/>
      <c r="L441" s="269"/>
      <c r="M441" s="269"/>
      <c r="N441" s="269"/>
      <c r="O441" s="269"/>
      <c r="P441" s="269"/>
      <c r="Q441" s="269"/>
      <c r="R441" s="269"/>
      <c r="S441" s="269"/>
      <c r="T441" s="269"/>
    </row>
    <row r="442">
      <c r="A442" s="307"/>
      <c r="B442" s="314" t="s">
        <v>963</v>
      </c>
      <c r="C442" s="314" t="s">
        <v>963</v>
      </c>
      <c r="D442" s="314" t="s">
        <v>963</v>
      </c>
      <c r="E442" s="314" t="s">
        <v>963</v>
      </c>
      <c r="F442" s="314" t="s">
        <v>963</v>
      </c>
      <c r="G442" s="269"/>
      <c r="H442" s="269"/>
      <c r="I442" s="269"/>
      <c r="J442" s="269"/>
      <c r="K442" s="269"/>
      <c r="L442" s="269"/>
      <c r="M442" s="269"/>
      <c r="N442" s="269"/>
      <c r="O442" s="269"/>
      <c r="P442" s="269"/>
      <c r="Q442" s="269"/>
      <c r="R442" s="269"/>
      <c r="S442" s="269"/>
      <c r="T442" s="269"/>
    </row>
    <row r="443">
      <c r="A443" s="307"/>
      <c r="B443" s="293"/>
      <c r="C443" s="293"/>
      <c r="D443" s="293"/>
      <c r="E443" s="324" t="s">
        <v>964</v>
      </c>
      <c r="F443" s="324" t="s">
        <v>964</v>
      </c>
      <c r="G443" s="269"/>
      <c r="H443" s="269"/>
      <c r="I443" s="269"/>
      <c r="J443" s="269"/>
      <c r="K443" s="269"/>
      <c r="L443" s="269"/>
      <c r="M443" s="269"/>
      <c r="N443" s="269"/>
      <c r="O443" s="269"/>
      <c r="P443" s="269"/>
      <c r="Q443" s="269"/>
      <c r="R443" s="269"/>
      <c r="S443" s="269"/>
      <c r="T443" s="269"/>
    </row>
    <row r="444">
      <c r="A444" s="307"/>
      <c r="B444" s="293"/>
      <c r="C444" s="293"/>
      <c r="D444" s="293"/>
      <c r="E444" s="293"/>
      <c r="F444" s="293"/>
      <c r="G444" s="269"/>
      <c r="H444" s="269"/>
      <c r="I444" s="269"/>
      <c r="J444" s="269"/>
      <c r="K444" s="269"/>
      <c r="L444" s="269"/>
      <c r="M444" s="269"/>
      <c r="N444" s="269"/>
      <c r="O444" s="269"/>
      <c r="P444" s="269"/>
      <c r="Q444" s="269"/>
      <c r="R444" s="269"/>
      <c r="S444" s="269"/>
      <c r="T444" s="269"/>
    </row>
    <row r="445">
      <c r="A445" s="307"/>
      <c r="B445" s="293"/>
      <c r="C445" s="293"/>
      <c r="D445" s="293"/>
      <c r="E445" s="293"/>
      <c r="F445" s="293"/>
      <c r="G445" s="269"/>
      <c r="H445" s="269"/>
      <c r="I445" s="269"/>
      <c r="J445" s="269"/>
      <c r="K445" s="269"/>
      <c r="L445" s="269"/>
      <c r="M445" s="269"/>
      <c r="N445" s="269"/>
      <c r="O445" s="269"/>
      <c r="P445" s="269"/>
      <c r="Q445" s="269"/>
      <c r="R445" s="269"/>
      <c r="S445" s="269"/>
      <c r="T445" s="269"/>
    </row>
    <row r="446">
      <c r="A446" s="307"/>
      <c r="B446" s="293"/>
      <c r="C446" s="293"/>
      <c r="D446" s="293"/>
      <c r="E446" s="293"/>
      <c r="F446" s="293"/>
      <c r="G446" s="269"/>
      <c r="H446" s="269"/>
      <c r="I446" s="269"/>
      <c r="J446" s="269"/>
      <c r="K446" s="269"/>
      <c r="L446" s="269"/>
      <c r="M446" s="269"/>
      <c r="N446" s="269"/>
      <c r="O446" s="269"/>
      <c r="P446" s="269"/>
      <c r="Q446" s="269"/>
      <c r="R446" s="269"/>
      <c r="S446" s="269"/>
      <c r="T446" s="269"/>
    </row>
    <row r="447">
      <c r="A447" s="307"/>
      <c r="B447" s="293"/>
      <c r="C447" s="293"/>
      <c r="D447" s="293"/>
      <c r="E447" s="293"/>
      <c r="F447" s="294"/>
      <c r="G447" s="269"/>
      <c r="H447" s="269"/>
      <c r="I447" s="269"/>
      <c r="J447" s="269"/>
      <c r="K447" s="269"/>
      <c r="L447" s="269"/>
      <c r="M447" s="269"/>
      <c r="N447" s="269"/>
      <c r="O447" s="269"/>
      <c r="P447" s="269"/>
      <c r="Q447" s="269"/>
      <c r="R447" s="269"/>
      <c r="S447" s="269"/>
      <c r="T447" s="269"/>
    </row>
    <row r="448">
      <c r="A448" s="307"/>
      <c r="B448" s="293"/>
      <c r="C448" s="293"/>
      <c r="D448" s="293"/>
      <c r="E448" s="293"/>
      <c r="F448" s="294"/>
      <c r="G448" s="269"/>
      <c r="H448" s="269"/>
      <c r="I448" s="269"/>
      <c r="J448" s="269"/>
      <c r="K448" s="269"/>
      <c r="L448" s="269"/>
      <c r="M448" s="269"/>
      <c r="N448" s="269"/>
      <c r="O448" s="269"/>
      <c r="P448" s="269"/>
      <c r="Q448" s="269"/>
      <c r="R448" s="269"/>
      <c r="S448" s="269"/>
      <c r="T448" s="269"/>
    </row>
    <row r="449">
      <c r="A449" s="307"/>
      <c r="B449" s="294"/>
      <c r="C449" s="293"/>
      <c r="D449" s="294"/>
      <c r="E449" s="293"/>
      <c r="F449" s="294"/>
      <c r="G449" s="269"/>
      <c r="H449" s="269"/>
      <c r="I449" s="269"/>
      <c r="J449" s="269"/>
      <c r="K449" s="269"/>
      <c r="L449" s="269"/>
      <c r="M449" s="269"/>
      <c r="N449" s="269"/>
      <c r="O449" s="269"/>
      <c r="P449" s="269"/>
      <c r="Q449" s="269"/>
      <c r="R449" s="269"/>
      <c r="S449" s="269"/>
      <c r="T449" s="269"/>
    </row>
    <row r="450">
      <c r="A450" s="307"/>
      <c r="B450" s="296"/>
      <c r="C450" s="297"/>
      <c r="D450" s="296"/>
      <c r="E450" s="293"/>
      <c r="F450" s="296"/>
      <c r="G450" s="269"/>
      <c r="H450" s="269"/>
      <c r="I450" s="269"/>
      <c r="J450" s="269"/>
      <c r="K450" s="269"/>
      <c r="L450" s="269"/>
      <c r="M450" s="269"/>
      <c r="N450" s="269"/>
      <c r="O450" s="269"/>
      <c r="P450" s="269"/>
      <c r="Q450" s="269"/>
      <c r="R450" s="269"/>
      <c r="S450" s="269"/>
      <c r="T450" s="269"/>
    </row>
    <row r="451">
      <c r="A451" s="307"/>
      <c r="B451" s="304">
        <v>12.0</v>
      </c>
      <c r="C451" s="303">
        <v>13.0</v>
      </c>
      <c r="D451" s="304">
        <v>14.0</v>
      </c>
      <c r="E451" s="303">
        <v>15.0</v>
      </c>
      <c r="F451" s="304">
        <v>16.0</v>
      </c>
      <c r="G451" s="269"/>
      <c r="H451" s="269"/>
      <c r="I451" s="269"/>
      <c r="J451" s="269"/>
      <c r="K451" s="269"/>
      <c r="L451" s="269"/>
      <c r="M451" s="269"/>
      <c r="N451" s="269"/>
      <c r="O451" s="269"/>
      <c r="P451" s="269"/>
      <c r="Q451" s="269"/>
      <c r="R451" s="269"/>
      <c r="S451" s="269"/>
      <c r="T451" s="269"/>
    </row>
    <row r="452">
      <c r="A452" s="307"/>
      <c r="B452" s="324" t="s">
        <v>965</v>
      </c>
      <c r="C452" s="324" t="s">
        <v>965</v>
      </c>
      <c r="D452" s="324" t="s">
        <v>965</v>
      </c>
      <c r="E452" s="324" t="s">
        <v>965</v>
      </c>
      <c r="F452" s="324" t="s">
        <v>965</v>
      </c>
      <c r="G452" s="345" t="s">
        <v>966</v>
      </c>
      <c r="H452" s="269"/>
      <c r="I452" s="269"/>
      <c r="J452" s="269"/>
      <c r="K452" s="269"/>
      <c r="L452" s="269"/>
      <c r="M452" s="269"/>
      <c r="N452" s="269"/>
      <c r="O452" s="269"/>
      <c r="P452" s="269"/>
      <c r="Q452" s="269"/>
      <c r="R452" s="269"/>
      <c r="S452" s="269"/>
      <c r="T452" s="269"/>
    </row>
    <row r="453">
      <c r="A453" s="307"/>
      <c r="B453" s="326" t="s">
        <v>967</v>
      </c>
      <c r="C453" s="293"/>
      <c r="D453" s="293"/>
      <c r="E453" s="346" t="s">
        <v>968</v>
      </c>
      <c r="F453" s="293"/>
      <c r="H453" s="269"/>
      <c r="I453" s="269"/>
      <c r="J453" s="269"/>
      <c r="K453" s="269"/>
      <c r="L453" s="269"/>
      <c r="M453" s="269"/>
      <c r="N453" s="269"/>
      <c r="O453" s="269"/>
      <c r="P453" s="269"/>
      <c r="Q453" s="269"/>
      <c r="R453" s="269"/>
      <c r="S453" s="269"/>
      <c r="T453" s="269"/>
    </row>
    <row r="454">
      <c r="A454" s="307"/>
      <c r="B454" s="293"/>
      <c r="C454" s="293"/>
      <c r="D454" s="293"/>
      <c r="F454" s="293"/>
      <c r="H454" s="269"/>
      <c r="I454" s="269"/>
      <c r="J454" s="269"/>
      <c r="K454" s="269"/>
      <c r="L454" s="269"/>
      <c r="M454" s="269"/>
      <c r="N454" s="269"/>
      <c r="O454" s="269"/>
      <c r="P454" s="269"/>
      <c r="Q454" s="269"/>
      <c r="R454" s="269"/>
      <c r="S454" s="269"/>
      <c r="T454" s="269"/>
    </row>
    <row r="455">
      <c r="A455" s="307"/>
      <c r="B455" s="293"/>
      <c r="C455" s="293"/>
      <c r="D455" s="293"/>
      <c r="E455" s="293"/>
      <c r="F455" s="293"/>
      <c r="H455" s="269"/>
      <c r="I455" s="269"/>
      <c r="J455" s="269"/>
      <c r="K455" s="269"/>
      <c r="L455" s="269"/>
      <c r="M455" s="269"/>
      <c r="N455" s="269"/>
      <c r="O455" s="269"/>
      <c r="P455" s="269"/>
      <c r="Q455" s="269"/>
      <c r="R455" s="269"/>
      <c r="S455" s="269"/>
      <c r="T455" s="269"/>
    </row>
    <row r="456">
      <c r="A456" s="307"/>
      <c r="B456" s="293"/>
      <c r="C456" s="293"/>
      <c r="D456" s="293"/>
      <c r="E456" s="293"/>
      <c r="F456" s="293"/>
      <c r="H456" s="269"/>
      <c r="I456" s="269"/>
      <c r="J456" s="269"/>
      <c r="K456" s="269"/>
      <c r="L456" s="269"/>
      <c r="M456" s="269"/>
      <c r="N456" s="269"/>
      <c r="O456" s="269"/>
      <c r="P456" s="269"/>
      <c r="Q456" s="269"/>
      <c r="R456" s="269"/>
      <c r="S456" s="269"/>
      <c r="T456" s="269"/>
    </row>
    <row r="457">
      <c r="A457" s="307"/>
      <c r="B457" s="294"/>
      <c r="C457" s="293"/>
      <c r="D457" s="293"/>
      <c r="E457" s="293"/>
      <c r="F457" s="293"/>
      <c r="H457" s="269"/>
      <c r="I457" s="269"/>
      <c r="J457" s="269"/>
      <c r="K457" s="269"/>
      <c r="L457" s="269"/>
      <c r="M457" s="269"/>
      <c r="N457" s="269"/>
      <c r="O457" s="269"/>
      <c r="P457" s="269"/>
      <c r="Q457" s="269"/>
      <c r="R457" s="269"/>
      <c r="S457" s="269"/>
      <c r="T457" s="269"/>
    </row>
    <row r="458">
      <c r="A458" s="307"/>
      <c r="B458" s="294"/>
      <c r="C458" s="293"/>
      <c r="D458" s="293"/>
      <c r="E458" s="293"/>
      <c r="F458" s="293"/>
      <c r="H458" s="269"/>
      <c r="I458" s="269"/>
      <c r="J458" s="269"/>
      <c r="K458" s="269"/>
      <c r="L458" s="269"/>
      <c r="M458" s="269"/>
      <c r="N458" s="269"/>
      <c r="O458" s="269"/>
      <c r="P458" s="269"/>
      <c r="Q458" s="269"/>
      <c r="R458" s="269"/>
      <c r="S458" s="269"/>
      <c r="T458" s="269"/>
    </row>
    <row r="459">
      <c r="A459" s="307"/>
      <c r="B459" s="294"/>
      <c r="C459" s="293"/>
      <c r="D459" s="293"/>
      <c r="E459" s="293"/>
      <c r="F459" s="293"/>
      <c r="H459" s="269"/>
      <c r="I459" s="269"/>
      <c r="J459" s="269"/>
      <c r="K459" s="269"/>
      <c r="L459" s="269"/>
      <c r="M459" s="269"/>
      <c r="N459" s="269"/>
      <c r="O459" s="269"/>
      <c r="P459" s="269"/>
      <c r="Q459" s="269"/>
      <c r="R459" s="269"/>
      <c r="S459" s="269"/>
      <c r="T459" s="269"/>
    </row>
    <row r="460">
      <c r="A460" s="307"/>
      <c r="B460" s="293"/>
      <c r="C460" s="293"/>
      <c r="D460" s="294"/>
      <c r="E460" s="294"/>
      <c r="F460" s="294"/>
      <c r="H460" s="269"/>
      <c r="I460" s="269"/>
      <c r="J460" s="269"/>
      <c r="K460" s="269"/>
      <c r="L460" s="269"/>
      <c r="M460" s="269"/>
      <c r="N460" s="269"/>
      <c r="O460" s="269"/>
      <c r="P460" s="269"/>
      <c r="Q460" s="269"/>
      <c r="R460" s="269"/>
      <c r="S460" s="269"/>
      <c r="T460" s="269"/>
    </row>
    <row r="461">
      <c r="A461" s="307"/>
      <c r="B461" s="296"/>
      <c r="C461" s="296"/>
      <c r="D461" s="296"/>
      <c r="E461" s="296"/>
      <c r="F461" s="296"/>
      <c r="H461" s="269"/>
      <c r="I461" s="269"/>
      <c r="J461" s="269"/>
      <c r="K461" s="269"/>
      <c r="L461" s="269"/>
      <c r="M461" s="269"/>
      <c r="N461" s="269"/>
      <c r="O461" s="269"/>
      <c r="P461" s="269"/>
      <c r="Q461" s="269"/>
      <c r="R461" s="269"/>
      <c r="S461" s="269"/>
      <c r="T461" s="269"/>
    </row>
    <row r="462">
      <c r="A462" s="307"/>
      <c r="B462" s="304">
        <v>19.0</v>
      </c>
      <c r="C462" s="303">
        <v>20.0</v>
      </c>
      <c r="D462" s="304">
        <v>21.0</v>
      </c>
      <c r="E462" s="303">
        <v>22.0</v>
      </c>
      <c r="F462" s="304">
        <v>23.0</v>
      </c>
      <c r="G462" s="269"/>
      <c r="H462" s="269"/>
      <c r="I462" s="269"/>
      <c r="J462" s="269"/>
      <c r="K462" s="269"/>
      <c r="L462" s="269"/>
      <c r="M462" s="269"/>
      <c r="N462" s="269"/>
      <c r="O462" s="269"/>
      <c r="P462" s="269"/>
      <c r="Q462" s="269"/>
      <c r="R462" s="269"/>
      <c r="S462" s="269"/>
      <c r="T462" s="269"/>
    </row>
    <row r="463">
      <c r="A463" s="307"/>
      <c r="B463" s="347" t="s">
        <v>969</v>
      </c>
      <c r="C463" s="348" t="s">
        <v>970</v>
      </c>
      <c r="D463" s="348" t="s">
        <v>971</v>
      </c>
      <c r="E463" s="348" t="s">
        <v>972</v>
      </c>
      <c r="F463" s="348" t="s">
        <v>973</v>
      </c>
      <c r="G463" s="269"/>
      <c r="H463" s="269"/>
      <c r="I463" s="269"/>
      <c r="J463" s="269"/>
      <c r="K463" s="269"/>
      <c r="L463" s="269"/>
      <c r="M463" s="269"/>
      <c r="N463" s="269"/>
      <c r="O463" s="269"/>
      <c r="P463" s="269"/>
      <c r="Q463" s="269"/>
      <c r="R463" s="269"/>
      <c r="S463" s="269"/>
      <c r="T463" s="269"/>
    </row>
    <row r="464">
      <c r="A464" s="307"/>
      <c r="B464" s="327" t="s">
        <v>974</v>
      </c>
      <c r="C464" s="327" t="s">
        <v>974</v>
      </c>
      <c r="D464" s="327" t="s">
        <v>974</v>
      </c>
      <c r="E464" s="327" t="s">
        <v>974</v>
      </c>
      <c r="F464" s="327" t="s">
        <v>974</v>
      </c>
      <c r="G464" s="269"/>
      <c r="H464" s="269"/>
      <c r="I464" s="269"/>
      <c r="J464" s="269"/>
      <c r="K464" s="269"/>
      <c r="L464" s="269"/>
      <c r="M464" s="269"/>
      <c r="N464" s="269"/>
      <c r="O464" s="269"/>
      <c r="P464" s="269"/>
      <c r="Q464" s="269"/>
      <c r="R464" s="269"/>
      <c r="S464" s="269"/>
      <c r="T464" s="269"/>
    </row>
    <row r="465">
      <c r="A465" s="307"/>
      <c r="B465" s="293"/>
      <c r="C465" s="321"/>
      <c r="D465" s="324" t="s">
        <v>964</v>
      </c>
      <c r="E465" s="324" t="s">
        <v>964</v>
      </c>
      <c r="F465" s="324" t="s">
        <v>964</v>
      </c>
      <c r="G465" s="269"/>
      <c r="H465" s="269"/>
      <c r="I465" s="269"/>
      <c r="J465" s="269"/>
      <c r="K465" s="269"/>
      <c r="L465" s="269"/>
      <c r="M465" s="269"/>
      <c r="N465" s="269"/>
      <c r="O465" s="269"/>
      <c r="P465" s="269"/>
      <c r="Q465" s="269"/>
      <c r="R465" s="269"/>
      <c r="S465" s="269"/>
      <c r="T465" s="269"/>
    </row>
    <row r="466">
      <c r="A466" s="307"/>
      <c r="B466" s="293"/>
      <c r="C466" s="293"/>
      <c r="D466" s="293"/>
      <c r="E466" s="293"/>
      <c r="F466" s="293"/>
      <c r="G466" s="269"/>
      <c r="H466" s="269"/>
      <c r="I466" s="269"/>
      <c r="J466" s="269"/>
      <c r="K466" s="269"/>
      <c r="L466" s="269"/>
      <c r="M466" s="269"/>
      <c r="N466" s="269"/>
      <c r="O466" s="269"/>
      <c r="P466" s="269"/>
      <c r="Q466" s="269"/>
      <c r="R466" s="269"/>
      <c r="S466" s="269"/>
      <c r="T466" s="269"/>
    </row>
    <row r="467">
      <c r="A467" s="307"/>
      <c r="B467" s="293"/>
      <c r="C467" s="293"/>
      <c r="D467" s="293"/>
      <c r="E467" s="293"/>
      <c r="F467" s="293"/>
      <c r="G467" s="269"/>
      <c r="H467" s="269"/>
      <c r="I467" s="269"/>
      <c r="J467" s="269"/>
      <c r="K467" s="269"/>
      <c r="L467" s="269"/>
      <c r="M467" s="269"/>
      <c r="N467" s="269"/>
      <c r="O467" s="269"/>
      <c r="P467" s="269"/>
      <c r="Q467" s="269"/>
      <c r="R467" s="269"/>
      <c r="S467" s="269"/>
      <c r="T467" s="269"/>
    </row>
    <row r="468">
      <c r="A468" s="307"/>
      <c r="B468" s="293"/>
      <c r="C468" s="293"/>
      <c r="D468" s="293"/>
      <c r="E468" s="293"/>
      <c r="F468" s="293"/>
      <c r="G468" s="269"/>
      <c r="H468" s="269"/>
      <c r="I468" s="269"/>
      <c r="J468" s="269"/>
      <c r="K468" s="269"/>
      <c r="L468" s="269"/>
      <c r="M468" s="269"/>
      <c r="N468" s="269"/>
      <c r="O468" s="269"/>
      <c r="P468" s="269"/>
      <c r="Q468" s="269"/>
      <c r="R468" s="269"/>
      <c r="S468" s="269"/>
      <c r="T468" s="269"/>
    </row>
    <row r="469">
      <c r="A469" s="307"/>
      <c r="B469" s="293"/>
      <c r="C469" s="293"/>
      <c r="D469" s="293"/>
      <c r="E469" s="293"/>
      <c r="F469" s="294"/>
      <c r="G469" s="269"/>
      <c r="H469" s="269"/>
      <c r="I469" s="269"/>
      <c r="J469" s="269"/>
      <c r="K469" s="269"/>
      <c r="L469" s="269"/>
      <c r="M469" s="269"/>
      <c r="N469" s="269"/>
      <c r="O469" s="269"/>
      <c r="P469" s="269"/>
      <c r="Q469" s="269"/>
      <c r="R469" s="269"/>
      <c r="S469" s="269"/>
      <c r="T469" s="269"/>
    </row>
    <row r="470">
      <c r="A470" s="307"/>
      <c r="B470" s="294"/>
      <c r="C470" s="293"/>
      <c r="D470" s="293"/>
      <c r="E470" s="294"/>
      <c r="F470" s="294"/>
      <c r="G470" s="269"/>
      <c r="H470" s="269"/>
      <c r="I470" s="269"/>
      <c r="J470" s="269"/>
      <c r="K470" s="269"/>
      <c r="L470" s="269"/>
      <c r="M470" s="269"/>
      <c r="N470" s="269"/>
      <c r="O470" s="269"/>
      <c r="P470" s="269"/>
      <c r="Q470" s="269"/>
      <c r="R470" s="269"/>
      <c r="S470" s="269"/>
      <c r="T470" s="269"/>
    </row>
    <row r="471">
      <c r="A471" s="307"/>
      <c r="B471" s="294"/>
      <c r="C471" s="293"/>
      <c r="D471" s="293"/>
      <c r="E471" s="294"/>
      <c r="F471" s="294"/>
      <c r="G471" s="269"/>
      <c r="H471" s="269"/>
      <c r="I471" s="269"/>
      <c r="J471" s="269"/>
      <c r="K471" s="269"/>
      <c r="L471" s="269"/>
      <c r="M471" s="269"/>
      <c r="N471" s="269"/>
      <c r="O471" s="269"/>
      <c r="P471" s="269"/>
      <c r="Q471" s="269"/>
      <c r="R471" s="269"/>
      <c r="S471" s="269"/>
      <c r="T471" s="269"/>
    </row>
    <row r="472">
      <c r="A472" s="307"/>
      <c r="B472" s="296"/>
      <c r="C472" s="297"/>
      <c r="D472" s="296"/>
      <c r="E472" s="296"/>
      <c r="F472" s="296"/>
      <c r="G472" s="269"/>
      <c r="H472" s="269"/>
      <c r="I472" s="269"/>
      <c r="J472" s="269"/>
      <c r="K472" s="269"/>
      <c r="L472" s="269"/>
      <c r="M472" s="269"/>
      <c r="N472" s="269"/>
      <c r="O472" s="269"/>
      <c r="P472" s="269"/>
      <c r="Q472" s="269"/>
      <c r="R472" s="269"/>
      <c r="S472" s="269"/>
      <c r="T472" s="269"/>
    </row>
    <row r="473">
      <c r="A473" s="307"/>
      <c r="B473" s="304">
        <v>26.0</v>
      </c>
      <c r="C473" s="303">
        <v>27.0</v>
      </c>
      <c r="D473" s="304">
        <v>28.0</v>
      </c>
      <c r="E473" s="303">
        <v>29.0</v>
      </c>
      <c r="F473" s="304">
        <v>30.0</v>
      </c>
      <c r="G473" s="269"/>
      <c r="H473" s="269"/>
      <c r="I473" s="269"/>
      <c r="J473" s="269"/>
      <c r="K473" s="269"/>
      <c r="L473" s="269"/>
      <c r="M473" s="269"/>
      <c r="N473" s="269"/>
      <c r="O473" s="269"/>
      <c r="P473" s="269"/>
      <c r="Q473" s="269"/>
      <c r="R473" s="269"/>
      <c r="S473" s="269"/>
      <c r="T473" s="269"/>
    </row>
    <row r="474">
      <c r="A474" s="307"/>
      <c r="B474" s="291"/>
      <c r="C474" s="291"/>
      <c r="D474" s="291"/>
      <c r="E474" s="291"/>
      <c r="F474" s="291"/>
      <c r="G474" s="269"/>
      <c r="H474" s="269"/>
      <c r="I474" s="269"/>
      <c r="J474" s="269"/>
      <c r="K474" s="269"/>
      <c r="L474" s="269"/>
      <c r="M474" s="269"/>
      <c r="N474" s="269"/>
      <c r="O474" s="269"/>
      <c r="P474" s="269"/>
      <c r="Q474" s="269"/>
      <c r="R474" s="269"/>
      <c r="S474" s="269"/>
      <c r="T474" s="269"/>
    </row>
    <row r="475">
      <c r="A475" s="307"/>
      <c r="B475" s="293"/>
      <c r="C475" s="293"/>
      <c r="D475" s="293"/>
      <c r="E475" s="293"/>
      <c r="F475" s="293"/>
      <c r="G475" s="269"/>
      <c r="H475" s="269"/>
      <c r="I475" s="269"/>
      <c r="J475" s="269"/>
      <c r="K475" s="269"/>
      <c r="L475" s="269"/>
      <c r="M475" s="269"/>
      <c r="N475" s="269"/>
      <c r="O475" s="269"/>
      <c r="P475" s="269"/>
      <c r="Q475" s="269"/>
      <c r="R475" s="269"/>
      <c r="S475" s="269"/>
      <c r="T475" s="269"/>
    </row>
    <row r="476">
      <c r="A476" s="307"/>
      <c r="B476" s="293"/>
      <c r="C476" s="293"/>
      <c r="D476" s="293"/>
      <c r="E476" s="293"/>
      <c r="F476" s="293"/>
      <c r="G476" s="269"/>
      <c r="H476" s="269"/>
      <c r="I476" s="269"/>
      <c r="J476" s="269"/>
      <c r="K476" s="269"/>
      <c r="L476" s="269"/>
      <c r="M476" s="269"/>
      <c r="N476" s="269"/>
      <c r="O476" s="269"/>
      <c r="P476" s="269"/>
      <c r="Q476" s="269"/>
      <c r="R476" s="269"/>
      <c r="S476" s="269"/>
      <c r="T476" s="269"/>
    </row>
    <row r="477">
      <c r="A477" s="307"/>
      <c r="B477" s="293"/>
      <c r="C477" s="293"/>
      <c r="D477" s="293"/>
      <c r="E477" s="293"/>
      <c r="F477" s="293"/>
      <c r="G477" s="269"/>
      <c r="H477" s="269"/>
      <c r="I477" s="269"/>
      <c r="J477" s="269"/>
      <c r="K477" s="269"/>
      <c r="L477" s="269"/>
      <c r="M477" s="269"/>
      <c r="N477" s="269"/>
      <c r="O477" s="269"/>
      <c r="P477" s="269"/>
      <c r="Q477" s="269"/>
      <c r="R477" s="269"/>
      <c r="S477" s="269"/>
      <c r="T477" s="269"/>
    </row>
    <row r="478">
      <c r="A478" s="307"/>
      <c r="B478" s="293"/>
      <c r="C478" s="293"/>
      <c r="D478" s="293"/>
      <c r="E478" s="293"/>
      <c r="F478" s="293"/>
      <c r="G478" s="269"/>
      <c r="H478" s="269"/>
      <c r="I478" s="269"/>
      <c r="J478" s="269"/>
      <c r="K478" s="269"/>
      <c r="L478" s="269"/>
      <c r="M478" s="269"/>
      <c r="N478" s="269"/>
      <c r="O478" s="269"/>
      <c r="P478" s="269"/>
      <c r="Q478" s="269"/>
      <c r="R478" s="269"/>
      <c r="S478" s="269"/>
      <c r="T478" s="269"/>
    </row>
    <row r="479">
      <c r="A479" s="307"/>
      <c r="B479" s="293"/>
      <c r="C479" s="293"/>
      <c r="D479" s="293"/>
      <c r="E479" s="293"/>
      <c r="F479" s="293"/>
      <c r="G479" s="269"/>
      <c r="H479" s="269"/>
      <c r="I479" s="269"/>
      <c r="J479" s="269"/>
      <c r="K479" s="269"/>
      <c r="L479" s="269"/>
      <c r="M479" s="269"/>
      <c r="N479" s="269"/>
      <c r="O479" s="269"/>
      <c r="P479" s="269"/>
      <c r="Q479" s="269"/>
      <c r="R479" s="269"/>
      <c r="S479" s="269"/>
      <c r="T479" s="269"/>
    </row>
    <row r="480">
      <c r="A480" s="307"/>
      <c r="B480" s="293"/>
      <c r="C480" s="293"/>
      <c r="D480" s="293"/>
      <c r="E480" s="293"/>
      <c r="F480" s="293"/>
      <c r="G480" s="269"/>
      <c r="H480" s="269"/>
      <c r="I480" s="269"/>
      <c r="J480" s="269"/>
      <c r="K480" s="269"/>
      <c r="L480" s="269"/>
      <c r="M480" s="269"/>
      <c r="N480" s="269"/>
      <c r="O480" s="269"/>
      <c r="P480" s="269"/>
      <c r="Q480" s="269"/>
      <c r="R480" s="269"/>
      <c r="S480" s="269"/>
      <c r="T480" s="269"/>
    </row>
    <row r="481">
      <c r="A481" s="307"/>
      <c r="B481" s="294"/>
      <c r="C481" s="293"/>
      <c r="D481" s="293"/>
      <c r="E481" s="293"/>
      <c r="F481" s="293"/>
      <c r="G481" s="269"/>
      <c r="H481" s="269"/>
      <c r="I481" s="269"/>
      <c r="J481" s="269"/>
      <c r="K481" s="269"/>
      <c r="L481" s="269"/>
      <c r="M481" s="269"/>
      <c r="N481" s="269"/>
      <c r="O481" s="269"/>
      <c r="P481" s="269"/>
      <c r="Q481" s="269"/>
      <c r="R481" s="269"/>
      <c r="S481" s="269"/>
      <c r="T481" s="269"/>
    </row>
    <row r="482">
      <c r="A482" s="307"/>
      <c r="B482" s="294"/>
      <c r="C482" s="293"/>
      <c r="D482" s="293"/>
      <c r="E482" s="293"/>
      <c r="F482" s="293"/>
      <c r="G482" s="269"/>
      <c r="H482" s="269"/>
      <c r="I482" s="269"/>
      <c r="J482" s="269"/>
      <c r="K482" s="269"/>
      <c r="L482" s="269"/>
      <c r="M482" s="269"/>
      <c r="N482" s="269"/>
      <c r="O482" s="269"/>
      <c r="P482" s="269"/>
      <c r="Q482" s="269"/>
      <c r="R482" s="269"/>
      <c r="S482" s="269"/>
      <c r="T482" s="269"/>
    </row>
    <row r="483">
      <c r="A483" s="307"/>
      <c r="B483" s="296"/>
      <c r="C483" s="297"/>
      <c r="D483" s="296"/>
      <c r="E483" s="296"/>
      <c r="F483" s="296"/>
      <c r="G483" s="269"/>
      <c r="H483" s="269"/>
      <c r="I483" s="269"/>
      <c r="J483" s="269"/>
      <c r="K483" s="269"/>
      <c r="L483" s="269"/>
      <c r="M483" s="269"/>
      <c r="N483" s="269"/>
      <c r="O483" s="269"/>
      <c r="P483" s="269"/>
      <c r="Q483" s="269"/>
      <c r="R483" s="269"/>
      <c r="S483" s="269"/>
      <c r="T483" s="269"/>
    </row>
    <row r="484">
      <c r="A484" s="307"/>
      <c r="B484" s="269"/>
      <c r="C484" s="269"/>
      <c r="D484" s="269"/>
      <c r="E484" s="269"/>
      <c r="F484" s="269"/>
      <c r="G484" s="269"/>
      <c r="H484" s="269"/>
      <c r="I484" s="269"/>
      <c r="J484" s="269"/>
      <c r="K484" s="269"/>
      <c r="L484" s="269"/>
      <c r="M484" s="269"/>
      <c r="N484" s="269"/>
      <c r="O484" s="269"/>
      <c r="P484" s="269"/>
      <c r="Q484" s="269"/>
      <c r="R484" s="269"/>
      <c r="S484" s="269"/>
      <c r="T484" s="269"/>
    </row>
    <row r="485">
      <c r="A485" s="307"/>
      <c r="B485" s="269"/>
      <c r="C485" s="269"/>
      <c r="D485" s="269"/>
      <c r="E485" s="269"/>
      <c r="F485" s="269"/>
      <c r="G485" s="269"/>
      <c r="H485" s="269"/>
      <c r="I485" s="269"/>
      <c r="J485" s="269"/>
      <c r="K485" s="269"/>
      <c r="L485" s="269"/>
      <c r="M485" s="269"/>
      <c r="N485" s="269"/>
      <c r="O485" s="269"/>
      <c r="P485" s="269"/>
      <c r="Q485" s="269"/>
      <c r="R485" s="269"/>
      <c r="S485" s="269"/>
      <c r="T485" s="269"/>
    </row>
    <row r="486">
      <c r="A486" s="307"/>
      <c r="B486" s="269"/>
      <c r="C486" s="269"/>
      <c r="D486" s="269"/>
      <c r="E486" s="269"/>
      <c r="F486" s="269"/>
      <c r="G486" s="269"/>
      <c r="H486" s="269"/>
      <c r="I486" s="269"/>
      <c r="J486" s="269"/>
      <c r="K486" s="269"/>
      <c r="L486" s="269"/>
      <c r="M486" s="269"/>
      <c r="N486" s="269"/>
      <c r="O486" s="269"/>
      <c r="P486" s="269"/>
      <c r="Q486" s="269"/>
      <c r="R486" s="269"/>
      <c r="S486" s="269"/>
      <c r="T486" s="269"/>
    </row>
    <row r="487">
      <c r="A487" s="307"/>
      <c r="B487" s="278" t="s">
        <v>975</v>
      </c>
      <c r="C487" s="279"/>
      <c r="D487" s="279"/>
      <c r="E487" s="279"/>
      <c r="F487" s="280"/>
      <c r="G487" s="269"/>
      <c r="H487" s="269"/>
      <c r="I487" s="269"/>
      <c r="J487" s="269"/>
      <c r="K487" s="269"/>
      <c r="L487" s="269"/>
      <c r="M487" s="269"/>
      <c r="N487" s="269"/>
      <c r="O487" s="269"/>
      <c r="P487" s="269"/>
      <c r="Q487" s="269"/>
      <c r="R487" s="269"/>
      <c r="S487" s="269"/>
      <c r="T487" s="269"/>
    </row>
    <row r="488">
      <c r="A488" s="307"/>
      <c r="B488" s="282"/>
      <c r="C488" s="283"/>
      <c r="D488" s="283"/>
      <c r="E488" s="283"/>
      <c r="F488" s="284"/>
      <c r="G488" s="269"/>
      <c r="H488" s="269"/>
      <c r="I488" s="269"/>
      <c r="J488" s="269"/>
      <c r="K488" s="269"/>
      <c r="L488" s="269"/>
      <c r="M488" s="269"/>
      <c r="N488" s="269"/>
      <c r="O488" s="269"/>
      <c r="P488" s="269"/>
      <c r="Q488" s="269"/>
      <c r="R488" s="269"/>
      <c r="S488" s="269"/>
      <c r="T488" s="269"/>
    </row>
    <row r="489">
      <c r="A489" s="307"/>
      <c r="B489" s="285" t="s">
        <v>901</v>
      </c>
      <c r="C489" s="286" t="s">
        <v>902</v>
      </c>
      <c r="D489" s="286" t="s">
        <v>903</v>
      </c>
      <c r="E489" s="286" t="s">
        <v>904</v>
      </c>
      <c r="F489" s="286" t="s">
        <v>905</v>
      </c>
      <c r="G489" s="269"/>
      <c r="H489" s="269"/>
      <c r="I489" s="269"/>
      <c r="J489" s="269"/>
      <c r="K489" s="269"/>
      <c r="L489" s="269"/>
      <c r="M489" s="269"/>
      <c r="N489" s="269"/>
      <c r="O489" s="269"/>
      <c r="P489" s="269"/>
      <c r="Q489" s="269"/>
      <c r="R489" s="269"/>
      <c r="S489" s="269"/>
      <c r="T489" s="269"/>
    </row>
    <row r="490">
      <c r="A490" s="307"/>
      <c r="B490" s="304">
        <v>2.0</v>
      </c>
      <c r="C490" s="303">
        <v>3.0</v>
      </c>
      <c r="D490" s="304">
        <v>4.0</v>
      </c>
      <c r="E490" s="303">
        <v>5.0</v>
      </c>
      <c r="F490" s="304">
        <v>6.0</v>
      </c>
      <c r="G490" s="269"/>
      <c r="H490" s="269"/>
      <c r="I490" s="269"/>
      <c r="J490" s="269"/>
      <c r="K490" s="269"/>
      <c r="L490" s="269"/>
      <c r="M490" s="269"/>
      <c r="N490" s="269"/>
      <c r="O490" s="269"/>
      <c r="P490" s="269"/>
      <c r="Q490" s="269"/>
      <c r="R490" s="269"/>
      <c r="S490" s="269"/>
      <c r="T490" s="269"/>
    </row>
    <row r="491">
      <c r="A491" s="307"/>
      <c r="B491" s="291"/>
      <c r="C491" s="291"/>
      <c r="D491" s="291"/>
      <c r="E491" s="291"/>
      <c r="F491" s="291"/>
      <c r="G491" s="269"/>
      <c r="H491" s="269"/>
      <c r="I491" s="269"/>
      <c r="J491" s="269"/>
      <c r="K491" s="269"/>
      <c r="L491" s="269"/>
      <c r="M491" s="269"/>
      <c r="N491" s="269"/>
      <c r="O491" s="269"/>
      <c r="P491" s="269"/>
      <c r="Q491" s="269"/>
      <c r="R491" s="269"/>
      <c r="S491" s="269"/>
      <c r="T491" s="269"/>
    </row>
    <row r="492">
      <c r="A492" s="307"/>
      <c r="B492" s="293"/>
      <c r="C492" s="293"/>
      <c r="D492" s="293"/>
      <c r="E492" s="293"/>
      <c r="F492" s="293"/>
      <c r="G492" s="269"/>
      <c r="H492" s="269"/>
      <c r="I492" s="269"/>
      <c r="J492" s="269"/>
      <c r="K492" s="269"/>
      <c r="L492" s="269"/>
      <c r="M492" s="269"/>
      <c r="N492" s="269"/>
      <c r="O492" s="269"/>
      <c r="P492" s="269"/>
      <c r="Q492" s="269"/>
      <c r="R492" s="269"/>
      <c r="S492" s="269"/>
      <c r="T492" s="269"/>
    </row>
    <row r="493">
      <c r="A493" s="307"/>
      <c r="B493" s="293"/>
      <c r="C493" s="293"/>
      <c r="D493" s="293"/>
      <c r="E493" s="293"/>
      <c r="F493" s="293"/>
      <c r="G493" s="269"/>
      <c r="H493" s="269"/>
      <c r="I493" s="269"/>
      <c r="J493" s="269"/>
      <c r="K493" s="269"/>
      <c r="L493" s="269"/>
      <c r="M493" s="269"/>
      <c r="N493" s="269"/>
      <c r="O493" s="269"/>
      <c r="P493" s="269"/>
      <c r="Q493" s="269"/>
      <c r="R493" s="269"/>
      <c r="S493" s="269"/>
      <c r="T493" s="269"/>
    </row>
    <row r="494">
      <c r="A494" s="307"/>
      <c r="B494" s="293"/>
      <c r="C494" s="293"/>
      <c r="D494" s="293"/>
      <c r="E494" s="293"/>
      <c r="F494" s="293"/>
      <c r="G494" s="269"/>
      <c r="H494" s="269"/>
      <c r="I494" s="269"/>
      <c r="J494" s="269"/>
      <c r="K494" s="269"/>
      <c r="L494" s="269"/>
      <c r="M494" s="269"/>
      <c r="N494" s="269"/>
      <c r="O494" s="269"/>
      <c r="P494" s="269"/>
      <c r="Q494" s="269"/>
      <c r="R494" s="269"/>
      <c r="S494" s="269"/>
      <c r="T494" s="269"/>
    </row>
    <row r="495">
      <c r="A495" s="307"/>
      <c r="B495" s="293"/>
      <c r="C495" s="293"/>
      <c r="D495" s="293"/>
      <c r="E495" s="293"/>
      <c r="F495" s="293"/>
      <c r="G495" s="269"/>
      <c r="H495" s="269"/>
      <c r="I495" s="269"/>
      <c r="J495" s="269"/>
      <c r="K495" s="269"/>
      <c r="L495" s="269"/>
      <c r="M495" s="269"/>
      <c r="N495" s="269"/>
      <c r="O495" s="269"/>
      <c r="P495" s="269"/>
      <c r="Q495" s="269"/>
      <c r="R495" s="269"/>
      <c r="S495" s="269"/>
      <c r="T495" s="269"/>
    </row>
    <row r="496">
      <c r="A496" s="307"/>
      <c r="B496" s="294"/>
      <c r="C496" s="294"/>
      <c r="D496" s="294"/>
      <c r="E496" s="294"/>
      <c r="F496" s="294"/>
      <c r="G496" s="269"/>
      <c r="H496" s="269"/>
      <c r="I496" s="269"/>
      <c r="J496" s="269"/>
      <c r="K496" s="269"/>
      <c r="L496" s="269"/>
      <c r="M496" s="269"/>
      <c r="N496" s="269"/>
      <c r="O496" s="269"/>
      <c r="P496" s="269"/>
      <c r="Q496" s="269"/>
      <c r="R496" s="269"/>
      <c r="S496" s="269"/>
      <c r="T496" s="269"/>
    </row>
    <row r="497">
      <c r="A497" s="307"/>
      <c r="B497" s="294"/>
      <c r="C497" s="294"/>
      <c r="D497" s="294"/>
      <c r="E497" s="294"/>
      <c r="F497" s="294"/>
      <c r="G497" s="269"/>
      <c r="H497" s="269"/>
      <c r="I497" s="269"/>
      <c r="J497" s="269"/>
      <c r="K497" s="269"/>
      <c r="L497" s="269"/>
      <c r="M497" s="269"/>
      <c r="N497" s="269"/>
      <c r="O497" s="269"/>
      <c r="P497" s="269"/>
      <c r="Q497" s="269"/>
      <c r="R497" s="269"/>
      <c r="S497" s="269"/>
      <c r="T497" s="269"/>
    </row>
    <row r="498">
      <c r="A498" s="307"/>
      <c r="B498" s="294"/>
      <c r="C498" s="294"/>
      <c r="D498" s="294"/>
      <c r="E498" s="294"/>
      <c r="F498" s="294"/>
      <c r="G498" s="269"/>
      <c r="H498" s="269"/>
      <c r="I498" s="269"/>
      <c r="J498" s="269"/>
      <c r="K498" s="269"/>
      <c r="L498" s="269"/>
      <c r="M498" s="269"/>
      <c r="N498" s="269"/>
      <c r="O498" s="269"/>
      <c r="P498" s="269"/>
      <c r="Q498" s="269"/>
      <c r="R498" s="269"/>
      <c r="S498" s="269"/>
      <c r="T498" s="269"/>
    </row>
    <row r="499">
      <c r="A499" s="307"/>
      <c r="B499" s="294"/>
      <c r="C499" s="294"/>
      <c r="D499" s="294"/>
      <c r="E499" s="294"/>
      <c r="F499" s="294"/>
      <c r="G499" s="269"/>
      <c r="H499" s="269"/>
      <c r="I499" s="269"/>
      <c r="J499" s="269"/>
      <c r="K499" s="269"/>
      <c r="L499" s="269"/>
      <c r="M499" s="269"/>
      <c r="N499" s="269"/>
      <c r="O499" s="269"/>
      <c r="P499" s="269"/>
      <c r="Q499" s="269"/>
      <c r="R499" s="269"/>
      <c r="S499" s="269"/>
      <c r="T499" s="269"/>
    </row>
    <row r="500">
      <c r="A500" s="307"/>
      <c r="B500" s="295"/>
      <c r="C500" s="295"/>
      <c r="D500" s="295"/>
      <c r="E500" s="295"/>
      <c r="F500" s="295"/>
      <c r="G500" s="269"/>
      <c r="H500" s="269"/>
      <c r="I500" s="269"/>
      <c r="J500" s="269"/>
      <c r="K500" s="269"/>
      <c r="L500" s="269"/>
      <c r="M500" s="269"/>
      <c r="N500" s="269"/>
      <c r="O500" s="269"/>
      <c r="P500" s="269"/>
      <c r="Q500" s="269"/>
      <c r="R500" s="269"/>
      <c r="S500" s="269"/>
      <c r="T500" s="269"/>
    </row>
    <row r="501">
      <c r="A501" s="307"/>
      <c r="B501" s="304">
        <v>9.0</v>
      </c>
      <c r="C501" s="303">
        <v>10.0</v>
      </c>
      <c r="D501" s="304">
        <v>11.0</v>
      </c>
      <c r="E501" s="303">
        <v>12.0</v>
      </c>
      <c r="F501" s="304">
        <v>13.0</v>
      </c>
      <c r="G501" s="269"/>
      <c r="H501" s="269"/>
      <c r="I501" s="269"/>
      <c r="J501" s="269"/>
      <c r="K501" s="269"/>
      <c r="L501" s="269"/>
      <c r="M501" s="269"/>
      <c r="N501" s="269"/>
      <c r="O501" s="269"/>
      <c r="P501" s="269"/>
      <c r="Q501" s="269"/>
      <c r="R501" s="269"/>
      <c r="S501" s="269"/>
      <c r="T501" s="269"/>
    </row>
    <row r="502">
      <c r="A502" s="307"/>
      <c r="B502" s="291"/>
      <c r="C502" s="291"/>
      <c r="D502" s="291"/>
      <c r="E502" s="291"/>
      <c r="F502" s="291"/>
      <c r="G502" s="269"/>
      <c r="H502" s="269"/>
      <c r="I502" s="269"/>
      <c r="J502" s="269"/>
      <c r="K502" s="269"/>
      <c r="L502" s="269"/>
      <c r="M502" s="269"/>
      <c r="N502" s="269"/>
      <c r="O502" s="269"/>
      <c r="P502" s="269"/>
      <c r="Q502" s="269"/>
      <c r="R502" s="269"/>
      <c r="S502" s="269"/>
      <c r="T502" s="269"/>
    </row>
    <row r="503">
      <c r="A503" s="307"/>
      <c r="B503" s="293"/>
      <c r="C503" s="294"/>
      <c r="D503" s="293"/>
      <c r="E503" s="293"/>
      <c r="F503" s="293"/>
      <c r="G503" s="269"/>
      <c r="H503" s="269"/>
      <c r="I503" s="269"/>
      <c r="J503" s="269"/>
      <c r="K503" s="269"/>
      <c r="L503" s="269"/>
      <c r="M503" s="269"/>
      <c r="N503" s="269"/>
      <c r="O503" s="269"/>
      <c r="P503" s="269"/>
      <c r="Q503" s="269"/>
      <c r="R503" s="269"/>
      <c r="S503" s="269"/>
      <c r="T503" s="269"/>
    </row>
    <row r="504">
      <c r="A504" s="307"/>
      <c r="B504" s="293"/>
      <c r="C504" s="293"/>
      <c r="D504" s="293"/>
      <c r="E504" s="293"/>
      <c r="F504" s="293"/>
      <c r="G504" s="269"/>
      <c r="H504" s="269"/>
      <c r="I504" s="269"/>
      <c r="J504" s="269"/>
      <c r="K504" s="269"/>
      <c r="L504" s="269"/>
      <c r="M504" s="269"/>
      <c r="N504" s="269"/>
      <c r="O504" s="269"/>
      <c r="P504" s="269"/>
      <c r="Q504" s="269"/>
      <c r="R504" s="269"/>
      <c r="S504" s="269"/>
      <c r="T504" s="269"/>
    </row>
    <row r="505">
      <c r="A505" s="307"/>
      <c r="B505" s="293"/>
      <c r="C505" s="293"/>
      <c r="D505" s="293"/>
      <c r="E505" s="293"/>
      <c r="F505" s="293"/>
      <c r="G505" s="269"/>
      <c r="H505" s="269"/>
      <c r="I505" s="269"/>
      <c r="J505" s="269"/>
      <c r="K505" s="269"/>
      <c r="L505" s="269"/>
      <c r="M505" s="269"/>
      <c r="N505" s="269"/>
      <c r="O505" s="269"/>
      <c r="P505" s="269"/>
      <c r="Q505" s="269"/>
      <c r="R505" s="269"/>
      <c r="S505" s="269"/>
      <c r="T505" s="269"/>
    </row>
    <row r="506">
      <c r="A506" s="307"/>
      <c r="B506" s="293"/>
      <c r="C506" s="293"/>
      <c r="D506" s="293"/>
      <c r="E506" s="293"/>
      <c r="F506" s="293"/>
      <c r="G506" s="269"/>
      <c r="H506" s="269"/>
      <c r="I506" s="269"/>
      <c r="J506" s="269"/>
      <c r="K506" s="269"/>
      <c r="L506" s="269"/>
      <c r="M506" s="269"/>
      <c r="N506" s="269"/>
      <c r="O506" s="269"/>
      <c r="P506" s="269"/>
      <c r="Q506" s="269"/>
      <c r="R506" s="269"/>
      <c r="S506" s="269"/>
      <c r="T506" s="269"/>
    </row>
    <row r="507">
      <c r="A507" s="307"/>
      <c r="B507" s="293"/>
      <c r="C507" s="293"/>
      <c r="D507" s="293"/>
      <c r="E507" s="293"/>
      <c r="F507" s="293"/>
      <c r="G507" s="269"/>
      <c r="H507" s="269"/>
      <c r="I507" s="269"/>
      <c r="J507" s="269"/>
      <c r="K507" s="269"/>
      <c r="L507" s="269"/>
      <c r="M507" s="269"/>
      <c r="N507" s="269"/>
      <c r="O507" s="269"/>
      <c r="P507" s="269"/>
      <c r="Q507" s="269"/>
      <c r="R507" s="269"/>
      <c r="S507" s="269"/>
      <c r="T507" s="269"/>
    </row>
    <row r="508">
      <c r="A508" s="307"/>
      <c r="B508" s="293"/>
      <c r="C508" s="293"/>
      <c r="D508" s="293"/>
      <c r="E508" s="293"/>
      <c r="F508" s="294"/>
      <c r="G508" s="269"/>
      <c r="H508" s="269"/>
      <c r="I508" s="269"/>
      <c r="J508" s="269"/>
      <c r="K508" s="269"/>
      <c r="L508" s="269"/>
      <c r="M508" s="269"/>
      <c r="N508" s="269"/>
      <c r="O508" s="269"/>
      <c r="P508" s="269"/>
      <c r="Q508" s="269"/>
      <c r="R508" s="269"/>
      <c r="S508" s="269"/>
      <c r="T508" s="269"/>
    </row>
    <row r="509">
      <c r="A509" s="307"/>
      <c r="B509" s="293"/>
      <c r="C509" s="293"/>
      <c r="D509" s="293"/>
      <c r="E509" s="293"/>
      <c r="F509" s="294"/>
      <c r="G509" s="269"/>
      <c r="H509" s="269"/>
      <c r="I509" s="269"/>
      <c r="J509" s="269"/>
      <c r="K509" s="269"/>
      <c r="L509" s="269"/>
      <c r="M509" s="269"/>
      <c r="N509" s="269"/>
      <c r="O509" s="269"/>
      <c r="P509" s="269"/>
      <c r="Q509" s="269"/>
      <c r="R509" s="269"/>
      <c r="S509" s="269"/>
      <c r="T509" s="269"/>
    </row>
    <row r="510">
      <c r="A510" s="307"/>
      <c r="B510" s="294"/>
      <c r="C510" s="293"/>
      <c r="D510" s="294"/>
      <c r="E510" s="293"/>
      <c r="F510" s="294"/>
      <c r="G510" s="269"/>
      <c r="H510" s="269"/>
      <c r="I510" s="269"/>
      <c r="J510" s="269"/>
      <c r="K510" s="269"/>
      <c r="L510" s="269"/>
      <c r="M510" s="269"/>
      <c r="N510" s="269"/>
      <c r="O510" s="269"/>
      <c r="P510" s="269"/>
      <c r="Q510" s="269"/>
      <c r="R510" s="269"/>
      <c r="S510" s="269"/>
      <c r="T510" s="269"/>
    </row>
    <row r="511">
      <c r="A511" s="307"/>
      <c r="B511" s="296"/>
      <c r="C511" s="297"/>
      <c r="D511" s="296"/>
      <c r="E511" s="293"/>
      <c r="F511" s="296"/>
      <c r="G511" s="269"/>
      <c r="H511" s="269"/>
      <c r="I511" s="269"/>
      <c r="J511" s="269"/>
      <c r="K511" s="269"/>
      <c r="L511" s="269"/>
      <c r="M511" s="269"/>
      <c r="N511" s="269"/>
      <c r="O511" s="269"/>
      <c r="P511" s="269"/>
      <c r="Q511" s="269"/>
      <c r="R511" s="269"/>
      <c r="S511" s="269"/>
      <c r="T511" s="269"/>
    </row>
    <row r="512">
      <c r="A512" s="307"/>
      <c r="B512" s="304">
        <v>16.0</v>
      </c>
      <c r="C512" s="303">
        <v>17.0</v>
      </c>
      <c r="D512" s="304">
        <v>18.0</v>
      </c>
      <c r="E512" s="303">
        <v>19.0</v>
      </c>
      <c r="F512" s="304">
        <v>20.0</v>
      </c>
      <c r="G512" s="269"/>
      <c r="H512" s="269"/>
      <c r="I512" s="269"/>
      <c r="J512" s="269"/>
      <c r="K512" s="269"/>
      <c r="L512" s="269"/>
      <c r="M512" s="269"/>
      <c r="N512" s="269"/>
      <c r="O512" s="269"/>
      <c r="P512" s="269"/>
      <c r="Q512" s="269"/>
      <c r="R512" s="269"/>
      <c r="S512" s="269"/>
      <c r="T512" s="269"/>
    </row>
    <row r="513">
      <c r="A513" s="307"/>
      <c r="B513" s="293"/>
      <c r="C513" s="293"/>
      <c r="D513" s="291"/>
      <c r="E513" s="291"/>
      <c r="F513" s="291"/>
      <c r="G513" s="269"/>
      <c r="H513" s="269"/>
      <c r="I513" s="269"/>
      <c r="J513" s="269"/>
      <c r="K513" s="269"/>
      <c r="L513" s="269"/>
      <c r="M513" s="269"/>
      <c r="N513" s="269"/>
      <c r="O513" s="269"/>
      <c r="P513" s="269"/>
      <c r="Q513" s="269"/>
      <c r="R513" s="269"/>
      <c r="S513" s="269"/>
      <c r="T513" s="269"/>
    </row>
    <row r="514">
      <c r="A514" s="307"/>
      <c r="B514" s="293"/>
      <c r="C514" s="293"/>
      <c r="D514" s="293"/>
      <c r="E514" s="293"/>
      <c r="F514" s="293"/>
      <c r="G514" s="269"/>
      <c r="H514" s="269"/>
      <c r="I514" s="269"/>
      <c r="J514" s="269"/>
      <c r="K514" s="269"/>
      <c r="L514" s="269"/>
      <c r="M514" s="269"/>
      <c r="N514" s="269"/>
      <c r="O514" s="269"/>
      <c r="P514" s="269"/>
      <c r="Q514" s="269"/>
      <c r="R514" s="269"/>
      <c r="S514" s="269"/>
      <c r="T514" s="269"/>
    </row>
    <row r="515">
      <c r="A515" s="307"/>
      <c r="B515" s="293"/>
      <c r="C515" s="293"/>
      <c r="D515" s="293"/>
      <c r="E515" s="293"/>
      <c r="F515" s="293"/>
      <c r="G515" s="269"/>
      <c r="H515" s="269"/>
      <c r="I515" s="269"/>
      <c r="J515" s="269"/>
      <c r="K515" s="269"/>
      <c r="L515" s="269"/>
      <c r="M515" s="269"/>
      <c r="N515" s="269"/>
      <c r="O515" s="269"/>
      <c r="P515" s="269"/>
      <c r="Q515" s="269"/>
      <c r="R515" s="269"/>
      <c r="S515" s="269"/>
      <c r="T515" s="269"/>
    </row>
    <row r="516">
      <c r="A516" s="307"/>
      <c r="B516" s="293"/>
      <c r="C516" s="293"/>
      <c r="D516" s="293"/>
      <c r="E516" s="293"/>
      <c r="F516" s="293"/>
      <c r="G516" s="269"/>
      <c r="H516" s="269"/>
      <c r="I516" s="269"/>
      <c r="J516" s="269"/>
      <c r="K516" s="269"/>
      <c r="L516" s="269"/>
      <c r="M516" s="269"/>
      <c r="N516" s="269"/>
      <c r="O516" s="269"/>
      <c r="P516" s="269"/>
      <c r="Q516" s="269"/>
      <c r="R516" s="269"/>
      <c r="S516" s="269"/>
      <c r="T516" s="269"/>
    </row>
    <row r="517">
      <c r="A517" s="307"/>
      <c r="B517" s="293"/>
      <c r="C517" s="293"/>
      <c r="D517" s="293"/>
      <c r="E517" s="293"/>
      <c r="F517" s="293"/>
      <c r="G517" s="269"/>
      <c r="H517" s="269"/>
      <c r="I517" s="269"/>
      <c r="J517" s="269"/>
      <c r="K517" s="269"/>
      <c r="L517" s="269"/>
      <c r="M517" s="269"/>
      <c r="N517" s="269"/>
      <c r="O517" s="269"/>
      <c r="P517" s="269"/>
      <c r="Q517" s="269"/>
      <c r="R517" s="269"/>
      <c r="S517" s="269"/>
      <c r="T517" s="269"/>
    </row>
    <row r="518">
      <c r="A518" s="307"/>
      <c r="B518" s="294"/>
      <c r="C518" s="293"/>
      <c r="D518" s="293"/>
      <c r="E518" s="293"/>
      <c r="F518" s="293"/>
      <c r="G518" s="269"/>
      <c r="H518" s="269"/>
      <c r="I518" s="269"/>
      <c r="J518" s="269"/>
      <c r="K518" s="269"/>
      <c r="L518" s="269"/>
      <c r="M518" s="269"/>
      <c r="N518" s="269"/>
      <c r="O518" s="269"/>
      <c r="P518" s="269"/>
      <c r="Q518" s="269"/>
      <c r="R518" s="269"/>
      <c r="S518" s="269"/>
      <c r="T518" s="269"/>
    </row>
    <row r="519">
      <c r="A519" s="307"/>
      <c r="B519" s="294"/>
      <c r="C519" s="293"/>
      <c r="D519" s="293"/>
      <c r="E519" s="293"/>
      <c r="F519" s="293"/>
      <c r="G519" s="269"/>
      <c r="H519" s="269"/>
      <c r="I519" s="269"/>
      <c r="J519" s="269"/>
      <c r="K519" s="269"/>
      <c r="L519" s="269"/>
      <c r="M519" s="269"/>
      <c r="N519" s="269"/>
      <c r="O519" s="269"/>
      <c r="P519" s="269"/>
      <c r="Q519" s="269"/>
      <c r="R519" s="269"/>
      <c r="S519" s="269"/>
      <c r="T519" s="269"/>
    </row>
    <row r="520">
      <c r="A520" s="307"/>
      <c r="B520" s="294"/>
      <c r="C520" s="293"/>
      <c r="D520" s="293"/>
      <c r="E520" s="293"/>
      <c r="F520" s="293"/>
      <c r="G520" s="269"/>
      <c r="H520" s="269"/>
      <c r="I520" s="269"/>
      <c r="J520" s="269"/>
      <c r="K520" s="269"/>
      <c r="L520" s="269"/>
      <c r="M520" s="269"/>
      <c r="N520" s="269"/>
      <c r="O520" s="269"/>
      <c r="P520" s="269"/>
      <c r="Q520" s="269"/>
      <c r="R520" s="269"/>
      <c r="S520" s="269"/>
      <c r="T520" s="269"/>
    </row>
    <row r="521">
      <c r="A521" s="307"/>
      <c r="B521" s="293"/>
      <c r="C521" s="293"/>
      <c r="D521" s="294"/>
      <c r="E521" s="294"/>
      <c r="F521" s="294"/>
      <c r="G521" s="269"/>
      <c r="H521" s="269"/>
      <c r="I521" s="269"/>
      <c r="J521" s="269"/>
      <c r="K521" s="269"/>
      <c r="L521" s="269"/>
      <c r="M521" s="269"/>
      <c r="N521" s="269"/>
      <c r="O521" s="269"/>
      <c r="P521" s="269"/>
      <c r="Q521" s="269"/>
      <c r="R521" s="269"/>
      <c r="S521" s="269"/>
      <c r="T521" s="269"/>
    </row>
    <row r="522">
      <c r="A522" s="307"/>
      <c r="B522" s="296"/>
      <c r="C522" s="296"/>
      <c r="D522" s="296"/>
      <c r="E522" s="296"/>
      <c r="F522" s="296"/>
      <c r="G522" s="269"/>
      <c r="H522" s="269"/>
      <c r="I522" s="269"/>
      <c r="J522" s="269"/>
      <c r="K522" s="269"/>
      <c r="L522" s="269"/>
      <c r="M522" s="269"/>
      <c r="N522" s="269"/>
      <c r="O522" s="269"/>
      <c r="P522" s="269"/>
      <c r="Q522" s="269"/>
      <c r="R522" s="269"/>
      <c r="S522" s="269"/>
      <c r="T522" s="269"/>
    </row>
    <row r="523">
      <c r="A523" s="307"/>
      <c r="B523" s="304">
        <v>23.0</v>
      </c>
      <c r="C523" s="303">
        <v>24.0</v>
      </c>
      <c r="D523" s="304">
        <v>25.0</v>
      </c>
      <c r="E523" s="303">
        <v>26.0</v>
      </c>
      <c r="F523" s="304">
        <v>27.0</v>
      </c>
      <c r="G523" s="269"/>
      <c r="H523" s="269"/>
      <c r="I523" s="269"/>
      <c r="J523" s="269"/>
      <c r="K523" s="269"/>
      <c r="L523" s="269"/>
      <c r="M523" s="269"/>
      <c r="N523" s="269"/>
      <c r="O523" s="269"/>
      <c r="P523" s="269"/>
      <c r="Q523" s="269"/>
      <c r="R523" s="269"/>
      <c r="S523" s="269"/>
      <c r="T523" s="269"/>
    </row>
    <row r="524">
      <c r="A524" s="307"/>
      <c r="B524" s="327" t="s">
        <v>974</v>
      </c>
      <c r="C524" s="327" t="s">
        <v>974</v>
      </c>
      <c r="D524" s="327" t="s">
        <v>974</v>
      </c>
      <c r="E524" s="327" t="s">
        <v>974</v>
      </c>
      <c r="F524" s="327" t="s">
        <v>974</v>
      </c>
      <c r="G524" s="269"/>
      <c r="H524" s="269"/>
      <c r="I524" s="269"/>
      <c r="J524" s="269"/>
      <c r="K524" s="269"/>
      <c r="L524" s="269"/>
      <c r="M524" s="269"/>
      <c r="N524" s="269"/>
      <c r="O524" s="269"/>
      <c r="P524" s="269"/>
      <c r="Q524" s="269"/>
      <c r="R524" s="269"/>
      <c r="S524" s="269"/>
      <c r="T524" s="269"/>
    </row>
    <row r="525">
      <c r="A525" s="307"/>
      <c r="B525" s="293"/>
      <c r="C525" s="293"/>
      <c r="D525" s="293"/>
      <c r="E525" s="293"/>
      <c r="F525" s="293"/>
      <c r="G525" s="269"/>
      <c r="H525" s="269"/>
      <c r="I525" s="269"/>
      <c r="J525" s="269"/>
      <c r="K525" s="269"/>
      <c r="L525" s="269"/>
      <c r="M525" s="269"/>
      <c r="N525" s="269"/>
      <c r="O525" s="269"/>
      <c r="P525" s="269"/>
      <c r="Q525" s="269"/>
      <c r="R525" s="269"/>
      <c r="S525" s="269"/>
      <c r="T525" s="269"/>
    </row>
    <row r="526">
      <c r="A526" s="307"/>
      <c r="B526" s="293"/>
      <c r="C526" s="293"/>
      <c r="D526" s="293"/>
      <c r="E526" s="293"/>
      <c r="F526" s="293"/>
      <c r="G526" s="269"/>
      <c r="H526" s="269"/>
      <c r="I526" s="269"/>
      <c r="J526" s="269"/>
      <c r="K526" s="269"/>
      <c r="L526" s="269"/>
      <c r="M526" s="269"/>
      <c r="N526" s="269"/>
      <c r="O526" s="269"/>
      <c r="P526" s="269"/>
      <c r="Q526" s="269"/>
      <c r="R526" s="269"/>
      <c r="S526" s="269"/>
      <c r="T526" s="269"/>
    </row>
    <row r="527">
      <c r="A527" s="307"/>
      <c r="B527" s="293"/>
      <c r="C527" s="293"/>
      <c r="D527" s="293"/>
      <c r="E527" s="293"/>
      <c r="F527" s="293"/>
      <c r="G527" s="269"/>
      <c r="H527" s="269"/>
      <c r="I527" s="269"/>
      <c r="J527" s="269"/>
      <c r="K527" s="269"/>
      <c r="L527" s="269"/>
      <c r="M527" s="269"/>
      <c r="N527" s="269"/>
      <c r="O527" s="269"/>
      <c r="P527" s="269"/>
      <c r="Q527" s="269"/>
      <c r="R527" s="269"/>
      <c r="S527" s="269"/>
      <c r="T527" s="269"/>
    </row>
    <row r="528">
      <c r="A528" s="307"/>
      <c r="B528" s="293"/>
      <c r="C528" s="293"/>
      <c r="D528" s="293"/>
      <c r="E528" s="293"/>
      <c r="F528" s="293"/>
      <c r="G528" s="269"/>
      <c r="H528" s="269"/>
      <c r="I528" s="269"/>
      <c r="J528" s="269"/>
      <c r="K528" s="269"/>
      <c r="L528" s="269"/>
      <c r="M528" s="269"/>
      <c r="N528" s="269"/>
      <c r="O528" s="269"/>
      <c r="P528" s="269"/>
      <c r="Q528" s="269"/>
      <c r="R528" s="269"/>
      <c r="S528" s="269"/>
      <c r="T528" s="269"/>
    </row>
    <row r="529">
      <c r="A529" s="307"/>
      <c r="B529" s="293"/>
      <c r="C529" s="293"/>
      <c r="D529" s="293"/>
      <c r="E529" s="293"/>
      <c r="F529" s="293"/>
      <c r="G529" s="269"/>
      <c r="H529" s="269"/>
      <c r="I529" s="269"/>
      <c r="J529" s="269"/>
      <c r="K529" s="269"/>
      <c r="L529" s="269"/>
      <c r="M529" s="269"/>
      <c r="N529" s="269"/>
      <c r="O529" s="269"/>
      <c r="P529" s="269"/>
      <c r="Q529" s="269"/>
      <c r="R529" s="269"/>
      <c r="S529" s="269"/>
      <c r="T529" s="269"/>
    </row>
    <row r="530">
      <c r="A530" s="307"/>
      <c r="B530" s="293"/>
      <c r="C530" s="293"/>
      <c r="D530" s="293"/>
      <c r="E530" s="293"/>
      <c r="F530" s="294"/>
      <c r="G530" s="269"/>
      <c r="H530" s="269"/>
      <c r="I530" s="269"/>
      <c r="J530" s="269"/>
      <c r="K530" s="269"/>
      <c r="L530" s="269"/>
      <c r="M530" s="269"/>
      <c r="N530" s="269"/>
      <c r="O530" s="269"/>
      <c r="P530" s="269"/>
      <c r="Q530" s="269"/>
      <c r="R530" s="269"/>
      <c r="S530" s="269"/>
      <c r="T530" s="269"/>
    </row>
    <row r="531">
      <c r="A531" s="307"/>
      <c r="B531" s="294"/>
      <c r="C531" s="293"/>
      <c r="D531" s="293"/>
      <c r="E531" s="294"/>
      <c r="F531" s="294"/>
      <c r="G531" s="269"/>
      <c r="H531" s="269"/>
      <c r="I531" s="269"/>
      <c r="J531" s="269"/>
      <c r="K531" s="269"/>
      <c r="L531" s="269"/>
      <c r="M531" s="269"/>
      <c r="N531" s="269"/>
      <c r="O531" s="269"/>
      <c r="P531" s="269"/>
      <c r="Q531" s="269"/>
      <c r="R531" s="269"/>
      <c r="S531" s="269"/>
      <c r="T531" s="269"/>
    </row>
    <row r="532">
      <c r="A532" s="307"/>
      <c r="B532" s="294"/>
      <c r="C532" s="293"/>
      <c r="D532" s="293"/>
      <c r="E532" s="294"/>
      <c r="F532" s="294"/>
      <c r="G532" s="269"/>
      <c r="H532" s="269"/>
      <c r="I532" s="269"/>
      <c r="J532" s="269"/>
      <c r="K532" s="269"/>
      <c r="L532" s="269"/>
      <c r="M532" s="269"/>
      <c r="N532" s="269"/>
      <c r="O532" s="269"/>
      <c r="P532" s="269"/>
      <c r="Q532" s="269"/>
      <c r="R532" s="269"/>
      <c r="S532" s="269"/>
      <c r="T532" s="269"/>
    </row>
    <row r="533">
      <c r="A533" s="307"/>
      <c r="B533" s="296"/>
      <c r="C533" s="297"/>
      <c r="D533" s="296"/>
      <c r="E533" s="296"/>
      <c r="F533" s="296"/>
      <c r="G533" s="269"/>
      <c r="H533" s="269"/>
      <c r="I533" s="269"/>
      <c r="J533" s="269"/>
      <c r="K533" s="269"/>
      <c r="L533" s="269"/>
      <c r="M533" s="269"/>
      <c r="N533" s="269"/>
      <c r="O533" s="269"/>
      <c r="P533" s="269"/>
      <c r="Q533" s="269"/>
      <c r="R533" s="269"/>
      <c r="S533" s="269"/>
      <c r="T533" s="269"/>
    </row>
    <row r="534">
      <c r="A534" s="307"/>
      <c r="B534" s="304">
        <v>30.0</v>
      </c>
      <c r="C534" s="303"/>
      <c r="D534" s="304"/>
      <c r="E534" s="303"/>
      <c r="F534" s="304"/>
      <c r="G534" s="269"/>
      <c r="H534" s="269"/>
      <c r="I534" s="269"/>
      <c r="J534" s="269"/>
      <c r="K534" s="269"/>
      <c r="L534" s="269"/>
      <c r="M534" s="269"/>
      <c r="N534" s="269"/>
      <c r="O534" s="269"/>
      <c r="P534" s="269"/>
      <c r="Q534" s="269"/>
      <c r="R534" s="269"/>
      <c r="S534" s="269"/>
      <c r="T534" s="269"/>
    </row>
    <row r="535">
      <c r="A535" s="307"/>
      <c r="B535" s="291"/>
      <c r="C535" s="299"/>
      <c r="D535" s="299"/>
      <c r="E535" s="299"/>
      <c r="F535" s="299"/>
      <c r="G535" s="269"/>
      <c r="H535" s="269"/>
      <c r="I535" s="269"/>
      <c r="J535" s="269"/>
      <c r="K535" s="269"/>
      <c r="L535" s="269"/>
      <c r="M535" s="269"/>
      <c r="N535" s="269"/>
      <c r="O535" s="269"/>
      <c r="P535" s="269"/>
      <c r="Q535" s="269"/>
      <c r="R535" s="269"/>
      <c r="S535" s="269"/>
      <c r="T535" s="269"/>
    </row>
    <row r="536">
      <c r="A536" s="307"/>
      <c r="B536" s="293"/>
      <c r="C536" s="292"/>
      <c r="D536" s="292"/>
      <c r="E536" s="292"/>
      <c r="F536" s="292"/>
      <c r="G536" s="269"/>
      <c r="H536" s="269"/>
      <c r="I536" s="269"/>
      <c r="J536" s="269"/>
      <c r="K536" s="269"/>
      <c r="L536" s="269"/>
      <c r="M536" s="269"/>
      <c r="N536" s="269"/>
      <c r="O536" s="269"/>
      <c r="P536" s="269"/>
      <c r="Q536" s="269"/>
      <c r="R536" s="269"/>
      <c r="S536" s="269"/>
      <c r="T536" s="269"/>
    </row>
    <row r="537">
      <c r="A537" s="307"/>
      <c r="B537" s="293"/>
      <c r="C537" s="292"/>
      <c r="D537" s="292"/>
      <c r="E537" s="292"/>
      <c r="F537" s="292"/>
      <c r="G537" s="269"/>
      <c r="H537" s="269"/>
      <c r="I537" s="269"/>
      <c r="J537" s="269"/>
      <c r="K537" s="269"/>
      <c r="L537" s="269"/>
      <c r="M537" s="269"/>
      <c r="N537" s="269"/>
      <c r="O537" s="269"/>
      <c r="P537" s="269"/>
      <c r="Q537" s="269"/>
      <c r="R537" s="269"/>
      <c r="S537" s="269"/>
      <c r="T537" s="269"/>
    </row>
    <row r="538">
      <c r="A538" s="307"/>
      <c r="B538" s="293"/>
      <c r="C538" s="292"/>
      <c r="D538" s="292"/>
      <c r="E538" s="292"/>
      <c r="F538" s="292"/>
      <c r="G538" s="269"/>
      <c r="H538" s="269"/>
      <c r="I538" s="269"/>
      <c r="J538" s="269"/>
      <c r="K538" s="269"/>
      <c r="L538" s="269"/>
      <c r="M538" s="269"/>
      <c r="N538" s="269"/>
      <c r="O538" s="269"/>
      <c r="P538" s="269"/>
      <c r="Q538" s="269"/>
      <c r="R538" s="269"/>
      <c r="S538" s="269"/>
      <c r="T538" s="269"/>
    </row>
    <row r="539">
      <c r="A539" s="307"/>
      <c r="B539" s="293"/>
      <c r="C539" s="292"/>
      <c r="D539" s="292"/>
      <c r="E539" s="292"/>
      <c r="F539" s="292"/>
      <c r="G539" s="269"/>
      <c r="H539" s="269"/>
      <c r="I539" s="269"/>
      <c r="J539" s="269"/>
      <c r="K539" s="269"/>
      <c r="L539" s="269"/>
      <c r="M539" s="269"/>
      <c r="N539" s="269"/>
      <c r="O539" s="269"/>
      <c r="P539" s="269"/>
      <c r="Q539" s="269"/>
      <c r="R539" s="269"/>
      <c r="S539" s="269"/>
      <c r="T539" s="269"/>
    </row>
    <row r="540">
      <c r="A540" s="307"/>
      <c r="B540" s="293"/>
      <c r="C540" s="292"/>
      <c r="D540" s="292"/>
      <c r="E540" s="292"/>
      <c r="F540" s="292"/>
      <c r="G540" s="269"/>
      <c r="H540" s="269"/>
      <c r="I540" s="269"/>
      <c r="J540" s="269"/>
      <c r="K540" s="269"/>
      <c r="L540" s="269"/>
      <c r="M540" s="269"/>
      <c r="N540" s="269"/>
      <c r="O540" s="269"/>
      <c r="P540" s="269"/>
      <c r="Q540" s="269"/>
      <c r="R540" s="269"/>
      <c r="S540" s="269"/>
      <c r="T540" s="269"/>
    </row>
    <row r="541">
      <c r="A541" s="307"/>
      <c r="B541" s="293"/>
      <c r="C541" s="292"/>
      <c r="D541" s="292"/>
      <c r="E541" s="292"/>
      <c r="F541" s="292"/>
      <c r="G541" s="269"/>
      <c r="H541" s="269"/>
      <c r="I541" s="269"/>
      <c r="J541" s="269"/>
      <c r="K541" s="269"/>
      <c r="L541" s="269"/>
      <c r="M541" s="269"/>
      <c r="N541" s="269"/>
      <c r="O541" s="269"/>
      <c r="P541" s="269"/>
      <c r="Q541" s="269"/>
      <c r="R541" s="269"/>
      <c r="S541" s="269"/>
      <c r="T541" s="269"/>
    </row>
    <row r="542">
      <c r="A542" s="307"/>
      <c r="B542" s="294"/>
      <c r="C542" s="292"/>
      <c r="D542" s="292"/>
      <c r="E542" s="292"/>
      <c r="F542" s="292"/>
      <c r="G542" s="269"/>
      <c r="H542" s="269"/>
      <c r="I542" s="269"/>
      <c r="J542" s="269"/>
      <c r="K542" s="269"/>
      <c r="L542" s="269"/>
      <c r="M542" s="269"/>
      <c r="N542" s="269"/>
      <c r="O542" s="269"/>
      <c r="P542" s="269"/>
      <c r="Q542" s="269"/>
      <c r="R542" s="269"/>
      <c r="S542" s="269"/>
      <c r="T542" s="269"/>
    </row>
    <row r="543">
      <c r="A543" s="307"/>
      <c r="B543" s="294"/>
      <c r="C543" s="292"/>
      <c r="D543" s="292"/>
      <c r="E543" s="292"/>
      <c r="F543" s="292"/>
      <c r="G543" s="269"/>
      <c r="H543" s="269"/>
      <c r="I543" s="269"/>
      <c r="J543" s="269"/>
      <c r="K543" s="269"/>
      <c r="L543" s="269"/>
      <c r="M543" s="269"/>
      <c r="N543" s="269"/>
      <c r="O543" s="269"/>
      <c r="P543" s="269"/>
      <c r="Q543" s="269"/>
      <c r="R543" s="269"/>
      <c r="S543" s="269"/>
      <c r="T543" s="269"/>
    </row>
    <row r="544">
      <c r="A544" s="307"/>
      <c r="B544" s="296"/>
      <c r="C544" s="77"/>
      <c r="D544" s="77"/>
      <c r="E544" s="77"/>
      <c r="F544" s="77"/>
      <c r="G544" s="269"/>
      <c r="H544" s="269"/>
      <c r="I544" s="269"/>
      <c r="J544" s="269"/>
      <c r="K544" s="269"/>
      <c r="L544" s="269"/>
      <c r="M544" s="269"/>
      <c r="N544" s="269"/>
      <c r="O544" s="269"/>
      <c r="P544" s="269"/>
      <c r="Q544" s="269"/>
      <c r="R544" s="269"/>
      <c r="S544" s="269"/>
      <c r="T544" s="269"/>
    </row>
    <row r="545">
      <c r="A545" s="307"/>
      <c r="B545" s="269"/>
      <c r="C545" s="269"/>
      <c r="D545" s="269"/>
      <c r="E545" s="269"/>
      <c r="F545" s="269"/>
      <c r="G545" s="269"/>
      <c r="H545" s="269"/>
      <c r="I545" s="269"/>
      <c r="J545" s="269"/>
      <c r="K545" s="269"/>
      <c r="L545" s="269"/>
      <c r="M545" s="269"/>
      <c r="N545" s="269"/>
      <c r="O545" s="269"/>
      <c r="P545" s="269"/>
      <c r="Q545" s="269"/>
      <c r="R545" s="269"/>
      <c r="S545" s="269"/>
      <c r="T545" s="269"/>
    </row>
    <row r="546">
      <c r="A546" s="307"/>
      <c r="B546" s="269"/>
      <c r="C546" s="269"/>
      <c r="D546" s="269"/>
      <c r="E546" s="269"/>
      <c r="F546" s="269"/>
      <c r="G546" s="269"/>
      <c r="H546" s="269"/>
      <c r="I546" s="269"/>
      <c r="J546" s="269"/>
      <c r="K546" s="269"/>
      <c r="L546" s="269"/>
      <c r="M546" s="269"/>
      <c r="N546" s="269"/>
      <c r="O546" s="269"/>
      <c r="P546" s="269"/>
      <c r="Q546" s="269"/>
      <c r="R546" s="269"/>
      <c r="S546" s="269"/>
      <c r="T546" s="269"/>
    </row>
    <row r="547">
      <c r="A547" s="307"/>
      <c r="B547" s="269"/>
      <c r="C547" s="269"/>
      <c r="D547" s="269"/>
      <c r="E547" s="269"/>
      <c r="F547" s="269"/>
      <c r="G547" s="269"/>
      <c r="H547" s="269"/>
      <c r="I547" s="269"/>
      <c r="J547" s="269"/>
      <c r="K547" s="269"/>
      <c r="L547" s="269"/>
      <c r="M547" s="269"/>
      <c r="N547" s="269"/>
      <c r="O547" s="269"/>
      <c r="P547" s="269"/>
      <c r="Q547" s="269"/>
      <c r="R547" s="269"/>
      <c r="S547" s="269"/>
      <c r="T547" s="269"/>
    </row>
    <row r="548">
      <c r="A548" s="307"/>
      <c r="B548" s="278" t="s">
        <v>548</v>
      </c>
      <c r="C548" s="279"/>
      <c r="D548" s="279"/>
      <c r="E548" s="279"/>
      <c r="F548" s="280"/>
      <c r="G548" s="269"/>
      <c r="H548" s="269"/>
      <c r="I548" s="269"/>
      <c r="J548" s="269"/>
      <c r="K548" s="269"/>
      <c r="L548" s="269"/>
      <c r="M548" s="269"/>
      <c r="N548" s="269"/>
      <c r="O548" s="269"/>
      <c r="P548" s="269"/>
      <c r="Q548" s="269"/>
      <c r="R548" s="269"/>
      <c r="S548" s="269"/>
      <c r="T548" s="269"/>
    </row>
    <row r="549">
      <c r="A549" s="307"/>
      <c r="B549" s="282"/>
      <c r="C549" s="283"/>
      <c r="D549" s="283"/>
      <c r="E549" s="283"/>
      <c r="F549" s="284"/>
      <c r="G549" s="269"/>
      <c r="H549" s="269"/>
      <c r="I549" s="269"/>
      <c r="J549" s="269"/>
      <c r="K549" s="269"/>
      <c r="L549" s="269"/>
      <c r="M549" s="269"/>
      <c r="N549" s="269"/>
      <c r="O549" s="269"/>
      <c r="P549" s="269"/>
      <c r="Q549" s="269"/>
      <c r="R549" s="269"/>
      <c r="S549" s="269"/>
      <c r="T549" s="269"/>
    </row>
    <row r="550">
      <c r="A550" s="307"/>
      <c r="B550" s="285" t="s">
        <v>901</v>
      </c>
      <c r="C550" s="286" t="s">
        <v>902</v>
      </c>
      <c r="D550" s="286" t="s">
        <v>903</v>
      </c>
      <c r="E550" s="286" t="s">
        <v>904</v>
      </c>
      <c r="F550" s="286" t="s">
        <v>905</v>
      </c>
      <c r="G550" s="269"/>
      <c r="H550" s="269"/>
      <c r="I550" s="269"/>
      <c r="J550" s="269"/>
      <c r="K550" s="269"/>
      <c r="L550" s="269"/>
      <c r="M550" s="269"/>
      <c r="N550" s="269"/>
      <c r="O550" s="269"/>
      <c r="P550" s="269"/>
      <c r="Q550" s="269"/>
      <c r="R550" s="269"/>
      <c r="S550" s="269"/>
      <c r="T550" s="269"/>
    </row>
    <row r="551">
      <c r="A551" s="307"/>
      <c r="B551" s="304"/>
      <c r="C551" s="303">
        <v>1.0</v>
      </c>
      <c r="D551" s="304">
        <v>2.0</v>
      </c>
      <c r="E551" s="303">
        <v>3.0</v>
      </c>
      <c r="F551" s="304">
        <v>4.0</v>
      </c>
      <c r="G551" s="269"/>
      <c r="H551" s="269"/>
      <c r="I551" s="269"/>
      <c r="J551" s="269"/>
      <c r="K551" s="269"/>
      <c r="L551" s="269"/>
      <c r="M551" s="269"/>
      <c r="N551" s="269"/>
      <c r="O551" s="269"/>
      <c r="P551" s="269"/>
      <c r="Q551" s="269"/>
      <c r="R551" s="269"/>
      <c r="S551" s="269"/>
      <c r="T551" s="269"/>
    </row>
    <row r="552">
      <c r="A552" s="307"/>
      <c r="B552" s="299"/>
      <c r="C552" s="291"/>
      <c r="D552" s="291"/>
      <c r="E552" s="291"/>
      <c r="F552" s="291"/>
      <c r="G552" s="269"/>
      <c r="H552" s="269"/>
      <c r="I552" s="269"/>
      <c r="J552" s="269"/>
      <c r="K552" s="269"/>
      <c r="L552" s="269"/>
      <c r="M552" s="269"/>
      <c r="N552" s="269"/>
      <c r="O552" s="269"/>
      <c r="P552" s="269"/>
      <c r="Q552" s="269"/>
      <c r="R552" s="269"/>
      <c r="S552" s="269"/>
      <c r="T552" s="269"/>
    </row>
    <row r="553">
      <c r="A553" s="307"/>
      <c r="B553" s="292"/>
      <c r="C553" s="293"/>
      <c r="D553" s="293"/>
      <c r="E553" s="293"/>
      <c r="F553" s="293"/>
      <c r="G553" s="269"/>
      <c r="H553" s="269"/>
      <c r="I553" s="269"/>
      <c r="J553" s="269"/>
      <c r="K553" s="269"/>
      <c r="L553" s="269"/>
      <c r="M553" s="269"/>
      <c r="N553" s="269"/>
      <c r="O553" s="269"/>
      <c r="P553" s="269"/>
      <c r="Q553" s="269"/>
      <c r="R553" s="269"/>
      <c r="S553" s="269"/>
      <c r="T553" s="269"/>
    </row>
    <row r="554">
      <c r="A554" s="307"/>
      <c r="B554" s="292"/>
      <c r="C554" s="293"/>
      <c r="D554" s="293"/>
      <c r="E554" s="293"/>
      <c r="F554" s="293"/>
      <c r="G554" s="269"/>
      <c r="H554" s="269"/>
      <c r="I554" s="269"/>
      <c r="J554" s="269"/>
      <c r="K554" s="269"/>
      <c r="L554" s="269"/>
      <c r="M554" s="269"/>
      <c r="N554" s="269"/>
      <c r="O554" s="269"/>
      <c r="P554" s="269"/>
      <c r="Q554" s="269"/>
      <c r="R554" s="269"/>
      <c r="S554" s="269"/>
      <c r="T554" s="269"/>
    </row>
    <row r="555">
      <c r="A555" s="307"/>
      <c r="B555" s="292"/>
      <c r="C555" s="293"/>
      <c r="D555" s="293"/>
      <c r="E555" s="293"/>
      <c r="F555" s="293"/>
      <c r="G555" s="269"/>
      <c r="H555" s="269"/>
      <c r="I555" s="269"/>
      <c r="J555" s="269"/>
      <c r="K555" s="269"/>
      <c r="L555" s="269"/>
      <c r="M555" s="269"/>
      <c r="N555" s="269"/>
      <c r="O555" s="269"/>
      <c r="P555" s="269"/>
      <c r="Q555" s="269"/>
      <c r="R555" s="269"/>
      <c r="S555" s="269"/>
      <c r="T555" s="269"/>
    </row>
    <row r="556">
      <c r="A556" s="307"/>
      <c r="B556" s="292"/>
      <c r="C556" s="293"/>
      <c r="D556" s="293"/>
      <c r="E556" s="293"/>
      <c r="F556" s="293"/>
      <c r="G556" s="269"/>
      <c r="H556" s="269"/>
      <c r="I556" s="269"/>
      <c r="J556" s="269"/>
      <c r="K556" s="269"/>
      <c r="L556" s="269"/>
      <c r="M556" s="269"/>
      <c r="N556" s="269"/>
      <c r="O556" s="269"/>
      <c r="P556" s="269"/>
      <c r="Q556" s="269"/>
      <c r="R556" s="269"/>
      <c r="S556" s="269"/>
      <c r="T556" s="269"/>
    </row>
    <row r="557">
      <c r="A557" s="307"/>
      <c r="B557" s="292"/>
      <c r="C557" s="294"/>
      <c r="D557" s="294"/>
      <c r="E557" s="294"/>
      <c r="F557" s="294"/>
      <c r="G557" s="269"/>
      <c r="H557" s="269"/>
      <c r="I557" s="269"/>
      <c r="J557" s="269"/>
      <c r="K557" s="269"/>
      <c r="L557" s="269"/>
      <c r="M557" s="269"/>
      <c r="N557" s="269"/>
      <c r="O557" s="269"/>
      <c r="P557" s="269"/>
      <c r="Q557" s="269"/>
      <c r="R557" s="269"/>
      <c r="S557" s="269"/>
      <c r="T557" s="269"/>
    </row>
    <row r="558">
      <c r="A558" s="307"/>
      <c r="B558" s="292"/>
      <c r="C558" s="294"/>
      <c r="D558" s="294"/>
      <c r="E558" s="294"/>
      <c r="F558" s="294"/>
      <c r="G558" s="269"/>
      <c r="H558" s="269"/>
      <c r="I558" s="269"/>
      <c r="J558" s="269"/>
      <c r="K558" s="269"/>
      <c r="L558" s="269"/>
      <c r="M558" s="269"/>
      <c r="N558" s="269"/>
      <c r="O558" s="269"/>
      <c r="P558" s="269"/>
      <c r="Q558" s="269"/>
      <c r="R558" s="269"/>
      <c r="S558" s="269"/>
      <c r="T558" s="269"/>
    </row>
    <row r="559">
      <c r="A559" s="307"/>
      <c r="B559" s="292"/>
      <c r="C559" s="294"/>
      <c r="D559" s="294"/>
      <c r="E559" s="294"/>
      <c r="F559" s="294"/>
      <c r="G559" s="269"/>
      <c r="H559" s="269"/>
      <c r="I559" s="269"/>
      <c r="J559" s="269"/>
      <c r="K559" s="269"/>
      <c r="L559" s="269"/>
      <c r="M559" s="269"/>
      <c r="N559" s="269"/>
      <c r="O559" s="269"/>
      <c r="P559" s="269"/>
      <c r="Q559" s="269"/>
      <c r="R559" s="269"/>
      <c r="S559" s="269"/>
      <c r="T559" s="269"/>
    </row>
    <row r="560">
      <c r="A560" s="307"/>
      <c r="B560" s="292"/>
      <c r="C560" s="294"/>
      <c r="D560" s="294"/>
      <c r="E560" s="294"/>
      <c r="F560" s="294"/>
      <c r="G560" s="269"/>
      <c r="H560" s="269"/>
      <c r="I560" s="269"/>
      <c r="J560" s="269"/>
      <c r="K560" s="269"/>
      <c r="L560" s="269"/>
      <c r="M560" s="269"/>
      <c r="N560" s="269"/>
      <c r="O560" s="269"/>
      <c r="P560" s="269"/>
      <c r="Q560" s="269"/>
      <c r="R560" s="269"/>
      <c r="S560" s="269"/>
      <c r="T560" s="269"/>
    </row>
    <row r="561">
      <c r="A561" s="307"/>
      <c r="B561" s="77"/>
      <c r="C561" s="295"/>
      <c r="D561" s="295"/>
      <c r="E561" s="295"/>
      <c r="F561" s="295"/>
      <c r="G561" s="269"/>
      <c r="H561" s="269"/>
      <c r="I561" s="269"/>
      <c r="J561" s="269"/>
      <c r="K561" s="269"/>
      <c r="L561" s="269"/>
      <c r="M561" s="269"/>
      <c r="N561" s="269"/>
      <c r="O561" s="269"/>
      <c r="P561" s="269"/>
      <c r="Q561" s="269"/>
      <c r="R561" s="269"/>
      <c r="S561" s="269"/>
      <c r="T561" s="269"/>
    </row>
    <row r="562">
      <c r="A562" s="307"/>
      <c r="B562" s="304">
        <v>7.0</v>
      </c>
      <c r="C562" s="303">
        <v>8.0</v>
      </c>
      <c r="D562" s="304">
        <v>9.0</v>
      </c>
      <c r="E562" s="303">
        <v>10.0</v>
      </c>
      <c r="F562" s="304">
        <v>11.0</v>
      </c>
      <c r="G562" s="269"/>
      <c r="H562" s="269"/>
      <c r="I562" s="269"/>
      <c r="J562" s="269"/>
      <c r="K562" s="269"/>
      <c r="L562" s="269"/>
      <c r="M562" s="269"/>
      <c r="N562" s="269"/>
      <c r="O562" s="269"/>
      <c r="P562" s="269"/>
      <c r="Q562" s="269"/>
      <c r="R562" s="269"/>
      <c r="S562" s="269"/>
      <c r="T562" s="269"/>
    </row>
    <row r="563">
      <c r="A563" s="307"/>
      <c r="B563" s="291"/>
      <c r="C563" s="291"/>
      <c r="D563" s="291"/>
      <c r="E563" s="291"/>
      <c r="F563" s="291"/>
      <c r="G563" s="269"/>
      <c r="H563" s="269"/>
      <c r="I563" s="269"/>
      <c r="J563" s="269"/>
      <c r="K563" s="269"/>
      <c r="L563" s="269"/>
      <c r="M563" s="269"/>
      <c r="N563" s="269"/>
      <c r="O563" s="269"/>
      <c r="P563" s="269"/>
      <c r="Q563" s="269"/>
      <c r="R563" s="269"/>
      <c r="S563" s="269"/>
      <c r="T563" s="269"/>
    </row>
    <row r="564">
      <c r="A564" s="307"/>
      <c r="B564" s="293"/>
      <c r="C564" s="294"/>
      <c r="D564" s="293"/>
      <c r="E564" s="293"/>
      <c r="F564" s="293"/>
      <c r="G564" s="269"/>
      <c r="H564" s="269"/>
      <c r="I564" s="269"/>
      <c r="J564" s="269"/>
      <c r="K564" s="269"/>
      <c r="L564" s="269"/>
      <c r="M564" s="269"/>
      <c r="N564" s="269"/>
      <c r="O564" s="269"/>
      <c r="P564" s="269"/>
      <c r="Q564" s="269"/>
      <c r="R564" s="269"/>
      <c r="S564" s="269"/>
      <c r="T564" s="269"/>
    </row>
    <row r="565">
      <c r="A565" s="307"/>
      <c r="B565" s="293"/>
      <c r="C565" s="293"/>
      <c r="D565" s="293"/>
      <c r="E565" s="293"/>
      <c r="F565" s="293"/>
      <c r="G565" s="269"/>
      <c r="H565" s="269"/>
      <c r="I565" s="269"/>
      <c r="J565" s="269"/>
      <c r="K565" s="269"/>
      <c r="L565" s="269"/>
      <c r="M565" s="269"/>
      <c r="N565" s="269"/>
      <c r="O565" s="269"/>
      <c r="P565" s="269"/>
      <c r="Q565" s="269"/>
      <c r="R565" s="269"/>
      <c r="S565" s="269"/>
      <c r="T565" s="269"/>
    </row>
    <row r="566">
      <c r="A566" s="307"/>
      <c r="B566" s="293"/>
      <c r="C566" s="293"/>
      <c r="D566" s="293"/>
      <c r="E566" s="293"/>
      <c r="F566" s="293"/>
      <c r="G566" s="269"/>
      <c r="H566" s="269"/>
      <c r="I566" s="269"/>
      <c r="J566" s="269"/>
      <c r="K566" s="269"/>
      <c r="L566" s="269"/>
      <c r="M566" s="269"/>
      <c r="N566" s="269"/>
      <c r="O566" s="269"/>
      <c r="P566" s="269"/>
      <c r="Q566" s="269"/>
      <c r="R566" s="269"/>
      <c r="S566" s="269"/>
      <c r="T566" s="269"/>
    </row>
    <row r="567">
      <c r="A567" s="307"/>
      <c r="B567" s="293"/>
      <c r="C567" s="293"/>
      <c r="D567" s="293"/>
      <c r="E567" s="293"/>
      <c r="F567" s="293"/>
      <c r="G567" s="269"/>
      <c r="H567" s="269"/>
      <c r="I567" s="269"/>
      <c r="J567" s="269"/>
      <c r="K567" s="269"/>
      <c r="L567" s="269"/>
      <c r="M567" s="269"/>
      <c r="N567" s="269"/>
      <c r="O567" s="269"/>
      <c r="P567" s="269"/>
      <c r="Q567" s="269"/>
      <c r="R567" s="269"/>
      <c r="S567" s="269"/>
      <c r="T567" s="269"/>
    </row>
    <row r="568">
      <c r="A568" s="307"/>
      <c r="B568" s="293"/>
      <c r="C568" s="293"/>
      <c r="D568" s="293"/>
      <c r="E568" s="293"/>
      <c r="F568" s="293"/>
      <c r="G568" s="269"/>
      <c r="H568" s="269"/>
      <c r="I568" s="269"/>
      <c r="J568" s="269"/>
      <c r="K568" s="269"/>
      <c r="L568" s="269"/>
      <c r="M568" s="269"/>
      <c r="N568" s="269"/>
      <c r="O568" s="269"/>
      <c r="P568" s="269"/>
      <c r="Q568" s="269"/>
      <c r="R568" s="269"/>
      <c r="S568" s="269"/>
      <c r="T568" s="269"/>
    </row>
    <row r="569">
      <c r="A569" s="307"/>
      <c r="B569" s="293"/>
      <c r="C569" s="293"/>
      <c r="D569" s="293"/>
      <c r="E569" s="293"/>
      <c r="F569" s="294"/>
      <c r="G569" s="269"/>
      <c r="H569" s="269"/>
      <c r="I569" s="269"/>
      <c r="J569" s="269"/>
      <c r="K569" s="269"/>
      <c r="L569" s="269"/>
      <c r="M569" s="269"/>
      <c r="N569" s="269"/>
      <c r="O569" s="269"/>
      <c r="P569" s="269"/>
      <c r="Q569" s="269"/>
      <c r="R569" s="269"/>
      <c r="S569" s="269"/>
      <c r="T569" s="269"/>
    </row>
    <row r="570">
      <c r="A570" s="307"/>
      <c r="B570" s="293"/>
      <c r="C570" s="293"/>
      <c r="D570" s="293"/>
      <c r="E570" s="293"/>
      <c r="F570" s="294"/>
      <c r="G570" s="269"/>
      <c r="H570" s="269"/>
      <c r="I570" s="269"/>
      <c r="J570" s="269"/>
      <c r="K570" s="269"/>
      <c r="L570" s="269"/>
      <c r="M570" s="269"/>
      <c r="N570" s="269"/>
      <c r="O570" s="269"/>
      <c r="P570" s="269"/>
      <c r="Q570" s="269"/>
      <c r="R570" s="269"/>
      <c r="S570" s="269"/>
      <c r="T570" s="269"/>
    </row>
    <row r="571">
      <c r="A571" s="307"/>
      <c r="B571" s="294"/>
      <c r="C571" s="293"/>
      <c r="D571" s="294"/>
      <c r="E571" s="293"/>
      <c r="F571" s="294"/>
      <c r="G571" s="269"/>
      <c r="H571" s="269"/>
      <c r="I571" s="269"/>
      <c r="J571" s="269"/>
      <c r="K571" s="269"/>
      <c r="L571" s="269"/>
      <c r="M571" s="269"/>
      <c r="N571" s="269"/>
      <c r="O571" s="269"/>
      <c r="P571" s="269"/>
      <c r="Q571" s="269"/>
      <c r="R571" s="269"/>
      <c r="S571" s="269"/>
      <c r="T571" s="269"/>
    </row>
    <row r="572">
      <c r="A572" s="307"/>
      <c r="B572" s="296"/>
      <c r="C572" s="297"/>
      <c r="D572" s="296"/>
      <c r="E572" s="293"/>
      <c r="F572" s="296"/>
      <c r="G572" s="269"/>
      <c r="H572" s="269"/>
      <c r="I572" s="269"/>
      <c r="J572" s="269"/>
      <c r="K572" s="269"/>
      <c r="L572" s="269"/>
      <c r="M572" s="269"/>
      <c r="N572" s="269"/>
      <c r="O572" s="269"/>
      <c r="P572" s="269"/>
      <c r="Q572" s="269"/>
      <c r="R572" s="269"/>
      <c r="S572" s="269"/>
      <c r="T572" s="269"/>
    </row>
    <row r="573">
      <c r="A573" s="307"/>
      <c r="B573" s="304">
        <v>14.0</v>
      </c>
      <c r="C573" s="303">
        <v>15.0</v>
      </c>
      <c r="D573" s="304">
        <v>16.0</v>
      </c>
      <c r="E573" s="303">
        <v>17.0</v>
      </c>
      <c r="F573" s="304">
        <v>18.0</v>
      </c>
      <c r="G573" s="269"/>
      <c r="H573" s="269"/>
      <c r="I573" s="269"/>
      <c r="J573" s="269"/>
      <c r="K573" s="269"/>
      <c r="L573" s="269"/>
      <c r="M573" s="269"/>
      <c r="N573" s="269"/>
      <c r="O573" s="269"/>
      <c r="P573" s="269"/>
      <c r="Q573" s="269"/>
      <c r="R573" s="269"/>
      <c r="S573" s="269"/>
      <c r="T573" s="269"/>
    </row>
    <row r="574">
      <c r="A574" s="307"/>
      <c r="B574" s="323"/>
      <c r="C574" s="323"/>
      <c r="D574" s="323"/>
      <c r="E574" s="323"/>
      <c r="F574" s="323"/>
      <c r="G574" s="269"/>
      <c r="H574" s="269"/>
      <c r="I574" s="269"/>
      <c r="J574" s="269"/>
      <c r="K574" s="269"/>
      <c r="L574" s="269"/>
      <c r="M574" s="269"/>
      <c r="N574" s="269"/>
      <c r="O574" s="269"/>
      <c r="P574" s="269"/>
      <c r="Q574" s="269"/>
      <c r="R574" s="269"/>
      <c r="S574" s="269"/>
      <c r="T574" s="269"/>
    </row>
    <row r="575">
      <c r="A575" s="307"/>
      <c r="B575" s="293"/>
      <c r="C575" s="293"/>
      <c r="D575" s="293"/>
      <c r="E575" s="293"/>
      <c r="F575" s="293"/>
      <c r="G575" s="269"/>
      <c r="H575" s="269"/>
      <c r="I575" s="269"/>
      <c r="J575" s="269"/>
      <c r="K575" s="269"/>
      <c r="L575" s="269"/>
      <c r="M575" s="269"/>
      <c r="N575" s="269"/>
      <c r="O575" s="269"/>
      <c r="P575" s="269"/>
      <c r="Q575" s="269"/>
      <c r="R575" s="269"/>
      <c r="S575" s="269"/>
      <c r="T575" s="269"/>
    </row>
    <row r="576">
      <c r="A576" s="307"/>
      <c r="B576" s="293"/>
      <c r="C576" s="293"/>
      <c r="D576" s="293"/>
      <c r="E576" s="293"/>
      <c r="F576" s="293"/>
      <c r="G576" s="269"/>
      <c r="H576" s="269"/>
      <c r="I576" s="269"/>
      <c r="J576" s="269"/>
      <c r="K576" s="269"/>
      <c r="L576" s="269"/>
      <c r="M576" s="269"/>
      <c r="N576" s="269"/>
      <c r="O576" s="269"/>
      <c r="P576" s="269"/>
      <c r="Q576" s="269"/>
      <c r="R576" s="269"/>
      <c r="S576" s="269"/>
      <c r="T576" s="269"/>
    </row>
    <row r="577">
      <c r="A577" s="307"/>
      <c r="B577" s="293"/>
      <c r="C577" s="187"/>
      <c r="D577" s="293"/>
      <c r="E577" s="293"/>
      <c r="F577" s="293"/>
      <c r="G577" s="269"/>
      <c r="H577" s="269"/>
      <c r="I577" s="269"/>
      <c r="J577" s="269"/>
      <c r="K577" s="269"/>
      <c r="L577" s="269"/>
      <c r="M577" s="269"/>
      <c r="N577" s="269"/>
      <c r="O577" s="269"/>
      <c r="P577" s="269"/>
      <c r="Q577" s="269"/>
      <c r="R577" s="269"/>
      <c r="S577" s="269"/>
      <c r="T577" s="269"/>
    </row>
    <row r="578">
      <c r="A578" s="307"/>
      <c r="B578" s="293"/>
      <c r="C578" s="293"/>
      <c r="D578" s="293"/>
      <c r="E578" s="293"/>
      <c r="F578" s="293"/>
      <c r="G578" s="269"/>
      <c r="H578" s="269"/>
      <c r="I578" s="269"/>
      <c r="J578" s="269"/>
      <c r="K578" s="269"/>
      <c r="L578" s="269"/>
      <c r="M578" s="269"/>
      <c r="N578" s="269"/>
      <c r="O578" s="269"/>
      <c r="P578" s="269"/>
      <c r="Q578" s="269"/>
      <c r="R578" s="269"/>
      <c r="S578" s="269"/>
      <c r="T578" s="269"/>
    </row>
    <row r="579">
      <c r="A579" s="307"/>
      <c r="B579" s="327" t="s">
        <v>976</v>
      </c>
      <c r="C579" s="327" t="s">
        <v>976</v>
      </c>
      <c r="D579" s="327" t="s">
        <v>976</v>
      </c>
      <c r="E579" s="327" t="s">
        <v>976</v>
      </c>
      <c r="F579" s="327" t="s">
        <v>976</v>
      </c>
      <c r="G579" s="269"/>
      <c r="H579" s="269"/>
      <c r="I579" s="269"/>
      <c r="J579" s="269"/>
      <c r="K579" s="269"/>
      <c r="L579" s="269"/>
      <c r="M579" s="269"/>
      <c r="N579" s="269"/>
      <c r="O579" s="269"/>
      <c r="P579" s="269"/>
      <c r="Q579" s="269"/>
      <c r="R579" s="269"/>
      <c r="S579" s="269"/>
      <c r="T579" s="269"/>
    </row>
    <row r="580">
      <c r="A580" s="307"/>
      <c r="B580" s="294"/>
      <c r="C580" s="293"/>
      <c r="D580" s="293"/>
      <c r="E580" s="293"/>
      <c r="F580" s="293"/>
      <c r="G580" s="269"/>
      <c r="H580" s="269"/>
      <c r="I580" s="269"/>
      <c r="J580" s="269"/>
      <c r="K580" s="269"/>
      <c r="L580" s="269"/>
      <c r="M580" s="269"/>
      <c r="N580" s="269"/>
      <c r="O580" s="269"/>
      <c r="P580" s="269"/>
      <c r="Q580" s="269"/>
      <c r="R580" s="269"/>
      <c r="S580" s="269"/>
      <c r="T580" s="269"/>
    </row>
    <row r="581">
      <c r="A581" s="307"/>
      <c r="B581" s="294"/>
      <c r="C581" s="293"/>
      <c r="D581" s="293"/>
      <c r="E581" s="293"/>
      <c r="F581" s="293"/>
      <c r="G581" s="269"/>
      <c r="H581" s="269"/>
      <c r="I581" s="269"/>
      <c r="J581" s="269"/>
      <c r="K581" s="269"/>
      <c r="L581" s="269"/>
      <c r="M581" s="269"/>
      <c r="N581" s="269"/>
      <c r="O581" s="269"/>
      <c r="P581" s="269"/>
      <c r="Q581" s="269"/>
      <c r="R581" s="269"/>
      <c r="S581" s="269"/>
      <c r="T581" s="269"/>
    </row>
    <row r="582">
      <c r="A582" s="307"/>
      <c r="B582" s="293"/>
      <c r="C582" s="293"/>
      <c r="D582" s="294"/>
      <c r="E582" s="294"/>
      <c r="F582" s="294"/>
      <c r="G582" s="269"/>
      <c r="H582" s="269"/>
      <c r="I582" s="269"/>
      <c r="J582" s="269"/>
      <c r="K582" s="269"/>
      <c r="L582" s="269"/>
      <c r="M582" s="269"/>
      <c r="N582" s="269"/>
      <c r="O582" s="269"/>
      <c r="P582" s="269"/>
      <c r="Q582" s="269"/>
      <c r="R582" s="269"/>
      <c r="S582" s="269"/>
      <c r="T582" s="269"/>
    </row>
    <row r="583">
      <c r="A583" s="307"/>
      <c r="B583" s="296"/>
      <c r="C583" s="296"/>
      <c r="D583" s="296"/>
      <c r="E583" s="296"/>
      <c r="F583" s="296"/>
      <c r="G583" s="269"/>
      <c r="H583" s="269"/>
      <c r="I583" s="269"/>
      <c r="J583" s="269"/>
      <c r="K583" s="269"/>
      <c r="L583" s="269"/>
      <c r="M583" s="269"/>
      <c r="N583" s="269"/>
      <c r="O583" s="269"/>
      <c r="P583" s="269"/>
      <c r="Q583" s="269"/>
      <c r="R583" s="269"/>
      <c r="S583" s="269"/>
      <c r="T583" s="269"/>
    </row>
    <row r="584">
      <c r="A584" s="307"/>
      <c r="B584" s="304">
        <v>21.0</v>
      </c>
      <c r="C584" s="303">
        <v>22.0</v>
      </c>
      <c r="D584" s="304">
        <v>23.0</v>
      </c>
      <c r="E584" s="303">
        <v>24.0</v>
      </c>
      <c r="F584" s="304">
        <v>25.0</v>
      </c>
      <c r="G584" s="269"/>
      <c r="H584" s="269"/>
      <c r="I584" s="269"/>
      <c r="J584" s="269"/>
      <c r="K584" s="269"/>
      <c r="L584" s="269"/>
      <c r="M584" s="269"/>
      <c r="N584" s="269"/>
      <c r="O584" s="269"/>
      <c r="P584" s="269"/>
      <c r="Q584" s="269"/>
      <c r="R584" s="269"/>
      <c r="S584" s="269"/>
      <c r="T584" s="269"/>
    </row>
    <row r="585">
      <c r="A585" s="307"/>
      <c r="B585" s="323" t="s">
        <v>977</v>
      </c>
      <c r="C585" s="323" t="s">
        <v>977</v>
      </c>
      <c r="D585" s="323" t="s">
        <v>977</v>
      </c>
      <c r="E585" s="323" t="s">
        <v>977</v>
      </c>
      <c r="F585" s="323" t="s">
        <v>977</v>
      </c>
      <c r="G585" s="269"/>
      <c r="H585" s="269"/>
      <c r="I585" s="269"/>
      <c r="J585" s="269"/>
      <c r="K585" s="269"/>
      <c r="L585" s="269"/>
      <c r="M585" s="269"/>
      <c r="N585" s="269"/>
      <c r="O585" s="269"/>
      <c r="P585" s="269"/>
      <c r="Q585" s="269"/>
      <c r="R585" s="269"/>
      <c r="S585" s="269"/>
      <c r="T585" s="269"/>
    </row>
    <row r="586">
      <c r="A586" s="307"/>
      <c r="B586" s="293"/>
      <c r="C586" s="293"/>
      <c r="D586" s="293"/>
      <c r="E586" s="293"/>
      <c r="F586" s="293"/>
      <c r="G586" s="269"/>
      <c r="H586" s="269"/>
      <c r="I586" s="269"/>
      <c r="J586" s="269"/>
      <c r="K586" s="269"/>
      <c r="L586" s="269"/>
      <c r="M586" s="269"/>
      <c r="N586" s="269"/>
      <c r="O586" s="269"/>
      <c r="P586" s="269"/>
      <c r="Q586" s="269"/>
      <c r="R586" s="269"/>
      <c r="S586" s="269"/>
      <c r="T586" s="269"/>
    </row>
    <row r="587">
      <c r="A587" s="307"/>
      <c r="B587" s="293"/>
      <c r="C587" s="293"/>
      <c r="D587" s="293"/>
      <c r="E587" s="293"/>
      <c r="F587" s="293"/>
      <c r="G587" s="269"/>
      <c r="H587" s="269"/>
      <c r="I587" s="269"/>
      <c r="J587" s="269"/>
      <c r="K587" s="269"/>
      <c r="L587" s="269"/>
      <c r="M587" s="269"/>
      <c r="N587" s="269"/>
      <c r="O587" s="269"/>
      <c r="P587" s="269"/>
      <c r="Q587" s="269"/>
      <c r="R587" s="269"/>
      <c r="S587" s="269"/>
      <c r="T587" s="269"/>
    </row>
    <row r="588">
      <c r="A588" s="307"/>
      <c r="B588" s="293"/>
      <c r="C588" s="293"/>
      <c r="D588" s="293"/>
      <c r="E588" s="293"/>
      <c r="F588" s="293"/>
      <c r="G588" s="269"/>
      <c r="H588" s="269"/>
      <c r="I588" s="269"/>
      <c r="J588" s="269"/>
      <c r="K588" s="269"/>
      <c r="L588" s="269"/>
      <c r="M588" s="269"/>
      <c r="N588" s="269"/>
      <c r="O588" s="269"/>
      <c r="P588" s="269"/>
      <c r="Q588" s="269"/>
      <c r="R588" s="269"/>
      <c r="S588" s="269"/>
      <c r="T588" s="269"/>
    </row>
    <row r="589">
      <c r="A589" s="307"/>
      <c r="B589" s="293"/>
      <c r="C589" s="293"/>
      <c r="D589" s="293"/>
      <c r="E589" s="293"/>
      <c r="F589" s="293"/>
      <c r="G589" s="269"/>
      <c r="H589" s="269"/>
      <c r="I589" s="269"/>
      <c r="J589" s="269"/>
      <c r="K589" s="269"/>
      <c r="L589" s="269"/>
      <c r="M589" s="269"/>
      <c r="N589" s="269"/>
      <c r="O589" s="269"/>
      <c r="P589" s="269"/>
      <c r="Q589" s="269"/>
      <c r="R589" s="269"/>
      <c r="S589" s="269"/>
      <c r="T589" s="269"/>
    </row>
    <row r="590">
      <c r="A590" s="307"/>
      <c r="B590" s="293"/>
      <c r="C590" s="293"/>
      <c r="D590" s="293"/>
      <c r="E590" s="293"/>
      <c r="F590" s="293"/>
      <c r="G590" s="269"/>
      <c r="H590" s="269"/>
      <c r="I590" s="269"/>
      <c r="J590" s="269"/>
      <c r="K590" s="269"/>
      <c r="L590" s="269"/>
      <c r="M590" s="269"/>
      <c r="N590" s="269"/>
      <c r="O590" s="269"/>
      <c r="P590" s="269"/>
      <c r="Q590" s="269"/>
      <c r="R590" s="269"/>
      <c r="S590" s="269"/>
      <c r="T590" s="269"/>
    </row>
    <row r="591">
      <c r="A591" s="307"/>
      <c r="B591" s="293"/>
      <c r="C591" s="293"/>
      <c r="D591" s="293"/>
      <c r="E591" s="293"/>
      <c r="F591" s="294"/>
      <c r="G591" s="269"/>
      <c r="H591" s="269"/>
      <c r="I591" s="269"/>
      <c r="J591" s="269"/>
      <c r="K591" s="269"/>
      <c r="L591" s="269"/>
      <c r="M591" s="269"/>
      <c r="N591" s="269"/>
      <c r="O591" s="269"/>
      <c r="P591" s="269"/>
      <c r="Q591" s="269"/>
      <c r="R591" s="269"/>
      <c r="S591" s="269"/>
      <c r="T591" s="269"/>
    </row>
    <row r="592">
      <c r="A592" s="307"/>
      <c r="B592" s="294"/>
      <c r="C592" s="293"/>
      <c r="D592" s="293"/>
      <c r="E592" s="294"/>
      <c r="F592" s="294"/>
      <c r="G592" s="269"/>
      <c r="H592" s="269"/>
      <c r="I592" s="269"/>
      <c r="J592" s="269"/>
      <c r="K592" s="269"/>
      <c r="L592" s="269"/>
      <c r="M592" s="269"/>
      <c r="N592" s="269"/>
      <c r="O592" s="269"/>
      <c r="P592" s="269"/>
      <c r="Q592" s="269"/>
      <c r="R592" s="269"/>
      <c r="S592" s="269"/>
      <c r="T592" s="269"/>
    </row>
    <row r="593">
      <c r="A593" s="307"/>
      <c r="B593" s="294"/>
      <c r="C593" s="293"/>
      <c r="D593" s="293"/>
      <c r="E593" s="294"/>
      <c r="F593" s="294"/>
      <c r="G593" s="269"/>
      <c r="H593" s="269"/>
      <c r="I593" s="269"/>
      <c r="J593" s="269"/>
      <c r="K593" s="269"/>
      <c r="L593" s="269"/>
      <c r="M593" s="269"/>
      <c r="N593" s="269"/>
      <c r="O593" s="269"/>
      <c r="P593" s="269"/>
      <c r="Q593" s="269"/>
      <c r="R593" s="269"/>
      <c r="S593" s="269"/>
      <c r="T593" s="269"/>
    </row>
    <row r="594">
      <c r="A594" s="307"/>
      <c r="B594" s="296"/>
      <c r="C594" s="297"/>
      <c r="D594" s="296"/>
      <c r="E594" s="296"/>
      <c r="F594" s="296"/>
      <c r="G594" s="269"/>
      <c r="H594" s="269"/>
      <c r="I594" s="269"/>
      <c r="J594" s="269"/>
      <c r="K594" s="269"/>
      <c r="L594" s="269"/>
      <c r="M594" s="269"/>
      <c r="N594" s="269"/>
      <c r="O594" s="269"/>
      <c r="P594" s="269"/>
      <c r="Q594" s="269"/>
      <c r="R594" s="269"/>
      <c r="S594" s="269"/>
      <c r="T594" s="269"/>
    </row>
    <row r="595">
      <c r="A595" s="307"/>
      <c r="B595" s="304">
        <v>28.0</v>
      </c>
      <c r="C595" s="303">
        <v>29.0</v>
      </c>
      <c r="D595" s="304">
        <v>30.0</v>
      </c>
      <c r="E595" s="303">
        <v>31.0</v>
      </c>
      <c r="F595" s="304"/>
      <c r="G595" s="269"/>
      <c r="H595" s="269"/>
      <c r="I595" s="269"/>
      <c r="J595" s="269"/>
      <c r="K595" s="269"/>
      <c r="L595" s="269"/>
      <c r="M595" s="269"/>
      <c r="N595" s="269"/>
      <c r="O595" s="269"/>
      <c r="P595" s="269"/>
      <c r="Q595" s="269"/>
      <c r="R595" s="269"/>
      <c r="S595" s="269"/>
      <c r="T595" s="269"/>
    </row>
    <row r="596">
      <c r="A596" s="307"/>
      <c r="B596" s="291"/>
      <c r="C596" s="291"/>
      <c r="D596" s="291"/>
      <c r="E596" s="291"/>
      <c r="F596" s="299"/>
      <c r="G596" s="269"/>
      <c r="H596" s="269"/>
      <c r="I596" s="269"/>
      <c r="J596" s="269"/>
      <c r="K596" s="269"/>
      <c r="L596" s="269"/>
      <c r="M596" s="269"/>
      <c r="N596" s="269"/>
      <c r="O596" s="269"/>
      <c r="P596" s="269"/>
      <c r="Q596" s="269"/>
      <c r="R596" s="269"/>
      <c r="S596" s="269"/>
      <c r="T596" s="269"/>
    </row>
    <row r="597">
      <c r="A597" s="307"/>
      <c r="B597" s="293"/>
      <c r="C597" s="293"/>
      <c r="D597" s="293"/>
      <c r="E597" s="293"/>
      <c r="F597" s="292"/>
      <c r="G597" s="269"/>
      <c r="H597" s="269"/>
      <c r="I597" s="269"/>
      <c r="J597" s="269"/>
      <c r="K597" s="269"/>
      <c r="L597" s="269"/>
      <c r="M597" s="269"/>
      <c r="N597" s="269"/>
      <c r="O597" s="269"/>
      <c r="P597" s="269"/>
      <c r="Q597" s="269"/>
      <c r="R597" s="269"/>
      <c r="S597" s="269"/>
      <c r="T597" s="269"/>
    </row>
    <row r="598">
      <c r="A598" s="307"/>
      <c r="B598" s="293"/>
      <c r="C598" s="293"/>
      <c r="D598" s="293"/>
      <c r="E598" s="293"/>
      <c r="F598" s="292"/>
      <c r="G598" s="269"/>
      <c r="H598" s="269"/>
      <c r="I598" s="269"/>
      <c r="J598" s="269"/>
      <c r="K598" s="269"/>
      <c r="L598" s="269"/>
      <c r="M598" s="269"/>
      <c r="N598" s="269"/>
      <c r="O598" s="269"/>
      <c r="P598" s="269"/>
      <c r="Q598" s="269"/>
      <c r="R598" s="269"/>
      <c r="S598" s="269"/>
      <c r="T598" s="269"/>
    </row>
    <row r="599">
      <c r="A599" s="307"/>
      <c r="B599" s="293"/>
      <c r="C599" s="293"/>
      <c r="D599" s="293"/>
      <c r="E599" s="293"/>
      <c r="F599" s="292"/>
      <c r="G599" s="269"/>
      <c r="H599" s="269"/>
      <c r="I599" s="269"/>
      <c r="J599" s="269"/>
      <c r="K599" s="269"/>
      <c r="L599" s="269"/>
      <c r="M599" s="269"/>
      <c r="N599" s="269"/>
      <c r="O599" s="269"/>
      <c r="P599" s="269"/>
      <c r="Q599" s="269"/>
      <c r="R599" s="269"/>
      <c r="S599" s="269"/>
      <c r="T599" s="269"/>
    </row>
    <row r="600">
      <c r="A600" s="307"/>
      <c r="B600" s="293"/>
      <c r="C600" s="293"/>
      <c r="D600" s="293"/>
      <c r="E600" s="293"/>
      <c r="F600" s="292"/>
      <c r="G600" s="269"/>
      <c r="H600" s="269"/>
      <c r="I600" s="269"/>
      <c r="J600" s="269"/>
      <c r="K600" s="269"/>
      <c r="L600" s="269"/>
      <c r="M600" s="269"/>
      <c r="N600" s="269"/>
      <c r="O600" s="269"/>
      <c r="P600" s="269"/>
      <c r="Q600" s="269"/>
      <c r="R600" s="269"/>
      <c r="S600" s="269"/>
      <c r="T600" s="269"/>
    </row>
    <row r="601">
      <c r="A601" s="307"/>
      <c r="B601" s="293"/>
      <c r="C601" s="293"/>
      <c r="D601" s="293"/>
      <c r="E601" s="293"/>
      <c r="F601" s="292"/>
      <c r="G601" s="269"/>
      <c r="H601" s="269"/>
      <c r="I601" s="269"/>
      <c r="J601" s="269"/>
      <c r="K601" s="269"/>
      <c r="L601" s="269"/>
      <c r="M601" s="269"/>
      <c r="N601" s="269"/>
      <c r="O601" s="269"/>
      <c r="P601" s="269"/>
      <c r="Q601" s="269"/>
      <c r="R601" s="269"/>
      <c r="S601" s="269"/>
      <c r="T601" s="269"/>
    </row>
    <row r="602">
      <c r="A602" s="307"/>
      <c r="B602" s="293"/>
      <c r="C602" s="293"/>
      <c r="D602" s="293"/>
      <c r="E602" s="293"/>
      <c r="F602" s="292"/>
      <c r="G602" s="269"/>
      <c r="H602" s="269"/>
      <c r="I602" s="269"/>
      <c r="J602" s="269"/>
      <c r="K602" s="269"/>
      <c r="L602" s="269"/>
      <c r="M602" s="269"/>
      <c r="N602" s="269"/>
      <c r="O602" s="269"/>
      <c r="P602" s="269"/>
      <c r="Q602" s="269"/>
      <c r="R602" s="269"/>
      <c r="S602" s="269"/>
      <c r="T602" s="269"/>
    </row>
    <row r="603">
      <c r="A603" s="307"/>
      <c r="B603" s="294"/>
      <c r="C603" s="294"/>
      <c r="D603" s="294"/>
      <c r="E603" s="294"/>
      <c r="F603" s="292"/>
      <c r="G603" s="269"/>
      <c r="H603" s="269"/>
      <c r="I603" s="269"/>
      <c r="J603" s="269"/>
      <c r="K603" s="269"/>
      <c r="L603" s="269"/>
      <c r="M603" s="269"/>
      <c r="N603" s="269"/>
      <c r="O603" s="269"/>
      <c r="P603" s="269"/>
      <c r="Q603" s="269"/>
      <c r="R603" s="269"/>
      <c r="S603" s="269"/>
      <c r="T603" s="269"/>
    </row>
    <row r="604">
      <c r="A604" s="307"/>
      <c r="B604" s="294"/>
      <c r="C604" s="294"/>
      <c r="D604" s="294"/>
      <c r="E604" s="294"/>
      <c r="F604" s="292"/>
      <c r="G604" s="269"/>
      <c r="H604" s="269"/>
      <c r="I604" s="269"/>
      <c r="J604" s="269"/>
      <c r="K604" s="269"/>
      <c r="L604" s="269"/>
      <c r="M604" s="269"/>
      <c r="N604" s="269"/>
      <c r="O604" s="269"/>
      <c r="P604" s="269"/>
      <c r="Q604" s="269"/>
      <c r="R604" s="269"/>
      <c r="S604" s="269"/>
      <c r="T604" s="269"/>
    </row>
    <row r="605">
      <c r="A605" s="307"/>
      <c r="B605" s="296"/>
      <c r="C605" s="296"/>
      <c r="D605" s="296"/>
      <c r="E605" s="296"/>
      <c r="F605" s="77"/>
      <c r="G605" s="269"/>
      <c r="H605" s="269"/>
      <c r="I605" s="269"/>
      <c r="J605" s="269"/>
      <c r="K605" s="269"/>
      <c r="L605" s="269"/>
      <c r="M605" s="269"/>
      <c r="N605" s="269"/>
      <c r="O605" s="269"/>
      <c r="P605" s="269"/>
      <c r="Q605" s="269"/>
      <c r="R605" s="269"/>
      <c r="S605" s="269"/>
      <c r="T605" s="269"/>
    </row>
    <row r="606">
      <c r="A606" s="307"/>
      <c r="B606" s="269"/>
      <c r="C606" s="269"/>
      <c r="D606" s="269"/>
      <c r="E606" s="269"/>
      <c r="F606" s="269"/>
      <c r="G606" s="269"/>
      <c r="H606" s="269"/>
      <c r="I606" s="269"/>
      <c r="J606" s="269"/>
      <c r="K606" s="269"/>
      <c r="L606" s="269"/>
      <c r="M606" s="269"/>
      <c r="N606" s="269"/>
      <c r="O606" s="269"/>
      <c r="P606" s="269"/>
      <c r="Q606" s="269"/>
      <c r="R606" s="269"/>
      <c r="S606" s="269"/>
      <c r="T606" s="269"/>
    </row>
    <row r="607">
      <c r="A607" s="307"/>
      <c r="B607" s="269"/>
      <c r="C607" s="269"/>
      <c r="D607" s="269"/>
      <c r="E607" s="269"/>
      <c r="F607" s="269"/>
      <c r="G607" s="269"/>
      <c r="H607" s="269"/>
      <c r="I607" s="269"/>
      <c r="J607" s="269"/>
      <c r="K607" s="269"/>
      <c r="L607" s="269"/>
      <c r="M607" s="269"/>
      <c r="N607" s="269"/>
      <c r="O607" s="269"/>
      <c r="P607" s="269"/>
      <c r="Q607" s="269"/>
      <c r="R607" s="269"/>
      <c r="S607" s="269"/>
      <c r="T607" s="269"/>
    </row>
    <row r="608">
      <c r="A608" s="307"/>
      <c r="B608" s="269"/>
      <c r="C608" s="269"/>
      <c r="D608" s="269"/>
      <c r="E608" s="269"/>
      <c r="F608" s="269"/>
      <c r="G608" s="269"/>
      <c r="H608" s="269"/>
      <c r="I608" s="269"/>
      <c r="J608" s="269"/>
      <c r="K608" s="269"/>
      <c r="L608" s="269"/>
      <c r="M608" s="269"/>
      <c r="N608" s="269"/>
      <c r="O608" s="269"/>
      <c r="P608" s="269"/>
      <c r="Q608" s="269"/>
      <c r="R608" s="269"/>
      <c r="S608" s="269"/>
      <c r="T608" s="269"/>
    </row>
    <row r="609">
      <c r="A609" s="307"/>
      <c r="B609" s="278" t="s">
        <v>978</v>
      </c>
      <c r="C609" s="279"/>
      <c r="D609" s="279"/>
      <c r="E609" s="279"/>
      <c r="F609" s="280"/>
      <c r="G609" s="269"/>
      <c r="H609" s="269"/>
      <c r="I609" s="269"/>
      <c r="J609" s="269"/>
      <c r="K609" s="269"/>
      <c r="L609" s="269"/>
      <c r="M609" s="269"/>
      <c r="N609" s="269"/>
      <c r="O609" s="269"/>
      <c r="P609" s="269"/>
      <c r="Q609" s="269"/>
      <c r="R609" s="269"/>
      <c r="S609" s="269"/>
      <c r="T609" s="269"/>
    </row>
    <row r="610">
      <c r="A610" s="307"/>
      <c r="B610" s="282"/>
      <c r="C610" s="283"/>
      <c r="D610" s="283"/>
      <c r="E610" s="283"/>
      <c r="F610" s="284"/>
      <c r="G610" s="269"/>
      <c r="H610" s="269"/>
      <c r="I610" s="269"/>
      <c r="J610" s="269"/>
      <c r="K610" s="269"/>
      <c r="L610" s="269"/>
      <c r="M610" s="269"/>
      <c r="N610" s="269"/>
      <c r="O610" s="269"/>
      <c r="P610" s="269"/>
      <c r="Q610" s="269"/>
      <c r="R610" s="269"/>
      <c r="S610" s="269"/>
      <c r="T610" s="269"/>
    </row>
    <row r="611">
      <c r="A611" s="307"/>
      <c r="B611" s="285" t="s">
        <v>901</v>
      </c>
      <c r="C611" s="286" t="s">
        <v>902</v>
      </c>
      <c r="D611" s="286" t="s">
        <v>903</v>
      </c>
      <c r="E611" s="286" t="s">
        <v>904</v>
      </c>
      <c r="F611" s="286" t="s">
        <v>905</v>
      </c>
      <c r="G611" s="269"/>
      <c r="H611" s="269"/>
      <c r="I611" s="269"/>
      <c r="J611" s="269"/>
      <c r="K611" s="269"/>
      <c r="L611" s="269"/>
      <c r="M611" s="269"/>
      <c r="N611" s="269"/>
      <c r="O611" s="269"/>
      <c r="P611" s="269"/>
      <c r="Q611" s="269"/>
      <c r="R611" s="269"/>
      <c r="S611" s="269"/>
      <c r="T611" s="269"/>
    </row>
    <row r="612">
      <c r="A612" s="307"/>
      <c r="B612" s="304"/>
      <c r="C612" s="303"/>
      <c r="D612" s="304"/>
      <c r="E612" s="303"/>
      <c r="F612" s="304">
        <v>1.0</v>
      </c>
      <c r="G612" s="269"/>
      <c r="H612" s="269"/>
      <c r="I612" s="269"/>
      <c r="J612" s="269"/>
      <c r="K612" s="269"/>
      <c r="L612" s="269"/>
      <c r="M612" s="269"/>
      <c r="N612" s="269"/>
      <c r="O612" s="269"/>
      <c r="P612" s="269"/>
      <c r="Q612" s="269"/>
      <c r="R612" s="269"/>
      <c r="S612" s="269"/>
      <c r="T612" s="269"/>
    </row>
    <row r="613">
      <c r="A613" s="307"/>
      <c r="B613" s="299"/>
      <c r="C613" s="299"/>
      <c r="D613" s="299"/>
      <c r="E613" s="299"/>
      <c r="F613" s="291"/>
      <c r="G613" s="269"/>
      <c r="H613" s="269"/>
      <c r="I613" s="269"/>
      <c r="J613" s="269"/>
      <c r="K613" s="269"/>
      <c r="L613" s="269"/>
      <c r="M613" s="269"/>
      <c r="N613" s="269"/>
      <c r="O613" s="269"/>
      <c r="P613" s="269"/>
      <c r="Q613" s="269"/>
      <c r="R613" s="269"/>
      <c r="S613" s="269"/>
      <c r="T613" s="269"/>
    </row>
    <row r="614">
      <c r="A614" s="307"/>
      <c r="B614" s="292"/>
      <c r="C614" s="292"/>
      <c r="D614" s="292"/>
      <c r="E614" s="292"/>
      <c r="F614" s="293"/>
      <c r="G614" s="269"/>
      <c r="H614" s="269"/>
      <c r="I614" s="269"/>
      <c r="J614" s="269"/>
      <c r="K614" s="269"/>
      <c r="L614" s="269"/>
      <c r="M614" s="269"/>
      <c r="N614" s="269"/>
      <c r="O614" s="269"/>
      <c r="P614" s="269"/>
      <c r="Q614" s="269"/>
      <c r="R614" s="269"/>
      <c r="S614" s="269"/>
      <c r="T614" s="269"/>
    </row>
    <row r="615">
      <c r="A615" s="307"/>
      <c r="B615" s="292"/>
      <c r="C615" s="292"/>
      <c r="D615" s="292"/>
      <c r="E615" s="292"/>
      <c r="F615" s="293"/>
      <c r="G615" s="269"/>
      <c r="H615" s="269"/>
      <c r="I615" s="269"/>
      <c r="J615" s="269"/>
      <c r="K615" s="269"/>
      <c r="L615" s="269"/>
      <c r="M615" s="269"/>
      <c r="N615" s="269"/>
      <c r="O615" s="269"/>
      <c r="P615" s="269"/>
      <c r="Q615" s="269"/>
      <c r="R615" s="269"/>
      <c r="S615" s="269"/>
      <c r="T615" s="269"/>
    </row>
    <row r="616">
      <c r="A616" s="307"/>
      <c r="B616" s="292"/>
      <c r="C616" s="292"/>
      <c r="D616" s="292"/>
      <c r="E616" s="292"/>
      <c r="F616" s="293"/>
      <c r="G616" s="269"/>
      <c r="H616" s="269"/>
      <c r="I616" s="269"/>
      <c r="J616" s="269"/>
      <c r="K616" s="269"/>
      <c r="L616" s="269"/>
      <c r="M616" s="269"/>
      <c r="N616" s="269"/>
      <c r="O616" s="269"/>
      <c r="P616" s="269"/>
      <c r="Q616" s="269"/>
      <c r="R616" s="269"/>
      <c r="S616" s="269"/>
      <c r="T616" s="269"/>
    </row>
    <row r="617">
      <c r="A617" s="307"/>
      <c r="B617" s="292"/>
      <c r="C617" s="292"/>
      <c r="D617" s="292"/>
      <c r="E617" s="292"/>
      <c r="F617" s="293"/>
      <c r="G617" s="269"/>
      <c r="H617" s="269"/>
      <c r="I617" s="269"/>
      <c r="J617" s="269"/>
      <c r="K617" s="269"/>
      <c r="L617" s="269"/>
      <c r="M617" s="269"/>
      <c r="N617" s="269"/>
      <c r="O617" s="269"/>
      <c r="P617" s="269"/>
      <c r="Q617" s="269"/>
      <c r="R617" s="269"/>
      <c r="S617" s="269"/>
      <c r="T617" s="269"/>
    </row>
    <row r="618">
      <c r="A618" s="307"/>
      <c r="B618" s="292"/>
      <c r="C618" s="292"/>
      <c r="D618" s="292"/>
      <c r="E618" s="292"/>
      <c r="F618" s="294"/>
      <c r="G618" s="269"/>
      <c r="H618" s="269"/>
      <c r="I618" s="269"/>
      <c r="J618" s="269"/>
      <c r="K618" s="269"/>
      <c r="L618" s="269"/>
      <c r="M618" s="269"/>
      <c r="N618" s="269"/>
      <c r="O618" s="269"/>
      <c r="P618" s="269"/>
      <c r="Q618" s="269"/>
      <c r="R618" s="269"/>
      <c r="S618" s="269"/>
      <c r="T618" s="269"/>
    </row>
    <row r="619">
      <c r="A619" s="307"/>
      <c r="B619" s="292"/>
      <c r="C619" s="292"/>
      <c r="D619" s="292"/>
      <c r="E619" s="292"/>
      <c r="F619" s="294"/>
      <c r="G619" s="269"/>
      <c r="H619" s="269"/>
      <c r="I619" s="269"/>
      <c r="J619" s="269"/>
      <c r="K619" s="269"/>
      <c r="L619" s="269"/>
      <c r="M619" s="269"/>
      <c r="N619" s="269"/>
      <c r="O619" s="269"/>
      <c r="P619" s="269"/>
      <c r="Q619" s="269"/>
      <c r="R619" s="269"/>
      <c r="S619" s="269"/>
      <c r="T619" s="269"/>
    </row>
    <row r="620">
      <c r="A620" s="307"/>
      <c r="B620" s="292"/>
      <c r="C620" s="292"/>
      <c r="D620" s="292"/>
      <c r="E620" s="292"/>
      <c r="F620" s="294"/>
      <c r="G620" s="269"/>
      <c r="H620" s="269"/>
      <c r="I620" s="269"/>
      <c r="J620" s="269"/>
      <c r="K620" s="269"/>
      <c r="L620" s="269"/>
      <c r="M620" s="269"/>
      <c r="N620" s="269"/>
      <c r="O620" s="269"/>
      <c r="P620" s="269"/>
      <c r="Q620" s="269"/>
      <c r="R620" s="269"/>
      <c r="S620" s="269"/>
      <c r="T620" s="269"/>
    </row>
    <row r="621">
      <c r="A621" s="307"/>
      <c r="B621" s="292"/>
      <c r="C621" s="292"/>
      <c r="D621" s="292"/>
      <c r="E621" s="292"/>
      <c r="F621" s="294"/>
      <c r="G621" s="269"/>
      <c r="H621" s="269"/>
      <c r="I621" s="269"/>
      <c r="J621" s="269"/>
      <c r="K621" s="269"/>
      <c r="L621" s="269"/>
      <c r="M621" s="269"/>
      <c r="N621" s="269"/>
      <c r="O621" s="269"/>
      <c r="P621" s="269"/>
      <c r="Q621" s="269"/>
      <c r="R621" s="269"/>
      <c r="S621" s="269"/>
      <c r="T621" s="269"/>
    </row>
    <row r="622">
      <c r="A622" s="307"/>
      <c r="B622" s="77"/>
      <c r="C622" s="77"/>
      <c r="D622" s="77"/>
      <c r="E622" s="77"/>
      <c r="F622" s="295"/>
      <c r="G622" s="269"/>
      <c r="H622" s="269"/>
      <c r="I622" s="269"/>
      <c r="J622" s="269"/>
      <c r="K622" s="269"/>
      <c r="L622" s="269"/>
      <c r="M622" s="269"/>
      <c r="N622" s="269"/>
      <c r="O622" s="269"/>
      <c r="P622" s="269"/>
      <c r="Q622" s="269"/>
      <c r="R622" s="269"/>
      <c r="S622" s="269"/>
      <c r="T622" s="269"/>
    </row>
    <row r="623">
      <c r="A623" s="307"/>
      <c r="B623" s="304">
        <v>4.0</v>
      </c>
      <c r="C623" s="303">
        <v>5.0</v>
      </c>
      <c r="D623" s="304">
        <v>6.0</v>
      </c>
      <c r="E623" s="303">
        <v>7.0</v>
      </c>
      <c r="F623" s="304">
        <v>8.0</v>
      </c>
      <c r="G623" s="269"/>
      <c r="H623" s="269"/>
      <c r="I623" s="269"/>
      <c r="J623" s="269"/>
      <c r="K623" s="269"/>
      <c r="L623" s="269"/>
      <c r="M623" s="269"/>
      <c r="N623" s="269"/>
      <c r="O623" s="269"/>
      <c r="P623" s="269"/>
      <c r="Q623" s="269"/>
      <c r="R623" s="269"/>
      <c r="S623" s="269"/>
      <c r="T623" s="269"/>
    </row>
    <row r="624">
      <c r="A624" s="307"/>
      <c r="B624" s="349"/>
      <c r="C624" s="349"/>
      <c r="D624" s="349"/>
      <c r="E624" s="349"/>
      <c r="F624" s="349"/>
      <c r="G624" s="269"/>
      <c r="H624" s="269"/>
      <c r="I624" s="269"/>
      <c r="J624" s="269"/>
      <c r="K624" s="269"/>
      <c r="L624" s="269"/>
      <c r="M624" s="269"/>
      <c r="N624" s="269"/>
      <c r="O624" s="269"/>
      <c r="P624" s="269"/>
      <c r="Q624" s="269"/>
      <c r="R624" s="269"/>
      <c r="S624" s="269"/>
      <c r="T624" s="269"/>
    </row>
    <row r="625">
      <c r="A625" s="307"/>
      <c r="B625" s="293"/>
      <c r="C625" s="294"/>
      <c r="D625" s="293"/>
      <c r="E625" s="293"/>
      <c r="F625" s="293"/>
      <c r="G625" s="269"/>
      <c r="H625" s="269"/>
      <c r="I625" s="269"/>
      <c r="J625" s="269"/>
      <c r="K625" s="269"/>
      <c r="L625" s="269"/>
      <c r="M625" s="269"/>
      <c r="N625" s="269"/>
      <c r="O625" s="269"/>
      <c r="P625" s="269"/>
      <c r="Q625" s="269"/>
      <c r="R625" s="269"/>
      <c r="S625" s="269"/>
      <c r="T625" s="269"/>
    </row>
    <row r="626">
      <c r="A626" s="307"/>
      <c r="B626" s="293"/>
      <c r="C626" s="293"/>
      <c r="D626" s="293"/>
      <c r="E626" s="293"/>
      <c r="F626" s="293"/>
      <c r="G626" s="269"/>
      <c r="H626" s="269"/>
      <c r="I626" s="269"/>
      <c r="J626" s="269"/>
      <c r="K626" s="269"/>
      <c r="L626" s="269"/>
      <c r="M626" s="269"/>
      <c r="N626" s="269"/>
      <c r="O626" s="269"/>
      <c r="P626" s="269"/>
      <c r="Q626" s="269"/>
      <c r="R626" s="269"/>
      <c r="S626" s="269"/>
      <c r="T626" s="269"/>
    </row>
    <row r="627">
      <c r="A627" s="307"/>
      <c r="B627" s="293"/>
      <c r="C627" s="293"/>
      <c r="D627" s="293"/>
      <c r="E627" s="293"/>
      <c r="F627" s="293"/>
      <c r="G627" s="269"/>
      <c r="H627" s="269"/>
      <c r="I627" s="269"/>
      <c r="J627" s="269"/>
      <c r="K627" s="269"/>
      <c r="L627" s="269"/>
      <c r="M627" s="269"/>
      <c r="N627" s="269"/>
      <c r="O627" s="269"/>
      <c r="P627" s="269"/>
      <c r="Q627" s="269"/>
      <c r="R627" s="269"/>
      <c r="S627" s="269"/>
      <c r="T627" s="269"/>
    </row>
    <row r="628">
      <c r="A628" s="307"/>
      <c r="B628" s="293"/>
      <c r="C628" s="293"/>
      <c r="D628" s="293"/>
      <c r="E628" s="293"/>
      <c r="F628" s="293"/>
      <c r="G628" s="269"/>
      <c r="H628" s="269"/>
      <c r="I628" s="269"/>
      <c r="J628" s="269"/>
      <c r="K628" s="269"/>
      <c r="L628" s="269"/>
      <c r="M628" s="269"/>
      <c r="N628" s="269"/>
      <c r="O628" s="269"/>
      <c r="P628" s="269"/>
      <c r="Q628" s="269"/>
      <c r="R628" s="269"/>
      <c r="S628" s="269"/>
      <c r="T628" s="269"/>
    </row>
    <row r="629">
      <c r="A629" s="307"/>
      <c r="B629" s="293"/>
      <c r="C629" s="293"/>
      <c r="D629" s="293"/>
      <c r="E629" s="293"/>
      <c r="F629" s="293"/>
      <c r="G629" s="269"/>
      <c r="H629" s="269"/>
      <c r="I629" s="269"/>
      <c r="J629" s="269"/>
      <c r="K629" s="269"/>
      <c r="L629" s="269"/>
      <c r="M629" s="269"/>
      <c r="N629" s="269"/>
      <c r="O629" s="269"/>
      <c r="P629" s="269"/>
      <c r="Q629" s="269"/>
      <c r="R629" s="269"/>
      <c r="S629" s="269"/>
      <c r="T629" s="269"/>
    </row>
    <row r="630">
      <c r="A630" s="307"/>
      <c r="B630" s="293"/>
      <c r="C630" s="293"/>
      <c r="D630" s="293"/>
      <c r="E630" s="293"/>
      <c r="F630" s="294"/>
      <c r="G630" s="269"/>
      <c r="H630" s="269"/>
      <c r="I630" s="269"/>
      <c r="J630" s="269"/>
      <c r="K630" s="269"/>
      <c r="L630" s="269"/>
      <c r="M630" s="269"/>
      <c r="N630" s="269"/>
      <c r="O630" s="269"/>
      <c r="P630" s="269"/>
      <c r="Q630" s="269"/>
      <c r="R630" s="269"/>
      <c r="S630" s="269"/>
      <c r="T630" s="269"/>
    </row>
    <row r="631">
      <c r="A631" s="307"/>
      <c r="B631" s="293"/>
      <c r="C631" s="293"/>
      <c r="D631" s="293"/>
      <c r="E631" s="293"/>
      <c r="F631" s="294"/>
      <c r="G631" s="269"/>
      <c r="H631" s="269"/>
      <c r="I631" s="269"/>
      <c r="J631" s="269"/>
      <c r="K631" s="269"/>
      <c r="L631" s="269"/>
      <c r="M631" s="269"/>
      <c r="N631" s="269"/>
      <c r="O631" s="269"/>
      <c r="P631" s="269"/>
      <c r="Q631" s="269"/>
      <c r="R631" s="269"/>
      <c r="S631" s="269"/>
      <c r="T631" s="269"/>
    </row>
    <row r="632">
      <c r="A632" s="307"/>
      <c r="B632" s="294"/>
      <c r="C632" s="293"/>
      <c r="D632" s="294"/>
      <c r="E632" s="293"/>
      <c r="F632" s="294"/>
      <c r="G632" s="269"/>
      <c r="H632" s="269"/>
      <c r="I632" s="269"/>
      <c r="J632" s="269"/>
      <c r="K632" s="269"/>
      <c r="L632" s="269"/>
      <c r="M632" s="269"/>
      <c r="N632" s="269"/>
      <c r="O632" s="269"/>
      <c r="P632" s="269"/>
      <c r="Q632" s="269"/>
      <c r="R632" s="269"/>
      <c r="S632" s="269"/>
      <c r="T632" s="269"/>
    </row>
    <row r="633">
      <c r="A633" s="307"/>
      <c r="B633" s="296"/>
      <c r="C633" s="297"/>
      <c r="D633" s="296"/>
      <c r="E633" s="293"/>
      <c r="F633" s="296"/>
      <c r="G633" s="269"/>
      <c r="H633" s="269"/>
      <c r="I633" s="269"/>
      <c r="J633" s="269"/>
      <c r="K633" s="269"/>
      <c r="L633" s="269"/>
      <c r="M633" s="269"/>
      <c r="N633" s="269"/>
      <c r="O633" s="269"/>
      <c r="P633" s="269"/>
      <c r="Q633" s="269"/>
      <c r="R633" s="269"/>
      <c r="S633" s="269"/>
      <c r="T633" s="269"/>
    </row>
    <row r="634">
      <c r="A634" s="307"/>
      <c r="B634" s="304">
        <v>11.0</v>
      </c>
      <c r="C634" s="303">
        <v>12.0</v>
      </c>
      <c r="D634" s="304">
        <v>13.0</v>
      </c>
      <c r="E634" s="303">
        <v>14.0</v>
      </c>
      <c r="F634" s="304">
        <v>15.0</v>
      </c>
      <c r="G634" s="269"/>
      <c r="H634" s="269"/>
      <c r="I634" s="269"/>
      <c r="J634" s="269"/>
      <c r="K634" s="269"/>
      <c r="L634" s="269"/>
      <c r="M634" s="269"/>
      <c r="N634" s="269"/>
      <c r="O634" s="269"/>
      <c r="P634" s="269"/>
      <c r="Q634" s="269"/>
      <c r="R634" s="269"/>
      <c r="S634" s="269"/>
      <c r="T634" s="269"/>
    </row>
    <row r="635">
      <c r="A635" s="307"/>
      <c r="B635" s="293"/>
      <c r="C635" s="293"/>
      <c r="D635" s="291"/>
      <c r="E635" s="291"/>
      <c r="F635" s="290" t="s">
        <v>979</v>
      </c>
      <c r="G635" s="269"/>
      <c r="H635" s="269"/>
      <c r="I635" s="269"/>
      <c r="J635" s="269"/>
      <c r="K635" s="269"/>
      <c r="L635" s="269"/>
      <c r="M635" s="269"/>
      <c r="N635" s="269"/>
      <c r="O635" s="269"/>
      <c r="P635" s="269"/>
      <c r="Q635" s="269"/>
      <c r="R635" s="269"/>
      <c r="S635" s="269"/>
      <c r="T635" s="269"/>
    </row>
    <row r="636">
      <c r="A636" s="307"/>
      <c r="B636" s="293"/>
      <c r="C636" s="293"/>
      <c r="D636" s="293"/>
      <c r="E636" s="293"/>
      <c r="F636" s="292"/>
      <c r="G636" s="269"/>
      <c r="H636" s="269"/>
      <c r="I636" s="269"/>
      <c r="J636" s="269"/>
      <c r="K636" s="269"/>
      <c r="L636" s="269"/>
      <c r="M636" s="269"/>
      <c r="N636" s="269"/>
      <c r="O636" s="269"/>
      <c r="P636" s="269"/>
      <c r="Q636" s="269"/>
      <c r="R636" s="269"/>
      <c r="S636" s="269"/>
      <c r="T636" s="269"/>
    </row>
    <row r="637">
      <c r="A637" s="307"/>
      <c r="B637" s="293"/>
      <c r="C637" s="293"/>
      <c r="D637" s="293"/>
      <c r="E637" s="293"/>
      <c r="F637" s="292"/>
      <c r="G637" s="269"/>
      <c r="H637" s="269"/>
      <c r="I637" s="269"/>
      <c r="J637" s="269"/>
      <c r="K637" s="269"/>
      <c r="L637" s="269"/>
      <c r="M637" s="269"/>
      <c r="N637" s="269"/>
      <c r="O637" s="269"/>
      <c r="P637" s="269"/>
      <c r="Q637" s="269"/>
      <c r="R637" s="269"/>
      <c r="S637" s="269"/>
      <c r="T637" s="269"/>
    </row>
    <row r="638">
      <c r="A638" s="307"/>
      <c r="B638" s="293"/>
      <c r="C638" s="293"/>
      <c r="D638" s="293"/>
      <c r="E638" s="293"/>
      <c r="F638" s="292"/>
      <c r="G638" s="269"/>
      <c r="H638" s="269"/>
      <c r="I638" s="269"/>
      <c r="J638" s="269"/>
      <c r="K638" s="269"/>
      <c r="L638" s="269"/>
      <c r="M638" s="269"/>
      <c r="N638" s="269"/>
      <c r="O638" s="269"/>
      <c r="P638" s="269"/>
      <c r="Q638" s="269"/>
      <c r="R638" s="269"/>
      <c r="S638" s="269"/>
      <c r="T638" s="269"/>
    </row>
    <row r="639">
      <c r="A639" s="307"/>
      <c r="B639" s="293"/>
      <c r="C639" s="293"/>
      <c r="D639" s="293"/>
      <c r="E639" s="293"/>
      <c r="F639" s="292"/>
      <c r="G639" s="269"/>
      <c r="H639" s="269"/>
      <c r="I639" s="269"/>
      <c r="J639" s="269"/>
      <c r="K639" s="269"/>
      <c r="L639" s="269"/>
      <c r="M639" s="269"/>
      <c r="N639" s="269"/>
      <c r="O639" s="269"/>
      <c r="P639" s="269"/>
      <c r="Q639" s="269"/>
      <c r="R639" s="269"/>
      <c r="S639" s="269"/>
      <c r="T639" s="269"/>
    </row>
    <row r="640">
      <c r="A640" s="307"/>
      <c r="B640" s="294"/>
      <c r="C640" s="293"/>
      <c r="D640" s="293"/>
      <c r="E640" s="293"/>
      <c r="F640" s="292"/>
      <c r="G640" s="269"/>
      <c r="H640" s="269"/>
      <c r="I640" s="269"/>
      <c r="J640" s="269"/>
      <c r="K640" s="269"/>
      <c r="L640" s="269"/>
      <c r="M640" s="269"/>
      <c r="N640" s="269"/>
      <c r="O640" s="269"/>
      <c r="P640" s="269"/>
      <c r="Q640" s="269"/>
      <c r="R640" s="269"/>
      <c r="S640" s="269"/>
      <c r="T640" s="269"/>
    </row>
    <row r="641">
      <c r="A641" s="307"/>
      <c r="B641" s="294"/>
      <c r="C641" s="293"/>
      <c r="D641" s="293"/>
      <c r="E641" s="293"/>
      <c r="F641" s="292"/>
      <c r="G641" s="269"/>
      <c r="H641" s="269"/>
      <c r="I641" s="269"/>
      <c r="J641" s="269"/>
      <c r="K641" s="269"/>
      <c r="L641" s="269"/>
      <c r="M641" s="269"/>
      <c r="N641" s="269"/>
      <c r="O641" s="269"/>
      <c r="P641" s="269"/>
      <c r="Q641" s="269"/>
      <c r="R641" s="269"/>
      <c r="S641" s="269"/>
      <c r="T641" s="269"/>
    </row>
    <row r="642">
      <c r="A642" s="307"/>
      <c r="B642" s="294"/>
      <c r="C642" s="293"/>
      <c r="D642" s="293"/>
      <c r="E642" s="293"/>
      <c r="F642" s="292"/>
      <c r="G642" s="269"/>
      <c r="H642" s="269"/>
      <c r="I642" s="269"/>
      <c r="J642" s="269"/>
      <c r="K642" s="269"/>
      <c r="L642" s="269"/>
      <c r="M642" s="269"/>
      <c r="N642" s="269"/>
      <c r="O642" s="269"/>
      <c r="P642" s="269"/>
      <c r="Q642" s="269"/>
      <c r="R642" s="269"/>
      <c r="S642" s="269"/>
      <c r="T642" s="269"/>
    </row>
    <row r="643">
      <c r="A643" s="307"/>
      <c r="B643" s="293"/>
      <c r="C643" s="293"/>
      <c r="D643" s="294"/>
      <c r="E643" s="294"/>
      <c r="F643" s="292"/>
      <c r="G643" s="269"/>
      <c r="H643" s="269"/>
      <c r="I643" s="269"/>
      <c r="J643" s="269"/>
      <c r="K643" s="269"/>
      <c r="L643" s="269"/>
      <c r="M643" s="269"/>
      <c r="N643" s="269"/>
      <c r="O643" s="269"/>
      <c r="P643" s="269"/>
      <c r="Q643" s="269"/>
      <c r="R643" s="269"/>
      <c r="S643" s="269"/>
      <c r="T643" s="269"/>
    </row>
    <row r="644">
      <c r="A644" s="307"/>
      <c r="B644" s="296"/>
      <c r="C644" s="296"/>
      <c r="D644" s="296"/>
      <c r="E644" s="296"/>
      <c r="F644" s="77"/>
      <c r="G644" s="269"/>
      <c r="H644" s="269"/>
      <c r="I644" s="269"/>
      <c r="J644" s="269"/>
      <c r="K644" s="269"/>
      <c r="L644" s="269"/>
      <c r="M644" s="269"/>
      <c r="N644" s="269"/>
      <c r="O644" s="269"/>
      <c r="P644" s="269"/>
      <c r="Q644" s="269"/>
      <c r="R644" s="269"/>
      <c r="S644" s="269"/>
      <c r="T644" s="269"/>
    </row>
    <row r="645">
      <c r="A645" s="307"/>
      <c r="B645" s="304">
        <v>18.0</v>
      </c>
      <c r="C645" s="303">
        <v>19.0</v>
      </c>
      <c r="D645" s="304">
        <v>20.0</v>
      </c>
      <c r="E645" s="303">
        <v>21.0</v>
      </c>
      <c r="F645" s="304">
        <v>22.0</v>
      </c>
      <c r="G645" s="269"/>
      <c r="H645" s="269"/>
      <c r="I645" s="269"/>
      <c r="J645" s="269"/>
      <c r="K645" s="269"/>
      <c r="L645" s="269"/>
      <c r="M645" s="269"/>
      <c r="N645" s="269"/>
      <c r="O645" s="269"/>
      <c r="P645" s="269"/>
      <c r="Q645" s="269"/>
      <c r="R645" s="269"/>
      <c r="S645" s="269"/>
      <c r="T645" s="269"/>
    </row>
    <row r="646">
      <c r="A646" s="307"/>
      <c r="B646" s="291"/>
      <c r="C646" s="291"/>
      <c r="D646" s="290" t="s">
        <v>980</v>
      </c>
      <c r="E646" s="291"/>
      <c r="F646" s="291"/>
      <c r="G646" s="269"/>
      <c r="H646" s="269"/>
      <c r="I646" s="269"/>
      <c r="J646" s="269"/>
      <c r="K646" s="269"/>
      <c r="L646" s="269"/>
      <c r="M646" s="269"/>
      <c r="N646" s="269"/>
      <c r="O646" s="269"/>
      <c r="P646" s="269"/>
      <c r="Q646" s="269"/>
      <c r="R646" s="269"/>
      <c r="S646" s="269"/>
      <c r="T646" s="269"/>
    </row>
    <row r="647">
      <c r="A647" s="307"/>
      <c r="B647" s="293"/>
      <c r="C647" s="293"/>
      <c r="D647" s="292"/>
      <c r="E647" s="293"/>
      <c r="F647" s="293"/>
      <c r="G647" s="269"/>
      <c r="H647" s="269"/>
      <c r="I647" s="269"/>
      <c r="J647" s="269"/>
      <c r="K647" s="269"/>
      <c r="L647" s="269"/>
      <c r="M647" s="269"/>
      <c r="N647" s="269"/>
      <c r="O647" s="269"/>
      <c r="P647" s="269"/>
      <c r="Q647" s="269"/>
      <c r="R647" s="269"/>
      <c r="S647" s="269"/>
      <c r="T647" s="269"/>
    </row>
    <row r="648">
      <c r="A648" s="307"/>
      <c r="B648" s="293"/>
      <c r="C648" s="293"/>
      <c r="D648" s="292"/>
      <c r="E648" s="293"/>
      <c r="F648" s="293"/>
      <c r="G648" s="269"/>
      <c r="H648" s="269"/>
      <c r="I648" s="269"/>
      <c r="J648" s="269"/>
      <c r="K648" s="269"/>
      <c r="L648" s="269"/>
      <c r="M648" s="269"/>
      <c r="N648" s="269"/>
      <c r="O648" s="269"/>
      <c r="P648" s="269"/>
      <c r="Q648" s="269"/>
      <c r="R648" s="269"/>
      <c r="S648" s="269"/>
      <c r="T648" s="269"/>
    </row>
    <row r="649">
      <c r="A649" s="307"/>
      <c r="B649" s="293"/>
      <c r="C649" s="293"/>
      <c r="D649" s="292"/>
      <c r="E649" s="293"/>
      <c r="F649" s="293"/>
      <c r="G649" s="269"/>
      <c r="H649" s="269"/>
      <c r="I649" s="269"/>
      <c r="J649" s="269"/>
      <c r="K649" s="269"/>
      <c r="L649" s="269"/>
      <c r="M649" s="269"/>
      <c r="N649" s="269"/>
      <c r="O649" s="269"/>
      <c r="P649" s="269"/>
      <c r="Q649" s="269"/>
      <c r="R649" s="269"/>
      <c r="S649" s="269"/>
      <c r="T649" s="269"/>
    </row>
    <row r="650">
      <c r="A650" s="307"/>
      <c r="B650" s="293"/>
      <c r="C650" s="293"/>
      <c r="D650" s="292"/>
      <c r="E650" s="293"/>
      <c r="F650" s="293"/>
      <c r="G650" s="269"/>
      <c r="H650" s="269"/>
      <c r="I650" s="269"/>
      <c r="J650" s="269"/>
      <c r="K650" s="269"/>
      <c r="L650" s="269"/>
      <c r="M650" s="269"/>
      <c r="N650" s="269"/>
      <c r="O650" s="269"/>
      <c r="P650" s="269"/>
      <c r="Q650" s="269"/>
      <c r="R650" s="269"/>
      <c r="S650" s="269"/>
      <c r="T650" s="269"/>
    </row>
    <row r="651">
      <c r="A651" s="307"/>
      <c r="B651" s="293"/>
      <c r="C651" s="293"/>
      <c r="D651" s="292"/>
      <c r="E651" s="293"/>
      <c r="F651" s="293"/>
      <c r="G651" s="269"/>
      <c r="H651" s="269"/>
      <c r="I651" s="269"/>
      <c r="J651" s="269"/>
      <c r="K651" s="269"/>
      <c r="L651" s="269"/>
      <c r="M651" s="269"/>
      <c r="N651" s="269"/>
      <c r="O651" s="269"/>
      <c r="P651" s="269"/>
      <c r="Q651" s="269"/>
      <c r="R651" s="269"/>
      <c r="S651" s="269"/>
      <c r="T651" s="269"/>
    </row>
    <row r="652">
      <c r="A652" s="307"/>
      <c r="B652" s="293"/>
      <c r="C652" s="293"/>
      <c r="D652" s="292"/>
      <c r="E652" s="293"/>
      <c r="F652" s="294"/>
      <c r="G652" s="269"/>
      <c r="H652" s="269"/>
      <c r="I652" s="269"/>
      <c r="J652" s="269"/>
      <c r="K652" s="269"/>
      <c r="L652" s="269"/>
      <c r="M652" s="269"/>
      <c r="N652" s="269"/>
      <c r="O652" s="269"/>
      <c r="P652" s="269"/>
      <c r="Q652" s="269"/>
      <c r="R652" s="269"/>
      <c r="S652" s="269"/>
      <c r="T652" s="269"/>
    </row>
    <row r="653">
      <c r="A653" s="307"/>
      <c r="B653" s="294"/>
      <c r="C653" s="293"/>
      <c r="D653" s="292"/>
      <c r="E653" s="294"/>
      <c r="F653" s="294"/>
      <c r="G653" s="269"/>
      <c r="H653" s="269"/>
      <c r="I653" s="269"/>
      <c r="J653" s="269"/>
      <c r="K653" s="269"/>
      <c r="L653" s="269"/>
      <c r="M653" s="269"/>
      <c r="N653" s="269"/>
      <c r="O653" s="269"/>
      <c r="P653" s="269"/>
      <c r="Q653" s="269"/>
      <c r="R653" s="269"/>
      <c r="S653" s="269"/>
      <c r="T653" s="269"/>
    </row>
    <row r="654">
      <c r="A654" s="307"/>
      <c r="B654" s="294"/>
      <c r="C654" s="293"/>
      <c r="D654" s="292"/>
      <c r="E654" s="294"/>
      <c r="F654" s="294"/>
      <c r="G654" s="269"/>
      <c r="H654" s="269"/>
      <c r="I654" s="269"/>
      <c r="J654" s="269"/>
      <c r="K654" s="269"/>
      <c r="L654" s="269"/>
      <c r="M654" s="269"/>
      <c r="N654" s="269"/>
      <c r="O654" s="269"/>
      <c r="P654" s="269"/>
      <c r="Q654" s="269"/>
      <c r="R654" s="269"/>
      <c r="S654" s="269"/>
      <c r="T654" s="269"/>
    </row>
    <row r="655">
      <c r="A655" s="307"/>
      <c r="B655" s="296"/>
      <c r="C655" s="297"/>
      <c r="D655" s="77"/>
      <c r="E655" s="296"/>
      <c r="F655" s="296"/>
      <c r="G655" s="269"/>
      <c r="H655" s="269"/>
      <c r="I655" s="269"/>
      <c r="J655" s="269"/>
      <c r="K655" s="269"/>
      <c r="L655" s="269"/>
      <c r="M655" s="269"/>
      <c r="N655" s="269"/>
      <c r="O655" s="269"/>
      <c r="P655" s="269"/>
      <c r="Q655" s="269"/>
      <c r="R655" s="269"/>
      <c r="S655" s="269"/>
      <c r="T655" s="269"/>
    </row>
    <row r="656">
      <c r="A656" s="307"/>
      <c r="B656" s="304">
        <v>25.0</v>
      </c>
      <c r="C656" s="303">
        <v>26.0</v>
      </c>
      <c r="D656" s="304">
        <v>27.0</v>
      </c>
      <c r="E656" s="303">
        <v>28.0</v>
      </c>
      <c r="F656" s="304">
        <v>29.0</v>
      </c>
      <c r="G656" s="269"/>
      <c r="H656" s="269"/>
      <c r="I656" s="269"/>
      <c r="J656" s="269"/>
      <c r="K656" s="269"/>
      <c r="L656" s="269"/>
      <c r="M656" s="269"/>
      <c r="N656" s="269"/>
      <c r="O656" s="269"/>
      <c r="P656" s="269"/>
      <c r="Q656" s="269"/>
      <c r="R656" s="269"/>
      <c r="S656" s="269"/>
      <c r="T656" s="269"/>
    </row>
    <row r="657">
      <c r="A657" s="307"/>
      <c r="B657" s="350" t="s">
        <v>981</v>
      </c>
      <c r="C657" s="350" t="s">
        <v>981</v>
      </c>
      <c r="D657" s="350" t="s">
        <v>981</v>
      </c>
      <c r="E657" s="350" t="s">
        <v>981</v>
      </c>
      <c r="F657" s="350" t="s">
        <v>981</v>
      </c>
      <c r="G657" s="269"/>
      <c r="H657" s="269"/>
      <c r="I657" s="269"/>
      <c r="J657" s="269"/>
      <c r="K657" s="269"/>
      <c r="L657" s="269"/>
      <c r="M657" s="269"/>
      <c r="N657" s="269"/>
      <c r="O657" s="269"/>
      <c r="P657" s="269"/>
      <c r="Q657" s="269"/>
      <c r="R657" s="269"/>
      <c r="S657" s="269"/>
      <c r="T657" s="269"/>
    </row>
    <row r="658">
      <c r="A658" s="307"/>
      <c r="B658" s="293"/>
      <c r="C658" s="293"/>
      <c r="D658" s="293"/>
      <c r="E658" s="293"/>
      <c r="F658" s="293"/>
      <c r="G658" s="269"/>
      <c r="H658" s="269"/>
      <c r="I658" s="269"/>
      <c r="J658" s="269"/>
      <c r="K658" s="269"/>
      <c r="L658" s="269"/>
      <c r="M658" s="269"/>
      <c r="N658" s="269"/>
      <c r="O658" s="269"/>
      <c r="P658" s="269"/>
      <c r="Q658" s="269"/>
      <c r="R658" s="269"/>
      <c r="S658" s="269"/>
      <c r="T658" s="269"/>
    </row>
    <row r="659">
      <c r="A659" s="307"/>
      <c r="B659" s="293"/>
      <c r="C659" s="293"/>
      <c r="D659" s="293"/>
      <c r="E659" s="293"/>
      <c r="F659" s="293"/>
      <c r="G659" s="269"/>
      <c r="H659" s="269"/>
      <c r="I659" s="269"/>
      <c r="J659" s="269"/>
      <c r="K659" s="269"/>
      <c r="L659" s="269"/>
      <c r="M659" s="269"/>
      <c r="N659" s="269"/>
      <c r="O659" s="269"/>
      <c r="P659" s="269"/>
      <c r="Q659" s="269"/>
      <c r="R659" s="269"/>
      <c r="S659" s="269"/>
      <c r="T659" s="269"/>
    </row>
    <row r="660">
      <c r="A660" s="307"/>
      <c r="B660" s="293"/>
      <c r="C660" s="293"/>
      <c r="D660" s="293"/>
      <c r="E660" s="293"/>
      <c r="F660" s="293"/>
      <c r="G660" s="269"/>
      <c r="H660" s="269"/>
      <c r="I660" s="269"/>
      <c r="J660" s="269"/>
      <c r="K660" s="269"/>
      <c r="L660" s="269"/>
      <c r="M660" s="269"/>
      <c r="N660" s="269"/>
      <c r="O660" s="269"/>
      <c r="P660" s="269"/>
      <c r="Q660" s="269"/>
      <c r="R660" s="269"/>
      <c r="S660" s="269"/>
      <c r="T660" s="269"/>
    </row>
    <row r="661">
      <c r="A661" s="307"/>
      <c r="B661" s="293"/>
      <c r="C661" s="293"/>
      <c r="D661" s="293"/>
      <c r="E661" s="293"/>
      <c r="F661" s="293"/>
      <c r="G661" s="269"/>
      <c r="H661" s="269"/>
      <c r="I661" s="269"/>
      <c r="J661" s="269"/>
      <c r="K661" s="269"/>
      <c r="L661" s="269"/>
      <c r="M661" s="269"/>
      <c r="N661" s="269"/>
      <c r="O661" s="269"/>
      <c r="P661" s="269"/>
      <c r="Q661" s="269"/>
      <c r="R661" s="269"/>
      <c r="S661" s="269"/>
      <c r="T661" s="269"/>
    </row>
    <row r="662">
      <c r="A662" s="307"/>
      <c r="B662" s="293"/>
      <c r="C662" s="293"/>
      <c r="D662" s="293"/>
      <c r="E662" s="293"/>
      <c r="F662" s="293"/>
      <c r="G662" s="269"/>
      <c r="H662" s="269"/>
      <c r="I662" s="269"/>
      <c r="J662" s="269"/>
      <c r="K662" s="269"/>
      <c r="L662" s="269"/>
      <c r="M662" s="269"/>
      <c r="N662" s="269"/>
      <c r="O662" s="269"/>
      <c r="P662" s="269"/>
      <c r="Q662" s="269"/>
      <c r="R662" s="269"/>
      <c r="S662" s="269"/>
      <c r="T662" s="269"/>
    </row>
    <row r="663">
      <c r="A663" s="307"/>
      <c r="B663" s="293"/>
      <c r="C663" s="293"/>
      <c r="D663" s="293"/>
      <c r="E663" s="293"/>
      <c r="F663" s="293"/>
      <c r="G663" s="269"/>
      <c r="H663" s="269"/>
      <c r="I663" s="269"/>
      <c r="J663" s="269"/>
      <c r="K663" s="269"/>
      <c r="L663" s="269"/>
      <c r="M663" s="269"/>
      <c r="N663" s="269"/>
      <c r="O663" s="269"/>
      <c r="P663" s="269"/>
      <c r="Q663" s="269"/>
      <c r="R663" s="269"/>
      <c r="S663" s="269"/>
      <c r="T663" s="269"/>
    </row>
    <row r="664">
      <c r="A664" s="307"/>
      <c r="B664" s="294"/>
      <c r="C664" s="294"/>
      <c r="D664" s="294"/>
      <c r="E664" s="294"/>
      <c r="F664" s="294"/>
      <c r="G664" s="269"/>
      <c r="H664" s="269"/>
      <c r="I664" s="269"/>
      <c r="J664" s="269"/>
      <c r="K664" s="269"/>
      <c r="L664" s="269"/>
      <c r="M664" s="269"/>
      <c r="N664" s="269"/>
      <c r="O664" s="269"/>
      <c r="P664" s="269"/>
      <c r="Q664" s="269"/>
      <c r="R664" s="269"/>
      <c r="S664" s="269"/>
      <c r="T664" s="269"/>
    </row>
    <row r="665">
      <c r="A665" s="307"/>
      <c r="B665" s="294"/>
      <c r="C665" s="294"/>
      <c r="D665" s="294"/>
      <c r="E665" s="294"/>
      <c r="F665" s="294"/>
      <c r="G665" s="269"/>
      <c r="H665" s="269"/>
      <c r="I665" s="269"/>
      <c r="J665" s="269"/>
      <c r="K665" s="269"/>
      <c r="L665" s="269"/>
      <c r="M665" s="269"/>
      <c r="N665" s="269"/>
      <c r="O665" s="269"/>
      <c r="P665" s="269"/>
      <c r="Q665" s="269"/>
      <c r="R665" s="269"/>
      <c r="S665" s="269"/>
      <c r="T665" s="269"/>
    </row>
    <row r="666">
      <c r="A666" s="307"/>
      <c r="B666" s="296"/>
      <c r="C666" s="296"/>
      <c r="D666" s="296"/>
      <c r="E666" s="296"/>
      <c r="F666" s="296"/>
      <c r="G666" s="269"/>
      <c r="H666" s="269"/>
      <c r="I666" s="269"/>
      <c r="J666" s="269"/>
      <c r="K666" s="269"/>
      <c r="L666" s="269"/>
      <c r="M666" s="269"/>
      <c r="N666" s="269"/>
      <c r="O666" s="269"/>
      <c r="P666" s="269"/>
      <c r="Q666" s="269"/>
      <c r="R666" s="269"/>
      <c r="S666" s="269"/>
      <c r="T666" s="269"/>
    </row>
    <row r="667">
      <c r="A667" s="307"/>
      <c r="B667" s="269"/>
      <c r="C667" s="269"/>
      <c r="D667" s="269"/>
      <c r="E667" s="269"/>
      <c r="F667" s="269"/>
      <c r="G667" s="269"/>
      <c r="H667" s="269"/>
      <c r="I667" s="269"/>
      <c r="J667" s="269"/>
      <c r="K667" s="269"/>
      <c r="L667" s="269"/>
      <c r="M667" s="269"/>
      <c r="N667" s="269"/>
      <c r="O667" s="269"/>
      <c r="P667" s="269"/>
      <c r="Q667" s="269"/>
      <c r="R667" s="269"/>
      <c r="S667" s="269"/>
      <c r="T667" s="269"/>
    </row>
    <row r="668">
      <c r="A668" s="307"/>
      <c r="B668" s="269"/>
      <c r="C668" s="269"/>
      <c r="D668" s="269"/>
      <c r="E668" s="269"/>
      <c r="F668" s="269"/>
      <c r="G668" s="269"/>
      <c r="H668" s="269"/>
      <c r="I668" s="269"/>
      <c r="J668" s="269"/>
      <c r="K668" s="269"/>
      <c r="L668" s="269"/>
      <c r="M668" s="269"/>
      <c r="N668" s="269"/>
      <c r="O668" s="269"/>
      <c r="P668" s="269"/>
      <c r="Q668" s="269"/>
      <c r="R668" s="269"/>
      <c r="S668" s="269"/>
      <c r="T668" s="269"/>
    </row>
    <row r="669">
      <c r="A669" s="307"/>
      <c r="B669" s="269"/>
      <c r="C669" s="269"/>
      <c r="D669" s="269"/>
      <c r="E669" s="269"/>
      <c r="F669" s="269"/>
      <c r="G669" s="269"/>
      <c r="H669" s="269"/>
      <c r="I669" s="269"/>
      <c r="J669" s="269"/>
      <c r="K669" s="269"/>
      <c r="L669" s="269"/>
      <c r="M669" s="269"/>
      <c r="N669" s="269"/>
      <c r="O669" s="269"/>
      <c r="P669" s="269"/>
      <c r="Q669" s="269"/>
      <c r="R669" s="269"/>
      <c r="S669" s="269"/>
      <c r="T669" s="269"/>
    </row>
    <row r="670">
      <c r="A670" s="307"/>
      <c r="B670" s="278" t="s">
        <v>982</v>
      </c>
      <c r="C670" s="279"/>
      <c r="D670" s="279"/>
      <c r="E670" s="279"/>
      <c r="F670" s="280"/>
      <c r="G670" s="269"/>
      <c r="H670" s="269"/>
      <c r="I670" s="269"/>
      <c r="J670" s="269"/>
      <c r="K670" s="269"/>
      <c r="L670" s="269"/>
      <c r="M670" s="269"/>
      <c r="N670" s="269"/>
      <c r="O670" s="269"/>
      <c r="P670" s="269"/>
      <c r="Q670" s="269"/>
      <c r="R670" s="269"/>
      <c r="S670" s="269"/>
      <c r="T670" s="269"/>
    </row>
    <row r="671">
      <c r="A671" s="307"/>
      <c r="B671" s="282"/>
      <c r="C671" s="283"/>
      <c r="D671" s="283"/>
      <c r="E671" s="283"/>
      <c r="F671" s="284"/>
      <c r="G671" s="269"/>
      <c r="H671" s="269"/>
      <c r="I671" s="269"/>
      <c r="J671" s="269"/>
      <c r="K671" s="269"/>
      <c r="L671" s="269"/>
      <c r="M671" s="269"/>
      <c r="N671" s="269"/>
      <c r="O671" s="269"/>
      <c r="P671" s="269"/>
      <c r="Q671" s="269"/>
      <c r="R671" s="269"/>
      <c r="S671" s="269"/>
      <c r="T671" s="269"/>
    </row>
    <row r="672">
      <c r="A672" s="307"/>
      <c r="B672" s="285" t="s">
        <v>901</v>
      </c>
      <c r="C672" s="286" t="s">
        <v>902</v>
      </c>
      <c r="D672" s="286" t="s">
        <v>903</v>
      </c>
      <c r="E672" s="286" t="s">
        <v>904</v>
      </c>
      <c r="F672" s="286" t="s">
        <v>905</v>
      </c>
      <c r="G672" s="269"/>
      <c r="H672" s="269"/>
      <c r="I672" s="269"/>
      <c r="J672" s="269"/>
      <c r="K672" s="269"/>
      <c r="L672" s="269"/>
      <c r="M672" s="269"/>
      <c r="N672" s="269"/>
      <c r="O672" s="269"/>
      <c r="P672" s="269"/>
      <c r="Q672" s="269"/>
      <c r="R672" s="269"/>
      <c r="S672" s="269"/>
      <c r="T672" s="269"/>
    </row>
    <row r="673">
      <c r="A673" s="307"/>
      <c r="B673" s="304">
        <v>2.0</v>
      </c>
      <c r="C673" s="303">
        <v>3.0</v>
      </c>
      <c r="D673" s="304">
        <v>4.0</v>
      </c>
      <c r="E673" s="303">
        <v>5.0</v>
      </c>
      <c r="F673" s="304">
        <v>6.0</v>
      </c>
      <c r="G673" s="269"/>
      <c r="H673" s="269"/>
      <c r="I673" s="269"/>
      <c r="J673" s="269"/>
      <c r="K673" s="269"/>
      <c r="L673" s="269"/>
      <c r="M673" s="269"/>
      <c r="N673" s="269"/>
      <c r="O673" s="269"/>
      <c r="P673" s="269"/>
      <c r="Q673" s="269"/>
      <c r="R673" s="269"/>
      <c r="S673" s="269"/>
      <c r="T673" s="269"/>
    </row>
    <row r="674">
      <c r="A674" s="307"/>
      <c r="B674" s="291"/>
      <c r="C674" s="291"/>
      <c r="D674" s="291"/>
      <c r="E674" s="291"/>
      <c r="F674" s="291"/>
      <c r="G674" s="269"/>
      <c r="H674" s="269"/>
      <c r="I674" s="269"/>
      <c r="J674" s="269"/>
      <c r="K674" s="269"/>
      <c r="L674" s="269"/>
      <c r="M674" s="269"/>
      <c r="N674" s="269"/>
      <c r="O674" s="269"/>
      <c r="P674" s="269"/>
      <c r="Q674" s="269"/>
      <c r="R674" s="269"/>
      <c r="S674" s="269"/>
      <c r="T674" s="269"/>
    </row>
    <row r="675">
      <c r="A675" s="307"/>
      <c r="B675" s="293"/>
      <c r="C675" s="293"/>
      <c r="D675" s="293"/>
      <c r="E675" s="293"/>
      <c r="F675" s="293"/>
      <c r="G675" s="269"/>
      <c r="H675" s="269"/>
      <c r="I675" s="269"/>
      <c r="J675" s="269"/>
      <c r="K675" s="269"/>
      <c r="L675" s="269"/>
      <c r="M675" s="269"/>
      <c r="N675" s="269"/>
      <c r="O675" s="269"/>
      <c r="P675" s="269"/>
      <c r="Q675" s="269"/>
      <c r="R675" s="269"/>
      <c r="S675" s="269"/>
      <c r="T675" s="269"/>
    </row>
    <row r="676">
      <c r="A676" s="307"/>
      <c r="B676" s="293"/>
      <c r="C676" s="293"/>
      <c r="D676" s="293"/>
      <c r="E676" s="293"/>
      <c r="F676" s="293"/>
      <c r="G676" s="269"/>
      <c r="H676" s="269"/>
      <c r="I676" s="269"/>
      <c r="J676" s="269"/>
      <c r="K676" s="269"/>
      <c r="L676" s="269"/>
      <c r="M676" s="269"/>
      <c r="N676" s="269"/>
      <c r="O676" s="269"/>
      <c r="P676" s="269"/>
      <c r="Q676" s="269"/>
      <c r="R676" s="269"/>
      <c r="S676" s="269"/>
      <c r="T676" s="269"/>
    </row>
    <row r="677">
      <c r="A677" s="307"/>
      <c r="B677" s="293"/>
      <c r="C677" s="293"/>
      <c r="D677" s="293"/>
      <c r="E677" s="293"/>
      <c r="F677" s="293"/>
      <c r="G677" s="269"/>
      <c r="H677" s="269"/>
      <c r="I677" s="269"/>
      <c r="J677" s="269"/>
      <c r="K677" s="269"/>
      <c r="L677" s="269"/>
      <c r="M677" s="269"/>
      <c r="N677" s="269"/>
      <c r="O677" s="269"/>
      <c r="P677" s="269"/>
      <c r="Q677" s="269"/>
      <c r="R677" s="269"/>
      <c r="S677" s="269"/>
      <c r="T677" s="269"/>
    </row>
    <row r="678">
      <c r="A678" s="307"/>
      <c r="B678" s="293"/>
      <c r="C678" s="293"/>
      <c r="D678" s="293"/>
      <c r="E678" s="293"/>
      <c r="F678" s="293"/>
      <c r="G678" s="269"/>
      <c r="H678" s="269"/>
      <c r="I678" s="269"/>
      <c r="J678" s="269"/>
      <c r="K678" s="269"/>
      <c r="L678" s="269"/>
      <c r="M678" s="269"/>
      <c r="N678" s="269"/>
      <c r="O678" s="269"/>
      <c r="P678" s="269"/>
      <c r="Q678" s="269"/>
      <c r="R678" s="269"/>
      <c r="S678" s="269"/>
      <c r="T678" s="269"/>
    </row>
    <row r="679">
      <c r="A679" s="307"/>
      <c r="B679" s="294"/>
      <c r="C679" s="294"/>
      <c r="D679" s="294"/>
      <c r="E679" s="294"/>
      <c r="F679" s="294"/>
      <c r="G679" s="269"/>
      <c r="H679" s="269"/>
      <c r="I679" s="269"/>
      <c r="J679" s="269"/>
      <c r="K679" s="269"/>
      <c r="L679" s="269"/>
      <c r="M679" s="269"/>
      <c r="N679" s="269"/>
      <c r="O679" s="269"/>
      <c r="P679" s="269"/>
      <c r="Q679" s="269"/>
      <c r="R679" s="269"/>
      <c r="S679" s="269"/>
      <c r="T679" s="269"/>
    </row>
    <row r="680">
      <c r="A680" s="307"/>
      <c r="B680" s="294"/>
      <c r="C680" s="294"/>
      <c r="D680" s="294"/>
      <c r="E680" s="294"/>
      <c r="F680" s="294"/>
      <c r="G680" s="269"/>
      <c r="H680" s="269"/>
      <c r="I680" s="269"/>
      <c r="J680" s="269"/>
      <c r="K680" s="269"/>
      <c r="L680" s="269"/>
      <c r="M680" s="269"/>
      <c r="N680" s="269"/>
      <c r="O680" s="269"/>
      <c r="P680" s="269"/>
      <c r="Q680" s="269"/>
      <c r="R680" s="269"/>
      <c r="S680" s="269"/>
      <c r="T680" s="269"/>
    </row>
    <row r="681">
      <c r="A681" s="307"/>
      <c r="B681" s="294"/>
      <c r="C681" s="294"/>
      <c r="D681" s="294"/>
      <c r="E681" s="294"/>
      <c r="F681" s="294"/>
      <c r="G681" s="269"/>
      <c r="H681" s="269"/>
      <c r="I681" s="269"/>
      <c r="J681" s="269"/>
      <c r="K681" s="269"/>
      <c r="L681" s="269"/>
      <c r="M681" s="269"/>
      <c r="N681" s="269"/>
      <c r="O681" s="269"/>
      <c r="P681" s="269"/>
      <c r="Q681" s="269"/>
      <c r="R681" s="269"/>
      <c r="S681" s="269"/>
      <c r="T681" s="269"/>
    </row>
    <row r="682">
      <c r="A682" s="307"/>
      <c r="B682" s="294"/>
      <c r="C682" s="294"/>
      <c r="D682" s="294"/>
      <c r="E682" s="294"/>
      <c r="F682" s="294"/>
      <c r="G682" s="269"/>
      <c r="H682" s="269"/>
      <c r="I682" s="269"/>
      <c r="J682" s="269"/>
      <c r="K682" s="269"/>
      <c r="L682" s="269"/>
      <c r="M682" s="269"/>
      <c r="N682" s="269"/>
      <c r="O682" s="269"/>
      <c r="P682" s="269"/>
      <c r="Q682" s="269"/>
      <c r="R682" s="269"/>
      <c r="S682" s="269"/>
      <c r="T682" s="269"/>
    </row>
    <row r="683">
      <c r="A683" s="307"/>
      <c r="B683" s="295"/>
      <c r="C683" s="295"/>
      <c r="D683" s="295"/>
      <c r="E683" s="295"/>
      <c r="F683" s="295"/>
      <c r="G683" s="269"/>
      <c r="H683" s="269"/>
      <c r="I683" s="269"/>
      <c r="J683" s="269"/>
      <c r="K683" s="269"/>
      <c r="L683" s="269"/>
      <c r="M683" s="269"/>
      <c r="N683" s="269"/>
      <c r="O683" s="269"/>
      <c r="P683" s="269"/>
      <c r="Q683" s="269"/>
      <c r="R683" s="269"/>
      <c r="S683" s="269"/>
      <c r="T683" s="269"/>
    </row>
    <row r="684">
      <c r="A684" s="307"/>
      <c r="B684" s="304">
        <v>9.0</v>
      </c>
      <c r="C684" s="303">
        <v>10.0</v>
      </c>
      <c r="D684" s="304">
        <v>11.0</v>
      </c>
      <c r="E684" s="303">
        <v>12.0</v>
      </c>
      <c r="F684" s="304">
        <v>13.0</v>
      </c>
      <c r="G684" s="269"/>
      <c r="H684" s="269"/>
      <c r="I684" s="269"/>
      <c r="J684" s="269"/>
      <c r="K684" s="269"/>
      <c r="L684" s="269"/>
      <c r="M684" s="269"/>
      <c r="N684" s="269"/>
      <c r="O684" s="269"/>
      <c r="P684" s="269"/>
      <c r="Q684" s="269"/>
      <c r="R684" s="269"/>
      <c r="S684" s="269"/>
      <c r="T684" s="269"/>
    </row>
    <row r="685">
      <c r="A685" s="307"/>
      <c r="B685" s="291"/>
      <c r="C685" s="291"/>
      <c r="D685" s="351" t="s">
        <v>983</v>
      </c>
      <c r="E685" s="351" t="s">
        <v>983</v>
      </c>
      <c r="F685" s="351" t="s">
        <v>983</v>
      </c>
      <c r="G685" s="269"/>
      <c r="H685" s="269"/>
      <c r="I685" s="269"/>
      <c r="J685" s="269"/>
      <c r="K685" s="269"/>
      <c r="L685" s="269"/>
      <c r="M685" s="269"/>
      <c r="N685" s="269"/>
      <c r="O685" s="269"/>
      <c r="P685" s="269"/>
      <c r="Q685" s="269"/>
      <c r="R685" s="269"/>
      <c r="S685" s="269"/>
      <c r="T685" s="269"/>
    </row>
    <row r="686">
      <c r="A686" s="307"/>
      <c r="B686" s="293"/>
      <c r="C686" s="294"/>
      <c r="D686" s="293"/>
      <c r="E686" s="293"/>
      <c r="F686" s="293"/>
      <c r="G686" s="269"/>
      <c r="H686" s="269"/>
      <c r="I686" s="269"/>
      <c r="J686" s="269"/>
      <c r="K686" s="269"/>
      <c r="L686" s="269"/>
      <c r="M686" s="269"/>
      <c r="N686" s="269"/>
      <c r="O686" s="269"/>
      <c r="P686" s="269"/>
      <c r="Q686" s="269"/>
      <c r="R686" s="269"/>
      <c r="S686" s="269"/>
      <c r="T686" s="269"/>
    </row>
    <row r="687">
      <c r="A687" s="307"/>
      <c r="B687" s="293"/>
      <c r="C687" s="293"/>
      <c r="D687" s="293"/>
      <c r="E687" s="293"/>
      <c r="F687" s="293"/>
      <c r="G687" s="269"/>
      <c r="H687" s="269"/>
      <c r="I687" s="269"/>
      <c r="J687" s="269"/>
      <c r="K687" s="269"/>
      <c r="L687" s="269"/>
      <c r="M687" s="269"/>
      <c r="N687" s="269"/>
      <c r="O687" s="269"/>
      <c r="P687" s="269"/>
      <c r="Q687" s="269"/>
      <c r="R687" s="269"/>
      <c r="S687" s="269"/>
      <c r="T687" s="269"/>
    </row>
    <row r="688">
      <c r="A688" s="307"/>
      <c r="B688" s="293"/>
      <c r="C688" s="293"/>
      <c r="D688" s="293"/>
      <c r="E688" s="293"/>
      <c r="F688" s="293"/>
      <c r="G688" s="269"/>
      <c r="H688" s="269"/>
      <c r="I688" s="269"/>
      <c r="J688" s="269"/>
      <c r="K688" s="269"/>
      <c r="L688" s="269"/>
      <c r="M688" s="269"/>
      <c r="N688" s="269"/>
      <c r="O688" s="269"/>
      <c r="P688" s="269"/>
      <c r="Q688" s="269"/>
      <c r="R688" s="269"/>
      <c r="S688" s="269"/>
      <c r="T688" s="269"/>
    </row>
    <row r="689">
      <c r="A689" s="307"/>
      <c r="B689" s="293"/>
      <c r="C689" s="293"/>
      <c r="D689" s="293"/>
      <c r="E689" s="293"/>
      <c r="F689" s="293"/>
      <c r="G689" s="269"/>
      <c r="H689" s="269"/>
      <c r="I689" s="269"/>
      <c r="J689" s="269"/>
      <c r="K689" s="269"/>
      <c r="L689" s="269"/>
      <c r="M689" s="269"/>
      <c r="N689" s="269"/>
      <c r="O689" s="269"/>
      <c r="P689" s="269"/>
      <c r="Q689" s="269"/>
      <c r="R689" s="269"/>
      <c r="S689" s="269"/>
      <c r="T689" s="269"/>
    </row>
    <row r="690">
      <c r="A690" s="307"/>
      <c r="B690" s="293"/>
      <c r="C690" s="293"/>
      <c r="D690" s="293"/>
      <c r="E690" s="293"/>
      <c r="F690" s="293"/>
      <c r="G690" s="269"/>
      <c r="H690" s="269"/>
      <c r="I690" s="269"/>
      <c r="J690" s="269"/>
      <c r="K690" s="269"/>
      <c r="L690" s="269"/>
      <c r="M690" s="269"/>
      <c r="N690" s="269"/>
      <c r="O690" s="269"/>
      <c r="P690" s="269"/>
      <c r="Q690" s="269"/>
      <c r="R690" s="269"/>
      <c r="S690" s="269"/>
      <c r="T690" s="269"/>
    </row>
    <row r="691">
      <c r="A691" s="307"/>
      <c r="B691" s="293"/>
      <c r="C691" s="293"/>
      <c r="D691" s="293"/>
      <c r="E691" s="293"/>
      <c r="F691" s="294"/>
      <c r="G691" s="269"/>
      <c r="H691" s="269"/>
      <c r="I691" s="269"/>
      <c r="J691" s="269"/>
      <c r="K691" s="269"/>
      <c r="L691" s="269"/>
      <c r="M691" s="269"/>
      <c r="N691" s="269"/>
      <c r="O691" s="269"/>
      <c r="P691" s="269"/>
      <c r="Q691" s="269"/>
      <c r="R691" s="269"/>
      <c r="S691" s="269"/>
      <c r="T691" s="269"/>
    </row>
    <row r="692">
      <c r="A692" s="307"/>
      <c r="B692" s="293"/>
      <c r="C692" s="293"/>
      <c r="D692" s="293"/>
      <c r="E692" s="293"/>
      <c r="F692" s="294"/>
      <c r="G692" s="269"/>
      <c r="H692" s="269"/>
      <c r="I692" s="269"/>
      <c r="J692" s="269"/>
      <c r="K692" s="269"/>
      <c r="L692" s="269"/>
      <c r="M692" s="269"/>
      <c r="N692" s="269"/>
      <c r="O692" s="269"/>
      <c r="P692" s="269"/>
      <c r="Q692" s="269"/>
      <c r="R692" s="269"/>
      <c r="S692" s="269"/>
      <c r="T692" s="269"/>
    </row>
    <row r="693">
      <c r="A693" s="307"/>
      <c r="B693" s="294"/>
      <c r="C693" s="293"/>
      <c r="D693" s="294"/>
      <c r="E693" s="293"/>
      <c r="F693" s="294"/>
      <c r="G693" s="269"/>
      <c r="H693" s="269"/>
      <c r="I693" s="269"/>
      <c r="J693" s="269"/>
      <c r="K693" s="269"/>
      <c r="L693" s="269"/>
      <c r="M693" s="269"/>
      <c r="N693" s="269"/>
      <c r="O693" s="269"/>
      <c r="P693" s="269"/>
      <c r="Q693" s="269"/>
      <c r="R693" s="269"/>
      <c r="S693" s="269"/>
      <c r="T693" s="269"/>
    </row>
    <row r="694">
      <c r="A694" s="307"/>
      <c r="B694" s="296"/>
      <c r="C694" s="297"/>
      <c r="D694" s="296"/>
      <c r="E694" s="293"/>
      <c r="F694" s="296"/>
      <c r="G694" s="269"/>
      <c r="H694" s="269"/>
      <c r="I694" s="269"/>
      <c r="J694" s="269"/>
      <c r="K694" s="269"/>
      <c r="L694" s="269"/>
      <c r="M694" s="269"/>
      <c r="N694" s="269"/>
      <c r="O694" s="269"/>
      <c r="P694" s="269"/>
      <c r="Q694" s="269"/>
      <c r="R694" s="269"/>
      <c r="S694" s="269"/>
      <c r="T694" s="269"/>
    </row>
    <row r="695">
      <c r="A695" s="307"/>
      <c r="B695" s="304">
        <v>16.0</v>
      </c>
      <c r="C695" s="303">
        <v>17.0</v>
      </c>
      <c r="D695" s="304">
        <v>18.0</v>
      </c>
      <c r="E695" s="303">
        <v>19.0</v>
      </c>
      <c r="F695" s="304">
        <v>20.0</v>
      </c>
      <c r="G695" s="269"/>
      <c r="H695" s="269"/>
      <c r="I695" s="269"/>
      <c r="J695" s="269"/>
      <c r="K695" s="269"/>
      <c r="L695" s="269"/>
      <c r="M695" s="269"/>
      <c r="N695" s="269"/>
      <c r="O695" s="269"/>
      <c r="P695" s="269"/>
      <c r="Q695" s="269"/>
      <c r="R695" s="269"/>
      <c r="S695" s="269"/>
      <c r="T695" s="269"/>
    </row>
    <row r="696">
      <c r="A696" s="307"/>
      <c r="B696" s="293"/>
      <c r="C696" s="293"/>
      <c r="D696" s="291"/>
      <c r="E696" s="291"/>
      <c r="F696" s="291"/>
      <c r="G696" s="269"/>
      <c r="H696" s="269"/>
      <c r="I696" s="269"/>
      <c r="J696" s="269"/>
      <c r="K696" s="269"/>
      <c r="L696" s="269"/>
      <c r="M696" s="269"/>
      <c r="N696" s="269"/>
      <c r="O696" s="269"/>
      <c r="P696" s="269"/>
      <c r="Q696" s="269"/>
      <c r="R696" s="269"/>
      <c r="S696" s="269"/>
      <c r="T696" s="269"/>
    </row>
    <row r="697">
      <c r="A697" s="307"/>
      <c r="B697" s="293"/>
      <c r="C697" s="293"/>
      <c r="D697" s="293"/>
      <c r="E697" s="293"/>
      <c r="F697" s="293"/>
      <c r="G697" s="269"/>
      <c r="H697" s="269"/>
      <c r="I697" s="269"/>
      <c r="J697" s="269"/>
      <c r="K697" s="269"/>
      <c r="L697" s="269"/>
      <c r="M697" s="269"/>
      <c r="N697" s="269"/>
      <c r="O697" s="269"/>
      <c r="P697" s="269"/>
      <c r="Q697" s="269"/>
      <c r="R697" s="269"/>
      <c r="S697" s="269"/>
      <c r="T697" s="269"/>
    </row>
    <row r="698">
      <c r="A698" s="307"/>
      <c r="B698" s="293"/>
      <c r="C698" s="293"/>
      <c r="D698" s="293"/>
      <c r="E698" s="293"/>
      <c r="F698" s="293"/>
      <c r="G698" s="269"/>
      <c r="H698" s="269"/>
      <c r="I698" s="269"/>
      <c r="J698" s="269"/>
      <c r="K698" s="269"/>
      <c r="L698" s="269"/>
      <c r="M698" s="269"/>
      <c r="N698" s="269"/>
      <c r="O698" s="269"/>
      <c r="P698" s="269"/>
      <c r="Q698" s="269"/>
      <c r="R698" s="269"/>
      <c r="S698" s="269"/>
      <c r="T698" s="269"/>
    </row>
    <row r="699">
      <c r="A699" s="307"/>
      <c r="B699" s="293"/>
      <c r="C699" s="293"/>
      <c r="D699" s="293"/>
      <c r="E699" s="293"/>
      <c r="F699" s="293"/>
      <c r="G699" s="269"/>
      <c r="H699" s="269"/>
      <c r="I699" s="269"/>
      <c r="J699" s="269"/>
      <c r="K699" s="269"/>
      <c r="L699" s="269"/>
      <c r="M699" s="269"/>
      <c r="N699" s="269"/>
      <c r="O699" s="269"/>
      <c r="P699" s="269"/>
      <c r="Q699" s="269"/>
      <c r="R699" s="269"/>
      <c r="S699" s="269"/>
      <c r="T699" s="269"/>
    </row>
    <row r="700">
      <c r="A700" s="307"/>
      <c r="B700" s="293"/>
      <c r="C700" s="293"/>
      <c r="D700" s="293"/>
      <c r="E700" s="293"/>
      <c r="F700" s="293"/>
      <c r="G700" s="269"/>
      <c r="H700" s="269"/>
      <c r="I700" s="269"/>
      <c r="J700" s="269"/>
      <c r="K700" s="269"/>
      <c r="L700" s="269"/>
      <c r="M700" s="269"/>
      <c r="N700" s="269"/>
      <c r="O700" s="269"/>
      <c r="P700" s="269"/>
      <c r="Q700" s="269"/>
      <c r="R700" s="269"/>
      <c r="S700" s="269"/>
      <c r="T700" s="269"/>
    </row>
    <row r="701">
      <c r="A701" s="307"/>
      <c r="B701" s="294"/>
      <c r="C701" s="293"/>
      <c r="D701" s="293"/>
      <c r="E701" s="293"/>
      <c r="F701" s="293"/>
      <c r="G701" s="269"/>
      <c r="H701" s="269"/>
      <c r="I701" s="269"/>
      <c r="J701" s="269"/>
      <c r="K701" s="269"/>
      <c r="L701" s="269"/>
      <c r="M701" s="269"/>
      <c r="N701" s="269"/>
      <c r="O701" s="269"/>
      <c r="P701" s="269"/>
      <c r="Q701" s="269"/>
      <c r="R701" s="269"/>
      <c r="S701" s="269"/>
      <c r="T701" s="269"/>
    </row>
    <row r="702">
      <c r="A702" s="307"/>
      <c r="B702" s="294"/>
      <c r="C702" s="293"/>
      <c r="D702" s="293"/>
      <c r="E702" s="293"/>
      <c r="F702" s="293"/>
      <c r="G702" s="269"/>
      <c r="H702" s="269"/>
      <c r="I702" s="269"/>
      <c r="J702" s="269"/>
      <c r="K702" s="269"/>
      <c r="L702" s="269"/>
      <c r="M702" s="269"/>
      <c r="N702" s="269"/>
      <c r="O702" s="269"/>
      <c r="P702" s="269"/>
      <c r="Q702" s="269"/>
      <c r="R702" s="269"/>
      <c r="S702" s="269"/>
      <c r="T702" s="269"/>
    </row>
    <row r="703">
      <c r="A703" s="307"/>
      <c r="B703" s="294"/>
      <c r="C703" s="293"/>
      <c r="D703" s="293"/>
      <c r="E703" s="293"/>
      <c r="F703" s="293"/>
      <c r="G703" s="269"/>
      <c r="H703" s="269"/>
      <c r="I703" s="269"/>
      <c r="J703" s="269"/>
      <c r="K703" s="269"/>
      <c r="L703" s="269"/>
      <c r="M703" s="269"/>
      <c r="N703" s="269"/>
      <c r="O703" s="269"/>
      <c r="P703" s="269"/>
      <c r="Q703" s="269"/>
      <c r="R703" s="269"/>
      <c r="S703" s="269"/>
      <c r="T703" s="269"/>
    </row>
    <row r="704">
      <c r="A704" s="307"/>
      <c r="B704" s="293"/>
      <c r="C704" s="293"/>
      <c r="D704" s="294"/>
      <c r="E704" s="294"/>
      <c r="F704" s="294"/>
      <c r="G704" s="269"/>
      <c r="H704" s="269"/>
      <c r="I704" s="269"/>
      <c r="J704" s="269"/>
      <c r="K704" s="269"/>
      <c r="L704" s="269"/>
      <c r="M704" s="269"/>
      <c r="N704" s="269"/>
      <c r="O704" s="269"/>
      <c r="P704" s="269"/>
      <c r="Q704" s="269"/>
      <c r="R704" s="269"/>
      <c r="S704" s="269"/>
      <c r="T704" s="269"/>
    </row>
    <row r="705">
      <c r="A705" s="307"/>
      <c r="B705" s="296"/>
      <c r="C705" s="296"/>
      <c r="D705" s="296"/>
      <c r="E705" s="296"/>
      <c r="F705" s="296"/>
      <c r="G705" s="269"/>
      <c r="H705" s="269"/>
      <c r="I705" s="269"/>
      <c r="J705" s="269"/>
      <c r="K705" s="269"/>
      <c r="L705" s="269"/>
      <c r="M705" s="269"/>
      <c r="N705" s="269"/>
      <c r="O705" s="269"/>
      <c r="P705" s="269"/>
      <c r="Q705" s="269"/>
      <c r="R705" s="269"/>
      <c r="S705" s="269"/>
      <c r="T705" s="269"/>
    </row>
    <row r="706">
      <c r="A706" s="307"/>
      <c r="B706" s="304">
        <v>23.0</v>
      </c>
      <c r="C706" s="303">
        <v>24.0</v>
      </c>
      <c r="D706" s="304">
        <v>25.0</v>
      </c>
      <c r="E706" s="303">
        <v>26.0</v>
      </c>
      <c r="F706" s="304">
        <v>27.0</v>
      </c>
      <c r="G706" s="269"/>
      <c r="H706" s="269"/>
      <c r="I706" s="269"/>
      <c r="J706" s="269"/>
      <c r="K706" s="269"/>
      <c r="L706" s="269"/>
      <c r="M706" s="269"/>
      <c r="N706" s="269"/>
      <c r="O706" s="269"/>
      <c r="P706" s="269"/>
      <c r="Q706" s="269"/>
      <c r="R706" s="269"/>
      <c r="S706" s="269"/>
      <c r="T706" s="269"/>
    </row>
    <row r="707">
      <c r="A707" s="307"/>
      <c r="B707" s="291"/>
      <c r="C707" s="291"/>
      <c r="D707" s="290" t="s">
        <v>984</v>
      </c>
      <c r="E707" s="291"/>
      <c r="F707" s="291"/>
      <c r="G707" s="269"/>
      <c r="H707" s="269"/>
      <c r="I707" s="269"/>
      <c r="J707" s="269"/>
      <c r="K707" s="269"/>
      <c r="L707" s="269"/>
      <c r="M707" s="269"/>
      <c r="N707" s="269"/>
      <c r="O707" s="269"/>
      <c r="P707" s="269"/>
      <c r="Q707" s="269"/>
      <c r="R707" s="269"/>
      <c r="S707" s="269"/>
      <c r="T707" s="269"/>
    </row>
    <row r="708">
      <c r="A708" s="307"/>
      <c r="B708" s="293"/>
      <c r="C708" s="293"/>
      <c r="D708" s="292"/>
      <c r="E708" s="293"/>
      <c r="F708" s="293"/>
      <c r="G708" s="269"/>
      <c r="H708" s="269"/>
      <c r="I708" s="269"/>
      <c r="J708" s="269"/>
      <c r="K708" s="269"/>
      <c r="L708" s="269"/>
      <c r="M708" s="269"/>
      <c r="N708" s="269"/>
      <c r="O708" s="269"/>
      <c r="P708" s="269"/>
      <c r="Q708" s="269"/>
      <c r="R708" s="269"/>
      <c r="S708" s="269"/>
      <c r="T708" s="269"/>
    </row>
    <row r="709">
      <c r="A709" s="307"/>
      <c r="B709" s="293"/>
      <c r="C709" s="293"/>
      <c r="D709" s="292"/>
      <c r="E709" s="293"/>
      <c r="F709" s="293"/>
      <c r="G709" s="269"/>
      <c r="H709" s="269"/>
      <c r="I709" s="269"/>
      <c r="J709" s="269"/>
      <c r="K709" s="269"/>
      <c r="L709" s="269"/>
      <c r="M709" s="269"/>
      <c r="N709" s="269"/>
      <c r="O709" s="269"/>
      <c r="P709" s="269"/>
      <c r="Q709" s="269"/>
      <c r="R709" s="269"/>
      <c r="S709" s="269"/>
      <c r="T709" s="269"/>
    </row>
    <row r="710">
      <c r="A710" s="307"/>
      <c r="B710" s="293"/>
      <c r="C710" s="293"/>
      <c r="D710" s="292"/>
      <c r="E710" s="293"/>
      <c r="F710" s="293"/>
      <c r="G710" s="269"/>
      <c r="H710" s="269"/>
      <c r="I710" s="269"/>
      <c r="J710" s="269"/>
      <c r="K710" s="269"/>
      <c r="L710" s="269"/>
      <c r="M710" s="269"/>
      <c r="N710" s="269"/>
      <c r="O710" s="269"/>
      <c r="P710" s="269"/>
      <c r="Q710" s="269"/>
      <c r="R710" s="269"/>
      <c r="S710" s="269"/>
      <c r="T710" s="269"/>
    </row>
    <row r="711">
      <c r="A711" s="307"/>
      <c r="B711" s="293"/>
      <c r="C711" s="293"/>
      <c r="D711" s="292"/>
      <c r="E711" s="293"/>
      <c r="F711" s="293"/>
      <c r="G711" s="269"/>
      <c r="H711" s="269"/>
      <c r="I711" s="269"/>
      <c r="J711" s="269"/>
      <c r="K711" s="269"/>
      <c r="L711" s="269"/>
      <c r="M711" s="269"/>
      <c r="N711" s="269"/>
      <c r="O711" s="269"/>
      <c r="P711" s="269"/>
      <c r="Q711" s="269"/>
      <c r="R711" s="269"/>
      <c r="S711" s="269"/>
      <c r="T711" s="269"/>
    </row>
    <row r="712">
      <c r="A712" s="307"/>
      <c r="B712" s="293"/>
      <c r="C712" s="293"/>
      <c r="D712" s="292"/>
      <c r="E712" s="293"/>
      <c r="F712" s="293"/>
      <c r="G712" s="269"/>
      <c r="H712" s="269"/>
      <c r="I712" s="269"/>
      <c r="J712" s="269"/>
      <c r="K712" s="269"/>
      <c r="L712" s="269"/>
      <c r="M712" s="269"/>
      <c r="N712" s="269"/>
      <c r="O712" s="269"/>
      <c r="P712" s="269"/>
      <c r="Q712" s="269"/>
      <c r="R712" s="269"/>
      <c r="S712" s="269"/>
      <c r="T712" s="269"/>
    </row>
    <row r="713">
      <c r="A713" s="307"/>
      <c r="B713" s="293"/>
      <c r="C713" s="293"/>
      <c r="D713" s="292"/>
      <c r="E713" s="293"/>
      <c r="F713" s="294"/>
      <c r="G713" s="269"/>
      <c r="H713" s="269"/>
      <c r="I713" s="269"/>
      <c r="J713" s="269"/>
      <c r="K713" s="269"/>
      <c r="L713" s="269"/>
      <c r="M713" s="269"/>
      <c r="N713" s="269"/>
      <c r="O713" s="269"/>
      <c r="P713" s="269"/>
      <c r="Q713" s="269"/>
      <c r="R713" s="269"/>
      <c r="S713" s="269"/>
      <c r="T713" s="269"/>
    </row>
    <row r="714">
      <c r="A714" s="307"/>
      <c r="B714" s="294"/>
      <c r="C714" s="293"/>
      <c r="D714" s="292"/>
      <c r="E714" s="294"/>
      <c r="F714" s="294"/>
      <c r="G714" s="269"/>
      <c r="H714" s="269"/>
      <c r="I714" s="269"/>
      <c r="J714" s="269"/>
      <c r="K714" s="269"/>
      <c r="L714" s="269"/>
      <c r="M714" s="269"/>
      <c r="N714" s="269"/>
      <c r="O714" s="269"/>
      <c r="P714" s="269"/>
      <c r="Q714" s="269"/>
      <c r="R714" s="269"/>
      <c r="S714" s="269"/>
      <c r="T714" s="269"/>
    </row>
    <row r="715">
      <c r="A715" s="307"/>
      <c r="B715" s="294"/>
      <c r="C715" s="293"/>
      <c r="D715" s="292"/>
      <c r="E715" s="294"/>
      <c r="F715" s="294"/>
      <c r="G715" s="269"/>
      <c r="H715" s="269"/>
      <c r="I715" s="269"/>
      <c r="J715" s="269"/>
      <c r="K715" s="269"/>
      <c r="L715" s="269"/>
      <c r="M715" s="269"/>
      <c r="N715" s="269"/>
      <c r="O715" s="269"/>
      <c r="P715" s="269"/>
      <c r="Q715" s="269"/>
      <c r="R715" s="269"/>
      <c r="S715" s="269"/>
      <c r="T715" s="269"/>
    </row>
    <row r="716">
      <c r="A716" s="307"/>
      <c r="B716" s="296"/>
      <c r="C716" s="297"/>
      <c r="D716" s="77"/>
      <c r="E716" s="296"/>
      <c r="F716" s="296"/>
      <c r="G716" s="269"/>
      <c r="H716" s="269"/>
      <c r="I716" s="269"/>
      <c r="J716" s="269"/>
      <c r="K716" s="269"/>
      <c r="L716" s="269"/>
      <c r="M716" s="269"/>
      <c r="N716" s="269"/>
      <c r="O716" s="269"/>
      <c r="P716" s="269"/>
      <c r="Q716" s="269"/>
      <c r="R716" s="269"/>
      <c r="S716" s="269"/>
      <c r="T716" s="269"/>
    </row>
    <row r="717">
      <c r="A717" s="307"/>
      <c r="B717" s="304">
        <v>30.0</v>
      </c>
      <c r="C717" s="303">
        <v>31.0</v>
      </c>
      <c r="D717" s="304"/>
      <c r="E717" s="303"/>
      <c r="F717" s="304"/>
      <c r="G717" s="269"/>
      <c r="H717" s="269"/>
      <c r="I717" s="269"/>
      <c r="J717" s="269"/>
      <c r="K717" s="269"/>
      <c r="L717" s="269"/>
      <c r="M717" s="269"/>
      <c r="N717" s="269"/>
      <c r="O717" s="269"/>
      <c r="P717" s="269"/>
      <c r="Q717" s="269"/>
      <c r="R717" s="269"/>
      <c r="S717" s="269"/>
      <c r="T717" s="269"/>
    </row>
    <row r="718">
      <c r="A718" s="307"/>
      <c r="B718" s="291"/>
      <c r="C718" s="291"/>
      <c r="D718" s="299"/>
      <c r="E718" s="299"/>
      <c r="F718" s="299"/>
      <c r="G718" s="269"/>
      <c r="H718" s="269"/>
      <c r="I718" s="269"/>
      <c r="J718" s="269"/>
      <c r="K718" s="269"/>
      <c r="L718" s="269"/>
      <c r="M718" s="269"/>
      <c r="N718" s="269"/>
      <c r="O718" s="269"/>
      <c r="P718" s="269"/>
      <c r="Q718" s="269"/>
      <c r="R718" s="269"/>
      <c r="S718" s="269"/>
      <c r="T718" s="269"/>
    </row>
    <row r="719">
      <c r="A719" s="307"/>
      <c r="B719" s="293"/>
      <c r="C719" s="293"/>
      <c r="D719" s="292"/>
      <c r="E719" s="292"/>
      <c r="F719" s="292"/>
      <c r="G719" s="269"/>
      <c r="H719" s="269"/>
      <c r="I719" s="269"/>
      <c r="J719" s="269"/>
      <c r="K719" s="269"/>
      <c r="L719" s="269"/>
      <c r="M719" s="269"/>
      <c r="N719" s="269"/>
      <c r="O719" s="269"/>
      <c r="P719" s="269"/>
      <c r="Q719" s="269"/>
      <c r="R719" s="269"/>
      <c r="S719" s="269"/>
      <c r="T719" s="269"/>
    </row>
    <row r="720">
      <c r="A720" s="307"/>
      <c r="B720" s="293"/>
      <c r="C720" s="293"/>
      <c r="D720" s="292"/>
      <c r="E720" s="292"/>
      <c r="F720" s="292"/>
      <c r="G720" s="269"/>
      <c r="H720" s="269"/>
      <c r="I720" s="269"/>
      <c r="J720" s="269"/>
      <c r="K720" s="269"/>
      <c r="L720" s="269"/>
      <c r="M720" s="269"/>
      <c r="N720" s="269"/>
      <c r="O720" s="269"/>
      <c r="P720" s="269"/>
      <c r="Q720" s="269"/>
      <c r="R720" s="269"/>
      <c r="S720" s="269"/>
      <c r="T720" s="269"/>
    </row>
    <row r="721">
      <c r="A721" s="307"/>
      <c r="B721" s="293"/>
      <c r="C721" s="293"/>
      <c r="D721" s="292"/>
      <c r="E721" s="292"/>
      <c r="F721" s="292"/>
      <c r="G721" s="269"/>
      <c r="H721" s="269"/>
      <c r="I721" s="269"/>
      <c r="J721" s="269"/>
      <c r="K721" s="269"/>
      <c r="L721" s="269"/>
      <c r="M721" s="269"/>
      <c r="N721" s="269"/>
      <c r="O721" s="269"/>
      <c r="P721" s="269"/>
      <c r="Q721" s="269"/>
      <c r="R721" s="269"/>
      <c r="S721" s="269"/>
      <c r="T721" s="269"/>
    </row>
    <row r="722">
      <c r="A722" s="307"/>
      <c r="B722" s="293"/>
      <c r="C722" s="293"/>
      <c r="D722" s="292"/>
      <c r="E722" s="292"/>
      <c r="F722" s="292"/>
      <c r="G722" s="269"/>
      <c r="H722" s="269"/>
      <c r="I722" s="269"/>
      <c r="J722" s="269"/>
      <c r="K722" s="269"/>
      <c r="L722" s="269"/>
      <c r="M722" s="269"/>
      <c r="N722" s="269"/>
      <c r="O722" s="269"/>
      <c r="P722" s="269"/>
      <c r="Q722" s="269"/>
      <c r="R722" s="269"/>
      <c r="S722" s="269"/>
      <c r="T722" s="269"/>
    </row>
    <row r="723">
      <c r="A723" s="307"/>
      <c r="B723" s="293"/>
      <c r="C723" s="293"/>
      <c r="D723" s="292"/>
      <c r="E723" s="292"/>
      <c r="F723" s="292"/>
      <c r="G723" s="269"/>
      <c r="H723" s="269"/>
      <c r="I723" s="269"/>
      <c r="J723" s="269"/>
      <c r="K723" s="269"/>
      <c r="L723" s="269"/>
      <c r="M723" s="269"/>
      <c r="N723" s="269"/>
      <c r="O723" s="269"/>
      <c r="P723" s="269"/>
      <c r="Q723" s="269"/>
      <c r="R723" s="269"/>
      <c r="S723" s="269"/>
      <c r="T723" s="269"/>
    </row>
    <row r="724">
      <c r="A724" s="307"/>
      <c r="B724" s="293"/>
      <c r="C724" s="293"/>
      <c r="D724" s="292"/>
      <c r="E724" s="292"/>
      <c r="F724" s="292"/>
      <c r="G724" s="269"/>
      <c r="H724" s="269"/>
      <c r="I724" s="269"/>
      <c r="J724" s="269"/>
      <c r="K724" s="269"/>
      <c r="L724" s="269"/>
      <c r="M724" s="269"/>
      <c r="N724" s="269"/>
      <c r="O724" s="269"/>
      <c r="P724" s="269"/>
      <c r="Q724" s="269"/>
      <c r="R724" s="269"/>
      <c r="S724" s="269"/>
      <c r="T724" s="269"/>
    </row>
    <row r="725">
      <c r="A725" s="307"/>
      <c r="B725" s="294"/>
      <c r="C725" s="294"/>
      <c r="D725" s="292"/>
      <c r="E725" s="292"/>
      <c r="F725" s="292"/>
      <c r="G725" s="269"/>
      <c r="H725" s="269"/>
      <c r="I725" s="269"/>
      <c r="J725" s="269"/>
      <c r="K725" s="269"/>
      <c r="L725" s="269"/>
      <c r="M725" s="269"/>
      <c r="N725" s="269"/>
      <c r="O725" s="269"/>
      <c r="P725" s="269"/>
      <c r="Q725" s="269"/>
      <c r="R725" s="269"/>
      <c r="S725" s="269"/>
      <c r="T725" s="269"/>
    </row>
    <row r="726">
      <c r="A726" s="307"/>
      <c r="B726" s="294"/>
      <c r="C726" s="294"/>
      <c r="D726" s="292"/>
      <c r="E726" s="292"/>
      <c r="F726" s="292"/>
      <c r="G726" s="269"/>
      <c r="H726" s="269"/>
      <c r="I726" s="269"/>
      <c r="J726" s="269"/>
      <c r="K726" s="269"/>
      <c r="L726" s="269"/>
      <c r="M726" s="269"/>
      <c r="N726" s="269"/>
      <c r="O726" s="269"/>
      <c r="P726" s="269"/>
      <c r="Q726" s="269"/>
      <c r="R726" s="269"/>
      <c r="S726" s="269"/>
      <c r="T726" s="269"/>
    </row>
    <row r="727">
      <c r="A727" s="307"/>
      <c r="B727" s="296"/>
      <c r="C727" s="296"/>
      <c r="D727" s="77"/>
      <c r="E727" s="77"/>
      <c r="F727" s="77"/>
      <c r="G727" s="269"/>
      <c r="H727" s="269"/>
      <c r="I727" s="269"/>
      <c r="J727" s="269"/>
      <c r="K727" s="269"/>
      <c r="L727" s="269"/>
      <c r="M727" s="269"/>
      <c r="N727" s="269"/>
      <c r="O727" s="269"/>
      <c r="P727" s="269"/>
      <c r="Q727" s="269"/>
      <c r="R727" s="269"/>
      <c r="S727" s="269"/>
      <c r="T727" s="269"/>
    </row>
    <row r="728">
      <c r="A728" s="307"/>
      <c r="B728" s="269"/>
      <c r="C728" s="269"/>
      <c r="D728" s="269"/>
      <c r="E728" s="269"/>
      <c r="F728" s="269"/>
      <c r="G728" s="269"/>
      <c r="H728" s="269"/>
      <c r="I728" s="269"/>
      <c r="J728" s="269"/>
      <c r="K728" s="269"/>
      <c r="L728" s="269"/>
      <c r="M728" s="269"/>
      <c r="N728" s="269"/>
      <c r="O728" s="269"/>
      <c r="P728" s="269"/>
      <c r="Q728" s="269"/>
      <c r="R728" s="269"/>
      <c r="S728" s="269"/>
      <c r="T728" s="269"/>
    </row>
    <row r="729">
      <c r="A729" s="307"/>
      <c r="B729" s="269"/>
      <c r="C729" s="269"/>
      <c r="D729" s="269"/>
      <c r="E729" s="269"/>
      <c r="F729" s="269"/>
      <c r="G729" s="269"/>
      <c r="H729" s="269"/>
      <c r="I729" s="269"/>
      <c r="J729" s="269"/>
      <c r="K729" s="269"/>
      <c r="L729" s="269"/>
      <c r="M729" s="269"/>
      <c r="N729" s="269"/>
      <c r="O729" s="269"/>
      <c r="P729" s="269"/>
      <c r="Q729" s="269"/>
      <c r="R729" s="269"/>
      <c r="S729" s="269"/>
      <c r="T729" s="269"/>
    </row>
    <row r="730">
      <c r="A730" s="307"/>
      <c r="B730" s="269"/>
      <c r="C730" s="269"/>
      <c r="D730" s="269"/>
      <c r="E730" s="269"/>
      <c r="F730" s="269"/>
      <c r="G730" s="269"/>
      <c r="H730" s="269"/>
      <c r="I730" s="269"/>
      <c r="J730" s="269"/>
      <c r="K730" s="269"/>
      <c r="L730" s="269"/>
      <c r="M730" s="269"/>
      <c r="N730" s="269"/>
      <c r="O730" s="269"/>
      <c r="P730" s="269"/>
      <c r="Q730" s="269"/>
      <c r="R730" s="269"/>
      <c r="S730" s="269"/>
      <c r="T730" s="269"/>
    </row>
    <row r="731">
      <c r="A731" s="307"/>
      <c r="B731" s="269"/>
      <c r="C731" s="269"/>
      <c r="D731" s="269"/>
      <c r="E731" s="269"/>
      <c r="F731" s="269"/>
      <c r="G731" s="269"/>
      <c r="H731" s="269"/>
      <c r="I731" s="269"/>
      <c r="J731" s="269"/>
      <c r="K731" s="269"/>
      <c r="L731" s="269"/>
      <c r="M731" s="269"/>
      <c r="N731" s="269"/>
      <c r="O731" s="269"/>
      <c r="P731" s="269"/>
      <c r="Q731" s="269"/>
      <c r="R731" s="269"/>
      <c r="S731" s="269"/>
      <c r="T731" s="269"/>
    </row>
    <row r="732">
      <c r="A732" s="307"/>
      <c r="B732" s="269"/>
      <c r="C732" s="269"/>
      <c r="D732" s="269"/>
      <c r="E732" s="269"/>
      <c r="F732" s="269"/>
      <c r="G732" s="269"/>
      <c r="H732" s="269"/>
      <c r="I732" s="269"/>
      <c r="J732" s="269"/>
      <c r="K732" s="269"/>
      <c r="L732" s="269"/>
      <c r="M732" s="269"/>
      <c r="N732" s="269"/>
      <c r="O732" s="269"/>
      <c r="P732" s="269"/>
      <c r="Q732" s="269"/>
      <c r="R732" s="269"/>
      <c r="S732" s="269"/>
      <c r="T732" s="269"/>
    </row>
    <row r="733">
      <c r="A733" s="307"/>
      <c r="B733" s="269"/>
      <c r="C733" s="269"/>
      <c r="D733" s="269"/>
      <c r="E733" s="269"/>
      <c r="F733" s="269"/>
      <c r="G733" s="269"/>
      <c r="H733" s="269"/>
      <c r="I733" s="269"/>
      <c r="J733" s="269"/>
      <c r="K733" s="269"/>
      <c r="L733" s="269"/>
      <c r="M733" s="269"/>
      <c r="N733" s="269"/>
      <c r="O733" s="269"/>
      <c r="P733" s="269"/>
      <c r="Q733" s="269"/>
      <c r="R733" s="269"/>
      <c r="S733" s="269"/>
      <c r="T733" s="269"/>
    </row>
    <row r="734">
      <c r="A734" s="307"/>
      <c r="B734" s="269"/>
      <c r="C734" s="269"/>
      <c r="D734" s="269"/>
      <c r="E734" s="269"/>
      <c r="F734" s="269"/>
      <c r="G734" s="269"/>
      <c r="H734" s="269"/>
      <c r="I734" s="269"/>
      <c r="J734" s="269"/>
      <c r="K734" s="269"/>
      <c r="L734" s="269"/>
      <c r="M734" s="269"/>
      <c r="N734" s="269"/>
      <c r="O734" s="269"/>
      <c r="P734" s="269"/>
      <c r="Q734" s="269"/>
      <c r="R734" s="269"/>
      <c r="S734" s="269"/>
      <c r="T734" s="269"/>
    </row>
    <row r="735">
      <c r="A735" s="307"/>
      <c r="B735" s="269"/>
      <c r="C735" s="269"/>
      <c r="D735" s="269"/>
      <c r="E735" s="269"/>
      <c r="F735" s="269"/>
      <c r="G735" s="269"/>
      <c r="H735" s="269"/>
      <c r="I735" s="269"/>
      <c r="J735" s="269"/>
      <c r="K735" s="269"/>
      <c r="L735" s="269"/>
      <c r="M735" s="269"/>
      <c r="N735" s="269"/>
      <c r="O735" s="269"/>
      <c r="P735" s="269"/>
      <c r="Q735" s="269"/>
      <c r="R735" s="269"/>
      <c r="S735" s="269"/>
      <c r="T735" s="269"/>
    </row>
    <row r="736">
      <c r="A736" s="307"/>
      <c r="B736" s="269"/>
      <c r="C736" s="269"/>
      <c r="D736" s="269"/>
      <c r="E736" s="269"/>
      <c r="F736" s="269"/>
      <c r="G736" s="269"/>
      <c r="H736" s="269"/>
      <c r="I736" s="269"/>
      <c r="J736" s="269"/>
      <c r="K736" s="269"/>
      <c r="L736" s="269"/>
      <c r="M736" s="269"/>
      <c r="N736" s="269"/>
      <c r="O736" s="269"/>
      <c r="P736" s="269"/>
      <c r="Q736" s="269"/>
      <c r="R736" s="269"/>
      <c r="S736" s="269"/>
      <c r="T736" s="269"/>
    </row>
    <row r="737">
      <c r="A737" s="307"/>
      <c r="B737" s="269"/>
      <c r="C737" s="269"/>
      <c r="D737" s="269"/>
      <c r="E737" s="269"/>
      <c r="F737" s="269"/>
      <c r="G737" s="269"/>
      <c r="H737" s="269"/>
      <c r="I737" s="269"/>
      <c r="J737" s="269"/>
      <c r="K737" s="269"/>
      <c r="L737" s="269"/>
      <c r="M737" s="269"/>
      <c r="N737" s="269"/>
      <c r="O737" s="269"/>
      <c r="P737" s="269"/>
      <c r="Q737" s="269"/>
      <c r="R737" s="269"/>
      <c r="S737" s="269"/>
      <c r="T737" s="269"/>
    </row>
    <row r="738">
      <c r="A738" s="307"/>
      <c r="B738" s="269"/>
      <c r="C738" s="269"/>
      <c r="D738" s="269"/>
      <c r="E738" s="269"/>
      <c r="F738" s="269"/>
      <c r="G738" s="269"/>
      <c r="H738" s="269"/>
      <c r="I738" s="269"/>
      <c r="J738" s="269"/>
      <c r="K738" s="269"/>
      <c r="L738" s="269"/>
      <c r="M738" s="269"/>
      <c r="N738" s="269"/>
      <c r="O738" s="269"/>
      <c r="P738" s="269"/>
      <c r="Q738" s="269"/>
      <c r="R738" s="269"/>
      <c r="S738" s="269"/>
      <c r="T738" s="269"/>
    </row>
    <row r="739">
      <c r="A739" s="307"/>
      <c r="B739" s="269"/>
      <c r="C739" s="269"/>
      <c r="D739" s="269"/>
      <c r="E739" s="269"/>
      <c r="F739" s="269"/>
      <c r="G739" s="269"/>
      <c r="H739" s="269"/>
      <c r="I739" s="269"/>
      <c r="J739" s="269"/>
      <c r="K739" s="269"/>
      <c r="L739" s="269"/>
      <c r="M739" s="269"/>
      <c r="N739" s="269"/>
      <c r="O739" s="269"/>
      <c r="P739" s="269"/>
      <c r="Q739" s="269"/>
      <c r="R739" s="269"/>
      <c r="S739" s="269"/>
      <c r="T739" s="269"/>
    </row>
    <row r="740">
      <c r="A740" s="307"/>
      <c r="B740" s="269"/>
      <c r="C740" s="269"/>
      <c r="D740" s="269"/>
      <c r="E740" s="269"/>
      <c r="F740" s="269"/>
      <c r="G740" s="269"/>
      <c r="H740" s="269"/>
      <c r="I740" s="269"/>
      <c r="J740" s="269"/>
      <c r="K740" s="269"/>
      <c r="L740" s="269"/>
      <c r="M740" s="269"/>
      <c r="N740" s="269"/>
      <c r="O740" s="269"/>
      <c r="P740" s="269"/>
      <c r="Q740" s="269"/>
      <c r="R740" s="269"/>
      <c r="S740" s="269"/>
      <c r="T740" s="269"/>
    </row>
    <row r="741">
      <c r="A741" s="307"/>
      <c r="B741" s="269"/>
      <c r="C741" s="269"/>
      <c r="D741" s="269"/>
      <c r="E741" s="269"/>
      <c r="F741" s="269"/>
      <c r="G741" s="269"/>
      <c r="H741" s="269"/>
      <c r="I741" s="269"/>
      <c r="J741" s="269"/>
      <c r="K741" s="269"/>
      <c r="L741" s="269"/>
      <c r="M741" s="269"/>
      <c r="N741" s="269"/>
      <c r="O741" s="269"/>
      <c r="P741" s="269"/>
      <c r="Q741" s="269"/>
      <c r="R741" s="269"/>
      <c r="S741" s="269"/>
      <c r="T741" s="269"/>
    </row>
    <row r="742">
      <c r="A742" s="307"/>
      <c r="B742" s="269"/>
      <c r="C742" s="269"/>
      <c r="D742" s="269"/>
      <c r="E742" s="269"/>
      <c r="F742" s="269"/>
      <c r="G742" s="269"/>
      <c r="H742" s="269"/>
      <c r="I742" s="269"/>
      <c r="J742" s="269"/>
      <c r="K742" s="269"/>
      <c r="L742" s="269"/>
      <c r="M742" s="269"/>
      <c r="N742" s="269"/>
      <c r="O742" s="269"/>
      <c r="P742" s="269"/>
      <c r="Q742" s="269"/>
      <c r="R742" s="269"/>
      <c r="S742" s="269"/>
      <c r="T742" s="269"/>
    </row>
    <row r="743">
      <c r="A743" s="307"/>
      <c r="B743" s="269"/>
      <c r="C743" s="269"/>
      <c r="D743" s="269"/>
      <c r="E743" s="269"/>
      <c r="F743" s="269"/>
      <c r="G743" s="269"/>
      <c r="H743" s="269"/>
      <c r="I743" s="269"/>
      <c r="J743" s="269"/>
      <c r="K743" s="269"/>
      <c r="L743" s="269"/>
      <c r="M743" s="269"/>
      <c r="N743" s="269"/>
      <c r="O743" s="269"/>
      <c r="P743" s="269"/>
      <c r="Q743" s="269"/>
      <c r="R743" s="269"/>
      <c r="S743" s="269"/>
      <c r="T743" s="269"/>
    </row>
    <row r="744">
      <c r="A744" s="307"/>
      <c r="B744" s="269"/>
      <c r="C744" s="269"/>
      <c r="D744" s="269"/>
      <c r="E744" s="269"/>
      <c r="F744" s="269"/>
      <c r="G744" s="269"/>
      <c r="H744" s="269"/>
      <c r="I744" s="269"/>
      <c r="J744" s="269"/>
      <c r="K744" s="269"/>
      <c r="L744" s="269"/>
      <c r="M744" s="269"/>
      <c r="N744" s="269"/>
      <c r="O744" s="269"/>
      <c r="P744" s="269"/>
      <c r="Q744" s="269"/>
      <c r="R744" s="269"/>
      <c r="S744" s="269"/>
      <c r="T744" s="269"/>
    </row>
    <row r="745">
      <c r="A745" s="307"/>
      <c r="B745" s="269"/>
      <c r="C745" s="269"/>
      <c r="D745" s="269"/>
      <c r="E745" s="269"/>
      <c r="F745" s="269"/>
      <c r="G745" s="269"/>
      <c r="H745" s="269"/>
      <c r="I745" s="269"/>
      <c r="J745" s="269"/>
      <c r="K745" s="269"/>
      <c r="L745" s="269"/>
      <c r="M745" s="269"/>
      <c r="N745" s="269"/>
      <c r="O745" s="269"/>
      <c r="P745" s="269"/>
      <c r="Q745" s="269"/>
      <c r="R745" s="269"/>
      <c r="S745" s="269"/>
      <c r="T745" s="269"/>
    </row>
    <row r="746">
      <c r="A746" s="307"/>
      <c r="B746" s="269"/>
      <c r="C746" s="269"/>
      <c r="D746" s="269"/>
      <c r="E746" s="269"/>
      <c r="F746" s="269"/>
      <c r="G746" s="269"/>
      <c r="H746" s="269"/>
      <c r="I746" s="269"/>
      <c r="J746" s="269"/>
      <c r="K746" s="269"/>
      <c r="L746" s="269"/>
      <c r="M746" s="269"/>
      <c r="N746" s="269"/>
      <c r="O746" s="269"/>
      <c r="P746" s="269"/>
      <c r="Q746" s="269"/>
      <c r="R746" s="269"/>
      <c r="S746" s="269"/>
      <c r="T746" s="269"/>
    </row>
    <row r="747">
      <c r="A747" s="307"/>
      <c r="B747" s="269"/>
      <c r="C747" s="269"/>
      <c r="D747" s="269"/>
      <c r="E747" s="269"/>
      <c r="F747" s="269"/>
      <c r="G747" s="269"/>
      <c r="H747" s="269"/>
      <c r="I747" s="269"/>
      <c r="J747" s="269"/>
      <c r="K747" s="269"/>
      <c r="L747" s="269"/>
      <c r="M747" s="269"/>
      <c r="N747" s="269"/>
      <c r="O747" s="269"/>
      <c r="P747" s="269"/>
      <c r="Q747" s="269"/>
      <c r="R747" s="269"/>
      <c r="S747" s="269"/>
      <c r="T747" s="269"/>
    </row>
    <row r="748">
      <c r="A748" s="307"/>
      <c r="B748" s="269"/>
      <c r="C748" s="269"/>
      <c r="D748" s="269"/>
      <c r="E748" s="269"/>
      <c r="F748" s="269"/>
      <c r="G748" s="269"/>
      <c r="H748" s="269"/>
      <c r="I748" s="269"/>
      <c r="J748" s="269"/>
      <c r="K748" s="269"/>
      <c r="L748" s="269"/>
      <c r="M748" s="269"/>
      <c r="N748" s="269"/>
      <c r="O748" s="269"/>
      <c r="P748" s="269"/>
      <c r="Q748" s="269"/>
      <c r="R748" s="269"/>
      <c r="S748" s="269"/>
      <c r="T748" s="269"/>
    </row>
    <row r="749">
      <c r="A749" s="307"/>
      <c r="B749" s="269"/>
      <c r="C749" s="269"/>
      <c r="D749" s="269"/>
      <c r="E749" s="269"/>
      <c r="F749" s="269"/>
      <c r="G749" s="269"/>
      <c r="H749" s="269"/>
      <c r="I749" s="269"/>
      <c r="J749" s="269"/>
      <c r="K749" s="269"/>
      <c r="L749" s="269"/>
      <c r="M749" s="269"/>
      <c r="N749" s="269"/>
      <c r="O749" s="269"/>
      <c r="P749" s="269"/>
      <c r="Q749" s="269"/>
      <c r="R749" s="269"/>
      <c r="S749" s="269"/>
      <c r="T749" s="269"/>
    </row>
    <row r="750">
      <c r="A750" s="307"/>
      <c r="B750" s="269"/>
      <c r="C750" s="269"/>
      <c r="D750" s="269"/>
      <c r="E750" s="269"/>
      <c r="F750" s="269"/>
      <c r="G750" s="269"/>
      <c r="H750" s="269"/>
      <c r="I750" s="269"/>
      <c r="J750" s="269"/>
      <c r="K750" s="269"/>
      <c r="L750" s="269"/>
      <c r="M750" s="269"/>
      <c r="N750" s="269"/>
      <c r="O750" s="269"/>
      <c r="P750" s="269"/>
      <c r="Q750" s="269"/>
      <c r="R750" s="269"/>
      <c r="S750" s="269"/>
      <c r="T750" s="269"/>
    </row>
    <row r="751">
      <c r="A751" s="307"/>
      <c r="B751" s="269"/>
      <c r="C751" s="269"/>
      <c r="D751" s="269"/>
      <c r="E751" s="269"/>
      <c r="F751" s="269"/>
      <c r="G751" s="269"/>
      <c r="H751" s="269"/>
      <c r="I751" s="269"/>
      <c r="J751" s="269"/>
      <c r="K751" s="269"/>
      <c r="L751" s="269"/>
      <c r="M751" s="269"/>
      <c r="N751" s="269"/>
      <c r="O751" s="269"/>
      <c r="P751" s="269"/>
      <c r="Q751" s="269"/>
      <c r="R751" s="269"/>
      <c r="S751" s="269"/>
      <c r="T751" s="269"/>
    </row>
    <row r="752">
      <c r="A752" s="307"/>
      <c r="B752" s="269"/>
      <c r="C752" s="269"/>
      <c r="D752" s="269"/>
      <c r="E752" s="269"/>
      <c r="F752" s="269"/>
      <c r="G752" s="269"/>
      <c r="H752" s="269"/>
      <c r="I752" s="269"/>
      <c r="J752" s="269"/>
      <c r="K752" s="269"/>
      <c r="L752" s="269"/>
      <c r="M752" s="269"/>
      <c r="N752" s="269"/>
      <c r="O752" s="269"/>
      <c r="P752" s="269"/>
      <c r="Q752" s="269"/>
      <c r="R752" s="269"/>
      <c r="S752" s="269"/>
      <c r="T752" s="269"/>
    </row>
    <row r="753">
      <c r="A753" s="307"/>
      <c r="B753" s="269"/>
      <c r="C753" s="269"/>
      <c r="D753" s="269"/>
      <c r="E753" s="269"/>
      <c r="F753" s="269"/>
      <c r="G753" s="269"/>
      <c r="H753" s="269"/>
      <c r="I753" s="269"/>
      <c r="J753" s="269"/>
      <c r="K753" s="269"/>
      <c r="L753" s="269"/>
      <c r="M753" s="269"/>
      <c r="N753" s="269"/>
      <c r="O753" s="269"/>
      <c r="P753" s="269"/>
      <c r="Q753" s="269"/>
      <c r="R753" s="269"/>
      <c r="S753" s="269"/>
      <c r="T753" s="269"/>
    </row>
    <row r="754">
      <c r="A754" s="307"/>
      <c r="B754" s="269"/>
      <c r="C754" s="269"/>
      <c r="D754" s="269"/>
      <c r="E754" s="269"/>
      <c r="F754" s="269"/>
      <c r="G754" s="269"/>
      <c r="H754" s="269"/>
      <c r="I754" s="269"/>
      <c r="J754" s="269"/>
      <c r="K754" s="269"/>
      <c r="L754" s="269"/>
      <c r="M754" s="269"/>
      <c r="N754" s="269"/>
      <c r="O754" s="269"/>
      <c r="P754" s="269"/>
      <c r="Q754" s="269"/>
      <c r="R754" s="269"/>
      <c r="S754" s="269"/>
      <c r="T754" s="269"/>
    </row>
    <row r="755">
      <c r="A755" s="307"/>
      <c r="B755" s="269"/>
      <c r="C755" s="269"/>
      <c r="D755" s="269"/>
      <c r="E755" s="269"/>
      <c r="F755" s="269"/>
      <c r="G755" s="269"/>
      <c r="H755" s="269"/>
      <c r="I755" s="269"/>
      <c r="J755" s="269"/>
      <c r="K755" s="269"/>
      <c r="L755" s="269"/>
      <c r="M755" s="269"/>
      <c r="N755" s="269"/>
      <c r="O755" s="269"/>
      <c r="P755" s="269"/>
      <c r="Q755" s="269"/>
      <c r="R755" s="269"/>
      <c r="S755" s="269"/>
      <c r="T755" s="269"/>
    </row>
    <row r="756">
      <c r="A756" s="307"/>
      <c r="B756" s="269"/>
      <c r="C756" s="269"/>
      <c r="D756" s="269"/>
      <c r="E756" s="269"/>
      <c r="F756" s="269"/>
      <c r="G756" s="269"/>
      <c r="H756" s="269"/>
      <c r="I756" s="269"/>
      <c r="J756" s="269"/>
      <c r="K756" s="269"/>
      <c r="L756" s="269"/>
      <c r="M756" s="269"/>
      <c r="N756" s="269"/>
      <c r="O756" s="269"/>
      <c r="P756" s="269"/>
      <c r="Q756" s="269"/>
      <c r="R756" s="269"/>
      <c r="S756" s="269"/>
      <c r="T756" s="269"/>
    </row>
    <row r="757">
      <c r="A757" s="307"/>
      <c r="B757" s="269"/>
      <c r="C757" s="269"/>
      <c r="D757" s="269"/>
      <c r="E757" s="269"/>
      <c r="F757" s="269"/>
      <c r="G757" s="269"/>
      <c r="H757" s="269"/>
      <c r="I757" s="269"/>
      <c r="J757" s="269"/>
      <c r="K757" s="269"/>
      <c r="L757" s="269"/>
      <c r="M757" s="269"/>
      <c r="N757" s="269"/>
      <c r="O757" s="269"/>
      <c r="P757" s="269"/>
      <c r="Q757" s="269"/>
      <c r="R757" s="269"/>
      <c r="S757" s="269"/>
      <c r="T757" s="269"/>
    </row>
    <row r="758">
      <c r="A758" s="307"/>
      <c r="B758" s="269"/>
      <c r="C758" s="269"/>
      <c r="D758" s="269"/>
      <c r="E758" s="269"/>
      <c r="F758" s="269"/>
      <c r="G758" s="269"/>
      <c r="H758" s="269"/>
      <c r="I758" s="269"/>
      <c r="J758" s="269"/>
      <c r="K758" s="269"/>
      <c r="L758" s="269"/>
      <c r="M758" s="269"/>
      <c r="N758" s="269"/>
      <c r="O758" s="269"/>
      <c r="P758" s="269"/>
      <c r="Q758" s="269"/>
      <c r="R758" s="269"/>
      <c r="S758" s="269"/>
      <c r="T758" s="269"/>
    </row>
    <row r="759">
      <c r="A759" s="307"/>
      <c r="B759" s="269"/>
      <c r="C759" s="269"/>
      <c r="D759" s="269"/>
      <c r="E759" s="269"/>
      <c r="F759" s="269"/>
      <c r="G759" s="269"/>
      <c r="H759" s="269"/>
      <c r="I759" s="269"/>
      <c r="J759" s="269"/>
      <c r="K759" s="269"/>
      <c r="L759" s="269"/>
      <c r="M759" s="269"/>
      <c r="N759" s="269"/>
      <c r="O759" s="269"/>
      <c r="P759" s="269"/>
      <c r="Q759" s="269"/>
      <c r="R759" s="269"/>
      <c r="S759" s="269"/>
      <c r="T759" s="269"/>
    </row>
    <row r="760">
      <c r="A760" s="307"/>
      <c r="B760" s="269"/>
      <c r="C760" s="269"/>
      <c r="D760" s="269"/>
      <c r="E760" s="269"/>
      <c r="F760" s="269"/>
      <c r="G760" s="269"/>
      <c r="H760" s="269"/>
      <c r="I760" s="269"/>
      <c r="J760" s="269"/>
      <c r="K760" s="269"/>
      <c r="L760" s="269"/>
      <c r="M760" s="269"/>
      <c r="N760" s="269"/>
      <c r="O760" s="269"/>
      <c r="P760" s="269"/>
      <c r="Q760" s="269"/>
      <c r="R760" s="269"/>
      <c r="S760" s="269"/>
      <c r="T760" s="269"/>
    </row>
    <row r="761">
      <c r="A761" s="307"/>
      <c r="B761" s="269"/>
      <c r="C761" s="269"/>
      <c r="D761" s="269"/>
      <c r="E761" s="269"/>
      <c r="F761" s="269"/>
      <c r="G761" s="269"/>
      <c r="H761" s="269"/>
      <c r="I761" s="269"/>
      <c r="J761" s="269"/>
      <c r="K761" s="269"/>
      <c r="L761" s="269"/>
      <c r="M761" s="269"/>
      <c r="N761" s="269"/>
      <c r="O761" s="269"/>
      <c r="P761" s="269"/>
      <c r="Q761" s="269"/>
      <c r="R761" s="269"/>
      <c r="S761" s="269"/>
      <c r="T761" s="269"/>
    </row>
    <row r="762">
      <c r="A762" s="307"/>
      <c r="B762" s="269"/>
      <c r="C762" s="269"/>
      <c r="D762" s="269"/>
      <c r="E762" s="269"/>
      <c r="F762" s="269"/>
      <c r="G762" s="269"/>
      <c r="H762" s="269"/>
      <c r="I762" s="269"/>
      <c r="J762" s="269"/>
      <c r="K762" s="269"/>
      <c r="L762" s="269"/>
      <c r="M762" s="269"/>
      <c r="N762" s="269"/>
      <c r="O762" s="269"/>
      <c r="P762" s="269"/>
      <c r="Q762" s="269"/>
      <c r="R762" s="269"/>
      <c r="S762" s="269"/>
      <c r="T762" s="269"/>
    </row>
    <row r="763">
      <c r="A763" s="307"/>
      <c r="B763" s="269"/>
      <c r="C763" s="269"/>
      <c r="D763" s="269"/>
      <c r="E763" s="269"/>
      <c r="F763" s="269"/>
      <c r="G763" s="269"/>
      <c r="H763" s="269"/>
      <c r="I763" s="269"/>
      <c r="J763" s="269"/>
      <c r="K763" s="269"/>
      <c r="L763" s="269"/>
      <c r="M763" s="269"/>
      <c r="N763" s="269"/>
      <c r="O763" s="269"/>
      <c r="P763" s="269"/>
      <c r="Q763" s="269"/>
      <c r="R763" s="269"/>
      <c r="S763" s="269"/>
      <c r="T763" s="269"/>
    </row>
    <row r="764">
      <c r="A764" s="307"/>
      <c r="B764" s="269"/>
      <c r="C764" s="269"/>
      <c r="D764" s="269"/>
      <c r="E764" s="269"/>
      <c r="F764" s="269"/>
      <c r="G764" s="269"/>
      <c r="H764" s="269"/>
      <c r="I764" s="269"/>
      <c r="J764" s="269"/>
      <c r="K764" s="269"/>
      <c r="L764" s="269"/>
      <c r="M764" s="269"/>
      <c r="N764" s="269"/>
      <c r="O764" s="269"/>
      <c r="P764" s="269"/>
      <c r="Q764" s="269"/>
      <c r="R764" s="269"/>
      <c r="S764" s="269"/>
      <c r="T764" s="269"/>
    </row>
    <row r="765">
      <c r="A765" s="307"/>
      <c r="B765" s="269"/>
      <c r="C765" s="269"/>
      <c r="D765" s="269"/>
      <c r="E765" s="269"/>
      <c r="F765" s="269"/>
      <c r="G765" s="269"/>
      <c r="H765" s="269"/>
      <c r="I765" s="269"/>
      <c r="J765" s="269"/>
      <c r="K765" s="269"/>
      <c r="L765" s="269"/>
      <c r="M765" s="269"/>
      <c r="N765" s="269"/>
      <c r="O765" s="269"/>
      <c r="P765" s="269"/>
      <c r="Q765" s="269"/>
      <c r="R765" s="269"/>
      <c r="S765" s="269"/>
      <c r="T765" s="269"/>
    </row>
    <row r="766">
      <c r="A766" s="307"/>
      <c r="B766" s="269"/>
      <c r="C766" s="269"/>
      <c r="D766" s="269"/>
      <c r="E766" s="269"/>
      <c r="F766" s="269"/>
      <c r="G766" s="269"/>
      <c r="H766" s="269"/>
      <c r="I766" s="269"/>
      <c r="J766" s="269"/>
      <c r="K766" s="269"/>
      <c r="L766" s="269"/>
      <c r="M766" s="269"/>
      <c r="N766" s="269"/>
      <c r="O766" s="269"/>
      <c r="P766" s="269"/>
      <c r="Q766" s="269"/>
      <c r="R766" s="269"/>
      <c r="S766" s="269"/>
      <c r="T766" s="269"/>
    </row>
    <row r="767">
      <c r="A767" s="307"/>
      <c r="B767" s="269"/>
      <c r="C767" s="269"/>
      <c r="D767" s="269"/>
      <c r="E767" s="269"/>
      <c r="F767" s="269"/>
      <c r="G767" s="269"/>
      <c r="H767" s="269"/>
      <c r="I767" s="269"/>
      <c r="J767" s="269"/>
      <c r="K767" s="269"/>
      <c r="L767" s="269"/>
      <c r="M767" s="269"/>
      <c r="N767" s="269"/>
      <c r="O767" s="269"/>
      <c r="P767" s="269"/>
      <c r="Q767" s="269"/>
      <c r="R767" s="269"/>
      <c r="S767" s="269"/>
      <c r="T767" s="269"/>
    </row>
    <row r="768">
      <c r="A768" s="307"/>
      <c r="B768" s="269"/>
      <c r="C768" s="269"/>
      <c r="D768" s="269"/>
      <c r="E768" s="269"/>
      <c r="F768" s="269"/>
      <c r="G768" s="269"/>
      <c r="H768" s="269"/>
      <c r="I768" s="269"/>
      <c r="J768" s="269"/>
      <c r="K768" s="269"/>
      <c r="L768" s="269"/>
      <c r="M768" s="269"/>
      <c r="N768" s="269"/>
      <c r="O768" s="269"/>
      <c r="P768" s="269"/>
      <c r="Q768" s="269"/>
      <c r="R768" s="269"/>
      <c r="S768" s="269"/>
      <c r="T768" s="269"/>
    </row>
    <row r="769">
      <c r="A769" s="307"/>
      <c r="B769" s="269"/>
      <c r="C769" s="269"/>
      <c r="D769" s="269"/>
      <c r="E769" s="269"/>
      <c r="F769" s="269"/>
      <c r="G769" s="269"/>
      <c r="H769" s="269"/>
      <c r="I769" s="269"/>
      <c r="J769" s="269"/>
      <c r="K769" s="269"/>
      <c r="L769" s="269"/>
      <c r="M769" s="269"/>
      <c r="N769" s="269"/>
      <c r="O769" s="269"/>
      <c r="P769" s="269"/>
      <c r="Q769" s="269"/>
      <c r="R769" s="269"/>
      <c r="S769" s="269"/>
      <c r="T769" s="269"/>
    </row>
    <row r="770">
      <c r="A770" s="307"/>
      <c r="B770" s="269"/>
      <c r="C770" s="269"/>
      <c r="D770" s="269"/>
      <c r="E770" s="269"/>
      <c r="F770" s="269"/>
      <c r="G770" s="269"/>
      <c r="H770" s="269"/>
      <c r="I770" s="269"/>
      <c r="J770" s="269"/>
      <c r="K770" s="269"/>
      <c r="L770" s="269"/>
      <c r="M770" s="269"/>
      <c r="N770" s="269"/>
      <c r="O770" s="269"/>
      <c r="P770" s="269"/>
      <c r="Q770" s="269"/>
      <c r="R770" s="269"/>
      <c r="S770" s="269"/>
      <c r="T770" s="269"/>
    </row>
    <row r="771">
      <c r="A771" s="307"/>
      <c r="B771" s="269"/>
      <c r="C771" s="269"/>
      <c r="D771" s="269"/>
      <c r="E771" s="269"/>
      <c r="F771" s="269"/>
      <c r="G771" s="269"/>
      <c r="H771" s="269"/>
      <c r="I771" s="269"/>
      <c r="J771" s="269"/>
      <c r="K771" s="269"/>
      <c r="L771" s="269"/>
      <c r="M771" s="269"/>
      <c r="N771" s="269"/>
      <c r="O771" s="269"/>
      <c r="P771" s="269"/>
      <c r="Q771" s="269"/>
      <c r="R771" s="269"/>
      <c r="S771" s="269"/>
      <c r="T771" s="269"/>
    </row>
    <row r="772">
      <c r="A772" s="307"/>
      <c r="B772" s="269"/>
      <c r="C772" s="269"/>
      <c r="D772" s="269"/>
      <c r="E772" s="269"/>
      <c r="F772" s="269"/>
      <c r="G772" s="269"/>
      <c r="H772" s="269"/>
      <c r="I772" s="269"/>
      <c r="J772" s="269"/>
      <c r="K772" s="269"/>
      <c r="L772" s="269"/>
      <c r="M772" s="269"/>
      <c r="N772" s="269"/>
      <c r="O772" s="269"/>
      <c r="P772" s="269"/>
      <c r="Q772" s="269"/>
      <c r="R772" s="269"/>
      <c r="S772" s="269"/>
      <c r="T772" s="269"/>
    </row>
    <row r="773">
      <c r="A773" s="307"/>
      <c r="B773" s="269"/>
      <c r="C773" s="269"/>
      <c r="D773" s="269"/>
      <c r="E773" s="269"/>
      <c r="F773" s="269"/>
      <c r="G773" s="269"/>
      <c r="H773" s="269"/>
      <c r="I773" s="269"/>
      <c r="J773" s="269"/>
      <c r="K773" s="269"/>
      <c r="L773" s="269"/>
      <c r="M773" s="269"/>
      <c r="N773" s="269"/>
      <c r="O773" s="269"/>
      <c r="P773" s="269"/>
      <c r="Q773" s="269"/>
      <c r="R773" s="269"/>
      <c r="S773" s="269"/>
      <c r="T773" s="269"/>
    </row>
    <row r="774">
      <c r="A774" s="307"/>
      <c r="B774" s="269"/>
      <c r="C774" s="269"/>
      <c r="D774" s="269"/>
      <c r="E774" s="269"/>
      <c r="F774" s="269"/>
      <c r="G774" s="269"/>
      <c r="H774" s="269"/>
      <c r="I774" s="269"/>
      <c r="J774" s="269"/>
      <c r="K774" s="269"/>
      <c r="L774" s="269"/>
      <c r="M774" s="269"/>
      <c r="N774" s="269"/>
      <c r="O774" s="269"/>
      <c r="P774" s="269"/>
      <c r="Q774" s="269"/>
      <c r="R774" s="269"/>
      <c r="S774" s="269"/>
      <c r="T774" s="269"/>
    </row>
    <row r="775">
      <c r="A775" s="307"/>
      <c r="B775" s="269"/>
      <c r="C775" s="269"/>
      <c r="D775" s="269"/>
      <c r="E775" s="269"/>
      <c r="F775" s="269"/>
      <c r="G775" s="269"/>
      <c r="H775" s="269"/>
      <c r="I775" s="269"/>
      <c r="J775" s="269"/>
      <c r="K775" s="269"/>
      <c r="L775" s="269"/>
      <c r="M775" s="269"/>
      <c r="N775" s="269"/>
      <c r="O775" s="269"/>
      <c r="P775" s="269"/>
      <c r="Q775" s="269"/>
      <c r="R775" s="269"/>
      <c r="S775" s="269"/>
      <c r="T775" s="269"/>
    </row>
    <row r="776">
      <c r="A776" s="307"/>
      <c r="B776" s="269"/>
      <c r="C776" s="269"/>
      <c r="D776" s="269"/>
      <c r="E776" s="269"/>
      <c r="F776" s="269"/>
      <c r="G776" s="269"/>
      <c r="H776" s="269"/>
      <c r="I776" s="269"/>
      <c r="J776" s="269"/>
      <c r="K776" s="269"/>
      <c r="L776" s="269"/>
      <c r="M776" s="269"/>
      <c r="N776" s="269"/>
      <c r="O776" s="269"/>
      <c r="P776" s="269"/>
      <c r="Q776" s="269"/>
      <c r="R776" s="269"/>
      <c r="S776" s="269"/>
      <c r="T776" s="269"/>
    </row>
    <row r="777">
      <c r="A777" s="307"/>
      <c r="B777" s="269"/>
      <c r="C777" s="269"/>
      <c r="D777" s="269"/>
      <c r="E777" s="269"/>
      <c r="F777" s="269"/>
      <c r="G777" s="269"/>
      <c r="H777" s="269"/>
      <c r="I777" s="269"/>
      <c r="J777" s="269"/>
      <c r="K777" s="269"/>
      <c r="L777" s="269"/>
      <c r="M777" s="269"/>
      <c r="N777" s="269"/>
      <c r="O777" s="269"/>
      <c r="P777" s="269"/>
      <c r="Q777" s="269"/>
      <c r="R777" s="269"/>
      <c r="S777" s="269"/>
      <c r="T777" s="269"/>
    </row>
    <row r="778">
      <c r="A778" s="307"/>
      <c r="B778" s="269"/>
      <c r="C778" s="269"/>
      <c r="D778" s="269"/>
      <c r="E778" s="269"/>
      <c r="F778" s="269"/>
      <c r="G778" s="269"/>
      <c r="H778" s="269"/>
      <c r="I778" s="269"/>
      <c r="J778" s="269"/>
      <c r="K778" s="269"/>
      <c r="L778" s="269"/>
      <c r="M778" s="269"/>
      <c r="N778" s="269"/>
      <c r="O778" s="269"/>
      <c r="P778" s="269"/>
      <c r="Q778" s="269"/>
      <c r="R778" s="269"/>
      <c r="S778" s="269"/>
      <c r="T778" s="269"/>
    </row>
    <row r="779">
      <c r="A779" s="307"/>
      <c r="B779" s="269"/>
      <c r="C779" s="269"/>
      <c r="D779" s="269"/>
      <c r="E779" s="269"/>
      <c r="F779" s="269"/>
      <c r="G779" s="269"/>
      <c r="H779" s="269"/>
      <c r="I779" s="269"/>
      <c r="J779" s="269"/>
      <c r="K779" s="269"/>
      <c r="L779" s="269"/>
      <c r="M779" s="269"/>
      <c r="N779" s="269"/>
      <c r="O779" s="269"/>
      <c r="P779" s="269"/>
      <c r="Q779" s="269"/>
      <c r="R779" s="269"/>
      <c r="S779" s="269"/>
      <c r="T779" s="269"/>
    </row>
    <row r="780">
      <c r="A780" s="307"/>
      <c r="B780" s="269"/>
      <c r="C780" s="269"/>
      <c r="D780" s="269"/>
      <c r="E780" s="269"/>
      <c r="F780" s="269"/>
      <c r="G780" s="269"/>
      <c r="H780" s="269"/>
      <c r="I780" s="269"/>
      <c r="J780" s="269"/>
      <c r="K780" s="269"/>
      <c r="L780" s="269"/>
      <c r="M780" s="269"/>
      <c r="N780" s="269"/>
      <c r="O780" s="269"/>
      <c r="P780" s="269"/>
      <c r="Q780" s="269"/>
      <c r="R780" s="269"/>
      <c r="S780" s="269"/>
      <c r="T780" s="269"/>
    </row>
    <row r="781">
      <c r="A781" s="307"/>
      <c r="B781" s="269"/>
      <c r="C781" s="269"/>
      <c r="D781" s="269"/>
      <c r="E781" s="269"/>
      <c r="F781" s="269"/>
      <c r="G781" s="269"/>
      <c r="H781" s="269"/>
      <c r="I781" s="269"/>
      <c r="J781" s="269"/>
      <c r="K781" s="269"/>
      <c r="L781" s="269"/>
      <c r="M781" s="269"/>
      <c r="N781" s="269"/>
      <c r="O781" s="269"/>
      <c r="P781" s="269"/>
      <c r="Q781" s="269"/>
      <c r="R781" s="269"/>
      <c r="S781" s="269"/>
      <c r="T781" s="269"/>
    </row>
    <row r="782">
      <c r="A782" s="307"/>
      <c r="B782" s="269"/>
      <c r="C782" s="269"/>
      <c r="D782" s="269"/>
      <c r="E782" s="269"/>
      <c r="F782" s="269"/>
      <c r="G782" s="269"/>
      <c r="H782" s="269"/>
      <c r="I782" s="269"/>
      <c r="J782" s="269"/>
      <c r="K782" s="269"/>
      <c r="L782" s="269"/>
      <c r="M782" s="269"/>
      <c r="N782" s="269"/>
      <c r="O782" s="269"/>
      <c r="P782" s="269"/>
      <c r="Q782" s="269"/>
      <c r="R782" s="269"/>
      <c r="S782" s="269"/>
      <c r="T782" s="269"/>
    </row>
    <row r="783">
      <c r="A783" s="307"/>
      <c r="B783" s="269"/>
      <c r="C783" s="269"/>
      <c r="D783" s="269"/>
      <c r="E783" s="269"/>
      <c r="F783" s="269"/>
      <c r="G783" s="269"/>
      <c r="H783" s="269"/>
      <c r="I783" s="269"/>
      <c r="J783" s="269"/>
      <c r="K783" s="269"/>
      <c r="L783" s="269"/>
      <c r="M783" s="269"/>
      <c r="N783" s="269"/>
      <c r="O783" s="269"/>
      <c r="P783" s="269"/>
      <c r="Q783" s="269"/>
      <c r="R783" s="269"/>
      <c r="S783" s="269"/>
      <c r="T783" s="269"/>
    </row>
    <row r="784">
      <c r="A784" s="307"/>
      <c r="B784" s="269"/>
      <c r="C784" s="269"/>
      <c r="D784" s="269"/>
      <c r="E784" s="269"/>
      <c r="F784" s="269"/>
      <c r="G784" s="269"/>
      <c r="H784" s="269"/>
      <c r="I784" s="269"/>
      <c r="J784" s="269"/>
      <c r="K784" s="269"/>
      <c r="L784" s="269"/>
      <c r="M784" s="269"/>
      <c r="N784" s="269"/>
      <c r="O784" s="269"/>
      <c r="P784" s="269"/>
      <c r="Q784" s="269"/>
      <c r="R784" s="269"/>
      <c r="S784" s="269"/>
      <c r="T784" s="269"/>
    </row>
    <row r="785">
      <c r="A785" s="307"/>
      <c r="B785" s="269"/>
      <c r="C785" s="269"/>
      <c r="D785" s="269"/>
      <c r="E785" s="269"/>
      <c r="F785" s="269"/>
      <c r="G785" s="269"/>
      <c r="H785" s="269"/>
      <c r="I785" s="269"/>
      <c r="J785" s="269"/>
      <c r="K785" s="269"/>
      <c r="L785" s="269"/>
      <c r="M785" s="269"/>
      <c r="N785" s="269"/>
      <c r="O785" s="269"/>
      <c r="P785" s="269"/>
      <c r="Q785" s="269"/>
      <c r="R785" s="269"/>
      <c r="S785" s="269"/>
      <c r="T785" s="269"/>
    </row>
    <row r="786">
      <c r="A786" s="307"/>
      <c r="B786" s="269"/>
      <c r="C786" s="269"/>
      <c r="D786" s="269"/>
      <c r="E786" s="269"/>
      <c r="F786" s="269"/>
      <c r="G786" s="269"/>
      <c r="H786" s="269"/>
      <c r="I786" s="269"/>
      <c r="J786" s="269"/>
      <c r="K786" s="269"/>
      <c r="L786" s="269"/>
      <c r="M786" s="269"/>
      <c r="N786" s="269"/>
      <c r="O786" s="269"/>
      <c r="P786" s="269"/>
      <c r="Q786" s="269"/>
      <c r="R786" s="269"/>
      <c r="S786" s="269"/>
      <c r="T786" s="269"/>
    </row>
    <row r="787">
      <c r="A787" s="307"/>
      <c r="B787" s="269"/>
      <c r="C787" s="269"/>
      <c r="D787" s="269"/>
      <c r="E787" s="269"/>
      <c r="F787" s="269"/>
      <c r="G787" s="269"/>
      <c r="H787" s="269"/>
      <c r="I787" s="269"/>
      <c r="J787" s="269"/>
      <c r="K787" s="269"/>
      <c r="L787" s="269"/>
      <c r="M787" s="269"/>
      <c r="N787" s="269"/>
      <c r="O787" s="269"/>
      <c r="P787" s="269"/>
      <c r="Q787" s="269"/>
      <c r="R787" s="269"/>
      <c r="S787" s="269"/>
      <c r="T787" s="269"/>
    </row>
    <row r="788">
      <c r="A788" s="307"/>
      <c r="B788" s="269"/>
      <c r="C788" s="269"/>
      <c r="D788" s="269"/>
      <c r="E788" s="269"/>
      <c r="F788" s="269"/>
      <c r="G788" s="269"/>
      <c r="H788" s="269"/>
      <c r="I788" s="269"/>
      <c r="J788" s="269"/>
      <c r="K788" s="269"/>
      <c r="L788" s="269"/>
      <c r="M788" s="269"/>
      <c r="N788" s="269"/>
      <c r="O788" s="269"/>
      <c r="P788" s="269"/>
      <c r="Q788" s="269"/>
      <c r="R788" s="269"/>
      <c r="S788" s="269"/>
      <c r="T788" s="269"/>
    </row>
    <row r="789">
      <c r="A789" s="307"/>
      <c r="B789" s="269"/>
      <c r="C789" s="269"/>
      <c r="D789" s="269"/>
      <c r="E789" s="269"/>
      <c r="F789" s="269"/>
      <c r="G789" s="269"/>
      <c r="H789" s="269"/>
      <c r="I789" s="269"/>
      <c r="J789" s="269"/>
      <c r="K789" s="269"/>
      <c r="L789" s="269"/>
      <c r="M789" s="269"/>
      <c r="N789" s="269"/>
      <c r="O789" s="269"/>
      <c r="P789" s="269"/>
      <c r="Q789" s="269"/>
      <c r="R789" s="269"/>
      <c r="S789" s="269"/>
      <c r="T789" s="269"/>
    </row>
    <row r="790">
      <c r="A790" s="307"/>
      <c r="B790" s="269"/>
      <c r="C790" s="269"/>
      <c r="D790" s="269"/>
      <c r="E790" s="269"/>
      <c r="F790" s="269"/>
      <c r="G790" s="269"/>
      <c r="H790" s="269"/>
      <c r="I790" s="269"/>
      <c r="J790" s="269"/>
      <c r="K790" s="269"/>
      <c r="L790" s="269"/>
      <c r="M790" s="269"/>
      <c r="N790" s="269"/>
      <c r="O790" s="269"/>
      <c r="P790" s="269"/>
      <c r="Q790" s="269"/>
      <c r="R790" s="269"/>
      <c r="S790" s="269"/>
      <c r="T790" s="269"/>
    </row>
    <row r="791">
      <c r="A791" s="307"/>
      <c r="B791" s="269"/>
      <c r="C791" s="269"/>
      <c r="D791" s="269"/>
      <c r="E791" s="269"/>
      <c r="F791" s="269"/>
      <c r="G791" s="269"/>
      <c r="H791" s="269"/>
      <c r="I791" s="269"/>
      <c r="J791" s="269"/>
      <c r="K791" s="269"/>
      <c r="L791" s="269"/>
      <c r="M791" s="269"/>
      <c r="N791" s="269"/>
      <c r="O791" s="269"/>
      <c r="P791" s="269"/>
      <c r="Q791" s="269"/>
      <c r="R791" s="269"/>
      <c r="S791" s="269"/>
      <c r="T791" s="269"/>
    </row>
    <row r="792">
      <c r="A792" s="307"/>
      <c r="B792" s="269"/>
      <c r="C792" s="269"/>
      <c r="D792" s="269"/>
      <c r="E792" s="269"/>
      <c r="F792" s="269"/>
      <c r="G792" s="269"/>
      <c r="H792" s="269"/>
      <c r="I792" s="269"/>
      <c r="J792" s="269"/>
      <c r="K792" s="269"/>
      <c r="L792" s="269"/>
      <c r="M792" s="269"/>
      <c r="N792" s="269"/>
      <c r="O792" s="269"/>
      <c r="P792" s="269"/>
      <c r="Q792" s="269"/>
      <c r="R792" s="269"/>
      <c r="S792" s="269"/>
      <c r="T792" s="269"/>
    </row>
    <row r="793">
      <c r="A793" s="307"/>
      <c r="B793" s="269"/>
      <c r="C793" s="269"/>
      <c r="D793" s="269"/>
      <c r="E793" s="269"/>
      <c r="F793" s="269"/>
      <c r="G793" s="269"/>
      <c r="H793" s="269"/>
      <c r="I793" s="269"/>
      <c r="J793" s="269"/>
      <c r="K793" s="269"/>
      <c r="L793" s="269"/>
      <c r="M793" s="269"/>
      <c r="N793" s="269"/>
      <c r="O793" s="269"/>
      <c r="P793" s="269"/>
      <c r="Q793" s="269"/>
      <c r="R793" s="269"/>
      <c r="S793" s="269"/>
      <c r="T793" s="269"/>
    </row>
    <row r="794">
      <c r="A794" s="307"/>
      <c r="B794" s="269"/>
      <c r="C794" s="269"/>
      <c r="D794" s="269"/>
      <c r="E794" s="269"/>
      <c r="F794" s="269"/>
      <c r="G794" s="269"/>
      <c r="H794" s="269"/>
      <c r="I794" s="269"/>
      <c r="J794" s="269"/>
      <c r="K794" s="269"/>
      <c r="L794" s="269"/>
      <c r="M794" s="269"/>
      <c r="N794" s="269"/>
      <c r="O794" s="269"/>
      <c r="P794" s="269"/>
      <c r="Q794" s="269"/>
      <c r="R794" s="269"/>
      <c r="S794" s="269"/>
      <c r="T794" s="269"/>
    </row>
    <row r="795">
      <c r="A795" s="307"/>
      <c r="B795" s="269"/>
      <c r="C795" s="269"/>
      <c r="D795" s="269"/>
      <c r="E795" s="269"/>
      <c r="F795" s="269"/>
      <c r="G795" s="269"/>
      <c r="H795" s="269"/>
      <c r="I795" s="269"/>
      <c r="J795" s="269"/>
      <c r="K795" s="269"/>
      <c r="L795" s="269"/>
      <c r="M795" s="269"/>
      <c r="N795" s="269"/>
      <c r="O795" s="269"/>
      <c r="P795" s="269"/>
      <c r="Q795" s="269"/>
      <c r="R795" s="269"/>
      <c r="S795" s="269"/>
      <c r="T795" s="269"/>
    </row>
    <row r="796">
      <c r="A796" s="307"/>
      <c r="B796" s="269"/>
      <c r="C796" s="269"/>
      <c r="D796" s="269"/>
      <c r="E796" s="269"/>
      <c r="F796" s="269"/>
      <c r="G796" s="269"/>
      <c r="H796" s="269"/>
      <c r="I796" s="269"/>
      <c r="J796" s="269"/>
      <c r="K796" s="269"/>
      <c r="L796" s="269"/>
      <c r="M796" s="269"/>
      <c r="N796" s="269"/>
      <c r="O796" s="269"/>
      <c r="P796" s="269"/>
      <c r="Q796" s="269"/>
      <c r="R796" s="269"/>
      <c r="S796" s="269"/>
      <c r="T796" s="269"/>
    </row>
    <row r="797">
      <c r="A797" s="307"/>
      <c r="B797" s="269"/>
      <c r="C797" s="269"/>
      <c r="D797" s="269"/>
      <c r="E797" s="269"/>
      <c r="F797" s="269"/>
      <c r="G797" s="269"/>
      <c r="H797" s="269"/>
      <c r="I797" s="269"/>
      <c r="J797" s="269"/>
      <c r="K797" s="269"/>
      <c r="L797" s="269"/>
      <c r="M797" s="269"/>
      <c r="N797" s="269"/>
      <c r="O797" s="269"/>
      <c r="P797" s="269"/>
      <c r="Q797" s="269"/>
      <c r="R797" s="269"/>
      <c r="S797" s="269"/>
      <c r="T797" s="269"/>
    </row>
    <row r="798">
      <c r="A798" s="307"/>
      <c r="B798" s="269"/>
      <c r="C798" s="269"/>
      <c r="D798" s="269"/>
      <c r="E798" s="269"/>
      <c r="F798" s="269"/>
      <c r="G798" s="269"/>
      <c r="H798" s="269"/>
      <c r="I798" s="269"/>
      <c r="J798" s="269"/>
      <c r="K798" s="269"/>
      <c r="L798" s="269"/>
      <c r="M798" s="269"/>
      <c r="N798" s="269"/>
      <c r="O798" s="269"/>
      <c r="P798" s="269"/>
      <c r="Q798" s="269"/>
      <c r="R798" s="269"/>
      <c r="S798" s="269"/>
      <c r="T798" s="269"/>
    </row>
    <row r="799">
      <c r="A799" s="307"/>
      <c r="B799" s="269"/>
      <c r="C799" s="269"/>
      <c r="D799" s="269"/>
      <c r="E799" s="269"/>
      <c r="F799" s="269"/>
      <c r="G799" s="269"/>
      <c r="H799" s="269"/>
      <c r="I799" s="269"/>
      <c r="J799" s="269"/>
      <c r="K799" s="269"/>
      <c r="L799" s="269"/>
      <c r="M799" s="269"/>
      <c r="N799" s="269"/>
      <c r="O799" s="269"/>
      <c r="P799" s="269"/>
      <c r="Q799" s="269"/>
      <c r="R799" s="269"/>
      <c r="S799" s="269"/>
      <c r="T799" s="269"/>
    </row>
    <row r="800">
      <c r="A800" s="307"/>
      <c r="B800" s="269"/>
      <c r="C800" s="269"/>
      <c r="D800" s="269"/>
      <c r="E800" s="269"/>
      <c r="F800" s="269"/>
      <c r="G800" s="269"/>
      <c r="H800" s="269"/>
      <c r="I800" s="269"/>
      <c r="J800" s="269"/>
      <c r="K800" s="269"/>
      <c r="L800" s="269"/>
      <c r="M800" s="269"/>
      <c r="N800" s="269"/>
      <c r="O800" s="269"/>
      <c r="P800" s="269"/>
      <c r="Q800" s="269"/>
      <c r="R800" s="269"/>
      <c r="S800" s="269"/>
      <c r="T800" s="269"/>
    </row>
    <row r="801">
      <c r="A801" s="307"/>
      <c r="B801" s="269"/>
      <c r="C801" s="269"/>
      <c r="D801" s="269"/>
      <c r="E801" s="269"/>
      <c r="F801" s="269"/>
      <c r="G801" s="269"/>
      <c r="H801" s="269"/>
      <c r="I801" s="269"/>
      <c r="J801" s="269"/>
      <c r="K801" s="269"/>
      <c r="L801" s="269"/>
      <c r="M801" s="269"/>
      <c r="N801" s="269"/>
      <c r="O801" s="269"/>
      <c r="P801" s="269"/>
      <c r="Q801" s="269"/>
      <c r="R801" s="269"/>
      <c r="S801" s="269"/>
      <c r="T801" s="269"/>
    </row>
    <row r="802">
      <c r="A802" s="307"/>
      <c r="B802" s="269"/>
      <c r="C802" s="269"/>
      <c r="D802" s="269"/>
      <c r="E802" s="269"/>
      <c r="F802" s="269"/>
      <c r="G802" s="269"/>
      <c r="H802" s="269"/>
      <c r="I802" s="269"/>
      <c r="J802" s="269"/>
      <c r="K802" s="269"/>
      <c r="L802" s="269"/>
      <c r="M802" s="269"/>
      <c r="N802" s="269"/>
      <c r="O802" s="269"/>
      <c r="P802" s="269"/>
      <c r="Q802" s="269"/>
      <c r="R802" s="269"/>
      <c r="S802" s="269"/>
      <c r="T802" s="269"/>
    </row>
    <row r="803">
      <c r="A803" s="307"/>
      <c r="B803" s="269"/>
      <c r="C803" s="269"/>
      <c r="D803" s="269"/>
      <c r="E803" s="269"/>
      <c r="F803" s="269"/>
      <c r="G803" s="269"/>
      <c r="H803" s="269"/>
      <c r="I803" s="269"/>
      <c r="J803" s="269"/>
      <c r="K803" s="269"/>
      <c r="L803" s="269"/>
      <c r="M803" s="269"/>
      <c r="N803" s="269"/>
      <c r="O803" s="269"/>
      <c r="P803" s="269"/>
      <c r="Q803" s="269"/>
      <c r="R803" s="269"/>
      <c r="S803" s="269"/>
      <c r="T803" s="269"/>
    </row>
    <row r="804">
      <c r="A804" s="307"/>
      <c r="B804" s="269"/>
      <c r="C804" s="269"/>
      <c r="D804" s="269"/>
      <c r="E804" s="269"/>
      <c r="F804" s="269"/>
      <c r="G804" s="269"/>
      <c r="H804" s="269"/>
      <c r="I804" s="269"/>
      <c r="J804" s="269"/>
      <c r="K804" s="269"/>
      <c r="L804" s="269"/>
      <c r="M804" s="269"/>
      <c r="N804" s="269"/>
      <c r="O804" s="269"/>
      <c r="P804" s="269"/>
      <c r="Q804" s="269"/>
      <c r="R804" s="269"/>
      <c r="S804" s="269"/>
      <c r="T804" s="269"/>
    </row>
    <row r="805">
      <c r="A805" s="307"/>
      <c r="B805" s="269"/>
      <c r="C805" s="269"/>
      <c r="D805" s="269"/>
      <c r="E805" s="269"/>
      <c r="F805" s="269"/>
      <c r="G805" s="269"/>
      <c r="H805" s="269"/>
      <c r="I805" s="269"/>
      <c r="J805" s="269"/>
      <c r="K805" s="269"/>
      <c r="L805" s="269"/>
      <c r="M805" s="269"/>
      <c r="N805" s="269"/>
      <c r="O805" s="269"/>
      <c r="P805" s="269"/>
      <c r="Q805" s="269"/>
      <c r="R805" s="269"/>
      <c r="S805" s="269"/>
      <c r="T805" s="269"/>
    </row>
    <row r="806">
      <c r="A806" s="307"/>
      <c r="B806" s="269"/>
      <c r="C806" s="269"/>
      <c r="D806" s="269"/>
      <c r="E806" s="269"/>
      <c r="F806" s="269"/>
      <c r="G806" s="269"/>
      <c r="H806" s="269"/>
      <c r="I806" s="269"/>
      <c r="J806" s="269"/>
      <c r="K806" s="269"/>
      <c r="L806" s="269"/>
      <c r="M806" s="269"/>
      <c r="N806" s="269"/>
      <c r="O806" s="269"/>
      <c r="P806" s="269"/>
      <c r="Q806" s="269"/>
      <c r="R806" s="269"/>
      <c r="S806" s="269"/>
      <c r="T806" s="269"/>
    </row>
    <row r="807">
      <c r="A807" s="307"/>
      <c r="B807" s="269"/>
      <c r="C807" s="269"/>
      <c r="D807" s="269"/>
      <c r="E807" s="269"/>
      <c r="F807" s="269"/>
      <c r="G807" s="269"/>
      <c r="H807" s="269"/>
      <c r="I807" s="269"/>
      <c r="J807" s="269"/>
      <c r="K807" s="269"/>
      <c r="L807" s="269"/>
      <c r="M807" s="269"/>
      <c r="N807" s="269"/>
      <c r="O807" s="269"/>
      <c r="P807" s="269"/>
      <c r="Q807" s="269"/>
      <c r="R807" s="269"/>
      <c r="S807" s="269"/>
      <c r="T807" s="269"/>
    </row>
    <row r="808">
      <c r="A808" s="307"/>
      <c r="B808" s="269"/>
      <c r="C808" s="269"/>
      <c r="D808" s="269"/>
      <c r="E808" s="269"/>
      <c r="F808" s="269"/>
      <c r="G808" s="269"/>
      <c r="H808" s="269"/>
      <c r="I808" s="269"/>
      <c r="J808" s="269"/>
      <c r="K808" s="269"/>
      <c r="L808" s="269"/>
      <c r="M808" s="269"/>
      <c r="N808" s="269"/>
      <c r="O808" s="269"/>
      <c r="P808" s="269"/>
      <c r="Q808" s="269"/>
      <c r="R808" s="269"/>
      <c r="S808" s="269"/>
      <c r="T808" s="269"/>
    </row>
    <row r="809">
      <c r="A809" s="307"/>
      <c r="B809" s="269"/>
      <c r="C809" s="269"/>
      <c r="D809" s="269"/>
      <c r="E809" s="269"/>
      <c r="F809" s="269"/>
      <c r="G809" s="269"/>
      <c r="H809" s="269"/>
      <c r="I809" s="269"/>
      <c r="J809" s="269"/>
      <c r="K809" s="269"/>
      <c r="L809" s="269"/>
      <c r="M809" s="269"/>
      <c r="N809" s="269"/>
      <c r="O809" s="269"/>
      <c r="P809" s="269"/>
      <c r="Q809" s="269"/>
      <c r="R809" s="269"/>
      <c r="S809" s="269"/>
      <c r="T809" s="269"/>
    </row>
    <row r="810">
      <c r="A810" s="307"/>
      <c r="B810" s="269"/>
      <c r="C810" s="269"/>
      <c r="D810" s="269"/>
      <c r="E810" s="269"/>
      <c r="F810" s="269"/>
      <c r="G810" s="269"/>
      <c r="H810" s="269"/>
      <c r="I810" s="269"/>
      <c r="J810" s="269"/>
      <c r="K810" s="269"/>
      <c r="L810" s="269"/>
      <c r="M810" s="269"/>
      <c r="N810" s="269"/>
      <c r="O810" s="269"/>
      <c r="P810" s="269"/>
      <c r="Q810" s="269"/>
      <c r="R810" s="269"/>
      <c r="S810" s="269"/>
      <c r="T810" s="269"/>
    </row>
    <row r="811">
      <c r="A811" s="307"/>
      <c r="B811" s="269"/>
      <c r="C811" s="269"/>
      <c r="D811" s="269"/>
      <c r="E811" s="269"/>
      <c r="F811" s="269"/>
      <c r="G811" s="269"/>
      <c r="H811" s="269"/>
      <c r="I811" s="269"/>
      <c r="J811" s="269"/>
      <c r="K811" s="269"/>
      <c r="L811" s="269"/>
      <c r="M811" s="269"/>
      <c r="N811" s="269"/>
      <c r="O811" s="269"/>
      <c r="P811" s="269"/>
      <c r="Q811" s="269"/>
      <c r="R811" s="269"/>
      <c r="S811" s="269"/>
      <c r="T811" s="269"/>
    </row>
    <row r="812">
      <c r="A812" s="307"/>
      <c r="B812" s="269"/>
      <c r="C812" s="269"/>
      <c r="D812" s="269"/>
      <c r="E812" s="269"/>
      <c r="F812" s="269"/>
      <c r="G812" s="269"/>
      <c r="H812" s="269"/>
      <c r="I812" s="269"/>
      <c r="J812" s="269"/>
      <c r="K812" s="269"/>
      <c r="L812" s="269"/>
      <c r="M812" s="269"/>
      <c r="N812" s="269"/>
      <c r="O812" s="269"/>
      <c r="P812" s="269"/>
      <c r="Q812" s="269"/>
      <c r="R812" s="269"/>
      <c r="S812" s="269"/>
      <c r="T812" s="269"/>
    </row>
    <row r="813">
      <c r="A813" s="307"/>
      <c r="B813" s="269"/>
      <c r="C813" s="269"/>
      <c r="D813" s="269"/>
      <c r="E813" s="269"/>
      <c r="F813" s="269"/>
      <c r="G813" s="269"/>
      <c r="H813" s="269"/>
      <c r="I813" s="269"/>
      <c r="J813" s="269"/>
      <c r="K813" s="269"/>
      <c r="L813" s="269"/>
      <c r="M813" s="269"/>
      <c r="N813" s="269"/>
      <c r="O813" s="269"/>
      <c r="P813" s="269"/>
      <c r="Q813" s="269"/>
      <c r="R813" s="269"/>
      <c r="S813" s="269"/>
      <c r="T813" s="269"/>
    </row>
    <row r="814">
      <c r="A814" s="307"/>
      <c r="B814" s="269"/>
      <c r="C814" s="269"/>
      <c r="D814" s="269"/>
      <c r="E814" s="269"/>
      <c r="F814" s="269"/>
      <c r="G814" s="269"/>
      <c r="H814" s="269"/>
      <c r="I814" s="269"/>
      <c r="J814" s="269"/>
      <c r="K814" s="269"/>
      <c r="L814" s="269"/>
      <c r="M814" s="269"/>
      <c r="N814" s="269"/>
      <c r="O814" s="269"/>
      <c r="P814" s="269"/>
      <c r="Q814" s="269"/>
      <c r="R814" s="269"/>
      <c r="S814" s="269"/>
      <c r="T814" s="269"/>
    </row>
    <row r="815">
      <c r="A815" s="307"/>
      <c r="B815" s="269"/>
      <c r="C815" s="269"/>
      <c r="D815" s="269"/>
      <c r="E815" s="269"/>
      <c r="F815" s="269"/>
      <c r="G815" s="269"/>
      <c r="H815" s="269"/>
      <c r="I815" s="269"/>
      <c r="J815" s="269"/>
      <c r="K815" s="269"/>
      <c r="L815" s="269"/>
      <c r="M815" s="269"/>
      <c r="N815" s="269"/>
      <c r="O815" s="269"/>
      <c r="P815" s="269"/>
      <c r="Q815" s="269"/>
      <c r="R815" s="269"/>
      <c r="S815" s="269"/>
      <c r="T815" s="269"/>
    </row>
    <row r="816">
      <c r="A816" s="307"/>
      <c r="B816" s="269"/>
      <c r="C816" s="269"/>
      <c r="D816" s="269"/>
      <c r="E816" s="269"/>
      <c r="F816" s="269"/>
      <c r="G816" s="269"/>
      <c r="H816" s="269"/>
      <c r="I816" s="269"/>
      <c r="J816" s="269"/>
      <c r="K816" s="269"/>
      <c r="L816" s="269"/>
      <c r="M816" s="269"/>
      <c r="N816" s="269"/>
      <c r="O816" s="269"/>
      <c r="P816" s="269"/>
      <c r="Q816" s="269"/>
      <c r="R816" s="269"/>
      <c r="S816" s="269"/>
      <c r="T816" s="269"/>
    </row>
    <row r="817">
      <c r="A817" s="307"/>
      <c r="B817" s="269"/>
      <c r="C817" s="269"/>
      <c r="D817" s="269"/>
      <c r="E817" s="269"/>
      <c r="F817" s="269"/>
      <c r="G817" s="269"/>
      <c r="H817" s="269"/>
      <c r="I817" s="269"/>
      <c r="J817" s="269"/>
      <c r="K817" s="269"/>
      <c r="L817" s="269"/>
      <c r="M817" s="269"/>
      <c r="N817" s="269"/>
      <c r="O817" s="269"/>
      <c r="P817" s="269"/>
      <c r="Q817" s="269"/>
      <c r="R817" s="269"/>
      <c r="S817" s="269"/>
      <c r="T817" s="269"/>
    </row>
    <row r="818">
      <c r="A818" s="307"/>
      <c r="B818" s="269"/>
      <c r="C818" s="269"/>
      <c r="D818" s="269"/>
      <c r="E818" s="269"/>
      <c r="F818" s="269"/>
      <c r="G818" s="269"/>
      <c r="H818" s="269"/>
      <c r="I818" s="269"/>
      <c r="J818" s="269"/>
      <c r="K818" s="269"/>
      <c r="L818" s="269"/>
      <c r="M818" s="269"/>
      <c r="N818" s="269"/>
      <c r="O818" s="269"/>
      <c r="P818" s="269"/>
      <c r="Q818" s="269"/>
      <c r="R818" s="269"/>
      <c r="S818" s="269"/>
      <c r="T818" s="269"/>
    </row>
    <row r="819">
      <c r="A819" s="307"/>
      <c r="B819" s="269"/>
      <c r="C819" s="269"/>
      <c r="D819" s="269"/>
      <c r="E819" s="269"/>
      <c r="F819" s="269"/>
      <c r="G819" s="269"/>
      <c r="H819" s="269"/>
      <c r="I819" s="269"/>
      <c r="J819" s="269"/>
      <c r="K819" s="269"/>
      <c r="L819" s="269"/>
      <c r="M819" s="269"/>
      <c r="N819" s="269"/>
      <c r="O819" s="269"/>
      <c r="P819" s="269"/>
      <c r="Q819" s="269"/>
      <c r="R819" s="269"/>
      <c r="S819" s="269"/>
      <c r="T819" s="269"/>
    </row>
    <row r="820">
      <c r="A820" s="307"/>
      <c r="B820" s="269"/>
      <c r="C820" s="269"/>
      <c r="D820" s="269"/>
      <c r="E820" s="269"/>
      <c r="F820" s="269"/>
      <c r="G820" s="269"/>
      <c r="H820" s="269"/>
      <c r="I820" s="269"/>
      <c r="J820" s="269"/>
      <c r="K820" s="269"/>
      <c r="L820" s="269"/>
      <c r="M820" s="269"/>
      <c r="N820" s="269"/>
      <c r="O820" s="269"/>
      <c r="P820" s="269"/>
      <c r="Q820" s="269"/>
      <c r="R820" s="269"/>
      <c r="S820" s="269"/>
      <c r="T820" s="269"/>
    </row>
    <row r="821">
      <c r="A821" s="307"/>
      <c r="B821" s="269"/>
      <c r="C821" s="269"/>
      <c r="D821" s="269"/>
      <c r="E821" s="269"/>
      <c r="F821" s="269"/>
      <c r="G821" s="269"/>
      <c r="H821" s="269"/>
      <c r="I821" s="269"/>
      <c r="J821" s="269"/>
      <c r="K821" s="269"/>
      <c r="L821" s="269"/>
      <c r="M821" s="269"/>
      <c r="N821" s="269"/>
      <c r="O821" s="269"/>
      <c r="P821" s="269"/>
      <c r="Q821" s="269"/>
      <c r="R821" s="269"/>
      <c r="S821" s="269"/>
      <c r="T821" s="269"/>
    </row>
    <row r="822">
      <c r="A822" s="307"/>
      <c r="B822" s="269"/>
      <c r="C822" s="269"/>
      <c r="D822" s="269"/>
      <c r="E822" s="269"/>
      <c r="F822" s="269"/>
      <c r="G822" s="269"/>
      <c r="H822" s="269"/>
      <c r="I822" s="269"/>
      <c r="J822" s="269"/>
      <c r="K822" s="269"/>
      <c r="L822" s="269"/>
      <c r="M822" s="269"/>
      <c r="N822" s="269"/>
      <c r="O822" s="269"/>
      <c r="P822" s="269"/>
      <c r="Q822" s="269"/>
      <c r="R822" s="269"/>
      <c r="S822" s="269"/>
      <c r="T822" s="269"/>
    </row>
    <row r="823">
      <c r="A823" s="307"/>
      <c r="B823" s="269"/>
      <c r="C823" s="269"/>
      <c r="D823" s="269"/>
      <c r="E823" s="269"/>
      <c r="F823" s="269"/>
      <c r="G823" s="269"/>
      <c r="H823" s="269"/>
      <c r="I823" s="269"/>
      <c r="J823" s="269"/>
      <c r="K823" s="269"/>
      <c r="L823" s="269"/>
      <c r="M823" s="269"/>
      <c r="N823" s="269"/>
      <c r="O823" s="269"/>
      <c r="P823" s="269"/>
      <c r="Q823" s="269"/>
      <c r="R823" s="269"/>
      <c r="S823" s="269"/>
      <c r="T823" s="269"/>
    </row>
    <row r="824">
      <c r="A824" s="307"/>
      <c r="B824" s="269"/>
      <c r="C824" s="269"/>
      <c r="D824" s="269"/>
      <c r="E824" s="269"/>
      <c r="F824" s="269"/>
      <c r="G824" s="269"/>
      <c r="H824" s="269"/>
      <c r="I824" s="269"/>
      <c r="J824" s="269"/>
      <c r="K824" s="269"/>
      <c r="L824" s="269"/>
      <c r="M824" s="269"/>
      <c r="N824" s="269"/>
      <c r="O824" s="269"/>
      <c r="P824" s="269"/>
      <c r="Q824" s="269"/>
      <c r="R824" s="269"/>
      <c r="S824" s="269"/>
      <c r="T824" s="269"/>
    </row>
    <row r="825">
      <c r="A825" s="307"/>
      <c r="B825" s="269"/>
      <c r="C825" s="269"/>
      <c r="D825" s="269"/>
      <c r="E825" s="269"/>
      <c r="F825" s="269"/>
      <c r="G825" s="269"/>
      <c r="H825" s="269"/>
      <c r="I825" s="269"/>
      <c r="J825" s="269"/>
      <c r="K825" s="269"/>
      <c r="L825" s="269"/>
      <c r="M825" s="269"/>
      <c r="N825" s="269"/>
      <c r="O825" s="269"/>
      <c r="P825" s="269"/>
      <c r="Q825" s="269"/>
      <c r="R825" s="269"/>
      <c r="S825" s="269"/>
      <c r="T825" s="269"/>
    </row>
    <row r="826">
      <c r="A826" s="307"/>
      <c r="B826" s="269"/>
      <c r="C826" s="269"/>
      <c r="D826" s="269"/>
      <c r="E826" s="269"/>
      <c r="F826" s="269"/>
      <c r="G826" s="269"/>
      <c r="H826" s="269"/>
      <c r="I826" s="269"/>
      <c r="J826" s="269"/>
      <c r="K826" s="269"/>
      <c r="L826" s="269"/>
      <c r="M826" s="269"/>
      <c r="N826" s="269"/>
      <c r="O826" s="269"/>
      <c r="P826" s="269"/>
      <c r="Q826" s="269"/>
      <c r="R826" s="269"/>
      <c r="S826" s="269"/>
      <c r="T826" s="269"/>
    </row>
    <row r="827">
      <c r="A827" s="307"/>
      <c r="B827" s="269"/>
      <c r="C827" s="269"/>
      <c r="D827" s="269"/>
      <c r="E827" s="269"/>
      <c r="F827" s="269"/>
      <c r="G827" s="269"/>
      <c r="H827" s="269"/>
      <c r="I827" s="269"/>
      <c r="J827" s="269"/>
      <c r="K827" s="269"/>
      <c r="L827" s="269"/>
      <c r="M827" s="269"/>
      <c r="N827" s="269"/>
      <c r="O827" s="269"/>
      <c r="P827" s="269"/>
      <c r="Q827" s="269"/>
      <c r="R827" s="269"/>
      <c r="S827" s="269"/>
      <c r="T827" s="269"/>
    </row>
    <row r="828">
      <c r="A828" s="307"/>
      <c r="B828" s="269"/>
      <c r="C828" s="269"/>
      <c r="D828" s="269"/>
      <c r="E828" s="269"/>
      <c r="F828" s="269"/>
      <c r="G828" s="269"/>
      <c r="H828" s="269"/>
      <c r="I828" s="269"/>
      <c r="J828" s="269"/>
      <c r="K828" s="269"/>
      <c r="L828" s="269"/>
      <c r="M828" s="269"/>
      <c r="N828" s="269"/>
      <c r="O828" s="269"/>
      <c r="P828" s="269"/>
      <c r="Q828" s="269"/>
      <c r="R828" s="269"/>
      <c r="S828" s="269"/>
      <c r="T828" s="269"/>
    </row>
    <row r="829">
      <c r="A829" s="307"/>
      <c r="B829" s="269"/>
      <c r="C829" s="269"/>
      <c r="D829" s="269"/>
      <c r="E829" s="269"/>
      <c r="F829" s="269"/>
      <c r="G829" s="269"/>
      <c r="H829" s="269"/>
      <c r="I829" s="269"/>
      <c r="J829" s="269"/>
      <c r="K829" s="269"/>
      <c r="L829" s="269"/>
      <c r="M829" s="269"/>
      <c r="N829" s="269"/>
      <c r="O829" s="269"/>
      <c r="P829" s="269"/>
      <c r="Q829" s="269"/>
      <c r="R829" s="269"/>
      <c r="S829" s="269"/>
      <c r="T829" s="269"/>
    </row>
    <row r="830">
      <c r="A830" s="307"/>
      <c r="B830" s="269"/>
      <c r="C830" s="269"/>
      <c r="D830" s="269"/>
      <c r="E830" s="269"/>
      <c r="F830" s="269"/>
      <c r="G830" s="269"/>
      <c r="H830" s="269"/>
      <c r="I830" s="269"/>
      <c r="J830" s="269"/>
      <c r="K830" s="269"/>
      <c r="L830" s="269"/>
      <c r="M830" s="269"/>
      <c r="N830" s="269"/>
      <c r="O830" s="269"/>
      <c r="P830" s="269"/>
      <c r="Q830" s="269"/>
      <c r="R830" s="269"/>
      <c r="S830" s="269"/>
      <c r="T830" s="269"/>
    </row>
    <row r="831">
      <c r="A831" s="307"/>
      <c r="B831" s="269"/>
      <c r="C831" s="269"/>
      <c r="D831" s="269"/>
      <c r="E831" s="269"/>
      <c r="F831" s="269"/>
      <c r="G831" s="269"/>
      <c r="H831" s="269"/>
      <c r="I831" s="269"/>
      <c r="J831" s="269"/>
      <c r="K831" s="269"/>
      <c r="L831" s="269"/>
      <c r="M831" s="269"/>
      <c r="N831" s="269"/>
      <c r="O831" s="269"/>
      <c r="P831" s="269"/>
      <c r="Q831" s="269"/>
      <c r="R831" s="269"/>
      <c r="S831" s="269"/>
      <c r="T831" s="269"/>
    </row>
    <row r="832">
      <c r="A832" s="307"/>
      <c r="B832" s="269"/>
      <c r="C832" s="269"/>
      <c r="D832" s="269"/>
      <c r="E832" s="269"/>
      <c r="F832" s="269"/>
      <c r="G832" s="269"/>
      <c r="H832" s="269"/>
      <c r="I832" s="269"/>
      <c r="J832" s="269"/>
      <c r="K832" s="269"/>
      <c r="L832" s="269"/>
      <c r="M832" s="269"/>
      <c r="N832" s="269"/>
      <c r="O832" s="269"/>
      <c r="P832" s="269"/>
      <c r="Q832" s="269"/>
      <c r="R832" s="269"/>
      <c r="S832" s="269"/>
      <c r="T832" s="269"/>
    </row>
    <row r="833">
      <c r="A833" s="307"/>
      <c r="B833" s="269"/>
      <c r="C833" s="269"/>
      <c r="D833" s="269"/>
      <c r="E833" s="269"/>
      <c r="F833" s="269"/>
      <c r="G833" s="269"/>
      <c r="H833" s="269"/>
      <c r="I833" s="269"/>
      <c r="J833" s="269"/>
      <c r="K833" s="269"/>
      <c r="L833" s="269"/>
      <c r="M833" s="269"/>
      <c r="N833" s="269"/>
      <c r="O833" s="269"/>
      <c r="P833" s="269"/>
      <c r="Q833" s="269"/>
      <c r="R833" s="269"/>
      <c r="S833" s="269"/>
      <c r="T833" s="269"/>
    </row>
    <row r="834">
      <c r="A834" s="307"/>
      <c r="B834" s="269"/>
      <c r="C834" s="269"/>
      <c r="D834" s="269"/>
      <c r="E834" s="269"/>
      <c r="F834" s="269"/>
      <c r="G834" s="269"/>
      <c r="H834" s="269"/>
      <c r="I834" s="269"/>
      <c r="J834" s="269"/>
      <c r="K834" s="269"/>
      <c r="L834" s="269"/>
      <c r="M834" s="269"/>
      <c r="N834" s="269"/>
      <c r="O834" s="269"/>
      <c r="P834" s="269"/>
      <c r="Q834" s="269"/>
      <c r="R834" s="269"/>
      <c r="S834" s="269"/>
      <c r="T834" s="269"/>
    </row>
    <row r="835">
      <c r="A835" s="307"/>
      <c r="B835" s="269"/>
      <c r="C835" s="269"/>
      <c r="D835" s="269"/>
      <c r="E835" s="269"/>
      <c r="F835" s="269"/>
      <c r="G835" s="269"/>
      <c r="H835" s="269"/>
      <c r="I835" s="269"/>
      <c r="J835" s="269"/>
      <c r="K835" s="269"/>
      <c r="L835" s="269"/>
      <c r="M835" s="269"/>
      <c r="N835" s="269"/>
      <c r="O835" s="269"/>
      <c r="P835" s="269"/>
      <c r="Q835" s="269"/>
      <c r="R835" s="269"/>
      <c r="S835" s="269"/>
      <c r="T835" s="269"/>
    </row>
    <row r="836">
      <c r="A836" s="307"/>
      <c r="B836" s="269"/>
      <c r="C836" s="269"/>
      <c r="D836" s="269"/>
      <c r="E836" s="269"/>
      <c r="F836" s="269"/>
      <c r="G836" s="269"/>
      <c r="H836" s="269"/>
      <c r="I836" s="269"/>
      <c r="J836" s="269"/>
      <c r="K836" s="269"/>
      <c r="L836" s="269"/>
      <c r="M836" s="269"/>
      <c r="N836" s="269"/>
      <c r="O836" s="269"/>
      <c r="P836" s="269"/>
      <c r="Q836" s="269"/>
      <c r="R836" s="269"/>
      <c r="S836" s="269"/>
      <c r="T836" s="269"/>
    </row>
    <row r="837">
      <c r="A837" s="307"/>
      <c r="B837" s="269"/>
      <c r="C837" s="269"/>
      <c r="D837" s="269"/>
      <c r="E837" s="269"/>
      <c r="F837" s="269"/>
      <c r="G837" s="269"/>
      <c r="H837" s="269"/>
      <c r="I837" s="269"/>
      <c r="J837" s="269"/>
      <c r="K837" s="269"/>
      <c r="L837" s="269"/>
      <c r="M837" s="269"/>
      <c r="N837" s="269"/>
      <c r="O837" s="269"/>
      <c r="P837" s="269"/>
      <c r="Q837" s="269"/>
      <c r="R837" s="269"/>
      <c r="S837" s="269"/>
      <c r="T837" s="269"/>
    </row>
    <row r="838">
      <c r="A838" s="307"/>
      <c r="B838" s="269"/>
      <c r="C838" s="269"/>
      <c r="D838" s="269"/>
      <c r="E838" s="269"/>
      <c r="F838" s="269"/>
      <c r="G838" s="269"/>
      <c r="H838" s="269"/>
      <c r="I838" s="269"/>
      <c r="J838" s="269"/>
      <c r="K838" s="269"/>
      <c r="L838" s="269"/>
      <c r="M838" s="269"/>
      <c r="N838" s="269"/>
      <c r="O838" s="269"/>
      <c r="P838" s="269"/>
      <c r="Q838" s="269"/>
      <c r="R838" s="269"/>
      <c r="S838" s="269"/>
      <c r="T838" s="269"/>
    </row>
    <row r="839">
      <c r="A839" s="307"/>
      <c r="B839" s="269"/>
      <c r="C839" s="269"/>
      <c r="D839" s="269"/>
      <c r="E839" s="269"/>
      <c r="F839" s="269"/>
      <c r="G839" s="269"/>
      <c r="H839" s="269"/>
      <c r="I839" s="269"/>
      <c r="J839" s="269"/>
      <c r="K839" s="269"/>
      <c r="L839" s="269"/>
      <c r="M839" s="269"/>
      <c r="N839" s="269"/>
      <c r="O839" s="269"/>
      <c r="P839" s="269"/>
      <c r="Q839" s="269"/>
      <c r="R839" s="269"/>
      <c r="S839" s="269"/>
      <c r="T839" s="269"/>
    </row>
    <row r="840">
      <c r="A840" s="307"/>
      <c r="B840" s="269"/>
      <c r="C840" s="269"/>
      <c r="D840" s="269"/>
      <c r="E840" s="269"/>
      <c r="F840" s="269"/>
      <c r="G840" s="269"/>
      <c r="H840" s="269"/>
      <c r="I840" s="269"/>
      <c r="J840" s="269"/>
      <c r="K840" s="269"/>
      <c r="L840" s="269"/>
      <c r="M840" s="269"/>
      <c r="N840" s="269"/>
      <c r="O840" s="269"/>
      <c r="P840" s="269"/>
      <c r="Q840" s="269"/>
      <c r="R840" s="269"/>
      <c r="S840" s="269"/>
      <c r="T840" s="269"/>
    </row>
    <row r="841">
      <c r="A841" s="307"/>
      <c r="B841" s="269"/>
      <c r="C841" s="269"/>
      <c r="D841" s="269"/>
      <c r="E841" s="269"/>
      <c r="F841" s="269"/>
      <c r="G841" s="269"/>
      <c r="H841" s="269"/>
      <c r="I841" s="269"/>
      <c r="J841" s="269"/>
      <c r="K841" s="269"/>
      <c r="L841" s="269"/>
      <c r="M841" s="269"/>
      <c r="N841" s="269"/>
      <c r="O841" s="269"/>
      <c r="P841" s="269"/>
      <c r="Q841" s="269"/>
      <c r="R841" s="269"/>
      <c r="S841" s="269"/>
      <c r="T841" s="269"/>
    </row>
    <row r="842">
      <c r="A842" s="307"/>
      <c r="B842" s="269"/>
      <c r="C842" s="269"/>
      <c r="D842" s="269"/>
      <c r="E842" s="269"/>
      <c r="F842" s="269"/>
      <c r="G842" s="269"/>
      <c r="H842" s="269"/>
      <c r="I842" s="269"/>
      <c r="J842" s="269"/>
      <c r="K842" s="269"/>
      <c r="L842" s="269"/>
      <c r="M842" s="269"/>
      <c r="N842" s="269"/>
      <c r="O842" s="269"/>
      <c r="P842" s="269"/>
      <c r="Q842" s="269"/>
      <c r="R842" s="269"/>
      <c r="S842" s="269"/>
      <c r="T842" s="269"/>
    </row>
    <row r="843">
      <c r="A843" s="307"/>
      <c r="B843" s="269"/>
      <c r="C843" s="269"/>
      <c r="D843" s="269"/>
      <c r="E843" s="269"/>
      <c r="F843" s="269"/>
      <c r="G843" s="269"/>
      <c r="H843" s="269"/>
      <c r="I843" s="269"/>
      <c r="J843" s="269"/>
      <c r="K843" s="269"/>
      <c r="L843" s="269"/>
      <c r="M843" s="269"/>
      <c r="N843" s="269"/>
      <c r="O843" s="269"/>
      <c r="P843" s="269"/>
      <c r="Q843" s="269"/>
      <c r="R843" s="269"/>
      <c r="S843" s="269"/>
      <c r="T843" s="269"/>
    </row>
    <row r="844">
      <c r="A844" s="307"/>
      <c r="B844" s="269"/>
      <c r="C844" s="269"/>
      <c r="D844" s="269"/>
      <c r="E844" s="269"/>
      <c r="F844" s="269"/>
      <c r="G844" s="269"/>
      <c r="H844" s="269"/>
      <c r="I844" s="269"/>
      <c r="J844" s="269"/>
      <c r="K844" s="269"/>
      <c r="L844" s="269"/>
      <c r="M844" s="269"/>
      <c r="N844" s="269"/>
      <c r="O844" s="269"/>
      <c r="P844" s="269"/>
      <c r="Q844" s="269"/>
      <c r="R844" s="269"/>
      <c r="S844" s="269"/>
      <c r="T844" s="269"/>
    </row>
    <row r="845">
      <c r="A845" s="307"/>
      <c r="B845" s="269"/>
      <c r="C845" s="269"/>
      <c r="D845" s="269"/>
      <c r="E845" s="269"/>
      <c r="F845" s="269"/>
      <c r="G845" s="269"/>
      <c r="H845" s="269"/>
      <c r="I845" s="269"/>
      <c r="J845" s="269"/>
      <c r="K845" s="269"/>
      <c r="L845" s="269"/>
      <c r="M845" s="269"/>
      <c r="N845" s="269"/>
      <c r="O845" s="269"/>
      <c r="P845" s="269"/>
      <c r="Q845" s="269"/>
      <c r="R845" s="269"/>
      <c r="S845" s="269"/>
      <c r="T845" s="269"/>
    </row>
    <row r="846">
      <c r="A846" s="307"/>
      <c r="B846" s="269"/>
      <c r="C846" s="269"/>
      <c r="D846" s="269"/>
      <c r="E846" s="269"/>
      <c r="F846" s="269"/>
      <c r="G846" s="269"/>
      <c r="H846" s="269"/>
      <c r="I846" s="269"/>
      <c r="J846" s="269"/>
      <c r="K846" s="269"/>
      <c r="L846" s="269"/>
      <c r="M846" s="269"/>
      <c r="N846" s="269"/>
      <c r="O846" s="269"/>
      <c r="P846" s="269"/>
      <c r="Q846" s="269"/>
      <c r="R846" s="269"/>
      <c r="S846" s="269"/>
      <c r="T846" s="269"/>
    </row>
    <row r="847">
      <c r="A847" s="307"/>
      <c r="B847" s="269"/>
      <c r="C847" s="269"/>
      <c r="D847" s="269"/>
      <c r="E847" s="269"/>
      <c r="F847" s="269"/>
      <c r="G847" s="269"/>
      <c r="H847" s="269"/>
      <c r="I847" s="269"/>
      <c r="J847" s="269"/>
      <c r="K847" s="269"/>
      <c r="L847" s="269"/>
      <c r="M847" s="269"/>
      <c r="N847" s="269"/>
      <c r="O847" s="269"/>
      <c r="P847" s="269"/>
      <c r="Q847" s="269"/>
      <c r="R847" s="269"/>
      <c r="S847" s="269"/>
      <c r="T847" s="269"/>
    </row>
    <row r="848">
      <c r="A848" s="307"/>
      <c r="B848" s="269"/>
      <c r="C848" s="269"/>
      <c r="D848" s="269"/>
      <c r="E848" s="269"/>
      <c r="F848" s="269"/>
      <c r="G848" s="269"/>
      <c r="H848" s="269"/>
      <c r="I848" s="269"/>
      <c r="J848" s="269"/>
      <c r="K848" s="269"/>
      <c r="L848" s="269"/>
      <c r="M848" s="269"/>
      <c r="N848" s="269"/>
      <c r="O848" s="269"/>
      <c r="P848" s="269"/>
      <c r="Q848" s="269"/>
      <c r="R848" s="269"/>
      <c r="S848" s="269"/>
      <c r="T848" s="269"/>
    </row>
    <row r="849">
      <c r="A849" s="307"/>
      <c r="B849" s="269"/>
      <c r="C849" s="269"/>
      <c r="D849" s="269"/>
      <c r="E849" s="269"/>
      <c r="F849" s="269"/>
      <c r="G849" s="269"/>
      <c r="H849" s="269"/>
      <c r="I849" s="269"/>
      <c r="J849" s="269"/>
      <c r="K849" s="269"/>
      <c r="L849" s="269"/>
      <c r="M849" s="269"/>
      <c r="N849" s="269"/>
      <c r="O849" s="269"/>
      <c r="P849" s="269"/>
      <c r="Q849" s="269"/>
      <c r="R849" s="269"/>
      <c r="S849" s="269"/>
      <c r="T849" s="269"/>
    </row>
    <row r="850">
      <c r="A850" s="307"/>
      <c r="B850" s="269"/>
      <c r="C850" s="269"/>
      <c r="D850" s="269"/>
      <c r="E850" s="269"/>
      <c r="F850" s="269"/>
      <c r="G850" s="269"/>
      <c r="H850" s="269"/>
      <c r="I850" s="269"/>
      <c r="J850" s="269"/>
      <c r="K850" s="269"/>
      <c r="L850" s="269"/>
      <c r="M850" s="269"/>
      <c r="N850" s="269"/>
      <c r="O850" s="269"/>
      <c r="P850" s="269"/>
      <c r="Q850" s="269"/>
      <c r="R850" s="269"/>
      <c r="S850" s="269"/>
      <c r="T850" s="269"/>
    </row>
    <row r="851">
      <c r="A851" s="307"/>
      <c r="B851" s="269"/>
      <c r="C851" s="269"/>
      <c r="D851" s="269"/>
      <c r="E851" s="269"/>
      <c r="F851" s="269"/>
      <c r="G851" s="269"/>
      <c r="H851" s="269"/>
      <c r="I851" s="269"/>
      <c r="J851" s="269"/>
      <c r="K851" s="269"/>
      <c r="L851" s="269"/>
      <c r="M851" s="269"/>
      <c r="N851" s="269"/>
      <c r="O851" s="269"/>
      <c r="P851" s="269"/>
      <c r="Q851" s="269"/>
      <c r="R851" s="269"/>
      <c r="S851" s="269"/>
      <c r="T851" s="269"/>
    </row>
    <row r="852">
      <c r="A852" s="307"/>
      <c r="B852" s="269"/>
      <c r="C852" s="269"/>
      <c r="D852" s="269"/>
      <c r="E852" s="269"/>
      <c r="F852" s="269"/>
      <c r="G852" s="269"/>
      <c r="H852" s="269"/>
      <c r="I852" s="269"/>
      <c r="J852" s="269"/>
      <c r="K852" s="269"/>
      <c r="L852" s="269"/>
      <c r="M852" s="269"/>
      <c r="N852" s="269"/>
      <c r="O852" s="269"/>
      <c r="P852" s="269"/>
      <c r="Q852" s="269"/>
      <c r="R852" s="269"/>
      <c r="S852" s="269"/>
      <c r="T852" s="269"/>
    </row>
    <row r="853">
      <c r="A853" s="307"/>
      <c r="B853" s="269"/>
      <c r="C853" s="269"/>
      <c r="D853" s="269"/>
      <c r="E853" s="269"/>
      <c r="F853" s="269"/>
      <c r="G853" s="269"/>
      <c r="H853" s="269"/>
      <c r="I853" s="269"/>
      <c r="J853" s="269"/>
      <c r="K853" s="269"/>
      <c r="L853" s="269"/>
      <c r="M853" s="269"/>
      <c r="N853" s="269"/>
      <c r="O853" s="269"/>
      <c r="P853" s="269"/>
      <c r="Q853" s="269"/>
      <c r="R853" s="269"/>
      <c r="S853" s="269"/>
      <c r="T853" s="269"/>
    </row>
    <row r="854">
      <c r="A854" s="307"/>
      <c r="B854" s="269"/>
      <c r="C854" s="269"/>
      <c r="D854" s="269"/>
      <c r="E854" s="269"/>
      <c r="F854" s="269"/>
      <c r="G854" s="269"/>
      <c r="H854" s="269"/>
      <c r="I854" s="269"/>
      <c r="J854" s="269"/>
      <c r="K854" s="269"/>
      <c r="L854" s="269"/>
      <c r="M854" s="269"/>
      <c r="N854" s="269"/>
      <c r="O854" s="269"/>
      <c r="P854" s="269"/>
      <c r="Q854" s="269"/>
      <c r="R854" s="269"/>
      <c r="S854" s="269"/>
      <c r="T854" s="269"/>
    </row>
    <row r="855">
      <c r="A855" s="307"/>
      <c r="B855" s="269"/>
      <c r="C855" s="269"/>
      <c r="D855" s="269"/>
      <c r="E855" s="269"/>
      <c r="F855" s="269"/>
      <c r="G855" s="269"/>
      <c r="H855" s="269"/>
      <c r="I855" s="269"/>
      <c r="J855" s="269"/>
      <c r="K855" s="269"/>
      <c r="L855" s="269"/>
      <c r="M855" s="269"/>
      <c r="N855" s="269"/>
      <c r="O855" s="269"/>
      <c r="P855" s="269"/>
      <c r="Q855" s="269"/>
      <c r="R855" s="269"/>
      <c r="S855" s="269"/>
      <c r="T855" s="269"/>
    </row>
    <row r="856">
      <c r="A856" s="307"/>
      <c r="B856" s="269"/>
      <c r="C856" s="269"/>
      <c r="D856" s="269"/>
      <c r="E856" s="269"/>
      <c r="F856" s="269"/>
      <c r="G856" s="269"/>
      <c r="H856" s="269"/>
      <c r="I856" s="269"/>
      <c r="J856" s="269"/>
      <c r="K856" s="269"/>
      <c r="L856" s="269"/>
      <c r="M856" s="269"/>
      <c r="N856" s="269"/>
      <c r="O856" s="269"/>
      <c r="P856" s="269"/>
      <c r="Q856" s="269"/>
      <c r="R856" s="269"/>
      <c r="S856" s="269"/>
      <c r="T856" s="269"/>
    </row>
    <row r="857">
      <c r="A857" s="307"/>
      <c r="B857" s="269"/>
      <c r="C857" s="269"/>
      <c r="D857" s="269"/>
      <c r="E857" s="269"/>
      <c r="F857" s="269"/>
      <c r="G857" s="269"/>
      <c r="H857" s="269"/>
      <c r="I857" s="269"/>
      <c r="J857" s="269"/>
      <c r="K857" s="269"/>
      <c r="L857" s="269"/>
      <c r="M857" s="269"/>
      <c r="N857" s="269"/>
      <c r="O857" s="269"/>
      <c r="P857" s="269"/>
      <c r="Q857" s="269"/>
      <c r="R857" s="269"/>
      <c r="S857" s="269"/>
      <c r="T857" s="269"/>
    </row>
    <row r="858">
      <c r="A858" s="307"/>
      <c r="B858" s="269"/>
      <c r="C858" s="269"/>
      <c r="D858" s="269"/>
      <c r="E858" s="269"/>
      <c r="F858" s="269"/>
      <c r="G858" s="269"/>
      <c r="H858" s="269"/>
      <c r="I858" s="269"/>
      <c r="J858" s="269"/>
      <c r="K858" s="269"/>
      <c r="L858" s="269"/>
      <c r="M858" s="269"/>
      <c r="N858" s="269"/>
      <c r="O858" s="269"/>
      <c r="P858" s="269"/>
      <c r="Q858" s="269"/>
      <c r="R858" s="269"/>
      <c r="S858" s="269"/>
      <c r="T858" s="269"/>
    </row>
  </sheetData>
  <mergeCells count="58">
    <mergeCell ref="F535:F544"/>
    <mergeCell ref="B548:F549"/>
    <mergeCell ref="B552:B561"/>
    <mergeCell ref="F596:F605"/>
    <mergeCell ref="B609:F610"/>
    <mergeCell ref="B613:B622"/>
    <mergeCell ref="C613:C622"/>
    <mergeCell ref="D613:D622"/>
    <mergeCell ref="E613:E622"/>
    <mergeCell ref="F635:F644"/>
    <mergeCell ref="D646:D655"/>
    <mergeCell ref="B670:F671"/>
    <mergeCell ref="D707:D716"/>
    <mergeCell ref="D718:D727"/>
    <mergeCell ref="B5:F6"/>
    <mergeCell ref="B9:B19"/>
    <mergeCell ref="E54:E63"/>
    <mergeCell ref="F54:F63"/>
    <mergeCell ref="B68:F69"/>
    <mergeCell ref="C72:C81"/>
    <mergeCell ref="D72:D81"/>
    <mergeCell ref="B72:B81"/>
    <mergeCell ref="B94:B105"/>
    <mergeCell ref="C94:C105"/>
    <mergeCell ref="F118:F127"/>
    <mergeCell ref="B132:F133"/>
    <mergeCell ref="B136:B145"/>
    <mergeCell ref="C136:C145"/>
    <mergeCell ref="D136:D145"/>
    <mergeCell ref="E136:E145"/>
    <mergeCell ref="C171:C180"/>
    <mergeCell ref="B182:B191"/>
    <mergeCell ref="E182:E191"/>
    <mergeCell ref="F182:F191"/>
    <mergeCell ref="B196:F197"/>
    <mergeCell ref="D245:D254"/>
    <mergeCell ref="E245:E254"/>
    <mergeCell ref="F245:F254"/>
    <mergeCell ref="B258:F259"/>
    <mergeCell ref="B262:B271"/>
    <mergeCell ref="C262:C271"/>
    <mergeCell ref="D262:D271"/>
    <mergeCell ref="E305:E314"/>
    <mergeCell ref="B318:F319"/>
    <mergeCell ref="B367:F368"/>
    <mergeCell ref="E413:E422"/>
    <mergeCell ref="F413:F422"/>
    <mergeCell ref="B426:F427"/>
    <mergeCell ref="B430:B439"/>
    <mergeCell ref="C430:C439"/>
    <mergeCell ref="D430:D439"/>
    <mergeCell ref="G452:G461"/>
    <mergeCell ref="B487:F488"/>
    <mergeCell ref="C535:C544"/>
    <mergeCell ref="D535:D544"/>
    <mergeCell ref="E535:E544"/>
    <mergeCell ref="E718:E727"/>
    <mergeCell ref="F718:F727"/>
  </mergeCells>
  <printOptions gridLines="1" horizontalCentered="1"/>
  <pageMargins bottom="0.75" footer="0.0" header="0.0" left="0.7" right="0.7" top="0.75"/>
  <pageSetup fitToHeight="0" paperSize="9"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32.38"/>
    <col customWidth="1" min="2" max="2" width="51.63"/>
    <col customWidth="1" min="3" max="3" width="23.13"/>
    <col customWidth="1" min="4" max="4" width="14.5"/>
    <col customWidth="1" min="5" max="5" width="27.25"/>
    <col customWidth="1" min="6" max="6" width="19.63"/>
    <col customWidth="1" min="7" max="7" width="18.88"/>
    <col customWidth="1" min="8" max="8" width="22.0"/>
    <col customWidth="1" min="9" max="9" width="19.38"/>
    <col customWidth="1" min="10" max="10" width="23.63"/>
    <col customWidth="1" min="11" max="11" width="24.25"/>
    <col customWidth="1" min="12" max="12" width="23.38"/>
    <col customWidth="1" min="13" max="13" width="22.88"/>
    <col customWidth="1" min="14" max="14" width="44.0"/>
    <col customWidth="1" min="15" max="15" width="48.63"/>
    <col customWidth="1" min="16" max="16" width="39.0"/>
    <col customWidth="1" min="17" max="18" width="42.63"/>
    <col customWidth="1" min="19" max="19" width="38.63"/>
  </cols>
  <sheetData>
    <row r="1" ht="20.25" customHeight="1">
      <c r="A1" s="352"/>
      <c r="B1" s="269"/>
      <c r="C1" s="109"/>
      <c r="D1" s="109"/>
      <c r="E1" s="109"/>
      <c r="F1" s="109"/>
      <c r="G1" s="109"/>
      <c r="H1" s="109"/>
      <c r="I1" s="111"/>
      <c r="J1" s="109"/>
      <c r="K1" s="109"/>
      <c r="L1" s="109"/>
      <c r="M1" s="109"/>
      <c r="N1" s="109"/>
      <c r="O1" s="109"/>
      <c r="P1" s="109"/>
      <c r="Q1" s="109"/>
      <c r="R1" s="109"/>
      <c r="S1" s="109"/>
      <c r="T1" s="178"/>
      <c r="U1" s="178"/>
      <c r="V1" s="178"/>
    </row>
    <row r="2" ht="20.25" customHeight="1">
      <c r="A2" s="109"/>
      <c r="B2" s="109"/>
      <c r="C2" s="109"/>
      <c r="D2" s="109"/>
      <c r="E2" s="109"/>
      <c r="F2" s="109"/>
      <c r="G2" s="109"/>
      <c r="H2" s="109"/>
      <c r="I2" s="111"/>
      <c r="J2" s="109"/>
      <c r="K2" s="109"/>
      <c r="L2" s="109"/>
      <c r="M2" s="109"/>
      <c r="N2" s="109"/>
      <c r="O2" s="109"/>
      <c r="P2" s="109"/>
      <c r="Q2" s="109"/>
      <c r="R2" s="109"/>
      <c r="S2" s="109"/>
      <c r="T2" s="178"/>
      <c r="U2" s="178"/>
      <c r="V2" s="178"/>
    </row>
    <row r="3" ht="20.25" customHeight="1">
      <c r="A3" s="109"/>
      <c r="B3" s="109"/>
      <c r="C3" s="109"/>
      <c r="D3" s="109"/>
      <c r="E3" s="109"/>
      <c r="F3" s="109"/>
      <c r="G3" s="109"/>
      <c r="H3" s="109"/>
      <c r="I3" s="111"/>
      <c r="J3" s="109"/>
      <c r="K3" s="109"/>
      <c r="L3" s="109"/>
      <c r="M3" s="109"/>
      <c r="N3" s="109"/>
      <c r="O3" s="109"/>
      <c r="P3" s="109"/>
      <c r="Q3" s="109"/>
      <c r="R3" s="109"/>
      <c r="S3" s="109"/>
      <c r="T3" s="178"/>
      <c r="U3" s="178"/>
      <c r="V3" s="178"/>
    </row>
    <row r="4" ht="21.0" customHeight="1">
      <c r="A4" s="109"/>
      <c r="B4" s="109"/>
      <c r="C4" s="109"/>
      <c r="D4" s="109"/>
      <c r="E4" s="109"/>
      <c r="F4" s="109"/>
      <c r="G4" s="109"/>
      <c r="H4" s="109"/>
      <c r="I4" s="109"/>
      <c r="J4" s="109"/>
      <c r="K4" s="109"/>
      <c r="L4" s="109"/>
      <c r="M4" s="109"/>
      <c r="N4" s="109"/>
      <c r="O4" s="109"/>
      <c r="P4" s="109"/>
      <c r="Q4" s="109"/>
      <c r="R4" s="109"/>
      <c r="S4" s="109"/>
      <c r="T4" s="178"/>
      <c r="U4" s="178"/>
      <c r="V4" s="178"/>
    </row>
    <row r="5">
      <c r="A5" s="117" t="s">
        <v>151</v>
      </c>
      <c r="B5" s="117" t="s">
        <v>178</v>
      </c>
      <c r="C5" s="118" t="s">
        <v>985</v>
      </c>
      <c r="D5" s="117" t="s">
        <v>986</v>
      </c>
      <c r="E5" s="117" t="s">
        <v>987</v>
      </c>
      <c r="F5" s="117" t="s">
        <v>988</v>
      </c>
      <c r="G5" s="117" t="s">
        <v>989</v>
      </c>
      <c r="H5" s="117" t="s">
        <v>990</v>
      </c>
      <c r="I5" s="117" t="s">
        <v>991</v>
      </c>
      <c r="J5" s="117" t="s">
        <v>992</v>
      </c>
      <c r="K5" s="117" t="s">
        <v>993</v>
      </c>
      <c r="L5" s="117" t="s">
        <v>994</v>
      </c>
      <c r="M5" s="117" t="s">
        <v>995</v>
      </c>
      <c r="N5" s="117"/>
      <c r="O5" s="117"/>
      <c r="P5" s="117"/>
      <c r="Q5" s="117"/>
      <c r="R5" s="117"/>
      <c r="S5" s="117"/>
      <c r="T5" s="178"/>
      <c r="U5" s="178"/>
      <c r="V5" s="178"/>
    </row>
    <row r="6">
      <c r="A6" s="135" t="s">
        <v>1</v>
      </c>
      <c r="B6" s="135" t="s">
        <v>86</v>
      </c>
      <c r="C6" s="353">
        <v>45399.0</v>
      </c>
      <c r="D6" s="353">
        <v>45399.0</v>
      </c>
      <c r="E6" s="353">
        <v>45407.0</v>
      </c>
      <c r="F6" s="353">
        <v>45411.0</v>
      </c>
      <c r="G6" s="353">
        <v>45411.0</v>
      </c>
      <c r="H6" s="353">
        <v>45411.0</v>
      </c>
      <c r="I6" s="131"/>
      <c r="J6" s="131"/>
      <c r="K6" s="125"/>
      <c r="L6" s="125"/>
      <c r="M6" s="125"/>
      <c r="N6" s="156"/>
      <c r="O6" s="125"/>
      <c r="P6" s="125"/>
      <c r="Q6" s="125"/>
      <c r="R6" s="125"/>
      <c r="S6" s="254"/>
      <c r="T6" s="354"/>
      <c r="U6" s="354"/>
      <c r="V6" s="354"/>
    </row>
    <row r="7" ht="33.75" customHeight="1">
      <c r="A7" s="355" t="s">
        <v>8</v>
      </c>
      <c r="B7" s="135" t="s">
        <v>996</v>
      </c>
      <c r="C7" s="353">
        <v>45453.0</v>
      </c>
      <c r="D7" s="356">
        <v>45453.0</v>
      </c>
      <c r="E7" s="353">
        <v>45468.0</v>
      </c>
      <c r="F7" s="357">
        <v>45472.0</v>
      </c>
      <c r="G7" s="353">
        <v>45472.0</v>
      </c>
      <c r="H7" s="353">
        <v>45472.0</v>
      </c>
      <c r="I7" s="131"/>
      <c r="J7" s="131"/>
      <c r="K7" s="125"/>
      <c r="L7" s="125"/>
      <c r="M7" s="125"/>
      <c r="N7" s="156"/>
      <c r="O7" s="125"/>
      <c r="P7" s="125"/>
      <c r="Q7" s="125"/>
      <c r="R7" s="125"/>
      <c r="S7" s="254"/>
      <c r="T7" s="354"/>
      <c r="U7" s="354"/>
      <c r="V7" s="354"/>
    </row>
    <row r="8">
      <c r="A8" s="135" t="s">
        <v>3</v>
      </c>
      <c r="B8" s="135" t="s">
        <v>78</v>
      </c>
      <c r="C8" s="353">
        <v>45405.0</v>
      </c>
      <c r="D8" s="135"/>
      <c r="E8" s="135"/>
      <c r="F8" s="135"/>
      <c r="G8" s="135"/>
      <c r="H8" s="135"/>
      <c r="I8" s="125"/>
      <c r="J8" s="131"/>
      <c r="K8" s="125"/>
      <c r="L8" s="125"/>
      <c r="M8" s="125"/>
      <c r="N8" s="139"/>
      <c r="O8" s="125"/>
      <c r="P8" s="125"/>
      <c r="Q8" s="125"/>
      <c r="R8" s="125"/>
      <c r="S8" s="125"/>
      <c r="T8" s="354"/>
      <c r="U8" s="354"/>
      <c r="V8" s="354"/>
    </row>
    <row r="9">
      <c r="A9" s="135" t="s">
        <v>3</v>
      </c>
      <c r="B9" s="135" t="s">
        <v>65</v>
      </c>
      <c r="C9" s="353">
        <v>45412.0</v>
      </c>
      <c r="D9" s="135"/>
      <c r="E9" s="135"/>
      <c r="F9" s="135"/>
      <c r="G9" s="135"/>
      <c r="H9" s="135"/>
      <c r="I9" s="125"/>
      <c r="J9" s="131"/>
      <c r="K9" s="125"/>
      <c r="L9" s="125"/>
      <c r="M9" s="125"/>
      <c r="N9" s="147"/>
      <c r="O9" s="125"/>
      <c r="P9" s="125"/>
      <c r="Q9" s="125"/>
      <c r="R9" s="125"/>
      <c r="S9" s="254"/>
      <c r="T9" s="354"/>
      <c r="U9" s="354"/>
      <c r="V9" s="354"/>
    </row>
    <row r="10">
      <c r="A10" s="135" t="s">
        <v>3</v>
      </c>
      <c r="B10" s="135" t="s">
        <v>26</v>
      </c>
      <c r="C10" s="353">
        <v>45420.0</v>
      </c>
      <c r="D10" s="135"/>
      <c r="E10" s="135"/>
      <c r="F10" s="135"/>
      <c r="G10" s="135"/>
      <c r="H10" s="135"/>
      <c r="I10" s="131"/>
      <c r="J10" s="131"/>
      <c r="K10" s="125"/>
      <c r="L10" s="125"/>
      <c r="M10" s="125"/>
      <c r="N10" s="139"/>
      <c r="O10" s="125"/>
      <c r="P10" s="125"/>
      <c r="Q10" s="125"/>
      <c r="R10" s="125"/>
      <c r="S10" s="254"/>
      <c r="T10" s="354"/>
      <c r="U10" s="354"/>
      <c r="V10" s="354"/>
    </row>
    <row r="11">
      <c r="A11" s="135" t="s">
        <v>3</v>
      </c>
      <c r="B11" s="135" t="s">
        <v>47</v>
      </c>
      <c r="C11" s="353">
        <v>45448.0</v>
      </c>
      <c r="D11" s="135"/>
      <c r="E11" s="135"/>
      <c r="F11" s="135"/>
      <c r="G11" s="135"/>
      <c r="H11" s="135"/>
      <c r="I11" s="125"/>
      <c r="J11" s="131"/>
      <c r="K11" s="125"/>
      <c r="L11" s="125"/>
      <c r="M11" s="125"/>
      <c r="N11" s="144"/>
      <c r="O11" s="125"/>
      <c r="P11" s="125"/>
      <c r="Q11" s="125"/>
      <c r="R11" s="125"/>
      <c r="S11" s="125"/>
      <c r="T11" s="354"/>
      <c r="U11" s="354"/>
      <c r="V11" s="354"/>
    </row>
    <row r="12">
      <c r="A12" s="135" t="s">
        <v>3</v>
      </c>
      <c r="B12" s="135" t="s">
        <v>26</v>
      </c>
      <c r="C12" s="353">
        <v>45460.0</v>
      </c>
      <c r="D12" s="135"/>
      <c r="E12" s="135"/>
      <c r="F12" s="135"/>
      <c r="G12" s="135"/>
      <c r="H12" s="135"/>
      <c r="I12" s="131"/>
      <c r="J12" s="131"/>
      <c r="K12" s="125"/>
      <c r="L12" s="125"/>
      <c r="M12" s="125"/>
      <c r="N12" s="139"/>
      <c r="O12" s="125"/>
      <c r="P12" s="125"/>
      <c r="Q12" s="125"/>
      <c r="R12" s="125"/>
      <c r="S12" s="125"/>
      <c r="T12" s="354"/>
      <c r="U12" s="354"/>
      <c r="V12" s="354"/>
    </row>
    <row r="13">
      <c r="A13" s="135" t="s">
        <v>3</v>
      </c>
      <c r="B13" s="158" t="s">
        <v>78</v>
      </c>
      <c r="C13" s="353">
        <v>45489.0</v>
      </c>
      <c r="D13" s="135"/>
      <c r="E13" s="135"/>
      <c r="F13" s="135"/>
      <c r="G13" s="135"/>
      <c r="H13" s="135"/>
      <c r="I13" s="131"/>
      <c r="J13" s="131"/>
      <c r="K13" s="125"/>
      <c r="L13" s="206"/>
      <c r="M13" s="125"/>
      <c r="N13" s="144"/>
      <c r="O13" s="206"/>
      <c r="P13" s="206"/>
      <c r="Q13" s="206"/>
      <c r="R13" s="206"/>
      <c r="S13" s="206"/>
      <c r="T13" s="354"/>
      <c r="U13" s="354"/>
      <c r="V13" s="354"/>
    </row>
    <row r="14" ht="19.5" customHeight="1">
      <c r="A14" s="135"/>
      <c r="B14" s="358"/>
      <c r="C14" s="135"/>
      <c r="D14" s="135"/>
      <c r="E14" s="135"/>
      <c r="F14" s="135"/>
      <c r="G14" s="135"/>
      <c r="H14" s="135"/>
      <c r="I14" s="131"/>
      <c r="J14" s="131"/>
      <c r="K14" s="125"/>
      <c r="L14" s="125"/>
      <c r="M14" s="125"/>
      <c r="N14" s="147"/>
      <c r="O14" s="125"/>
      <c r="P14" s="125"/>
      <c r="Q14" s="125"/>
      <c r="R14" s="125"/>
      <c r="S14" s="125"/>
      <c r="T14" s="354"/>
      <c r="U14" s="354"/>
      <c r="V14" s="354"/>
    </row>
    <row r="15" ht="19.5" customHeight="1">
      <c r="A15" s="135"/>
      <c r="B15" s="358"/>
      <c r="C15" s="135"/>
      <c r="D15" s="353"/>
      <c r="E15" s="135"/>
      <c r="F15" s="135"/>
      <c r="G15" s="135"/>
      <c r="H15" s="135"/>
      <c r="I15" s="131"/>
      <c r="J15" s="131"/>
      <c r="K15" s="125"/>
      <c r="L15" s="125"/>
      <c r="M15" s="125"/>
      <c r="N15" s="147"/>
      <c r="O15" s="125"/>
      <c r="P15" s="125"/>
      <c r="Q15" s="125"/>
      <c r="R15" s="125"/>
      <c r="S15" s="125"/>
      <c r="T15" s="354"/>
      <c r="U15" s="354"/>
      <c r="V15" s="354"/>
    </row>
    <row r="16" ht="19.5" customHeight="1">
      <c r="A16" s="135"/>
      <c r="B16" s="358"/>
      <c r="C16" s="135"/>
      <c r="D16" s="135"/>
      <c r="E16" s="135"/>
      <c r="F16" s="135"/>
      <c r="G16" s="135"/>
      <c r="H16" s="135"/>
      <c r="I16" s="131"/>
      <c r="J16" s="131"/>
      <c r="K16" s="125"/>
      <c r="L16" s="125"/>
      <c r="M16" s="125"/>
      <c r="N16" s="147"/>
      <c r="O16" s="125"/>
      <c r="P16" s="125"/>
      <c r="Q16" s="125"/>
      <c r="R16" s="125"/>
      <c r="S16" s="125"/>
      <c r="T16" s="354"/>
      <c r="U16" s="354"/>
      <c r="V16" s="354"/>
    </row>
    <row r="17" ht="19.5" customHeight="1">
      <c r="A17" s="135"/>
      <c r="B17" s="358"/>
      <c r="C17" s="135"/>
      <c r="D17" s="353"/>
      <c r="E17" s="135"/>
      <c r="F17" s="135"/>
      <c r="G17" s="135"/>
      <c r="H17" s="135"/>
      <c r="I17" s="131"/>
      <c r="J17" s="131"/>
      <c r="K17" s="125"/>
      <c r="L17" s="125"/>
      <c r="M17" s="125"/>
      <c r="N17" s="147"/>
      <c r="O17" s="125"/>
      <c r="P17" s="125"/>
      <c r="Q17" s="125"/>
      <c r="R17" s="125"/>
      <c r="S17" s="125"/>
      <c r="T17" s="354"/>
      <c r="U17" s="354"/>
      <c r="V17" s="354"/>
    </row>
    <row r="18" ht="19.5" customHeight="1">
      <c r="A18" s="135"/>
      <c r="B18" s="358"/>
      <c r="C18" s="135"/>
      <c r="D18" s="353"/>
      <c r="E18" s="135"/>
      <c r="F18" s="135"/>
      <c r="G18" s="135"/>
      <c r="H18" s="135"/>
      <c r="I18" s="131"/>
      <c r="J18" s="131"/>
      <c r="K18" s="125"/>
      <c r="L18" s="125"/>
      <c r="M18" s="125"/>
      <c r="N18" s="155"/>
      <c r="O18" s="125"/>
      <c r="P18" s="125"/>
      <c r="Q18" s="125"/>
      <c r="R18" s="125"/>
      <c r="S18" s="125"/>
      <c r="T18" s="354"/>
      <c r="U18" s="354"/>
      <c r="V18" s="354"/>
    </row>
    <row r="19" ht="19.5" customHeight="1">
      <c r="A19" s="135"/>
      <c r="B19" s="358"/>
      <c r="C19" s="135"/>
      <c r="D19" s="135"/>
      <c r="E19" s="135"/>
      <c r="F19" s="135"/>
      <c r="G19" s="135"/>
      <c r="H19" s="135"/>
      <c r="I19" s="131"/>
      <c r="J19" s="131"/>
      <c r="K19" s="125"/>
      <c r="L19" s="125"/>
      <c r="M19" s="125"/>
      <c r="N19" s="155"/>
      <c r="O19" s="125"/>
      <c r="P19" s="125"/>
      <c r="Q19" s="125"/>
      <c r="R19" s="125"/>
      <c r="S19" s="125"/>
      <c r="T19" s="354"/>
      <c r="U19" s="354"/>
      <c r="V19" s="354"/>
    </row>
    <row r="20" ht="19.5" customHeight="1">
      <c r="A20" s="135"/>
      <c r="B20" s="135"/>
      <c r="C20" s="135"/>
      <c r="D20" s="135"/>
      <c r="E20" s="135"/>
      <c r="F20" s="135"/>
      <c r="G20" s="135"/>
      <c r="H20" s="135"/>
      <c r="I20" s="131"/>
      <c r="J20" s="131"/>
      <c r="K20" s="125"/>
      <c r="L20" s="125"/>
      <c r="M20" s="125"/>
      <c r="N20" s="147"/>
      <c r="O20" s="125"/>
      <c r="P20" s="125"/>
      <c r="Q20" s="125"/>
      <c r="R20" s="125"/>
      <c r="S20" s="254"/>
      <c r="T20" s="354"/>
      <c r="U20" s="354"/>
      <c r="V20" s="354"/>
    </row>
    <row r="21" ht="19.5" customHeight="1">
      <c r="A21" s="135"/>
      <c r="B21" s="135"/>
      <c r="C21" s="135"/>
      <c r="D21" s="353"/>
      <c r="E21" s="135"/>
      <c r="F21" s="135"/>
      <c r="G21" s="135"/>
      <c r="H21" s="135"/>
      <c r="I21" s="131"/>
      <c r="J21" s="131"/>
      <c r="K21" s="125"/>
      <c r="L21" s="125"/>
      <c r="M21" s="125"/>
      <c r="N21" s="147"/>
      <c r="O21" s="125"/>
      <c r="P21" s="125"/>
      <c r="Q21" s="125"/>
      <c r="R21" s="125"/>
      <c r="S21" s="125"/>
      <c r="T21" s="354"/>
      <c r="U21" s="354"/>
      <c r="V21" s="354"/>
    </row>
    <row r="22" ht="19.5" customHeight="1">
      <c r="A22" s="135"/>
      <c r="B22" s="135"/>
      <c r="C22" s="135"/>
      <c r="D22" s="353"/>
      <c r="E22" s="135"/>
      <c r="F22" s="135"/>
      <c r="G22" s="135"/>
      <c r="H22" s="135"/>
      <c r="I22" s="131"/>
      <c r="J22" s="131"/>
      <c r="K22" s="125"/>
      <c r="L22" s="125"/>
      <c r="M22" s="125"/>
      <c r="N22" s="125"/>
      <c r="O22" s="125"/>
      <c r="P22" s="125"/>
      <c r="Q22" s="125"/>
      <c r="R22" s="125"/>
      <c r="S22" s="125"/>
      <c r="T22" s="354"/>
      <c r="U22" s="354"/>
      <c r="V22" s="354"/>
    </row>
    <row r="23" ht="19.5" customHeight="1">
      <c r="A23" s="135"/>
      <c r="B23" s="135"/>
      <c r="C23" s="135"/>
      <c r="D23" s="135"/>
      <c r="E23" s="135"/>
      <c r="F23" s="135"/>
      <c r="G23" s="135"/>
      <c r="H23" s="135"/>
      <c r="I23" s="131"/>
      <c r="J23" s="131"/>
      <c r="K23" s="125"/>
      <c r="L23" s="125"/>
      <c r="M23" s="125"/>
      <c r="N23" s="156"/>
      <c r="O23" s="125"/>
      <c r="P23" s="125"/>
      <c r="Q23" s="125"/>
      <c r="R23" s="125"/>
      <c r="S23" s="125"/>
      <c r="T23" s="354"/>
      <c r="U23" s="354"/>
      <c r="V23" s="354"/>
    </row>
    <row r="24" ht="19.5" customHeight="1">
      <c r="A24" s="135"/>
      <c r="B24" s="135"/>
      <c r="C24" s="125"/>
      <c r="D24" s="125"/>
      <c r="E24" s="125"/>
      <c r="F24" s="125"/>
      <c r="G24" s="125"/>
      <c r="H24" s="125"/>
      <c r="I24" s="131"/>
      <c r="J24" s="131"/>
      <c r="K24" s="125"/>
      <c r="L24" s="125"/>
      <c r="M24" s="125"/>
      <c r="N24" s="156"/>
      <c r="O24" s="125"/>
      <c r="P24" s="125"/>
      <c r="Q24" s="125"/>
      <c r="R24" s="125"/>
      <c r="S24" s="125"/>
      <c r="T24" s="354"/>
      <c r="U24" s="354"/>
      <c r="V24" s="354"/>
    </row>
    <row r="25" ht="19.5" customHeight="1">
      <c r="A25" s="135"/>
      <c r="B25" s="135"/>
      <c r="C25" s="125"/>
      <c r="D25" s="125"/>
      <c r="E25" s="125"/>
      <c r="F25" s="125"/>
      <c r="G25" s="125"/>
      <c r="H25" s="125"/>
      <c r="I25" s="131"/>
      <c r="J25" s="131"/>
      <c r="K25" s="125"/>
      <c r="L25" s="125"/>
      <c r="M25" s="125"/>
      <c r="N25" s="156"/>
      <c r="O25" s="135"/>
      <c r="P25" s="125"/>
      <c r="Q25" s="125"/>
      <c r="R25" s="125"/>
      <c r="S25" s="125"/>
      <c r="T25" s="354"/>
      <c r="U25" s="354"/>
      <c r="V25" s="354"/>
    </row>
    <row r="26" ht="19.5" customHeight="1">
      <c r="A26" s="135"/>
      <c r="B26" s="135"/>
      <c r="C26" s="125"/>
      <c r="D26" s="125"/>
      <c r="E26" s="125"/>
      <c r="F26" s="125"/>
      <c r="G26" s="125"/>
      <c r="H26" s="125"/>
      <c r="I26" s="131"/>
      <c r="J26" s="131"/>
      <c r="K26" s="125"/>
      <c r="L26" s="125"/>
      <c r="M26" s="125"/>
      <c r="N26" s="156"/>
      <c r="O26" s="125"/>
      <c r="P26" s="125"/>
      <c r="Q26" s="125"/>
      <c r="R26" s="125"/>
      <c r="S26" s="359"/>
      <c r="T26" s="354"/>
      <c r="U26" s="354"/>
      <c r="V26" s="354"/>
    </row>
    <row r="27" ht="19.5" customHeight="1">
      <c r="A27" s="135"/>
      <c r="B27" s="135"/>
      <c r="C27" s="125"/>
      <c r="D27" s="125"/>
      <c r="E27" s="125"/>
      <c r="F27" s="125"/>
      <c r="G27" s="125"/>
      <c r="H27" s="125"/>
      <c r="I27" s="131"/>
      <c r="J27" s="131"/>
      <c r="K27" s="125"/>
      <c r="L27" s="125"/>
      <c r="M27" s="125"/>
      <c r="N27" s="360"/>
      <c r="O27" s="125"/>
      <c r="P27" s="125"/>
      <c r="Q27" s="125"/>
      <c r="R27" s="125"/>
      <c r="S27" s="125"/>
      <c r="T27" s="354"/>
      <c r="U27" s="354"/>
      <c r="V27" s="354"/>
    </row>
    <row r="28" ht="19.5" customHeight="1">
      <c r="A28" s="135"/>
      <c r="B28" s="124"/>
      <c r="C28" s="125"/>
      <c r="D28" s="125"/>
      <c r="E28" s="125"/>
      <c r="F28" s="125"/>
      <c r="G28" s="125"/>
      <c r="H28" s="125"/>
      <c r="I28" s="131"/>
      <c r="J28" s="131"/>
      <c r="K28" s="125"/>
      <c r="L28" s="125"/>
      <c r="M28" s="125"/>
      <c r="N28" s="361"/>
      <c r="O28" s="125"/>
      <c r="P28" s="125"/>
      <c r="Q28" s="125"/>
      <c r="R28" s="125"/>
      <c r="S28" s="254"/>
      <c r="T28" s="354"/>
      <c r="U28" s="354"/>
      <c r="V28" s="354"/>
    </row>
    <row r="29" ht="19.5" customHeight="1">
      <c r="A29" s="135"/>
      <c r="B29" s="124"/>
      <c r="C29" s="125"/>
      <c r="D29" s="125"/>
      <c r="E29" s="125"/>
      <c r="F29" s="125"/>
      <c r="G29" s="125"/>
      <c r="H29" s="125"/>
      <c r="I29" s="131"/>
      <c r="J29" s="131"/>
      <c r="K29" s="125"/>
      <c r="L29" s="125"/>
      <c r="M29" s="125"/>
      <c r="N29" s="361"/>
      <c r="O29" s="125"/>
      <c r="P29" s="125"/>
      <c r="Q29" s="125"/>
      <c r="R29" s="125"/>
      <c r="S29" s="254"/>
      <c r="T29" s="354"/>
      <c r="U29" s="354"/>
      <c r="V29" s="354"/>
    </row>
    <row r="30" ht="19.5" customHeight="1">
      <c r="A30" s="135"/>
      <c r="B30" s="124"/>
      <c r="C30" s="125"/>
      <c r="D30" s="125"/>
      <c r="E30" s="125"/>
      <c r="F30" s="125"/>
      <c r="G30" s="125"/>
      <c r="H30" s="125"/>
      <c r="I30" s="131"/>
      <c r="J30" s="131"/>
      <c r="K30" s="125"/>
      <c r="L30" s="125"/>
      <c r="M30" s="125"/>
      <c r="N30" s="250"/>
      <c r="O30" s="125"/>
      <c r="P30" s="125"/>
      <c r="Q30" s="125"/>
      <c r="R30" s="125"/>
      <c r="S30" s="125"/>
      <c r="T30" s="354"/>
      <c r="U30" s="354"/>
      <c r="V30" s="354"/>
    </row>
    <row r="31" ht="19.5" customHeight="1">
      <c r="A31" s="135"/>
      <c r="B31" s="125"/>
      <c r="C31" s="362"/>
      <c r="D31" s="125"/>
      <c r="E31" s="362"/>
      <c r="F31" s="125"/>
      <c r="G31" s="125"/>
      <c r="H31" s="125"/>
      <c r="I31" s="131"/>
      <c r="J31" s="131"/>
      <c r="K31" s="125"/>
      <c r="L31" s="125"/>
      <c r="M31" s="125"/>
      <c r="N31" s="250"/>
      <c r="O31" s="125"/>
      <c r="P31" s="125"/>
      <c r="Q31" s="125"/>
      <c r="R31" s="125"/>
      <c r="S31" s="259"/>
      <c r="T31" s="354"/>
      <c r="U31" s="354"/>
      <c r="V31" s="354"/>
    </row>
    <row r="32" ht="19.5" customHeight="1">
      <c r="A32" s="135"/>
      <c r="B32" s="125"/>
      <c r="C32" s="362"/>
      <c r="D32" s="125"/>
      <c r="E32" s="362"/>
      <c r="F32" s="125"/>
      <c r="G32" s="125"/>
      <c r="H32" s="125"/>
      <c r="I32" s="131"/>
      <c r="J32" s="131"/>
      <c r="K32" s="125"/>
      <c r="L32" s="125"/>
      <c r="M32" s="125"/>
      <c r="N32" s="361"/>
      <c r="O32" s="125"/>
      <c r="P32" s="125"/>
      <c r="Q32" s="125"/>
      <c r="R32" s="125"/>
      <c r="S32" s="259"/>
      <c r="T32" s="354"/>
      <c r="U32" s="354"/>
      <c r="V32" s="354"/>
    </row>
    <row r="33" ht="19.5" customHeight="1">
      <c r="A33" s="135"/>
      <c r="B33" s="125"/>
      <c r="C33" s="362"/>
      <c r="D33" s="125"/>
      <c r="E33" s="362"/>
      <c r="F33" s="125"/>
      <c r="G33" s="125"/>
      <c r="H33" s="125"/>
      <c r="I33" s="131"/>
      <c r="J33" s="131"/>
      <c r="K33" s="125"/>
      <c r="L33" s="125"/>
      <c r="M33" s="125"/>
      <c r="N33" s="361"/>
      <c r="O33" s="125"/>
      <c r="P33" s="125"/>
      <c r="Q33" s="125"/>
      <c r="R33" s="125"/>
      <c r="S33" s="125"/>
      <c r="T33" s="354"/>
      <c r="U33" s="354"/>
      <c r="V33" s="354"/>
    </row>
    <row r="34" ht="19.5" customHeight="1">
      <c r="A34" s="135"/>
      <c r="B34" s="125"/>
      <c r="C34" s="362"/>
      <c r="D34" s="195"/>
      <c r="E34" s="362"/>
      <c r="F34" s="125"/>
      <c r="G34" s="125"/>
      <c r="H34" s="125"/>
      <c r="I34" s="131"/>
      <c r="J34" s="131"/>
      <c r="K34" s="125"/>
      <c r="L34" s="125"/>
      <c r="M34" s="125"/>
      <c r="N34" s="144"/>
      <c r="O34" s="125"/>
      <c r="P34" s="125"/>
      <c r="Q34" s="125"/>
      <c r="R34" s="125"/>
      <c r="S34" s="125"/>
      <c r="T34" s="354"/>
      <c r="U34" s="354"/>
      <c r="V34" s="354"/>
    </row>
    <row r="35" ht="19.5" customHeight="1">
      <c r="A35" s="135"/>
      <c r="B35" s="125"/>
      <c r="C35" s="362"/>
      <c r="D35" s="125"/>
      <c r="E35" s="362"/>
      <c r="F35" s="125"/>
      <c r="G35" s="125"/>
      <c r="H35" s="125"/>
      <c r="I35" s="131"/>
      <c r="J35" s="131"/>
      <c r="K35" s="125"/>
      <c r="L35" s="125"/>
      <c r="M35" s="125"/>
      <c r="N35" s="144"/>
      <c r="O35" s="125"/>
      <c r="P35" s="125"/>
      <c r="Q35" s="125"/>
      <c r="R35" s="125"/>
      <c r="S35" s="125"/>
      <c r="T35" s="354"/>
      <c r="U35" s="354"/>
      <c r="V35" s="354"/>
    </row>
    <row r="36" ht="19.5" customHeight="1">
      <c r="A36" s="135"/>
      <c r="B36" s="125"/>
      <c r="C36" s="362"/>
      <c r="D36" s="125"/>
      <c r="E36" s="362"/>
      <c r="F36" s="125"/>
      <c r="G36" s="125"/>
      <c r="H36" s="125"/>
      <c r="I36" s="131"/>
      <c r="J36" s="131"/>
      <c r="K36" s="125"/>
      <c r="L36" s="125"/>
      <c r="M36" s="125"/>
      <c r="N36" s="144"/>
      <c r="O36" s="125"/>
      <c r="P36" s="173"/>
      <c r="Q36" s="173"/>
      <c r="R36" s="125"/>
      <c r="S36" s="125"/>
      <c r="T36" s="354"/>
      <c r="U36" s="354"/>
      <c r="V36" s="354"/>
    </row>
    <row r="37" ht="19.5" customHeight="1">
      <c r="A37" s="135"/>
      <c r="B37" s="125"/>
      <c r="C37" s="362"/>
      <c r="D37" s="125"/>
      <c r="E37" s="362"/>
      <c r="F37" s="125"/>
      <c r="G37" s="125"/>
      <c r="H37" s="125"/>
      <c r="I37" s="131"/>
      <c r="J37" s="131"/>
      <c r="K37" s="125"/>
      <c r="L37" s="125"/>
      <c r="M37" s="125"/>
      <c r="N37" s="144"/>
      <c r="O37" s="125"/>
      <c r="P37" s="173"/>
      <c r="Q37" s="173"/>
      <c r="R37" s="125"/>
      <c r="S37" s="125"/>
      <c r="T37" s="354"/>
      <c r="U37" s="354"/>
      <c r="V37" s="354"/>
    </row>
    <row r="38" ht="19.5" customHeight="1">
      <c r="A38" s="135"/>
      <c r="B38" s="124"/>
      <c r="C38" s="125"/>
      <c r="D38" s="125"/>
      <c r="E38" s="125"/>
      <c r="F38" s="125"/>
      <c r="G38" s="125"/>
      <c r="H38" s="125"/>
      <c r="I38" s="131"/>
      <c r="J38" s="131"/>
      <c r="K38" s="125"/>
      <c r="L38" s="125"/>
      <c r="M38" s="125"/>
      <c r="N38" s="144"/>
      <c r="O38" s="125"/>
      <c r="P38" s="173"/>
      <c r="Q38" s="173"/>
      <c r="R38" s="173"/>
      <c r="S38" s="173"/>
      <c r="T38" s="354"/>
      <c r="U38" s="354"/>
      <c r="V38" s="354"/>
    </row>
    <row r="39" ht="19.5" customHeight="1">
      <c r="A39" s="135"/>
      <c r="B39" s="124"/>
      <c r="C39" s="125"/>
      <c r="D39" s="125"/>
      <c r="E39" s="125"/>
      <c r="F39" s="125"/>
      <c r="G39" s="125"/>
      <c r="H39" s="125"/>
      <c r="I39" s="131"/>
      <c r="J39" s="131"/>
      <c r="K39" s="125"/>
      <c r="L39" s="125"/>
      <c r="M39" s="125"/>
      <c r="N39" s="144"/>
      <c r="O39" s="125"/>
      <c r="P39" s="125"/>
      <c r="Q39" s="125"/>
      <c r="R39" s="125"/>
      <c r="S39" s="173"/>
      <c r="T39" s="354"/>
      <c r="U39" s="354"/>
      <c r="V39" s="354"/>
    </row>
    <row r="40" ht="19.5" customHeight="1">
      <c r="A40" s="135"/>
      <c r="B40" s="124"/>
      <c r="C40" s="125"/>
      <c r="D40" s="125"/>
      <c r="E40" s="125"/>
      <c r="F40" s="125"/>
      <c r="G40" s="125"/>
      <c r="H40" s="125"/>
      <c r="I40" s="131"/>
      <c r="J40" s="131"/>
      <c r="K40" s="125"/>
      <c r="L40" s="125"/>
      <c r="M40" s="125"/>
      <c r="N40" s="125"/>
      <c r="O40" s="125"/>
      <c r="P40" s="125"/>
      <c r="Q40" s="125"/>
      <c r="R40" s="125"/>
      <c r="S40" s="125"/>
      <c r="T40" s="354"/>
      <c r="U40" s="354"/>
      <c r="V40" s="354"/>
    </row>
    <row r="41" ht="19.5" customHeight="1">
      <c r="A41" s="135"/>
      <c r="B41" s="124"/>
      <c r="C41" s="125"/>
      <c r="D41" s="125"/>
      <c r="E41" s="125"/>
      <c r="F41" s="125"/>
      <c r="G41" s="125"/>
      <c r="H41" s="125"/>
      <c r="I41" s="131"/>
      <c r="J41" s="131"/>
      <c r="K41" s="125"/>
      <c r="L41" s="125"/>
      <c r="M41" s="125"/>
      <c r="N41" s="125"/>
      <c r="O41" s="125"/>
      <c r="P41" s="125"/>
      <c r="Q41" s="125"/>
      <c r="R41" s="125"/>
      <c r="S41" s="125"/>
      <c r="T41" s="354"/>
      <c r="U41" s="354"/>
      <c r="V41" s="354"/>
    </row>
    <row r="42" ht="19.5" customHeight="1">
      <c r="A42" s="135"/>
      <c r="B42" s="124"/>
      <c r="C42" s="125"/>
      <c r="D42" s="125"/>
      <c r="E42" s="125"/>
      <c r="F42" s="125"/>
      <c r="G42" s="125"/>
      <c r="H42" s="125"/>
      <c r="I42" s="131"/>
      <c r="J42" s="131"/>
      <c r="K42" s="125"/>
      <c r="L42" s="125"/>
      <c r="M42" s="125"/>
      <c r="N42" s="125"/>
      <c r="O42" s="125"/>
      <c r="P42" s="125"/>
      <c r="Q42" s="125"/>
      <c r="R42" s="125"/>
      <c r="S42" s="173"/>
      <c r="T42" s="363"/>
      <c r="U42" s="363" t="s">
        <v>335</v>
      </c>
      <c r="V42" s="354"/>
    </row>
    <row r="43" ht="19.5" customHeight="1">
      <c r="A43" s="135"/>
      <c r="B43" s="124"/>
      <c r="C43" s="125"/>
      <c r="D43" s="125"/>
      <c r="E43" s="125"/>
      <c r="F43" s="125"/>
      <c r="G43" s="125"/>
      <c r="H43" s="125"/>
      <c r="I43" s="131"/>
      <c r="J43" s="131"/>
      <c r="K43" s="125"/>
      <c r="L43" s="125"/>
      <c r="M43" s="125"/>
      <c r="N43" s="144"/>
      <c r="O43" s="125"/>
      <c r="P43" s="125"/>
      <c r="Q43" s="125"/>
      <c r="R43" s="125"/>
      <c r="S43" s="125"/>
      <c r="T43" s="354"/>
      <c r="U43" s="354"/>
      <c r="V43" s="354"/>
    </row>
    <row r="44" ht="19.5" customHeight="1">
      <c r="A44" s="135"/>
      <c r="B44" s="124"/>
      <c r="C44" s="125"/>
      <c r="D44" s="125"/>
      <c r="E44" s="125"/>
      <c r="F44" s="125"/>
      <c r="G44" s="125"/>
      <c r="H44" s="125"/>
      <c r="I44" s="131"/>
      <c r="J44" s="131"/>
      <c r="K44" s="125"/>
      <c r="L44" s="125"/>
      <c r="M44" s="125"/>
      <c r="N44" s="144"/>
      <c r="O44" s="125"/>
      <c r="P44" s="125"/>
      <c r="Q44" s="125"/>
      <c r="R44" s="125"/>
      <c r="S44" s="125"/>
      <c r="T44" s="354"/>
      <c r="U44" s="354"/>
      <c r="V44" s="354"/>
    </row>
    <row r="45" ht="19.5" customHeight="1">
      <c r="A45" s="135"/>
      <c r="B45" s="124"/>
      <c r="C45" s="125"/>
      <c r="D45" s="125"/>
      <c r="E45" s="125"/>
      <c r="F45" s="125"/>
      <c r="G45" s="125"/>
      <c r="H45" s="125"/>
      <c r="I45" s="131"/>
      <c r="J45" s="131"/>
      <c r="K45" s="125"/>
      <c r="L45" s="222"/>
      <c r="M45" s="125"/>
      <c r="N45" s="144"/>
      <c r="O45" s="125"/>
      <c r="P45" s="125"/>
      <c r="Q45" s="125"/>
      <c r="R45" s="125"/>
      <c r="S45" s="125"/>
      <c r="T45" s="354"/>
      <c r="U45" s="354"/>
      <c r="V45" s="354"/>
    </row>
    <row r="46" ht="19.5" customHeight="1">
      <c r="A46" s="135"/>
      <c r="B46" s="124"/>
      <c r="C46" s="125"/>
      <c r="D46" s="125"/>
      <c r="E46" s="125"/>
      <c r="F46" s="125"/>
      <c r="G46" s="125"/>
      <c r="H46" s="125"/>
      <c r="I46" s="131"/>
      <c r="J46" s="131"/>
      <c r="K46" s="125"/>
      <c r="L46" s="125"/>
      <c r="M46" s="125"/>
      <c r="N46" s="144"/>
      <c r="O46" s="125"/>
      <c r="P46" s="125"/>
      <c r="Q46" s="125"/>
      <c r="R46" s="125"/>
      <c r="S46" s="125"/>
      <c r="T46" s="354"/>
      <c r="U46" s="354"/>
      <c r="V46" s="354"/>
    </row>
    <row r="47" ht="19.5" customHeight="1">
      <c r="A47" s="135"/>
      <c r="B47" s="124"/>
      <c r="C47" s="125"/>
      <c r="D47" s="125"/>
      <c r="E47" s="125"/>
      <c r="F47" s="125"/>
      <c r="G47" s="125"/>
      <c r="H47" s="125"/>
      <c r="I47" s="131"/>
      <c r="J47" s="131"/>
      <c r="K47" s="125"/>
      <c r="L47" s="206"/>
      <c r="M47" s="206"/>
      <c r="N47" s="144"/>
      <c r="O47" s="206"/>
      <c r="P47" s="206"/>
      <c r="Q47" s="206"/>
      <c r="R47" s="206"/>
      <c r="S47" s="206"/>
      <c r="T47" s="354"/>
      <c r="U47" s="354"/>
      <c r="V47" s="354"/>
    </row>
    <row r="48" ht="19.5" customHeight="1">
      <c r="A48" s="135"/>
      <c r="B48" s="124"/>
      <c r="C48" s="125"/>
      <c r="D48" s="125"/>
      <c r="E48" s="125"/>
      <c r="F48" s="125"/>
      <c r="G48" s="125"/>
      <c r="H48" s="125"/>
      <c r="I48" s="131"/>
      <c r="J48" s="131"/>
      <c r="K48" s="206"/>
      <c r="L48" s="206"/>
      <c r="M48" s="206"/>
      <c r="N48" s="364"/>
      <c r="O48" s="206"/>
      <c r="P48" s="206"/>
      <c r="Q48" s="206"/>
      <c r="R48" s="206"/>
      <c r="S48" s="206"/>
      <c r="T48" s="354"/>
      <c r="U48" s="354"/>
      <c r="V48" s="354"/>
    </row>
    <row r="49" ht="19.5" customHeight="1">
      <c r="A49" s="135"/>
      <c r="B49" s="124"/>
      <c r="C49" s="125"/>
      <c r="D49" s="125"/>
      <c r="E49" s="125"/>
      <c r="F49" s="125"/>
      <c r="G49" s="125"/>
      <c r="H49" s="125"/>
      <c r="I49" s="131"/>
      <c r="J49" s="131"/>
      <c r="K49" s="206"/>
      <c r="L49" s="206"/>
      <c r="M49" s="206"/>
      <c r="N49" s="364"/>
      <c r="O49" s="206"/>
      <c r="P49" s="206"/>
      <c r="Q49" s="206"/>
      <c r="R49" s="206"/>
      <c r="S49" s="206"/>
      <c r="T49" s="354"/>
      <c r="U49" s="354"/>
      <c r="V49" s="354"/>
    </row>
    <row r="50" ht="19.5" customHeight="1">
      <c r="A50" s="135"/>
      <c r="B50" s="124"/>
      <c r="C50" s="125"/>
      <c r="D50" s="125"/>
      <c r="E50" s="125"/>
      <c r="F50" s="125"/>
      <c r="G50" s="125"/>
      <c r="H50" s="125"/>
      <c r="I50" s="131"/>
      <c r="J50" s="131"/>
      <c r="K50" s="206"/>
      <c r="L50" s="206"/>
      <c r="M50" s="206"/>
      <c r="N50" s="364"/>
      <c r="O50" s="206"/>
      <c r="P50" s="206"/>
      <c r="Q50" s="206"/>
      <c r="R50" s="206"/>
      <c r="S50" s="206"/>
      <c r="T50" s="354"/>
      <c r="U50" s="354"/>
      <c r="V50" s="354"/>
    </row>
    <row r="51" ht="19.5" customHeight="1">
      <c r="A51" s="135"/>
      <c r="B51" s="124"/>
      <c r="C51" s="125"/>
      <c r="D51" s="125"/>
      <c r="E51" s="125"/>
      <c r="F51" s="125"/>
      <c r="G51" s="125"/>
      <c r="H51" s="125"/>
      <c r="I51" s="131"/>
      <c r="J51" s="131"/>
      <c r="K51" s="125"/>
      <c r="L51" s="222"/>
      <c r="M51" s="222"/>
      <c r="N51" s="144"/>
      <c r="O51" s="125"/>
      <c r="P51" s="125"/>
      <c r="Q51" s="125"/>
      <c r="R51" s="125"/>
      <c r="S51" s="125"/>
      <c r="T51" s="354"/>
      <c r="U51" s="354"/>
      <c r="V51" s="354"/>
    </row>
    <row r="52" ht="19.5" customHeight="1">
      <c r="A52" s="135"/>
      <c r="B52" s="124"/>
      <c r="C52" s="125"/>
      <c r="D52" s="125"/>
      <c r="E52" s="125"/>
      <c r="F52" s="125"/>
      <c r="G52" s="125"/>
      <c r="H52" s="125"/>
      <c r="I52" s="131"/>
      <c r="J52" s="131"/>
      <c r="K52" s="206"/>
      <c r="L52" s="206"/>
      <c r="M52" s="206"/>
      <c r="N52" s="364"/>
      <c r="O52" s="206"/>
      <c r="P52" s="206"/>
      <c r="Q52" s="206"/>
      <c r="R52" s="206"/>
      <c r="S52" s="206"/>
      <c r="T52" s="354"/>
      <c r="U52" s="354"/>
      <c r="V52" s="354"/>
    </row>
    <row r="53" ht="19.5" customHeight="1">
      <c r="A53" s="135"/>
      <c r="B53" s="269"/>
      <c r="C53" s="125"/>
      <c r="D53" s="125"/>
      <c r="E53" s="125"/>
      <c r="F53" s="125"/>
      <c r="G53" s="125"/>
      <c r="H53" s="125"/>
      <c r="I53" s="131"/>
      <c r="J53" s="131"/>
      <c r="K53" s="206"/>
      <c r="L53" s="206"/>
      <c r="M53" s="206"/>
      <c r="N53" s="364"/>
      <c r="O53" s="206"/>
      <c r="P53" s="206"/>
      <c r="Q53" s="206"/>
      <c r="R53" s="206"/>
      <c r="S53" s="206"/>
      <c r="T53" s="354"/>
      <c r="U53" s="354"/>
      <c r="V53" s="354"/>
    </row>
    <row r="54" ht="19.5" customHeight="1">
      <c r="A54" s="135"/>
      <c r="B54" s="124"/>
      <c r="C54" s="125"/>
      <c r="D54" s="125"/>
      <c r="E54" s="125"/>
      <c r="F54" s="125"/>
      <c r="G54" s="125"/>
      <c r="H54" s="125"/>
      <c r="I54" s="131"/>
      <c r="J54" s="131"/>
      <c r="K54" s="206"/>
      <c r="L54" s="206"/>
      <c r="M54" s="206"/>
      <c r="N54" s="364"/>
      <c r="O54" s="206"/>
      <c r="P54" s="206"/>
      <c r="Q54" s="206"/>
      <c r="R54" s="206"/>
      <c r="S54" s="206"/>
      <c r="T54" s="354"/>
      <c r="U54" s="354"/>
      <c r="V54" s="354"/>
    </row>
    <row r="55" ht="19.5" customHeight="1">
      <c r="A55" s="135"/>
      <c r="B55" s="124"/>
      <c r="C55" s="125"/>
      <c r="D55" s="125"/>
      <c r="E55" s="125"/>
      <c r="F55" s="125"/>
      <c r="G55" s="125"/>
      <c r="H55" s="125"/>
      <c r="I55" s="131"/>
      <c r="J55" s="131"/>
      <c r="K55" s="206"/>
      <c r="L55" s="206"/>
      <c r="M55" s="206"/>
      <c r="N55" s="364"/>
      <c r="O55" s="206"/>
      <c r="P55" s="206"/>
      <c r="Q55" s="206"/>
      <c r="R55" s="206"/>
      <c r="S55" s="206"/>
      <c r="T55" s="354"/>
      <c r="U55" s="354"/>
      <c r="V55" s="354"/>
    </row>
    <row r="56" ht="19.5" customHeight="1">
      <c r="A56" s="135"/>
      <c r="B56" s="124"/>
      <c r="C56" s="125"/>
      <c r="D56" s="125"/>
      <c r="E56" s="125"/>
      <c r="F56" s="125"/>
      <c r="G56" s="125"/>
      <c r="H56" s="125"/>
      <c r="I56" s="131"/>
      <c r="J56" s="131"/>
      <c r="K56" s="206"/>
      <c r="L56" s="206"/>
      <c r="M56" s="125"/>
      <c r="N56" s="144"/>
      <c r="O56" s="206"/>
      <c r="P56" s="206"/>
      <c r="Q56" s="206"/>
      <c r="R56" s="206"/>
      <c r="S56" s="206"/>
      <c r="T56" s="354"/>
      <c r="U56" s="354"/>
      <c r="V56" s="354"/>
    </row>
    <row r="57" ht="19.5" customHeight="1">
      <c r="A57" s="135"/>
      <c r="B57" s="124"/>
      <c r="C57" s="125"/>
      <c r="D57" s="125"/>
      <c r="E57" s="125"/>
      <c r="F57" s="125"/>
      <c r="G57" s="125"/>
      <c r="H57" s="125"/>
      <c r="I57" s="131"/>
      <c r="J57" s="131"/>
      <c r="K57" s="125"/>
      <c r="L57" s="125"/>
      <c r="M57" s="125"/>
      <c r="N57" s="144"/>
      <c r="O57" s="125"/>
      <c r="P57" s="125"/>
      <c r="Q57" s="125"/>
      <c r="R57" s="125"/>
      <c r="S57" s="125"/>
      <c r="T57" s="354"/>
      <c r="U57" s="354"/>
      <c r="V57" s="354"/>
    </row>
    <row r="58" ht="19.5" customHeight="1">
      <c r="A58" s="135"/>
      <c r="B58" s="124"/>
      <c r="C58" s="125"/>
      <c r="D58" s="125"/>
      <c r="E58" s="125"/>
      <c r="F58" s="125"/>
      <c r="G58" s="125"/>
      <c r="H58" s="125"/>
      <c r="I58" s="131"/>
      <c r="J58" s="131"/>
      <c r="K58" s="125"/>
      <c r="L58" s="125"/>
      <c r="M58" s="125"/>
      <c r="N58" s="144"/>
      <c r="O58" s="125"/>
      <c r="P58" s="125"/>
      <c r="Q58" s="125"/>
      <c r="R58" s="125"/>
      <c r="S58" s="125"/>
      <c r="T58" s="354"/>
      <c r="U58" s="354"/>
      <c r="V58" s="354"/>
    </row>
    <row r="59" ht="19.5" customHeight="1">
      <c r="A59" s="135"/>
      <c r="B59" s="124"/>
      <c r="C59" s="125"/>
      <c r="D59" s="125"/>
      <c r="E59" s="125"/>
      <c r="F59" s="125"/>
      <c r="G59" s="125"/>
      <c r="H59" s="125"/>
      <c r="I59" s="131"/>
      <c r="J59" s="131"/>
      <c r="K59" s="125"/>
      <c r="L59" s="125"/>
      <c r="M59" s="125"/>
      <c r="N59" s="144"/>
      <c r="O59" s="125"/>
      <c r="P59" s="125"/>
      <c r="Q59" s="125"/>
      <c r="R59" s="125"/>
      <c r="S59" s="135"/>
      <c r="T59" s="354"/>
      <c r="U59" s="354"/>
      <c r="V59" s="354"/>
    </row>
    <row r="60" ht="19.5" customHeight="1">
      <c r="A60" s="135"/>
      <c r="B60" s="124"/>
      <c r="C60" s="125"/>
      <c r="D60" s="125"/>
      <c r="E60" s="125"/>
      <c r="F60" s="125"/>
      <c r="G60" s="125"/>
      <c r="H60" s="125"/>
      <c r="I60" s="131"/>
      <c r="J60" s="131"/>
      <c r="K60" s="125"/>
      <c r="L60" s="125"/>
      <c r="M60" s="125"/>
      <c r="N60" s="144"/>
      <c r="O60" s="125"/>
      <c r="P60" s="125"/>
      <c r="Q60" s="125"/>
      <c r="R60" s="125"/>
      <c r="S60" s="125"/>
      <c r="T60" s="354"/>
      <c r="U60" s="354"/>
      <c r="V60" s="354"/>
    </row>
    <row r="61" ht="19.5" customHeight="1">
      <c r="A61" s="135"/>
      <c r="B61" s="124"/>
      <c r="C61" s="125"/>
      <c r="D61" s="125"/>
      <c r="E61" s="125"/>
      <c r="F61" s="125"/>
      <c r="G61" s="125"/>
      <c r="H61" s="125"/>
      <c r="I61" s="131"/>
      <c r="J61" s="131"/>
      <c r="K61" s="125"/>
      <c r="L61" s="125"/>
      <c r="M61" s="125"/>
      <c r="N61" s="144"/>
      <c r="O61" s="125"/>
      <c r="P61" s="125"/>
      <c r="Q61" s="125"/>
      <c r="R61" s="125"/>
      <c r="S61" s="125"/>
      <c r="T61" s="354"/>
      <c r="U61" s="354"/>
      <c r="V61" s="354"/>
    </row>
    <row r="62" ht="19.5" customHeight="1">
      <c r="A62" s="135"/>
      <c r="B62" s="124"/>
      <c r="C62" s="125"/>
      <c r="D62" s="125"/>
      <c r="E62" s="125"/>
      <c r="F62" s="125"/>
      <c r="G62" s="125"/>
      <c r="H62" s="125"/>
      <c r="I62" s="131"/>
      <c r="J62" s="131"/>
      <c r="K62" s="125"/>
      <c r="L62" s="125"/>
      <c r="M62" s="125"/>
      <c r="N62" s="144"/>
      <c r="O62" s="125"/>
      <c r="P62" s="125"/>
      <c r="Q62" s="125"/>
      <c r="R62" s="125"/>
      <c r="S62" s="125"/>
      <c r="T62" s="354"/>
      <c r="U62" s="354"/>
      <c r="V62" s="354"/>
    </row>
    <row r="63" ht="19.5" customHeight="1">
      <c r="A63" s="135"/>
      <c r="B63" s="124"/>
      <c r="C63" s="125"/>
      <c r="D63" s="125"/>
      <c r="E63" s="125"/>
      <c r="F63" s="125"/>
      <c r="G63" s="125"/>
      <c r="H63" s="125"/>
      <c r="I63" s="131"/>
      <c r="J63" s="131"/>
      <c r="K63" s="125"/>
      <c r="L63" s="125"/>
      <c r="M63" s="125"/>
      <c r="N63" s="144"/>
      <c r="O63" s="125"/>
      <c r="P63" s="125"/>
      <c r="Q63" s="125"/>
      <c r="R63" s="125"/>
      <c r="S63" s="125"/>
      <c r="T63" s="354"/>
      <c r="U63" s="354"/>
      <c r="V63" s="354"/>
    </row>
    <row r="64" ht="19.5" customHeight="1">
      <c r="A64" s="135"/>
      <c r="B64" s="124"/>
      <c r="C64" s="125"/>
      <c r="D64" s="125"/>
      <c r="E64" s="125"/>
      <c r="F64" s="125"/>
      <c r="G64" s="125"/>
      <c r="H64" s="125"/>
      <c r="I64" s="131"/>
      <c r="J64" s="131"/>
      <c r="K64" s="125"/>
      <c r="L64" s="125"/>
      <c r="M64" s="125"/>
      <c r="N64" s="144"/>
      <c r="O64" s="125"/>
      <c r="P64" s="125"/>
      <c r="Q64" s="125"/>
      <c r="R64" s="206"/>
      <c r="S64" s="125"/>
      <c r="T64" s="354"/>
      <c r="U64" s="354"/>
      <c r="V64" s="354"/>
    </row>
    <row r="65" ht="19.5" customHeight="1">
      <c r="A65" s="135"/>
      <c r="B65" s="124"/>
      <c r="C65" s="125"/>
      <c r="D65" s="125"/>
      <c r="E65" s="125"/>
      <c r="F65" s="125"/>
      <c r="G65" s="125"/>
      <c r="H65" s="125"/>
      <c r="I65" s="131"/>
      <c r="J65" s="131"/>
      <c r="K65" s="125"/>
      <c r="L65" s="125"/>
      <c r="M65" s="125"/>
      <c r="N65" s="144"/>
      <c r="O65" s="125"/>
      <c r="P65" s="125"/>
      <c r="Q65" s="125"/>
      <c r="R65" s="125"/>
      <c r="S65" s="254"/>
      <c r="T65" s="354"/>
      <c r="U65" s="354"/>
      <c r="V65" s="354"/>
    </row>
    <row r="66" ht="19.5" customHeight="1">
      <c r="A66" s="135"/>
      <c r="B66" s="124"/>
      <c r="C66" s="125"/>
      <c r="D66" s="125"/>
      <c r="E66" s="125"/>
      <c r="F66" s="125"/>
      <c r="G66" s="125"/>
      <c r="H66" s="125"/>
      <c r="I66" s="131"/>
      <c r="J66" s="131"/>
      <c r="K66" s="125"/>
      <c r="L66" s="125"/>
      <c r="M66" s="125"/>
      <c r="N66" s="144"/>
      <c r="O66" s="125"/>
      <c r="P66" s="125"/>
      <c r="Q66" s="125"/>
      <c r="R66" s="125"/>
      <c r="S66" s="130"/>
      <c r="T66" s="354"/>
      <c r="U66" s="354"/>
      <c r="V66" s="354"/>
    </row>
    <row r="67" ht="19.5" customHeight="1">
      <c r="A67" s="135"/>
      <c r="B67" s="124"/>
      <c r="C67" s="125"/>
      <c r="D67" s="125"/>
      <c r="E67" s="125"/>
      <c r="F67" s="125"/>
      <c r="G67" s="125"/>
      <c r="H67" s="125"/>
      <c r="I67" s="131"/>
      <c r="J67" s="131"/>
      <c r="K67" s="125"/>
      <c r="L67" s="125"/>
      <c r="M67" s="125"/>
      <c r="N67" s="173"/>
      <c r="O67" s="125"/>
      <c r="P67" s="125"/>
      <c r="Q67" s="125"/>
      <c r="R67" s="125"/>
      <c r="S67" s="254"/>
      <c r="T67" s="354"/>
      <c r="U67" s="354"/>
      <c r="V67" s="354"/>
    </row>
    <row r="68" ht="19.5" customHeight="1">
      <c r="A68" s="135"/>
      <c r="B68" s="124"/>
      <c r="C68" s="125"/>
      <c r="D68" s="125"/>
      <c r="E68" s="125"/>
      <c r="F68" s="125"/>
      <c r="G68" s="125"/>
      <c r="H68" s="125"/>
      <c r="I68" s="131"/>
      <c r="J68" s="131"/>
      <c r="K68" s="125"/>
      <c r="L68" s="125"/>
      <c r="M68" s="125"/>
      <c r="N68" s="173"/>
      <c r="O68" s="125"/>
      <c r="P68" s="125"/>
      <c r="Q68" s="125"/>
      <c r="R68" s="125"/>
      <c r="S68" s="254"/>
      <c r="T68" s="354"/>
      <c r="U68" s="354"/>
      <c r="V68" s="354"/>
    </row>
    <row r="69" ht="19.5" customHeight="1">
      <c r="A69" s="135"/>
      <c r="B69" s="124"/>
      <c r="C69" s="125"/>
      <c r="D69" s="125"/>
      <c r="E69" s="125"/>
      <c r="F69" s="125"/>
      <c r="G69" s="125"/>
      <c r="H69" s="125"/>
      <c r="I69" s="131"/>
      <c r="J69" s="131"/>
      <c r="K69" s="125"/>
      <c r="L69" s="125"/>
      <c r="M69" s="125"/>
      <c r="N69" s="173"/>
      <c r="O69" s="125"/>
      <c r="P69" s="125"/>
      <c r="Q69" s="125"/>
      <c r="R69" s="125"/>
      <c r="S69" s="254"/>
      <c r="T69" s="354"/>
      <c r="U69" s="354"/>
      <c r="V69" s="354"/>
    </row>
    <row r="70" ht="19.5" customHeight="1">
      <c r="A70" s="135"/>
      <c r="B70" s="124"/>
      <c r="C70" s="125"/>
      <c r="D70" s="125"/>
      <c r="E70" s="125"/>
      <c r="F70" s="125"/>
      <c r="G70" s="125"/>
      <c r="H70" s="125"/>
      <c r="I70" s="131"/>
      <c r="J70" s="131"/>
      <c r="K70" s="125"/>
      <c r="L70" s="125"/>
      <c r="M70" s="125"/>
      <c r="N70" s="173"/>
      <c r="O70" s="125"/>
      <c r="P70" s="125"/>
      <c r="Q70" s="125"/>
      <c r="R70" s="206"/>
      <c r="S70" s="206"/>
      <c r="T70" s="354"/>
      <c r="U70" s="354"/>
      <c r="V70" s="354"/>
    </row>
    <row r="71" ht="19.5" customHeight="1">
      <c r="A71" s="135"/>
      <c r="B71" s="124"/>
      <c r="C71" s="125"/>
      <c r="D71" s="125"/>
      <c r="E71" s="125"/>
      <c r="F71" s="125"/>
      <c r="G71" s="125"/>
      <c r="H71" s="125"/>
      <c r="I71" s="131"/>
      <c r="J71" s="131"/>
      <c r="K71" s="125"/>
      <c r="L71" s="125"/>
      <c r="M71" s="125"/>
      <c r="N71" s="144"/>
      <c r="O71" s="125"/>
      <c r="P71" s="125"/>
      <c r="Q71" s="125"/>
      <c r="R71" s="125"/>
      <c r="S71" s="206"/>
      <c r="T71" s="354"/>
      <c r="U71" s="354"/>
      <c r="V71" s="354"/>
    </row>
    <row r="72" ht="19.5" customHeight="1">
      <c r="A72" s="135"/>
      <c r="B72" s="124"/>
      <c r="C72" s="125"/>
      <c r="D72" s="125"/>
      <c r="E72" s="125"/>
      <c r="F72" s="125"/>
      <c r="G72" s="125"/>
      <c r="H72" s="125"/>
      <c r="I72" s="131"/>
      <c r="J72" s="131"/>
      <c r="K72" s="125"/>
      <c r="L72" s="206"/>
      <c r="M72" s="125"/>
      <c r="N72" s="144"/>
      <c r="O72" s="125"/>
      <c r="P72" s="125"/>
      <c r="Q72" s="125"/>
      <c r="R72" s="125"/>
      <c r="S72" s="206"/>
      <c r="T72" s="354"/>
      <c r="U72" s="354"/>
      <c r="V72" s="354"/>
    </row>
    <row r="73" ht="19.5" customHeight="1">
      <c r="A73" s="135"/>
      <c r="B73" s="124"/>
      <c r="C73" s="125"/>
      <c r="D73" s="125"/>
      <c r="E73" s="125"/>
      <c r="F73" s="125"/>
      <c r="G73" s="125"/>
      <c r="H73" s="125"/>
      <c r="I73" s="131"/>
      <c r="J73" s="131"/>
      <c r="K73" s="125"/>
      <c r="L73" s="206"/>
      <c r="M73" s="125"/>
      <c r="N73" s="144"/>
      <c r="O73" s="125"/>
      <c r="P73" s="125"/>
      <c r="Q73" s="125"/>
      <c r="R73" s="125"/>
      <c r="S73" s="206"/>
      <c r="T73" s="354"/>
      <c r="U73" s="354"/>
      <c r="V73" s="354"/>
    </row>
    <row r="74" ht="19.5" customHeight="1">
      <c r="A74" s="135"/>
      <c r="B74" s="124"/>
      <c r="C74" s="125"/>
      <c r="D74" s="125"/>
      <c r="E74" s="125"/>
      <c r="F74" s="125"/>
      <c r="G74" s="125"/>
      <c r="H74" s="125"/>
      <c r="I74" s="131"/>
      <c r="J74" s="131"/>
      <c r="K74" s="125"/>
      <c r="L74" s="206"/>
      <c r="M74" s="125"/>
      <c r="N74" s="365"/>
      <c r="O74" s="125"/>
      <c r="P74" s="125"/>
      <c r="Q74" s="366"/>
      <c r="R74" s="125"/>
      <c r="S74" s="206"/>
      <c r="T74" s="354"/>
      <c r="U74" s="354"/>
      <c r="V74" s="354"/>
    </row>
    <row r="75" ht="19.5" customHeight="1">
      <c r="A75" s="135"/>
      <c r="B75" s="124"/>
      <c r="C75" s="125"/>
      <c r="D75" s="125"/>
      <c r="E75" s="125"/>
      <c r="F75" s="125"/>
      <c r="G75" s="125"/>
      <c r="H75" s="125"/>
      <c r="I75" s="131"/>
      <c r="J75" s="131"/>
      <c r="K75" s="125"/>
      <c r="L75" s="206"/>
      <c r="M75" s="125"/>
      <c r="N75" s="144"/>
      <c r="O75" s="125"/>
      <c r="P75" s="125"/>
      <c r="Q75" s="125"/>
      <c r="R75" s="125"/>
      <c r="S75" s="206"/>
      <c r="T75" s="354"/>
      <c r="U75" s="354"/>
      <c r="V75" s="354"/>
    </row>
    <row r="76" ht="19.5" customHeight="1">
      <c r="A76" s="135"/>
      <c r="B76" s="124"/>
      <c r="C76" s="125"/>
      <c r="D76" s="125"/>
      <c r="E76" s="125"/>
      <c r="F76" s="125"/>
      <c r="G76" s="125"/>
      <c r="H76" s="125"/>
      <c r="I76" s="131"/>
      <c r="J76" s="131"/>
      <c r="K76" s="125"/>
      <c r="L76" s="206"/>
      <c r="M76" s="125"/>
      <c r="N76" s="144"/>
      <c r="O76" s="125"/>
      <c r="P76" s="125"/>
      <c r="Q76" s="125"/>
      <c r="R76" s="222"/>
      <c r="S76" s="206"/>
      <c r="T76" s="354"/>
      <c r="U76" s="354"/>
      <c r="V76" s="354"/>
    </row>
    <row r="77" ht="19.5" customHeight="1">
      <c r="A77" s="135"/>
      <c r="B77" s="269"/>
      <c r="C77" s="125"/>
      <c r="D77" s="125"/>
      <c r="E77" s="125"/>
      <c r="F77" s="125"/>
      <c r="G77" s="125"/>
      <c r="H77" s="125"/>
      <c r="I77" s="131"/>
      <c r="J77" s="131"/>
      <c r="K77" s="125"/>
      <c r="L77" s="206"/>
      <c r="M77" s="206"/>
      <c r="N77" s="144"/>
      <c r="O77" s="125"/>
      <c r="P77" s="367"/>
      <c r="Q77" s="125"/>
      <c r="R77" s="125"/>
      <c r="S77" s="206"/>
      <c r="T77" s="354"/>
      <c r="U77" s="354"/>
      <c r="V77" s="354"/>
    </row>
    <row r="78" ht="19.5" customHeight="1">
      <c r="A78" s="135"/>
      <c r="B78" s="368"/>
      <c r="C78" s="125"/>
      <c r="D78" s="125"/>
      <c r="E78" s="125"/>
      <c r="F78" s="125"/>
      <c r="G78" s="125"/>
      <c r="H78" s="125"/>
      <c r="I78" s="131"/>
      <c r="J78" s="131"/>
      <c r="K78" s="125"/>
      <c r="L78" s="206"/>
      <c r="M78" s="206"/>
      <c r="N78" s="144"/>
      <c r="O78" s="125"/>
      <c r="P78" s="367"/>
      <c r="Q78" s="125"/>
      <c r="R78" s="125"/>
      <c r="S78" s="206"/>
      <c r="T78" s="354"/>
      <c r="U78" s="354"/>
      <c r="V78" s="354"/>
    </row>
    <row r="79" ht="19.5" customHeight="1">
      <c r="A79" s="135"/>
      <c r="B79" s="368"/>
      <c r="C79" s="125"/>
      <c r="D79" s="125"/>
      <c r="E79" s="125"/>
      <c r="F79" s="125"/>
      <c r="G79" s="125"/>
      <c r="H79" s="125"/>
      <c r="I79" s="131"/>
      <c r="J79" s="131"/>
      <c r="K79" s="125"/>
      <c r="L79" s="206"/>
      <c r="M79" s="206"/>
      <c r="N79" s="144"/>
      <c r="O79" s="125"/>
      <c r="P79" s="367"/>
      <c r="Q79" s="125"/>
      <c r="R79" s="125"/>
      <c r="S79" s="206"/>
      <c r="T79" s="354"/>
      <c r="U79" s="354"/>
      <c r="V79" s="354"/>
    </row>
    <row r="80" ht="19.5" customHeight="1">
      <c r="A80" s="135"/>
      <c r="B80" s="368"/>
      <c r="C80" s="125"/>
      <c r="D80" s="125"/>
      <c r="E80" s="125"/>
      <c r="F80" s="125"/>
      <c r="G80" s="125"/>
      <c r="H80" s="125"/>
      <c r="I80" s="131"/>
      <c r="J80" s="131"/>
      <c r="K80" s="125"/>
      <c r="L80" s="206"/>
      <c r="M80" s="206"/>
      <c r="N80" s="144"/>
      <c r="O80" s="125"/>
      <c r="P80" s="367"/>
      <c r="Q80" s="125"/>
      <c r="R80" s="125"/>
      <c r="S80" s="206"/>
      <c r="T80" s="354"/>
      <c r="U80" s="354"/>
      <c r="V80" s="354"/>
    </row>
    <row r="81" ht="19.5" customHeight="1">
      <c r="A81" s="135"/>
      <c r="B81" s="368"/>
      <c r="C81" s="125"/>
      <c r="D81" s="125"/>
      <c r="E81" s="125"/>
      <c r="F81" s="125"/>
      <c r="G81" s="125"/>
      <c r="H81" s="125"/>
      <c r="I81" s="131"/>
      <c r="J81" s="131"/>
      <c r="K81" s="125"/>
      <c r="L81" s="206"/>
      <c r="M81" s="206"/>
      <c r="N81" s="144"/>
      <c r="O81" s="125"/>
      <c r="P81" s="367"/>
      <c r="Q81" s="125"/>
      <c r="R81" s="125"/>
      <c r="S81" s="206"/>
      <c r="T81" s="354"/>
      <c r="U81" s="354"/>
      <c r="V81" s="354"/>
    </row>
    <row r="82" ht="19.5" customHeight="1">
      <c r="A82" s="135"/>
      <c r="B82" s="368"/>
      <c r="C82" s="125"/>
      <c r="D82" s="125"/>
      <c r="E82" s="125"/>
      <c r="F82" s="125"/>
      <c r="G82" s="125"/>
      <c r="H82" s="125"/>
      <c r="I82" s="131"/>
      <c r="J82" s="131"/>
      <c r="K82" s="125"/>
      <c r="L82" s="206"/>
      <c r="M82" s="206"/>
      <c r="N82" s="144"/>
      <c r="O82" s="125"/>
      <c r="P82" s="367"/>
      <c r="Q82" s="125"/>
      <c r="R82" s="125"/>
      <c r="S82" s="206"/>
      <c r="T82" s="354"/>
      <c r="U82" s="354"/>
      <c r="V82" s="354"/>
    </row>
    <row r="83" ht="19.5" customHeight="1">
      <c r="A83" s="135"/>
      <c r="B83" s="368"/>
      <c r="C83" s="125"/>
      <c r="D83" s="125"/>
      <c r="E83" s="125"/>
      <c r="F83" s="125"/>
      <c r="G83" s="125"/>
      <c r="H83" s="125"/>
      <c r="I83" s="131"/>
      <c r="J83" s="131"/>
      <c r="K83" s="125"/>
      <c r="L83" s="206"/>
      <c r="M83" s="206"/>
      <c r="N83" s="144"/>
      <c r="O83" s="125"/>
      <c r="P83" s="367"/>
      <c r="Q83" s="125"/>
      <c r="R83" s="125"/>
      <c r="S83" s="206"/>
      <c r="T83" s="354"/>
      <c r="U83" s="354"/>
      <c r="V83" s="354"/>
    </row>
    <row r="84" ht="19.5" customHeight="1">
      <c r="A84" s="135"/>
      <c r="B84" s="368"/>
      <c r="C84" s="125"/>
      <c r="D84" s="125"/>
      <c r="E84" s="125"/>
      <c r="F84" s="125"/>
      <c r="G84" s="125"/>
      <c r="H84" s="125"/>
      <c r="I84" s="131"/>
      <c r="J84" s="131"/>
      <c r="K84" s="125"/>
      <c r="L84" s="206"/>
      <c r="M84" s="206"/>
      <c r="N84" s="144"/>
      <c r="O84" s="125"/>
      <c r="P84" s="367"/>
      <c r="Q84" s="125"/>
      <c r="R84" s="125"/>
      <c r="S84" s="206"/>
      <c r="T84" s="354"/>
      <c r="U84" s="354"/>
      <c r="V84" s="354"/>
    </row>
    <row r="85" ht="19.5" customHeight="1">
      <c r="A85" s="135"/>
      <c r="B85" s="368"/>
      <c r="C85" s="125"/>
      <c r="D85" s="125"/>
      <c r="E85" s="125"/>
      <c r="F85" s="125"/>
      <c r="G85" s="125"/>
      <c r="H85" s="125"/>
      <c r="I85" s="131"/>
      <c r="J85" s="131"/>
      <c r="K85" s="125"/>
      <c r="L85" s="206"/>
      <c r="M85" s="206"/>
      <c r="N85" s="144"/>
      <c r="O85" s="125"/>
      <c r="P85" s="367"/>
      <c r="Q85" s="125"/>
      <c r="R85" s="125"/>
      <c r="S85" s="206"/>
      <c r="T85" s="354"/>
      <c r="U85" s="354"/>
      <c r="V85" s="354"/>
    </row>
    <row r="86" ht="19.5" customHeight="1">
      <c r="A86" s="135"/>
      <c r="B86" s="368"/>
      <c r="C86" s="125"/>
      <c r="D86" s="125"/>
      <c r="E86" s="125"/>
      <c r="F86" s="125"/>
      <c r="G86" s="125"/>
      <c r="H86" s="125"/>
      <c r="I86" s="131"/>
      <c r="J86" s="131"/>
      <c r="K86" s="125"/>
      <c r="L86" s="206"/>
      <c r="M86" s="206"/>
      <c r="N86" s="144"/>
      <c r="O86" s="125"/>
      <c r="P86" s="367"/>
      <c r="Q86" s="125"/>
      <c r="R86" s="125"/>
      <c r="S86" s="206"/>
      <c r="T86" s="354"/>
      <c r="U86" s="354"/>
      <c r="V86" s="354"/>
    </row>
    <row r="87" ht="19.5" customHeight="1">
      <c r="A87" s="135"/>
      <c r="B87" s="368"/>
      <c r="C87" s="125"/>
      <c r="D87" s="125"/>
      <c r="E87" s="125"/>
      <c r="F87" s="125"/>
      <c r="G87" s="125"/>
      <c r="H87" s="125"/>
      <c r="I87" s="131"/>
      <c r="J87" s="131"/>
      <c r="K87" s="125"/>
      <c r="L87" s="206"/>
      <c r="M87" s="206"/>
      <c r="N87" s="144"/>
      <c r="O87" s="125"/>
      <c r="P87" s="367"/>
      <c r="Q87" s="125"/>
      <c r="R87" s="125"/>
      <c r="S87" s="206"/>
      <c r="T87" s="354"/>
      <c r="U87" s="354"/>
      <c r="V87" s="354"/>
    </row>
    <row r="88" ht="19.5" customHeight="1">
      <c r="A88" s="135"/>
      <c r="B88" s="368"/>
      <c r="C88" s="125"/>
      <c r="D88" s="125"/>
      <c r="E88" s="125"/>
      <c r="F88" s="125"/>
      <c r="G88" s="125"/>
      <c r="H88" s="125"/>
      <c r="I88" s="131"/>
      <c r="J88" s="131"/>
      <c r="K88" s="125"/>
      <c r="L88" s="206"/>
      <c r="M88" s="206"/>
      <c r="N88" s="144"/>
      <c r="O88" s="125"/>
      <c r="P88" s="367"/>
      <c r="Q88" s="125"/>
      <c r="R88" s="125"/>
      <c r="S88" s="206"/>
      <c r="T88" s="354"/>
      <c r="U88" s="354"/>
      <c r="V88" s="354"/>
    </row>
    <row r="89" ht="19.5" customHeight="1">
      <c r="A89" s="135"/>
      <c r="B89" s="269"/>
      <c r="C89" s="125"/>
      <c r="D89" s="125"/>
      <c r="E89" s="125"/>
      <c r="F89" s="125"/>
      <c r="G89" s="125"/>
      <c r="H89" s="125"/>
      <c r="I89" s="131"/>
      <c r="J89" s="131"/>
      <c r="K89" s="125"/>
      <c r="L89" s="206"/>
      <c r="M89" s="206"/>
      <c r="N89" s="144"/>
      <c r="O89" s="125"/>
      <c r="P89" s="367"/>
      <c r="Q89" s="125"/>
      <c r="R89" s="125"/>
      <c r="S89" s="206"/>
      <c r="T89" s="354"/>
      <c r="U89" s="354"/>
      <c r="V89" s="354"/>
    </row>
    <row r="90" ht="19.5" customHeight="1">
      <c r="A90" s="135"/>
      <c r="B90" s="269"/>
      <c r="C90" s="125"/>
      <c r="D90" s="125"/>
      <c r="E90" s="125"/>
      <c r="F90" s="125"/>
      <c r="G90" s="125"/>
      <c r="H90" s="125"/>
      <c r="I90" s="131"/>
      <c r="J90" s="131"/>
      <c r="K90" s="125"/>
      <c r="L90" s="206"/>
      <c r="M90" s="206"/>
      <c r="N90" s="144"/>
      <c r="O90" s="125"/>
      <c r="P90" s="367"/>
      <c r="Q90" s="125"/>
      <c r="R90" s="125"/>
      <c r="S90" s="206"/>
      <c r="T90" s="354"/>
      <c r="U90" s="354"/>
      <c r="V90" s="354"/>
    </row>
    <row r="91" ht="19.5" customHeight="1">
      <c r="A91" s="135"/>
      <c r="B91" s="269"/>
      <c r="C91" s="125"/>
      <c r="D91" s="125"/>
      <c r="E91" s="125"/>
      <c r="F91" s="125"/>
      <c r="G91" s="125"/>
      <c r="H91" s="125"/>
      <c r="I91" s="131"/>
      <c r="J91" s="131"/>
      <c r="K91" s="125"/>
      <c r="L91" s="206"/>
      <c r="M91" s="206"/>
      <c r="N91" s="144"/>
      <c r="O91" s="125"/>
      <c r="P91" s="367"/>
      <c r="Q91" s="125"/>
      <c r="R91" s="125"/>
      <c r="S91" s="206"/>
      <c r="T91" s="354"/>
      <c r="U91" s="354"/>
      <c r="V91" s="354"/>
    </row>
    <row r="92" ht="19.5" customHeight="1">
      <c r="A92" s="135"/>
      <c r="B92" s="269"/>
      <c r="C92" s="125"/>
      <c r="D92" s="125"/>
      <c r="E92" s="125"/>
      <c r="F92" s="125"/>
      <c r="G92" s="125"/>
      <c r="H92" s="125"/>
      <c r="I92" s="131"/>
      <c r="J92" s="131"/>
      <c r="K92" s="125"/>
      <c r="L92" s="206"/>
      <c r="M92" s="206"/>
      <c r="N92" s="144"/>
      <c r="O92" s="125"/>
      <c r="P92" s="367"/>
      <c r="Q92" s="125"/>
      <c r="R92" s="125"/>
      <c r="S92" s="206"/>
      <c r="T92" s="354"/>
      <c r="U92" s="354"/>
      <c r="V92" s="354"/>
    </row>
    <row r="93" ht="19.5" customHeight="1">
      <c r="A93" s="135"/>
      <c r="B93" s="269"/>
      <c r="C93" s="125"/>
      <c r="D93" s="125"/>
      <c r="E93" s="125"/>
      <c r="F93" s="125"/>
      <c r="G93" s="125"/>
      <c r="H93" s="125"/>
      <c r="I93" s="131"/>
      <c r="J93" s="131"/>
      <c r="K93" s="125"/>
      <c r="L93" s="206"/>
      <c r="M93" s="206"/>
      <c r="N93" s="144"/>
      <c r="O93" s="125"/>
      <c r="P93" s="367"/>
      <c r="Q93" s="125"/>
      <c r="R93" s="125"/>
      <c r="S93" s="206"/>
      <c r="T93" s="354"/>
      <c r="U93" s="354"/>
      <c r="V93" s="354"/>
    </row>
    <row r="94" ht="19.5" customHeight="1">
      <c r="A94" s="135"/>
      <c r="B94" s="269"/>
      <c r="C94" s="125"/>
      <c r="D94" s="125"/>
      <c r="E94" s="125"/>
      <c r="F94" s="125"/>
      <c r="G94" s="125"/>
      <c r="H94" s="125"/>
      <c r="I94" s="131"/>
      <c r="J94" s="131"/>
      <c r="K94" s="125"/>
      <c r="L94" s="206"/>
      <c r="M94" s="206"/>
      <c r="N94" s="144"/>
      <c r="O94" s="125"/>
      <c r="P94" s="367"/>
      <c r="Q94" s="125"/>
      <c r="R94" s="125"/>
      <c r="S94" s="206"/>
      <c r="T94" s="354"/>
      <c r="U94" s="354"/>
      <c r="V94" s="354"/>
    </row>
    <row r="95" ht="19.5" customHeight="1">
      <c r="A95" s="135"/>
      <c r="B95" s="269"/>
      <c r="C95" s="125"/>
      <c r="D95" s="125"/>
      <c r="E95" s="125"/>
      <c r="F95" s="125"/>
      <c r="G95" s="125"/>
      <c r="H95" s="125"/>
      <c r="I95" s="131"/>
      <c r="J95" s="131"/>
      <c r="K95" s="125"/>
      <c r="L95" s="206"/>
      <c r="M95" s="206"/>
      <c r="N95" s="144"/>
      <c r="O95" s="125"/>
      <c r="P95" s="367"/>
      <c r="Q95" s="125"/>
      <c r="R95" s="125"/>
      <c r="S95" s="206"/>
      <c r="T95" s="354"/>
      <c r="U95" s="354"/>
      <c r="V95" s="354"/>
    </row>
    <row r="96" ht="19.5" customHeight="1">
      <c r="A96" s="135"/>
      <c r="B96" s="269"/>
      <c r="C96" s="125"/>
      <c r="D96" s="125"/>
      <c r="E96" s="125"/>
      <c r="F96" s="125"/>
      <c r="G96" s="125"/>
      <c r="H96" s="125"/>
      <c r="I96" s="131"/>
      <c r="J96" s="131"/>
      <c r="K96" s="125"/>
      <c r="L96" s="206"/>
      <c r="M96" s="206"/>
      <c r="N96" s="144"/>
      <c r="O96" s="125"/>
      <c r="P96" s="367"/>
      <c r="Q96" s="125"/>
      <c r="R96" s="125"/>
      <c r="S96" s="206"/>
      <c r="T96" s="354"/>
      <c r="U96" s="354"/>
      <c r="V96" s="354"/>
    </row>
    <row r="97" ht="19.5" customHeight="1">
      <c r="A97" s="135"/>
      <c r="B97" s="269"/>
      <c r="C97" s="125"/>
      <c r="D97" s="125"/>
      <c r="E97" s="125"/>
      <c r="F97" s="125"/>
      <c r="G97" s="125"/>
      <c r="H97" s="125"/>
      <c r="I97" s="131"/>
      <c r="J97" s="131"/>
      <c r="K97" s="125"/>
      <c r="L97" s="206"/>
      <c r="M97" s="206"/>
      <c r="N97" s="144"/>
      <c r="O97" s="125"/>
      <c r="P97" s="367"/>
      <c r="Q97" s="125"/>
      <c r="R97" s="125"/>
      <c r="S97" s="206"/>
      <c r="T97" s="354"/>
      <c r="U97" s="354"/>
      <c r="V97" s="354"/>
    </row>
    <row r="98" ht="19.5" customHeight="1">
      <c r="A98" s="135"/>
      <c r="B98" s="369"/>
      <c r="C98" s="125"/>
      <c r="D98" s="125"/>
      <c r="E98" s="125"/>
      <c r="F98" s="125"/>
      <c r="G98" s="125"/>
      <c r="H98" s="125"/>
      <c r="I98" s="131"/>
      <c r="J98" s="131"/>
      <c r="K98" s="125"/>
      <c r="L98" s="206"/>
      <c r="M98" s="206"/>
      <c r="N98" s="144"/>
      <c r="O98" s="125"/>
      <c r="P98" s="367"/>
      <c r="Q98" s="125"/>
      <c r="R98" s="125"/>
      <c r="S98" s="206"/>
      <c r="T98" s="354"/>
      <c r="U98" s="354"/>
      <c r="V98" s="354"/>
    </row>
    <row r="99" ht="19.5" customHeight="1">
      <c r="A99" s="135"/>
      <c r="B99" s="369"/>
      <c r="C99" s="125"/>
      <c r="D99" s="125"/>
      <c r="E99" s="125"/>
      <c r="F99" s="125"/>
      <c r="G99" s="125"/>
      <c r="H99" s="125"/>
      <c r="I99" s="131"/>
      <c r="J99" s="131"/>
      <c r="K99" s="125"/>
      <c r="L99" s="206"/>
      <c r="M99" s="206"/>
      <c r="N99" s="144"/>
      <c r="O99" s="125"/>
      <c r="P99" s="367"/>
      <c r="Q99" s="125"/>
      <c r="R99" s="125"/>
      <c r="S99" s="206"/>
      <c r="T99" s="354"/>
      <c r="U99" s="354"/>
      <c r="V99" s="354"/>
    </row>
    <row r="100" ht="19.5" customHeight="1">
      <c r="A100" s="135"/>
      <c r="B100" s="369"/>
      <c r="C100" s="125"/>
      <c r="D100" s="125"/>
      <c r="E100" s="125"/>
      <c r="F100" s="125"/>
      <c r="G100" s="125"/>
      <c r="H100" s="125"/>
      <c r="I100" s="131"/>
      <c r="J100" s="131"/>
      <c r="K100" s="125"/>
      <c r="L100" s="206"/>
      <c r="M100" s="206"/>
      <c r="N100" s="144"/>
      <c r="O100" s="125"/>
      <c r="P100" s="367"/>
      <c r="Q100" s="125"/>
      <c r="R100" s="125"/>
      <c r="S100" s="206"/>
      <c r="T100" s="354"/>
      <c r="U100" s="354"/>
      <c r="V100" s="354"/>
    </row>
    <row r="101" ht="19.5" customHeight="1">
      <c r="A101" s="135"/>
      <c r="B101" s="369"/>
      <c r="C101" s="125"/>
      <c r="D101" s="125"/>
      <c r="E101" s="125"/>
      <c r="F101" s="125"/>
      <c r="G101" s="125"/>
      <c r="H101" s="125"/>
      <c r="I101" s="131"/>
      <c r="J101" s="131"/>
      <c r="K101" s="125"/>
      <c r="L101" s="206"/>
      <c r="M101" s="206"/>
      <c r="N101" s="144"/>
      <c r="O101" s="125"/>
      <c r="P101" s="367"/>
      <c r="Q101" s="125"/>
      <c r="R101" s="125"/>
      <c r="S101" s="206"/>
      <c r="T101" s="354"/>
      <c r="U101" s="354"/>
      <c r="V101" s="354"/>
    </row>
    <row r="102" ht="19.5" customHeight="1">
      <c r="A102" s="135"/>
      <c r="B102" s="369"/>
      <c r="C102" s="125"/>
      <c r="D102" s="125"/>
      <c r="E102" s="125"/>
      <c r="F102" s="125"/>
      <c r="G102" s="125"/>
      <c r="H102" s="125"/>
      <c r="I102" s="131"/>
      <c r="J102" s="131"/>
      <c r="K102" s="125"/>
      <c r="L102" s="206"/>
      <c r="M102" s="206"/>
      <c r="N102" s="144"/>
      <c r="O102" s="125"/>
      <c r="P102" s="367"/>
      <c r="Q102" s="125"/>
      <c r="R102" s="125"/>
      <c r="S102" s="206"/>
      <c r="T102" s="354"/>
      <c r="U102" s="354"/>
      <c r="V102" s="354"/>
    </row>
    <row r="103" ht="19.5" customHeight="1">
      <c r="A103" s="135"/>
      <c r="B103" s="369"/>
      <c r="C103" s="125"/>
      <c r="D103" s="125"/>
      <c r="E103" s="125"/>
      <c r="F103" s="125"/>
      <c r="G103" s="125"/>
      <c r="H103" s="125"/>
      <c r="I103" s="131"/>
      <c r="J103" s="131"/>
      <c r="K103" s="125"/>
      <c r="L103" s="206"/>
      <c r="M103" s="206"/>
      <c r="N103" s="144"/>
      <c r="O103" s="125"/>
      <c r="P103" s="367"/>
      <c r="Q103" s="125"/>
      <c r="R103" s="125"/>
      <c r="S103" s="206"/>
      <c r="T103" s="354"/>
      <c r="U103" s="354"/>
      <c r="V103" s="354"/>
    </row>
    <row r="104" ht="19.5" customHeight="1">
      <c r="A104" s="135"/>
      <c r="B104" s="369"/>
      <c r="C104" s="125"/>
      <c r="D104" s="125"/>
      <c r="E104" s="125"/>
      <c r="F104" s="125"/>
      <c r="G104" s="125"/>
      <c r="H104" s="125"/>
      <c r="I104" s="131"/>
      <c r="J104" s="131"/>
      <c r="K104" s="125"/>
      <c r="L104" s="206"/>
      <c r="M104" s="206"/>
      <c r="N104" s="144"/>
      <c r="O104" s="125"/>
      <c r="P104" s="367"/>
      <c r="Q104" s="125"/>
      <c r="R104" s="125"/>
      <c r="S104" s="206"/>
      <c r="T104" s="354"/>
      <c r="U104" s="354"/>
      <c r="V104" s="354"/>
    </row>
    <row r="105" ht="19.5" customHeight="1">
      <c r="A105" s="135"/>
      <c r="B105" s="369"/>
      <c r="C105" s="125"/>
      <c r="D105" s="125"/>
      <c r="E105" s="125"/>
      <c r="F105" s="125"/>
      <c r="G105" s="125"/>
      <c r="H105" s="125"/>
      <c r="I105" s="131"/>
      <c r="J105" s="131"/>
      <c r="K105" s="125"/>
      <c r="L105" s="206"/>
      <c r="M105" s="206"/>
      <c r="N105" s="144"/>
      <c r="O105" s="125"/>
      <c r="P105" s="367"/>
      <c r="Q105" s="125"/>
      <c r="R105" s="125"/>
      <c r="S105" s="206"/>
      <c r="T105" s="354"/>
      <c r="U105" s="354"/>
      <c r="V105" s="354"/>
    </row>
    <row r="106" ht="19.5" customHeight="1">
      <c r="A106" s="135"/>
      <c r="B106" s="369"/>
      <c r="C106" s="125"/>
      <c r="D106" s="125"/>
      <c r="E106" s="125"/>
      <c r="F106" s="125"/>
      <c r="G106" s="125"/>
      <c r="H106" s="125"/>
      <c r="I106" s="131"/>
      <c r="J106" s="131"/>
      <c r="K106" s="125"/>
      <c r="L106" s="206"/>
      <c r="M106" s="206"/>
      <c r="N106" s="144"/>
      <c r="O106" s="125"/>
      <c r="P106" s="367"/>
      <c r="Q106" s="125"/>
      <c r="R106" s="125"/>
      <c r="S106" s="206"/>
      <c r="T106" s="354"/>
      <c r="U106" s="354"/>
      <c r="V106" s="354"/>
    </row>
    <row r="107" ht="19.5" customHeight="1">
      <c r="A107" s="135"/>
      <c r="B107" s="369"/>
      <c r="C107" s="125"/>
      <c r="D107" s="125"/>
      <c r="E107" s="125"/>
      <c r="F107" s="125"/>
      <c r="G107" s="125"/>
      <c r="H107" s="125"/>
      <c r="I107" s="131"/>
      <c r="J107" s="131"/>
      <c r="K107" s="125"/>
      <c r="L107" s="206"/>
      <c r="M107" s="206"/>
      <c r="N107" s="144"/>
      <c r="O107" s="125"/>
      <c r="P107" s="367"/>
      <c r="Q107" s="125"/>
      <c r="R107" s="125"/>
      <c r="S107" s="206"/>
      <c r="T107" s="354"/>
      <c r="U107" s="354"/>
      <c r="V107" s="354"/>
    </row>
    <row r="108" ht="19.5" customHeight="1">
      <c r="A108" s="135"/>
      <c r="B108" s="369"/>
      <c r="C108" s="125"/>
      <c r="D108" s="125"/>
      <c r="E108" s="125"/>
      <c r="F108" s="125"/>
      <c r="G108" s="125"/>
      <c r="H108" s="125"/>
      <c r="I108" s="131"/>
      <c r="J108" s="131"/>
      <c r="K108" s="125"/>
      <c r="L108" s="206"/>
      <c r="M108" s="206"/>
      <c r="N108" s="144"/>
      <c r="O108" s="125"/>
      <c r="P108" s="367"/>
      <c r="Q108" s="125"/>
      <c r="R108" s="125"/>
      <c r="S108" s="206"/>
      <c r="T108" s="354"/>
      <c r="U108" s="354"/>
      <c r="V108" s="354"/>
    </row>
    <row r="109" ht="19.5" customHeight="1">
      <c r="A109" s="135"/>
      <c r="B109" s="369"/>
      <c r="C109" s="125"/>
      <c r="D109" s="125"/>
      <c r="E109" s="125"/>
      <c r="F109" s="125"/>
      <c r="G109" s="125"/>
      <c r="H109" s="125"/>
      <c r="I109" s="131"/>
      <c r="J109" s="131"/>
      <c r="K109" s="125"/>
      <c r="L109" s="206"/>
      <c r="M109" s="206"/>
      <c r="N109" s="144"/>
      <c r="O109" s="125"/>
      <c r="P109" s="367"/>
      <c r="Q109" s="125"/>
      <c r="R109" s="125"/>
      <c r="S109" s="206"/>
      <c r="T109" s="354"/>
      <c r="U109" s="354"/>
      <c r="V109" s="354"/>
    </row>
    <row r="110" ht="19.5" customHeight="1">
      <c r="A110" s="135"/>
      <c r="B110" s="369"/>
      <c r="C110" s="125"/>
      <c r="D110" s="125"/>
      <c r="E110" s="125"/>
      <c r="F110" s="125"/>
      <c r="G110" s="125"/>
      <c r="H110" s="125"/>
      <c r="I110" s="131"/>
      <c r="J110" s="131"/>
      <c r="K110" s="125"/>
      <c r="L110" s="206"/>
      <c r="M110" s="206"/>
      <c r="N110" s="144"/>
      <c r="O110" s="125"/>
      <c r="P110" s="367"/>
      <c r="Q110" s="125"/>
      <c r="R110" s="125"/>
      <c r="S110" s="206"/>
      <c r="T110" s="354"/>
      <c r="U110" s="354"/>
      <c r="V110" s="354"/>
    </row>
    <row r="111" ht="19.5" customHeight="1">
      <c r="A111" s="135"/>
      <c r="B111" s="369"/>
      <c r="C111" s="125"/>
      <c r="D111" s="125"/>
      <c r="E111" s="125"/>
      <c r="F111" s="125"/>
      <c r="G111" s="125"/>
      <c r="H111" s="125"/>
      <c r="I111" s="131"/>
      <c r="J111" s="131"/>
      <c r="K111" s="125"/>
      <c r="L111" s="206"/>
      <c r="M111" s="206"/>
      <c r="N111" s="144"/>
      <c r="O111" s="125"/>
      <c r="P111" s="367"/>
      <c r="Q111" s="125"/>
      <c r="R111" s="125"/>
      <c r="S111" s="206"/>
      <c r="T111" s="354"/>
      <c r="U111" s="354"/>
      <c r="V111" s="354"/>
    </row>
    <row r="112" ht="19.5" customHeight="1">
      <c r="A112" s="135"/>
      <c r="B112" s="369"/>
      <c r="C112" s="125"/>
      <c r="D112" s="125"/>
      <c r="E112" s="125"/>
      <c r="F112" s="125"/>
      <c r="G112" s="125"/>
      <c r="H112" s="125"/>
      <c r="I112" s="131"/>
      <c r="J112" s="131"/>
      <c r="K112" s="125"/>
      <c r="L112" s="206"/>
      <c r="M112" s="206"/>
      <c r="N112" s="144"/>
      <c r="O112" s="125"/>
      <c r="P112" s="367"/>
      <c r="Q112" s="125"/>
      <c r="R112" s="125"/>
      <c r="S112" s="206"/>
      <c r="T112" s="354"/>
      <c r="U112" s="354"/>
      <c r="V112" s="354"/>
    </row>
    <row r="113" ht="19.5" customHeight="1">
      <c r="A113" s="135"/>
      <c r="B113" s="369"/>
      <c r="C113" s="125"/>
      <c r="D113" s="125"/>
      <c r="E113" s="125"/>
      <c r="F113" s="125"/>
      <c r="G113" s="125"/>
      <c r="H113" s="125"/>
      <c r="I113" s="131"/>
      <c r="J113" s="131"/>
      <c r="K113" s="125"/>
      <c r="L113" s="206"/>
      <c r="M113" s="206"/>
      <c r="N113" s="144"/>
      <c r="O113" s="125"/>
      <c r="P113" s="367"/>
      <c r="Q113" s="125"/>
      <c r="R113" s="125"/>
      <c r="S113" s="206"/>
      <c r="T113" s="354"/>
      <c r="U113" s="354"/>
      <c r="V113" s="354"/>
    </row>
    <row r="114" ht="19.5" customHeight="1">
      <c r="A114" s="135"/>
      <c r="B114" s="369"/>
      <c r="C114" s="125"/>
      <c r="D114" s="125"/>
      <c r="E114" s="125"/>
      <c r="F114" s="125"/>
      <c r="G114" s="125"/>
      <c r="H114" s="125"/>
      <c r="I114" s="131"/>
      <c r="J114" s="131"/>
      <c r="K114" s="125"/>
      <c r="L114" s="206"/>
      <c r="M114" s="206"/>
      <c r="N114" s="144"/>
      <c r="O114" s="125"/>
      <c r="P114" s="367"/>
      <c r="Q114" s="125"/>
      <c r="R114" s="125"/>
      <c r="S114" s="206"/>
      <c r="T114" s="354"/>
      <c r="U114" s="354"/>
      <c r="V114" s="354"/>
    </row>
    <row r="115" ht="19.5" customHeight="1">
      <c r="A115" s="135"/>
      <c r="B115" s="369"/>
      <c r="C115" s="125"/>
      <c r="D115" s="125"/>
      <c r="E115" s="125"/>
      <c r="F115" s="125"/>
      <c r="G115" s="125"/>
      <c r="H115" s="125"/>
      <c r="I115" s="131"/>
      <c r="J115" s="131"/>
      <c r="K115" s="125"/>
      <c r="L115" s="206"/>
      <c r="M115" s="206"/>
      <c r="N115" s="144"/>
      <c r="O115" s="125"/>
      <c r="P115" s="367"/>
      <c r="Q115" s="125"/>
      <c r="R115" s="125"/>
      <c r="S115" s="206"/>
      <c r="T115" s="354"/>
      <c r="U115" s="354"/>
      <c r="V115" s="354"/>
    </row>
    <row r="116" ht="19.5" customHeight="1">
      <c r="A116" s="135"/>
      <c r="B116" s="369"/>
      <c r="C116" s="125"/>
      <c r="D116" s="125"/>
      <c r="E116" s="125"/>
      <c r="F116" s="125"/>
      <c r="G116" s="125"/>
      <c r="H116" s="125"/>
      <c r="I116" s="131"/>
      <c r="J116" s="131"/>
      <c r="K116" s="125"/>
      <c r="L116" s="206"/>
      <c r="M116" s="206"/>
      <c r="N116" s="144"/>
      <c r="O116" s="125"/>
      <c r="P116" s="367"/>
      <c r="Q116" s="125"/>
      <c r="R116" s="125"/>
      <c r="S116" s="206"/>
      <c r="T116" s="354"/>
      <c r="U116" s="354"/>
      <c r="V116" s="354"/>
    </row>
    <row r="117" ht="19.5" customHeight="1">
      <c r="A117" s="135"/>
      <c r="B117" s="369"/>
      <c r="C117" s="125"/>
      <c r="D117" s="125"/>
      <c r="E117" s="125"/>
      <c r="F117" s="125"/>
      <c r="G117" s="125"/>
      <c r="H117" s="125"/>
      <c r="I117" s="131"/>
      <c r="J117" s="131"/>
      <c r="K117" s="125"/>
      <c r="L117" s="206"/>
      <c r="M117" s="206"/>
      <c r="N117" s="144"/>
      <c r="O117" s="125"/>
      <c r="P117" s="367"/>
      <c r="Q117" s="125"/>
      <c r="R117" s="125"/>
      <c r="S117" s="206"/>
      <c r="T117" s="354"/>
      <c r="U117" s="354"/>
      <c r="V117" s="354"/>
    </row>
    <row r="118" ht="19.5" customHeight="1">
      <c r="A118" s="135"/>
      <c r="B118" s="369"/>
      <c r="C118" s="125"/>
      <c r="D118" s="125"/>
      <c r="E118" s="125"/>
      <c r="F118" s="125"/>
      <c r="G118" s="125"/>
      <c r="H118" s="125"/>
      <c r="I118" s="131"/>
      <c r="J118" s="131"/>
      <c r="K118" s="125"/>
      <c r="L118" s="206"/>
      <c r="M118" s="206"/>
      <c r="N118" s="144"/>
      <c r="O118" s="125"/>
      <c r="P118" s="367"/>
      <c r="Q118" s="125"/>
      <c r="R118" s="125"/>
      <c r="S118" s="206"/>
      <c r="T118" s="354"/>
      <c r="U118" s="354"/>
      <c r="V118" s="354"/>
    </row>
    <row r="119" ht="19.5" customHeight="1">
      <c r="A119" s="135"/>
      <c r="B119" s="369"/>
      <c r="C119" s="125"/>
      <c r="D119" s="125"/>
      <c r="E119" s="125"/>
      <c r="F119" s="125"/>
      <c r="G119" s="125"/>
      <c r="H119" s="125"/>
      <c r="I119" s="131"/>
      <c r="J119" s="131"/>
      <c r="K119" s="125"/>
      <c r="L119" s="206"/>
      <c r="M119" s="206"/>
      <c r="N119" s="144"/>
      <c r="O119" s="125"/>
      <c r="P119" s="367"/>
      <c r="Q119" s="125"/>
      <c r="R119" s="125"/>
      <c r="S119" s="206"/>
      <c r="T119" s="354"/>
      <c r="U119" s="354"/>
      <c r="V119" s="354"/>
    </row>
    <row r="120" ht="19.5" customHeight="1">
      <c r="A120" s="135"/>
      <c r="B120" s="369"/>
      <c r="C120" s="125"/>
      <c r="D120" s="125"/>
      <c r="E120" s="125"/>
      <c r="F120" s="125"/>
      <c r="G120" s="125"/>
      <c r="H120" s="125"/>
      <c r="I120" s="131"/>
      <c r="J120" s="131"/>
      <c r="K120" s="125"/>
      <c r="L120" s="206"/>
      <c r="M120" s="206"/>
      <c r="N120" s="144"/>
      <c r="O120" s="125"/>
      <c r="P120" s="367"/>
      <c r="Q120" s="125"/>
      <c r="R120" s="125"/>
      <c r="S120" s="206"/>
      <c r="T120" s="354"/>
      <c r="U120" s="354"/>
      <c r="V120" s="354"/>
    </row>
    <row r="121" ht="19.5" customHeight="1">
      <c r="A121" s="135"/>
      <c r="B121" s="369"/>
      <c r="C121" s="125"/>
      <c r="D121" s="125"/>
      <c r="E121" s="125"/>
      <c r="F121" s="125"/>
      <c r="G121" s="125"/>
      <c r="H121" s="125"/>
      <c r="I121" s="131"/>
      <c r="J121" s="131"/>
      <c r="K121" s="125"/>
      <c r="L121" s="206"/>
      <c r="M121" s="206"/>
      <c r="N121" s="144"/>
      <c r="O121" s="125"/>
      <c r="P121" s="367"/>
      <c r="Q121" s="125"/>
      <c r="R121" s="125"/>
      <c r="S121" s="206"/>
      <c r="T121" s="354"/>
      <c r="U121" s="354"/>
      <c r="V121" s="354"/>
    </row>
    <row r="122" ht="19.5" customHeight="1">
      <c r="A122" s="135"/>
      <c r="B122" s="369"/>
      <c r="C122" s="125"/>
      <c r="D122" s="125"/>
      <c r="E122" s="125"/>
      <c r="F122" s="125"/>
      <c r="G122" s="125"/>
      <c r="H122" s="125"/>
      <c r="I122" s="131"/>
      <c r="J122" s="131"/>
      <c r="K122" s="125"/>
      <c r="L122" s="206"/>
      <c r="M122" s="206"/>
      <c r="N122" s="144"/>
      <c r="O122" s="125"/>
      <c r="P122" s="367"/>
      <c r="Q122" s="125"/>
      <c r="R122" s="125"/>
      <c r="S122" s="206"/>
      <c r="T122" s="354"/>
      <c r="U122" s="354"/>
      <c r="V122" s="354"/>
    </row>
    <row r="123" ht="19.5" customHeight="1">
      <c r="A123" s="135"/>
      <c r="B123" s="369"/>
      <c r="C123" s="125"/>
      <c r="D123" s="125"/>
      <c r="E123" s="125"/>
      <c r="F123" s="125"/>
      <c r="G123" s="125"/>
      <c r="H123" s="125"/>
      <c r="I123" s="131"/>
      <c r="J123" s="131"/>
      <c r="K123" s="125"/>
      <c r="L123" s="206"/>
      <c r="M123" s="206"/>
      <c r="N123" s="144"/>
      <c r="O123" s="125"/>
      <c r="P123" s="367"/>
      <c r="Q123" s="125"/>
      <c r="R123" s="125"/>
      <c r="S123" s="206"/>
      <c r="T123" s="354"/>
      <c r="U123" s="354"/>
      <c r="V123" s="354"/>
    </row>
    <row r="124" ht="19.5" customHeight="1">
      <c r="A124" s="135"/>
      <c r="B124" s="369"/>
      <c r="C124" s="125"/>
      <c r="D124" s="125"/>
      <c r="E124" s="125"/>
      <c r="F124" s="125"/>
      <c r="G124" s="125"/>
      <c r="H124" s="125"/>
      <c r="I124" s="131"/>
      <c r="J124" s="131"/>
      <c r="K124" s="125"/>
      <c r="L124" s="206"/>
      <c r="M124" s="206"/>
      <c r="N124" s="144"/>
      <c r="O124" s="125"/>
      <c r="P124" s="367"/>
      <c r="Q124" s="125"/>
      <c r="R124" s="125"/>
      <c r="S124" s="206"/>
      <c r="T124" s="354"/>
      <c r="U124" s="354"/>
      <c r="V124" s="354"/>
    </row>
    <row r="125" ht="19.5" customHeight="1">
      <c r="A125" s="135"/>
      <c r="B125" s="369"/>
      <c r="C125" s="125"/>
      <c r="D125" s="125"/>
      <c r="E125" s="125"/>
      <c r="F125" s="125"/>
      <c r="G125" s="125"/>
      <c r="H125" s="125"/>
      <c r="I125" s="131"/>
      <c r="J125" s="131"/>
      <c r="K125" s="125"/>
      <c r="L125" s="206"/>
      <c r="M125" s="206"/>
      <c r="N125" s="144"/>
      <c r="O125" s="125"/>
      <c r="P125" s="367"/>
      <c r="Q125" s="125"/>
      <c r="R125" s="125"/>
      <c r="S125" s="206"/>
      <c r="T125" s="354"/>
      <c r="U125" s="354"/>
      <c r="V125" s="354"/>
    </row>
    <row r="126" ht="19.5" customHeight="1">
      <c r="A126" s="135"/>
      <c r="B126" s="369"/>
      <c r="C126" s="125"/>
      <c r="D126" s="125"/>
      <c r="E126" s="125"/>
      <c r="F126" s="125"/>
      <c r="G126" s="125"/>
      <c r="H126" s="125"/>
      <c r="I126" s="131"/>
      <c r="J126" s="131"/>
      <c r="K126" s="125"/>
      <c r="L126" s="206"/>
      <c r="M126" s="206"/>
      <c r="N126" s="144"/>
      <c r="O126" s="125"/>
      <c r="P126" s="367"/>
      <c r="Q126" s="125"/>
      <c r="R126" s="125"/>
      <c r="S126" s="206"/>
      <c r="T126" s="354"/>
      <c r="U126" s="354"/>
      <c r="V126" s="354"/>
    </row>
    <row r="127" ht="19.5" customHeight="1">
      <c r="A127" s="135"/>
      <c r="B127" s="369"/>
      <c r="C127" s="125"/>
      <c r="D127" s="125"/>
      <c r="E127" s="125"/>
      <c r="F127" s="125"/>
      <c r="G127" s="125"/>
      <c r="H127" s="125"/>
      <c r="I127" s="131"/>
      <c r="J127" s="131"/>
      <c r="K127" s="125"/>
      <c r="L127" s="206"/>
      <c r="M127" s="206"/>
      <c r="N127" s="144"/>
      <c r="O127" s="125"/>
      <c r="P127" s="367"/>
      <c r="Q127" s="125"/>
      <c r="R127" s="125"/>
      <c r="S127" s="206"/>
      <c r="T127" s="354"/>
      <c r="U127" s="354"/>
      <c r="V127" s="354"/>
    </row>
    <row r="128" ht="19.5" customHeight="1">
      <c r="A128" s="135"/>
      <c r="B128" s="369"/>
      <c r="C128" s="125"/>
      <c r="D128" s="125"/>
      <c r="E128" s="125"/>
      <c r="F128" s="125"/>
      <c r="G128" s="125"/>
      <c r="H128" s="125"/>
      <c r="I128" s="131"/>
      <c r="J128" s="131"/>
      <c r="K128" s="125"/>
      <c r="L128" s="206"/>
      <c r="M128" s="206"/>
      <c r="N128" s="144"/>
      <c r="O128" s="125"/>
      <c r="P128" s="367"/>
      <c r="Q128" s="125"/>
      <c r="R128" s="125"/>
      <c r="S128" s="206"/>
      <c r="T128" s="354"/>
      <c r="U128" s="354"/>
      <c r="V128" s="354"/>
    </row>
    <row r="129" ht="19.5" customHeight="1">
      <c r="A129" s="135"/>
      <c r="B129" s="369"/>
      <c r="C129" s="125"/>
      <c r="D129" s="125"/>
      <c r="E129" s="125"/>
      <c r="F129" s="125"/>
      <c r="G129" s="125"/>
      <c r="H129" s="125"/>
      <c r="I129" s="131"/>
      <c r="J129" s="131"/>
      <c r="K129" s="125"/>
      <c r="L129" s="206"/>
      <c r="M129" s="206"/>
      <c r="N129" s="144"/>
      <c r="O129" s="125"/>
      <c r="P129" s="367"/>
      <c r="Q129" s="125"/>
      <c r="R129" s="125"/>
      <c r="S129" s="206"/>
      <c r="T129" s="354"/>
      <c r="U129" s="354"/>
      <c r="V129" s="354"/>
    </row>
    <row r="130" ht="19.5" customHeight="1">
      <c r="A130" s="135"/>
      <c r="B130" s="369"/>
      <c r="C130" s="125"/>
      <c r="D130" s="125"/>
      <c r="E130" s="125"/>
      <c r="F130" s="125"/>
      <c r="G130" s="125"/>
      <c r="H130" s="125"/>
      <c r="I130" s="131"/>
      <c r="J130" s="131"/>
      <c r="K130" s="125"/>
      <c r="L130" s="206"/>
      <c r="M130" s="206"/>
      <c r="N130" s="144"/>
      <c r="O130" s="125"/>
      <c r="P130" s="367"/>
      <c r="Q130" s="125"/>
      <c r="R130" s="125"/>
      <c r="S130" s="206"/>
      <c r="T130" s="354"/>
      <c r="U130" s="354"/>
      <c r="V130" s="354"/>
    </row>
    <row r="131" ht="19.5" customHeight="1">
      <c r="A131" s="135"/>
      <c r="B131" s="369"/>
      <c r="C131" s="125"/>
      <c r="D131" s="125"/>
      <c r="E131" s="125"/>
      <c r="F131" s="125"/>
      <c r="G131" s="125"/>
      <c r="H131" s="125"/>
      <c r="I131" s="131"/>
      <c r="J131" s="131"/>
      <c r="K131" s="125"/>
      <c r="L131" s="206"/>
      <c r="M131" s="206"/>
      <c r="N131" s="144"/>
      <c r="O131" s="125"/>
      <c r="P131" s="367"/>
      <c r="Q131" s="125"/>
      <c r="R131" s="125"/>
      <c r="S131" s="206"/>
      <c r="T131" s="354"/>
      <c r="U131" s="354"/>
      <c r="V131" s="354"/>
    </row>
    <row r="132" ht="19.5" customHeight="1">
      <c r="A132" s="135"/>
      <c r="B132" s="369"/>
      <c r="C132" s="125"/>
      <c r="D132" s="125"/>
      <c r="E132" s="125"/>
      <c r="F132" s="125"/>
      <c r="G132" s="125"/>
      <c r="H132" s="125"/>
      <c r="I132" s="131"/>
      <c r="J132" s="131"/>
      <c r="K132" s="125"/>
      <c r="L132" s="206"/>
      <c r="M132" s="206"/>
      <c r="N132" s="144"/>
      <c r="O132" s="125"/>
      <c r="P132" s="367"/>
      <c r="Q132" s="125"/>
      <c r="R132" s="125"/>
      <c r="S132" s="206"/>
      <c r="T132" s="354"/>
      <c r="U132" s="354"/>
      <c r="V132" s="354"/>
    </row>
    <row r="133" ht="19.5" customHeight="1">
      <c r="A133" s="135"/>
      <c r="B133" s="369"/>
      <c r="C133" s="125"/>
      <c r="D133" s="125"/>
      <c r="E133" s="125"/>
      <c r="F133" s="125"/>
      <c r="G133" s="125"/>
      <c r="H133" s="125"/>
      <c r="I133" s="131"/>
      <c r="J133" s="131"/>
      <c r="K133" s="125"/>
      <c r="L133" s="206"/>
      <c r="M133" s="206"/>
      <c r="N133" s="144"/>
      <c r="O133" s="125"/>
      <c r="P133" s="367"/>
      <c r="Q133" s="125"/>
      <c r="R133" s="125"/>
      <c r="S133" s="206"/>
      <c r="T133" s="354"/>
      <c r="U133" s="354"/>
      <c r="V133" s="354"/>
    </row>
    <row r="134" ht="19.5" customHeight="1">
      <c r="A134" s="135"/>
      <c r="B134" s="369"/>
      <c r="C134" s="125"/>
      <c r="D134" s="125"/>
      <c r="E134" s="125"/>
      <c r="F134" s="125"/>
      <c r="G134" s="125"/>
      <c r="H134" s="125"/>
      <c r="I134" s="131"/>
      <c r="J134" s="131"/>
      <c r="K134" s="125"/>
      <c r="L134" s="206"/>
      <c r="M134" s="206"/>
      <c r="N134" s="144"/>
      <c r="O134" s="125"/>
      <c r="P134" s="367"/>
      <c r="Q134" s="125"/>
      <c r="R134" s="125"/>
      <c r="S134" s="206"/>
      <c r="T134" s="354"/>
      <c r="U134" s="354"/>
      <c r="V134" s="354"/>
    </row>
    <row r="135" ht="19.5" customHeight="1">
      <c r="A135" s="135"/>
      <c r="B135" s="369"/>
      <c r="C135" s="125"/>
      <c r="D135" s="125"/>
      <c r="E135" s="125"/>
      <c r="F135" s="125"/>
      <c r="G135" s="125"/>
      <c r="H135" s="125"/>
      <c r="I135" s="131"/>
      <c r="J135" s="131"/>
      <c r="K135" s="125"/>
      <c r="L135" s="206"/>
      <c r="M135" s="206"/>
      <c r="N135" s="144"/>
      <c r="O135" s="125"/>
      <c r="P135" s="367"/>
      <c r="Q135" s="125"/>
      <c r="R135" s="125"/>
      <c r="S135" s="206"/>
      <c r="T135" s="354"/>
      <c r="U135" s="354"/>
      <c r="V135" s="354"/>
    </row>
    <row r="136" ht="19.5" customHeight="1">
      <c r="A136" s="135"/>
      <c r="B136" s="369"/>
      <c r="C136" s="125"/>
      <c r="D136" s="125"/>
      <c r="E136" s="125"/>
      <c r="F136" s="125"/>
      <c r="G136" s="125"/>
      <c r="H136" s="125"/>
      <c r="I136" s="131"/>
      <c r="J136" s="131"/>
      <c r="K136" s="125"/>
      <c r="L136" s="206"/>
      <c r="M136" s="206"/>
      <c r="N136" s="144"/>
      <c r="O136" s="125"/>
      <c r="P136" s="367"/>
      <c r="Q136" s="125"/>
      <c r="R136" s="125"/>
      <c r="S136" s="206"/>
      <c r="T136" s="354"/>
      <c r="U136" s="354"/>
      <c r="V136" s="354"/>
    </row>
    <row r="137" ht="19.5" customHeight="1">
      <c r="A137" s="135"/>
      <c r="B137" s="369"/>
      <c r="C137" s="125"/>
      <c r="D137" s="125"/>
      <c r="E137" s="125"/>
      <c r="F137" s="125"/>
      <c r="G137" s="125"/>
      <c r="H137" s="125"/>
      <c r="I137" s="131"/>
      <c r="J137" s="131"/>
      <c r="K137" s="125"/>
      <c r="L137" s="206"/>
      <c r="M137" s="206"/>
      <c r="N137" s="144"/>
      <c r="O137" s="125"/>
      <c r="P137" s="367"/>
      <c r="Q137" s="125"/>
      <c r="R137" s="125"/>
      <c r="S137" s="206"/>
      <c r="T137" s="354"/>
      <c r="U137" s="354"/>
      <c r="V137" s="354"/>
    </row>
    <row r="138" ht="19.5" customHeight="1">
      <c r="A138" s="135"/>
      <c r="B138" s="369"/>
      <c r="C138" s="125"/>
      <c r="D138" s="125"/>
      <c r="E138" s="125"/>
      <c r="F138" s="125"/>
      <c r="G138" s="125"/>
      <c r="H138" s="125"/>
      <c r="I138" s="131"/>
      <c r="J138" s="131"/>
      <c r="K138" s="125"/>
      <c r="L138" s="206"/>
      <c r="M138" s="206"/>
      <c r="N138" s="144"/>
      <c r="O138" s="125"/>
      <c r="P138" s="367"/>
      <c r="Q138" s="125"/>
      <c r="R138" s="125"/>
      <c r="S138" s="206"/>
      <c r="T138" s="354"/>
      <c r="U138" s="354"/>
      <c r="V138" s="354"/>
    </row>
    <row r="139" ht="19.5" customHeight="1">
      <c r="A139" s="135"/>
      <c r="B139" s="369"/>
      <c r="C139" s="125"/>
      <c r="D139" s="125"/>
      <c r="E139" s="125"/>
      <c r="F139" s="125"/>
      <c r="G139" s="125"/>
      <c r="H139" s="125"/>
      <c r="I139" s="131"/>
      <c r="J139" s="131"/>
      <c r="K139" s="125"/>
      <c r="L139" s="206"/>
      <c r="M139" s="206"/>
      <c r="N139" s="144"/>
      <c r="O139" s="125"/>
      <c r="P139" s="367"/>
      <c r="Q139" s="125"/>
      <c r="R139" s="125"/>
      <c r="S139" s="206"/>
      <c r="T139" s="354"/>
      <c r="U139" s="354"/>
      <c r="V139" s="354"/>
    </row>
    <row r="140" ht="19.5" customHeight="1">
      <c r="A140" s="135"/>
      <c r="B140" s="369"/>
      <c r="C140" s="125"/>
      <c r="D140" s="125"/>
      <c r="E140" s="125"/>
      <c r="F140" s="125"/>
      <c r="G140" s="125"/>
      <c r="H140" s="125"/>
      <c r="I140" s="131"/>
      <c r="J140" s="131"/>
      <c r="K140" s="125"/>
      <c r="L140" s="206"/>
      <c r="M140" s="206"/>
      <c r="N140" s="144"/>
      <c r="O140" s="125"/>
      <c r="P140" s="367"/>
      <c r="Q140" s="125"/>
      <c r="R140" s="125"/>
      <c r="S140" s="206"/>
      <c r="T140" s="354"/>
      <c r="U140" s="354"/>
      <c r="V140" s="354"/>
    </row>
    <row r="141" ht="19.5" customHeight="1">
      <c r="A141" s="135"/>
      <c r="B141" s="369"/>
      <c r="C141" s="125"/>
      <c r="D141" s="125"/>
      <c r="E141" s="125"/>
      <c r="F141" s="125"/>
      <c r="G141" s="125"/>
      <c r="H141" s="125"/>
      <c r="I141" s="131"/>
      <c r="J141" s="131"/>
      <c r="K141" s="125"/>
      <c r="L141" s="206"/>
      <c r="M141" s="206"/>
      <c r="N141" s="144"/>
      <c r="O141" s="125"/>
      <c r="P141" s="367"/>
      <c r="Q141" s="125"/>
      <c r="R141" s="125"/>
      <c r="S141" s="206"/>
      <c r="T141" s="354"/>
      <c r="U141" s="354"/>
      <c r="V141" s="354"/>
    </row>
    <row r="142" ht="19.5" customHeight="1">
      <c r="A142" s="135"/>
      <c r="B142" s="369"/>
      <c r="C142" s="125"/>
      <c r="D142" s="125"/>
      <c r="E142" s="125"/>
      <c r="F142" s="125"/>
      <c r="G142" s="125"/>
      <c r="H142" s="125"/>
      <c r="I142" s="131"/>
      <c r="J142" s="131"/>
      <c r="K142" s="125"/>
      <c r="L142" s="206"/>
      <c r="M142" s="206"/>
      <c r="N142" s="144"/>
      <c r="O142" s="125"/>
      <c r="P142" s="367"/>
      <c r="Q142" s="125"/>
      <c r="R142" s="125"/>
      <c r="S142" s="206"/>
      <c r="T142" s="354"/>
      <c r="U142" s="354"/>
      <c r="V142" s="354"/>
    </row>
    <row r="143" ht="19.5" customHeight="1">
      <c r="A143" s="135"/>
      <c r="B143" s="369"/>
      <c r="C143" s="125"/>
      <c r="D143" s="125"/>
      <c r="E143" s="125"/>
      <c r="F143" s="125"/>
      <c r="G143" s="125"/>
      <c r="H143" s="125"/>
      <c r="I143" s="131"/>
      <c r="J143" s="131"/>
      <c r="K143" s="125"/>
      <c r="L143" s="206"/>
      <c r="M143" s="206"/>
      <c r="N143" s="144"/>
      <c r="O143" s="125"/>
      <c r="P143" s="367"/>
      <c r="Q143" s="125"/>
      <c r="R143" s="125"/>
      <c r="S143" s="206"/>
      <c r="T143" s="354"/>
      <c r="U143" s="354"/>
      <c r="V143" s="354"/>
    </row>
    <row r="144" ht="19.5" customHeight="1">
      <c r="A144" s="135"/>
      <c r="B144" s="369"/>
      <c r="C144" s="125"/>
      <c r="D144" s="125"/>
      <c r="E144" s="125"/>
      <c r="F144" s="125"/>
      <c r="G144" s="125"/>
      <c r="H144" s="125"/>
      <c r="I144" s="131"/>
      <c r="J144" s="131"/>
      <c r="K144" s="125"/>
      <c r="L144" s="206"/>
      <c r="M144" s="206"/>
      <c r="N144" s="144"/>
      <c r="O144" s="125"/>
      <c r="P144" s="367"/>
      <c r="Q144" s="125"/>
      <c r="R144" s="125"/>
      <c r="S144" s="206"/>
      <c r="T144" s="354"/>
      <c r="U144" s="354"/>
      <c r="V144" s="354"/>
    </row>
    <row r="145" ht="19.5" customHeight="1">
      <c r="A145" s="135"/>
      <c r="B145" s="269"/>
      <c r="C145" s="125"/>
      <c r="D145" s="125"/>
      <c r="E145" s="125"/>
      <c r="F145" s="125"/>
      <c r="G145" s="125"/>
      <c r="H145" s="125"/>
      <c r="I145" s="131"/>
      <c r="J145" s="131"/>
      <c r="K145" s="125"/>
      <c r="L145" s="206"/>
      <c r="M145" s="206"/>
      <c r="N145" s="144"/>
      <c r="O145" s="125"/>
      <c r="P145" s="367"/>
      <c r="Q145" s="125"/>
      <c r="R145" s="125"/>
      <c r="S145" s="206"/>
      <c r="T145" s="354"/>
      <c r="U145" s="354"/>
      <c r="V145" s="354"/>
    </row>
    <row r="146">
      <c r="A146" s="206"/>
      <c r="B146" s="229"/>
      <c r="C146" s="206"/>
      <c r="D146" s="206"/>
      <c r="E146" s="206"/>
      <c r="F146" s="206"/>
      <c r="G146" s="206"/>
      <c r="H146" s="206"/>
      <c r="I146" s="230"/>
      <c r="J146" s="206"/>
      <c r="K146" s="206"/>
      <c r="L146" s="206"/>
      <c r="M146" s="206"/>
      <c r="N146" s="206"/>
      <c r="O146" s="206"/>
      <c r="P146" s="206"/>
      <c r="Q146" s="206"/>
      <c r="R146" s="206"/>
      <c r="S146" s="206"/>
      <c r="T146" s="364"/>
      <c r="U146" s="364"/>
      <c r="V146" s="364"/>
    </row>
    <row r="147">
      <c r="A147" s="206"/>
      <c r="B147" s="206"/>
      <c r="C147" s="206"/>
      <c r="D147" s="206"/>
      <c r="E147" s="206"/>
      <c r="F147" s="206"/>
      <c r="G147" s="206"/>
      <c r="H147" s="206"/>
      <c r="I147" s="230"/>
      <c r="J147" s="206"/>
      <c r="K147" s="206"/>
      <c r="L147" s="206"/>
      <c r="M147" s="206"/>
      <c r="N147" s="206"/>
      <c r="O147" s="206"/>
      <c r="P147" s="206"/>
      <c r="Q147" s="206"/>
      <c r="R147" s="206"/>
      <c r="S147" s="206"/>
      <c r="T147" s="364"/>
      <c r="U147" s="364"/>
      <c r="V147" s="364"/>
    </row>
    <row r="148">
      <c r="A148" s="206"/>
      <c r="B148" s="206"/>
      <c r="C148" s="206"/>
      <c r="D148" s="206"/>
      <c r="E148" s="206"/>
      <c r="F148" s="206"/>
      <c r="G148" s="206"/>
      <c r="H148" s="206"/>
      <c r="I148" s="230"/>
      <c r="J148" s="206"/>
      <c r="K148" s="206"/>
      <c r="L148" s="206"/>
      <c r="M148" s="206"/>
      <c r="N148" s="206"/>
      <c r="O148" s="206"/>
      <c r="P148" s="206"/>
      <c r="Q148" s="206"/>
      <c r="R148" s="206"/>
      <c r="S148" s="206"/>
      <c r="T148" s="364"/>
      <c r="U148" s="364"/>
      <c r="V148" s="364"/>
    </row>
    <row r="149">
      <c r="A149" s="206"/>
      <c r="B149" s="206"/>
      <c r="C149" s="206"/>
      <c r="D149" s="206"/>
      <c r="E149" s="206"/>
      <c r="F149" s="206"/>
      <c r="G149" s="206"/>
      <c r="H149" s="206"/>
      <c r="I149" s="230"/>
      <c r="J149" s="206"/>
      <c r="K149" s="206"/>
      <c r="L149" s="206"/>
      <c r="M149" s="206"/>
      <c r="N149" s="206"/>
      <c r="O149" s="206"/>
      <c r="P149" s="206"/>
      <c r="Q149" s="206"/>
      <c r="R149" s="206"/>
      <c r="S149" s="206"/>
      <c r="T149" s="364"/>
      <c r="U149" s="364"/>
      <c r="V149" s="364"/>
    </row>
    <row r="150">
      <c r="A150" s="206"/>
      <c r="B150" s="206"/>
      <c r="C150" s="206"/>
      <c r="D150" s="206"/>
      <c r="E150" s="206"/>
      <c r="F150" s="206"/>
      <c r="G150" s="206"/>
      <c r="H150" s="206"/>
      <c r="I150" s="230"/>
      <c r="J150" s="206"/>
      <c r="K150" s="206"/>
      <c r="L150" s="206"/>
      <c r="M150" s="206"/>
      <c r="N150" s="206"/>
      <c r="O150" s="206"/>
      <c r="P150" s="206"/>
      <c r="Q150" s="206"/>
      <c r="R150" s="206"/>
      <c r="S150" s="206"/>
      <c r="T150" s="364"/>
      <c r="U150" s="364"/>
      <c r="V150" s="364"/>
    </row>
    <row r="151">
      <c r="A151" s="206"/>
      <c r="B151" s="206"/>
      <c r="C151" s="206"/>
      <c r="D151" s="206"/>
      <c r="E151" s="206"/>
      <c r="F151" s="206"/>
      <c r="G151" s="206"/>
      <c r="H151" s="206"/>
      <c r="I151" s="230"/>
      <c r="J151" s="206"/>
      <c r="K151" s="206"/>
      <c r="L151" s="206"/>
      <c r="M151" s="206"/>
      <c r="N151" s="206"/>
      <c r="O151" s="206"/>
      <c r="P151" s="206"/>
      <c r="Q151" s="206"/>
      <c r="R151" s="206"/>
      <c r="S151" s="206"/>
      <c r="T151" s="364"/>
      <c r="U151" s="364"/>
      <c r="V151" s="364"/>
    </row>
    <row r="152">
      <c r="A152" s="206"/>
      <c r="B152" s="206"/>
      <c r="C152" s="206"/>
      <c r="D152" s="206"/>
      <c r="E152" s="206"/>
      <c r="F152" s="206"/>
      <c r="G152" s="206"/>
      <c r="H152" s="206"/>
      <c r="I152" s="230"/>
      <c r="J152" s="206"/>
      <c r="K152" s="206"/>
      <c r="L152" s="206"/>
      <c r="M152" s="206"/>
      <c r="N152" s="206"/>
      <c r="O152" s="206"/>
      <c r="P152" s="206"/>
      <c r="Q152" s="206"/>
      <c r="R152" s="206"/>
      <c r="S152" s="206"/>
      <c r="T152" s="364"/>
      <c r="U152" s="364"/>
      <c r="V152" s="364"/>
    </row>
    <row r="153">
      <c r="A153" s="206"/>
      <c r="B153" s="206"/>
      <c r="C153" s="206"/>
      <c r="D153" s="206"/>
      <c r="E153" s="206"/>
      <c r="F153" s="206"/>
      <c r="G153" s="206"/>
      <c r="H153" s="206"/>
      <c r="I153" s="230"/>
      <c r="J153" s="206"/>
      <c r="K153" s="206"/>
      <c r="L153" s="206"/>
      <c r="M153" s="206"/>
      <c r="N153" s="206"/>
      <c r="O153" s="206"/>
      <c r="P153" s="206"/>
      <c r="Q153" s="206"/>
      <c r="R153" s="206"/>
      <c r="S153" s="206"/>
      <c r="T153" s="364"/>
      <c r="U153" s="364"/>
      <c r="V153" s="364"/>
    </row>
    <row r="154">
      <c r="A154" s="206"/>
      <c r="B154" s="206"/>
      <c r="C154" s="206"/>
      <c r="D154" s="206"/>
      <c r="E154" s="206"/>
      <c r="F154" s="206"/>
      <c r="G154" s="206"/>
      <c r="H154" s="206"/>
      <c r="I154" s="230"/>
      <c r="J154" s="206"/>
      <c r="K154" s="206"/>
      <c r="L154" s="206"/>
      <c r="M154" s="206"/>
      <c r="N154" s="206"/>
      <c r="O154" s="206"/>
      <c r="P154" s="206"/>
      <c r="Q154" s="206"/>
      <c r="R154" s="206"/>
      <c r="S154" s="206"/>
      <c r="T154" s="364"/>
      <c r="U154" s="364"/>
      <c r="V154" s="364"/>
    </row>
    <row r="155">
      <c r="A155" s="206"/>
      <c r="B155" s="206"/>
      <c r="C155" s="206"/>
      <c r="D155" s="206"/>
      <c r="E155" s="206"/>
      <c r="F155" s="206"/>
      <c r="G155" s="206"/>
      <c r="H155" s="206"/>
      <c r="I155" s="230"/>
      <c r="J155" s="206"/>
      <c r="K155" s="206"/>
      <c r="L155" s="206"/>
      <c r="M155" s="206"/>
      <c r="N155" s="206"/>
      <c r="O155" s="206"/>
      <c r="P155" s="206"/>
      <c r="Q155" s="206"/>
      <c r="R155" s="206"/>
      <c r="S155" s="206"/>
      <c r="T155" s="364"/>
      <c r="U155" s="364"/>
      <c r="V155" s="364"/>
    </row>
    <row r="156">
      <c r="A156" s="206"/>
      <c r="B156" s="206"/>
      <c r="C156" s="206"/>
      <c r="D156" s="206"/>
      <c r="E156" s="206"/>
      <c r="F156" s="206"/>
      <c r="G156" s="206"/>
      <c r="H156" s="206"/>
      <c r="I156" s="230"/>
      <c r="J156" s="206"/>
      <c r="K156" s="206"/>
      <c r="L156" s="206"/>
      <c r="M156" s="206"/>
      <c r="N156" s="206"/>
      <c r="O156" s="206"/>
      <c r="P156" s="206"/>
      <c r="Q156" s="206"/>
      <c r="R156" s="206"/>
      <c r="S156" s="206"/>
      <c r="T156" s="364"/>
      <c r="U156" s="364"/>
      <c r="V156" s="364"/>
    </row>
    <row r="157">
      <c r="A157" s="206"/>
      <c r="B157" s="206"/>
      <c r="C157" s="206"/>
      <c r="D157" s="206"/>
      <c r="E157" s="206"/>
      <c r="F157" s="206"/>
      <c r="G157" s="206"/>
      <c r="H157" s="206"/>
      <c r="I157" s="230"/>
      <c r="J157" s="206"/>
      <c r="K157" s="206"/>
      <c r="L157" s="206"/>
      <c r="M157" s="206"/>
      <c r="N157" s="206"/>
      <c r="O157" s="206"/>
      <c r="P157" s="206"/>
      <c r="Q157" s="206"/>
      <c r="R157" s="206"/>
      <c r="S157" s="206"/>
      <c r="T157" s="364"/>
      <c r="U157" s="364"/>
      <c r="V157" s="364"/>
    </row>
    <row r="158">
      <c r="A158" s="206"/>
      <c r="B158" s="206"/>
      <c r="C158" s="206"/>
      <c r="D158" s="206"/>
      <c r="E158" s="206"/>
      <c r="F158" s="206"/>
      <c r="G158" s="206"/>
      <c r="H158" s="206"/>
      <c r="I158" s="230"/>
      <c r="J158" s="206"/>
      <c r="K158" s="206"/>
      <c r="L158" s="206"/>
      <c r="M158" s="206"/>
      <c r="N158" s="206"/>
      <c r="O158" s="206"/>
      <c r="P158" s="206"/>
      <c r="Q158" s="206"/>
      <c r="R158" s="206"/>
      <c r="S158" s="206"/>
      <c r="T158" s="364"/>
      <c r="U158" s="364"/>
      <c r="V158" s="364"/>
    </row>
    <row r="159">
      <c r="A159" s="206"/>
      <c r="B159" s="206"/>
      <c r="C159" s="206"/>
      <c r="D159" s="206"/>
      <c r="E159" s="206"/>
      <c r="F159" s="206"/>
      <c r="G159" s="206"/>
      <c r="H159" s="206"/>
      <c r="I159" s="230"/>
      <c r="J159" s="206"/>
      <c r="K159" s="206"/>
      <c r="L159" s="206"/>
      <c r="M159" s="206"/>
      <c r="N159" s="206"/>
      <c r="O159" s="206"/>
      <c r="P159" s="206"/>
      <c r="Q159" s="206"/>
      <c r="R159" s="206"/>
      <c r="S159" s="206"/>
      <c r="T159" s="364"/>
      <c r="U159" s="364"/>
      <c r="V159" s="364"/>
    </row>
    <row r="160">
      <c r="A160" s="206"/>
      <c r="B160" s="206"/>
      <c r="C160" s="206"/>
      <c r="D160" s="206"/>
      <c r="E160" s="206"/>
      <c r="F160" s="206"/>
      <c r="G160" s="206"/>
      <c r="H160" s="206"/>
      <c r="I160" s="230"/>
      <c r="J160" s="206"/>
      <c r="K160" s="206"/>
      <c r="L160" s="206"/>
      <c r="M160" s="206"/>
      <c r="N160" s="206"/>
      <c r="O160" s="206"/>
      <c r="P160" s="206"/>
      <c r="Q160" s="206"/>
      <c r="R160" s="206"/>
      <c r="S160" s="206"/>
      <c r="T160" s="364"/>
      <c r="U160" s="364"/>
      <c r="V160" s="364"/>
    </row>
    <row r="161">
      <c r="A161" s="206"/>
      <c r="B161" s="206"/>
      <c r="C161" s="206"/>
      <c r="D161" s="206"/>
      <c r="E161" s="206"/>
      <c r="F161" s="206"/>
      <c r="G161" s="206"/>
      <c r="H161" s="206"/>
      <c r="I161" s="230"/>
      <c r="J161" s="206"/>
      <c r="K161" s="206"/>
      <c r="L161" s="206"/>
      <c r="M161" s="206"/>
      <c r="N161" s="206"/>
      <c r="O161" s="206"/>
      <c r="P161" s="206"/>
      <c r="Q161" s="206"/>
      <c r="R161" s="206"/>
      <c r="S161" s="206"/>
      <c r="T161" s="364"/>
      <c r="U161" s="364"/>
      <c r="V161" s="364"/>
    </row>
    <row r="162">
      <c r="A162" s="206"/>
      <c r="B162" s="206"/>
      <c r="C162" s="206"/>
      <c r="D162" s="206"/>
      <c r="E162" s="206"/>
      <c r="F162" s="206"/>
      <c r="G162" s="206"/>
      <c r="H162" s="206"/>
      <c r="I162" s="230"/>
      <c r="J162" s="206"/>
      <c r="K162" s="206"/>
      <c r="L162" s="206"/>
      <c r="M162" s="206"/>
      <c r="N162" s="206"/>
      <c r="O162" s="206"/>
      <c r="P162" s="206"/>
      <c r="Q162" s="206"/>
      <c r="R162" s="206"/>
      <c r="S162" s="206"/>
      <c r="T162" s="364"/>
      <c r="U162" s="364"/>
      <c r="V162" s="364"/>
    </row>
    <row r="163">
      <c r="A163" s="206"/>
      <c r="B163" s="206"/>
      <c r="C163" s="206"/>
      <c r="D163" s="206"/>
      <c r="E163" s="206"/>
      <c r="F163" s="206"/>
      <c r="G163" s="206"/>
      <c r="H163" s="206"/>
      <c r="I163" s="230"/>
      <c r="J163" s="206"/>
      <c r="K163" s="206"/>
      <c r="L163" s="206"/>
      <c r="M163" s="206"/>
      <c r="N163" s="206"/>
      <c r="O163" s="206"/>
      <c r="P163" s="206"/>
      <c r="Q163" s="206"/>
      <c r="R163" s="206"/>
      <c r="S163" s="206"/>
      <c r="T163" s="364"/>
      <c r="U163" s="364"/>
      <c r="V163" s="364"/>
    </row>
    <row r="164">
      <c r="A164" s="206"/>
      <c r="B164" s="206"/>
      <c r="C164" s="206"/>
      <c r="D164" s="206"/>
      <c r="E164" s="206"/>
      <c r="F164" s="206"/>
      <c r="G164" s="206"/>
      <c r="H164" s="206"/>
      <c r="I164" s="230"/>
      <c r="J164" s="206"/>
      <c r="K164" s="206"/>
      <c r="L164" s="206"/>
      <c r="M164" s="206"/>
      <c r="N164" s="206"/>
      <c r="O164" s="206"/>
      <c r="P164" s="206"/>
      <c r="Q164" s="206"/>
      <c r="R164" s="206"/>
      <c r="S164" s="206"/>
      <c r="T164" s="364"/>
      <c r="U164" s="364"/>
      <c r="V164" s="364"/>
    </row>
    <row r="165">
      <c r="A165" s="206"/>
      <c r="B165" s="206"/>
      <c r="C165" s="206"/>
      <c r="D165" s="206"/>
      <c r="E165" s="206"/>
      <c r="F165" s="206"/>
      <c r="G165" s="206"/>
      <c r="H165" s="206"/>
      <c r="I165" s="230"/>
      <c r="J165" s="206"/>
      <c r="K165" s="206"/>
      <c r="L165" s="206"/>
      <c r="M165" s="206"/>
      <c r="N165" s="206"/>
      <c r="O165" s="206"/>
      <c r="P165" s="206"/>
      <c r="Q165" s="206"/>
      <c r="R165" s="206"/>
      <c r="S165" s="206"/>
      <c r="T165" s="364"/>
      <c r="U165" s="364"/>
      <c r="V165" s="364"/>
    </row>
    <row r="166">
      <c r="A166" s="206"/>
      <c r="B166" s="206"/>
      <c r="C166" s="206"/>
      <c r="D166" s="206"/>
      <c r="E166" s="206"/>
      <c r="F166" s="206"/>
      <c r="G166" s="206"/>
      <c r="H166" s="206"/>
      <c r="I166" s="230"/>
      <c r="J166" s="206"/>
      <c r="K166" s="206"/>
      <c r="L166" s="206"/>
      <c r="M166" s="206"/>
      <c r="N166" s="206"/>
      <c r="O166" s="206"/>
      <c r="P166" s="206"/>
      <c r="Q166" s="206"/>
      <c r="R166" s="206"/>
      <c r="S166" s="206"/>
      <c r="T166" s="364"/>
      <c r="U166" s="364"/>
      <c r="V166" s="364"/>
    </row>
    <row r="167">
      <c r="A167" s="206"/>
      <c r="B167" s="206"/>
      <c r="C167" s="206"/>
      <c r="D167" s="206"/>
      <c r="E167" s="206"/>
      <c r="F167" s="206"/>
      <c r="G167" s="206"/>
      <c r="H167" s="206"/>
      <c r="I167" s="230"/>
      <c r="J167" s="206"/>
      <c r="K167" s="206"/>
      <c r="L167" s="206"/>
      <c r="M167" s="206"/>
      <c r="N167" s="206"/>
      <c r="O167" s="206"/>
      <c r="P167" s="206"/>
      <c r="Q167" s="206"/>
      <c r="R167" s="206"/>
      <c r="S167" s="206"/>
      <c r="T167" s="364"/>
      <c r="U167" s="364"/>
      <c r="V167" s="364"/>
    </row>
    <row r="168">
      <c r="A168" s="206"/>
      <c r="B168" s="206"/>
      <c r="C168" s="206"/>
      <c r="D168" s="206"/>
      <c r="E168" s="206"/>
      <c r="F168" s="206"/>
      <c r="G168" s="206"/>
      <c r="H168" s="206"/>
      <c r="I168" s="230"/>
      <c r="J168" s="206"/>
      <c r="K168" s="206"/>
      <c r="L168" s="206"/>
      <c r="M168" s="206"/>
      <c r="N168" s="206"/>
      <c r="O168" s="206"/>
      <c r="P168" s="206"/>
      <c r="Q168" s="206"/>
      <c r="R168" s="206"/>
      <c r="S168" s="206"/>
      <c r="T168" s="364"/>
      <c r="U168" s="364"/>
      <c r="V168" s="364"/>
    </row>
    <row r="169">
      <c r="A169" s="206"/>
      <c r="B169" s="206"/>
      <c r="C169" s="206"/>
      <c r="D169" s="206"/>
      <c r="E169" s="206"/>
      <c r="F169" s="206"/>
      <c r="G169" s="206"/>
      <c r="H169" s="206"/>
      <c r="I169" s="230"/>
      <c r="J169" s="206"/>
      <c r="K169" s="206"/>
      <c r="L169" s="206"/>
      <c r="M169" s="206"/>
      <c r="N169" s="206"/>
      <c r="O169" s="206"/>
      <c r="P169" s="206"/>
      <c r="Q169" s="206"/>
      <c r="R169" s="206"/>
      <c r="S169" s="206"/>
      <c r="T169" s="364"/>
      <c r="U169" s="364"/>
      <c r="V169" s="364"/>
    </row>
    <row r="170">
      <c r="A170" s="206"/>
      <c r="B170" s="206"/>
      <c r="C170" s="206"/>
      <c r="D170" s="206"/>
      <c r="E170" s="206"/>
      <c r="F170" s="206"/>
      <c r="G170" s="206"/>
      <c r="H170" s="206"/>
      <c r="I170" s="230"/>
      <c r="J170" s="206"/>
      <c r="K170" s="206"/>
      <c r="L170" s="206"/>
      <c r="M170" s="206"/>
      <c r="N170" s="206"/>
      <c r="O170" s="206"/>
      <c r="P170" s="206"/>
      <c r="Q170" s="206"/>
      <c r="R170" s="206"/>
      <c r="S170" s="206"/>
      <c r="T170" s="364"/>
      <c r="U170" s="364"/>
      <c r="V170" s="364"/>
    </row>
    <row r="171">
      <c r="A171" s="206"/>
      <c r="B171" s="206"/>
      <c r="C171" s="206"/>
      <c r="D171" s="206"/>
      <c r="E171" s="206"/>
      <c r="F171" s="206"/>
      <c r="G171" s="206"/>
      <c r="H171" s="206"/>
      <c r="I171" s="230"/>
      <c r="J171" s="206"/>
      <c r="K171" s="206"/>
      <c r="L171" s="206"/>
      <c r="M171" s="206"/>
      <c r="N171" s="206"/>
      <c r="O171" s="206"/>
      <c r="P171" s="206"/>
      <c r="Q171" s="206"/>
      <c r="R171" s="206"/>
      <c r="S171" s="206"/>
      <c r="T171" s="364"/>
      <c r="U171" s="364"/>
      <c r="V171" s="364"/>
    </row>
    <row r="172">
      <c r="A172" s="206"/>
      <c r="B172" s="206"/>
      <c r="C172" s="206"/>
      <c r="D172" s="206"/>
      <c r="E172" s="206"/>
      <c r="F172" s="206"/>
      <c r="G172" s="206"/>
      <c r="H172" s="206"/>
      <c r="I172" s="230"/>
      <c r="J172" s="206"/>
      <c r="K172" s="206"/>
      <c r="L172" s="206"/>
      <c r="M172" s="206"/>
      <c r="N172" s="206"/>
      <c r="O172" s="206"/>
      <c r="P172" s="206"/>
      <c r="Q172" s="206"/>
      <c r="R172" s="206"/>
      <c r="S172" s="206"/>
      <c r="T172" s="364"/>
      <c r="U172" s="364"/>
      <c r="V172" s="364"/>
    </row>
    <row r="173">
      <c r="A173" s="206"/>
      <c r="B173" s="206"/>
      <c r="C173" s="206"/>
      <c r="D173" s="206"/>
      <c r="E173" s="206"/>
      <c r="F173" s="206"/>
      <c r="G173" s="206"/>
      <c r="H173" s="206"/>
      <c r="I173" s="230"/>
      <c r="J173" s="206"/>
      <c r="K173" s="206"/>
      <c r="L173" s="206"/>
      <c r="M173" s="206"/>
      <c r="N173" s="206"/>
      <c r="O173" s="206"/>
      <c r="P173" s="206"/>
      <c r="Q173" s="206"/>
      <c r="R173" s="206"/>
      <c r="S173" s="206"/>
      <c r="T173" s="364"/>
      <c r="U173" s="364"/>
      <c r="V173" s="364"/>
    </row>
    <row r="174">
      <c r="A174" s="206"/>
      <c r="B174" s="206"/>
      <c r="C174" s="206"/>
      <c r="D174" s="206"/>
      <c r="E174" s="206"/>
      <c r="F174" s="206"/>
      <c r="G174" s="206"/>
      <c r="H174" s="206"/>
      <c r="I174" s="230"/>
      <c r="J174" s="206"/>
      <c r="K174" s="206"/>
      <c r="L174" s="206"/>
      <c r="M174" s="206"/>
      <c r="N174" s="206"/>
      <c r="O174" s="206"/>
      <c r="P174" s="206"/>
      <c r="Q174" s="206"/>
      <c r="R174" s="206"/>
      <c r="S174" s="206"/>
      <c r="T174" s="364"/>
      <c r="U174" s="364"/>
      <c r="V174" s="364"/>
    </row>
    <row r="175">
      <c r="A175" s="206"/>
      <c r="B175" s="206"/>
      <c r="C175" s="206"/>
      <c r="D175" s="206"/>
      <c r="E175" s="206"/>
      <c r="F175" s="206"/>
      <c r="G175" s="206"/>
      <c r="H175" s="206"/>
      <c r="I175" s="230"/>
      <c r="J175" s="206"/>
      <c r="K175" s="206"/>
      <c r="L175" s="206"/>
      <c r="M175" s="206"/>
      <c r="N175" s="206"/>
      <c r="O175" s="206"/>
      <c r="P175" s="206"/>
      <c r="Q175" s="206"/>
      <c r="R175" s="206"/>
      <c r="S175" s="206"/>
      <c r="T175" s="364"/>
      <c r="U175" s="364"/>
      <c r="V175" s="364"/>
    </row>
    <row r="176">
      <c r="A176" s="206"/>
      <c r="B176" s="206"/>
      <c r="C176" s="206"/>
      <c r="D176" s="206"/>
      <c r="E176" s="206"/>
      <c r="F176" s="206"/>
      <c r="G176" s="206"/>
      <c r="H176" s="206"/>
      <c r="I176" s="230"/>
      <c r="J176" s="206"/>
      <c r="K176" s="206"/>
      <c r="L176" s="206"/>
      <c r="M176" s="206"/>
      <c r="N176" s="206"/>
      <c r="O176" s="206"/>
      <c r="P176" s="206"/>
      <c r="Q176" s="206"/>
      <c r="R176" s="206"/>
      <c r="S176" s="206"/>
      <c r="T176" s="364"/>
      <c r="U176" s="364"/>
      <c r="V176" s="364"/>
    </row>
    <row r="177">
      <c r="A177" s="206"/>
      <c r="B177" s="206"/>
      <c r="C177" s="206"/>
      <c r="D177" s="206"/>
      <c r="E177" s="206"/>
      <c r="F177" s="206"/>
      <c r="G177" s="206"/>
      <c r="H177" s="206"/>
      <c r="I177" s="230"/>
      <c r="J177" s="206"/>
      <c r="K177" s="206"/>
      <c r="L177" s="206"/>
      <c r="M177" s="206"/>
      <c r="N177" s="206"/>
      <c r="O177" s="206"/>
      <c r="P177" s="206"/>
      <c r="Q177" s="206"/>
      <c r="R177" s="206"/>
      <c r="S177" s="206"/>
      <c r="T177" s="364"/>
      <c r="U177" s="364"/>
      <c r="V177" s="364"/>
    </row>
    <row r="178">
      <c r="A178" s="206"/>
      <c r="B178" s="206"/>
      <c r="C178" s="206"/>
      <c r="D178" s="206"/>
      <c r="E178" s="206"/>
      <c r="F178" s="206"/>
      <c r="G178" s="206"/>
      <c r="H178" s="206"/>
      <c r="I178" s="230"/>
      <c r="J178" s="206"/>
      <c r="K178" s="206"/>
      <c r="L178" s="206"/>
      <c r="M178" s="206"/>
      <c r="N178" s="206"/>
      <c r="O178" s="206"/>
      <c r="P178" s="206"/>
      <c r="Q178" s="206"/>
      <c r="R178" s="206"/>
      <c r="S178" s="206"/>
      <c r="T178" s="364"/>
      <c r="U178" s="364"/>
      <c r="V178" s="364"/>
    </row>
    <row r="179">
      <c r="A179" s="206"/>
      <c r="B179" s="206"/>
      <c r="C179" s="206"/>
      <c r="D179" s="206"/>
      <c r="E179" s="206"/>
      <c r="F179" s="206"/>
      <c r="G179" s="206"/>
      <c r="H179" s="206"/>
      <c r="I179" s="230"/>
      <c r="J179" s="206"/>
      <c r="K179" s="206"/>
      <c r="L179" s="206"/>
      <c r="M179" s="206"/>
      <c r="N179" s="206"/>
      <c r="O179" s="206"/>
      <c r="P179" s="206"/>
      <c r="Q179" s="206"/>
      <c r="R179" s="206"/>
      <c r="S179" s="206"/>
      <c r="T179" s="364"/>
      <c r="U179" s="364"/>
      <c r="V179" s="364"/>
    </row>
    <row r="180">
      <c r="A180" s="206"/>
      <c r="B180" s="206"/>
      <c r="C180" s="206"/>
      <c r="D180" s="206"/>
      <c r="E180" s="206"/>
      <c r="F180" s="206"/>
      <c r="G180" s="206"/>
      <c r="H180" s="206"/>
      <c r="I180" s="230"/>
      <c r="J180" s="206"/>
      <c r="K180" s="206"/>
      <c r="L180" s="206"/>
      <c r="M180" s="206"/>
      <c r="N180" s="206"/>
      <c r="O180" s="206"/>
      <c r="P180" s="206"/>
      <c r="Q180" s="206"/>
      <c r="R180" s="206"/>
      <c r="S180" s="206"/>
      <c r="T180" s="364"/>
      <c r="U180" s="364"/>
      <c r="V180" s="364"/>
    </row>
    <row r="181">
      <c r="A181" s="206"/>
      <c r="B181" s="206"/>
      <c r="C181" s="206"/>
      <c r="D181" s="206"/>
      <c r="E181" s="206"/>
      <c r="F181" s="206"/>
      <c r="G181" s="206"/>
      <c r="H181" s="206"/>
      <c r="I181" s="230"/>
      <c r="J181" s="206"/>
      <c r="K181" s="206"/>
      <c r="L181" s="206"/>
      <c r="M181" s="206"/>
      <c r="N181" s="206"/>
      <c r="O181" s="206"/>
      <c r="P181" s="206"/>
      <c r="Q181" s="206"/>
      <c r="R181" s="206"/>
      <c r="S181" s="206"/>
      <c r="T181" s="364"/>
      <c r="U181" s="364"/>
      <c r="V181" s="364"/>
    </row>
    <row r="182">
      <c r="A182" s="206"/>
      <c r="B182" s="206"/>
      <c r="C182" s="206"/>
      <c r="D182" s="206"/>
      <c r="E182" s="206"/>
      <c r="F182" s="206"/>
      <c r="G182" s="206"/>
      <c r="H182" s="206"/>
      <c r="I182" s="230"/>
      <c r="J182" s="206"/>
      <c r="K182" s="206"/>
      <c r="L182" s="206"/>
      <c r="M182" s="206"/>
      <c r="N182" s="206"/>
      <c r="O182" s="206"/>
      <c r="P182" s="206"/>
      <c r="Q182" s="206"/>
      <c r="R182" s="206"/>
      <c r="S182" s="206"/>
      <c r="T182" s="364"/>
      <c r="U182" s="364"/>
      <c r="V182" s="364"/>
    </row>
    <row r="183">
      <c r="A183" s="206"/>
      <c r="B183" s="206"/>
      <c r="C183" s="206"/>
      <c r="D183" s="206"/>
      <c r="E183" s="206"/>
      <c r="F183" s="206"/>
      <c r="G183" s="206"/>
      <c r="H183" s="206"/>
      <c r="I183" s="230"/>
      <c r="J183" s="206"/>
      <c r="K183" s="206"/>
      <c r="L183" s="206"/>
      <c r="M183" s="206"/>
      <c r="N183" s="206"/>
      <c r="O183" s="206"/>
      <c r="P183" s="206"/>
      <c r="Q183" s="206"/>
      <c r="R183" s="206"/>
      <c r="S183" s="206"/>
      <c r="T183" s="364"/>
      <c r="U183" s="364"/>
      <c r="V183" s="364"/>
    </row>
    <row r="184">
      <c r="A184" s="206"/>
      <c r="B184" s="206"/>
      <c r="C184" s="206"/>
      <c r="D184" s="206"/>
      <c r="E184" s="206"/>
      <c r="F184" s="206"/>
      <c r="G184" s="206"/>
      <c r="H184" s="206"/>
      <c r="I184" s="230"/>
      <c r="J184" s="206"/>
      <c r="K184" s="206"/>
      <c r="L184" s="206"/>
      <c r="M184" s="206"/>
      <c r="N184" s="206"/>
      <c r="O184" s="206"/>
      <c r="P184" s="206"/>
      <c r="Q184" s="206"/>
      <c r="R184" s="206"/>
      <c r="S184" s="206"/>
      <c r="T184" s="364"/>
      <c r="U184" s="364"/>
      <c r="V184" s="364"/>
    </row>
    <row r="185">
      <c r="A185" s="206"/>
      <c r="B185" s="206"/>
      <c r="C185" s="206"/>
      <c r="D185" s="206"/>
      <c r="E185" s="206"/>
      <c r="F185" s="206"/>
      <c r="G185" s="206"/>
      <c r="H185" s="206"/>
      <c r="I185" s="230"/>
      <c r="J185" s="206"/>
      <c r="K185" s="206"/>
      <c r="L185" s="206"/>
      <c r="M185" s="206"/>
      <c r="N185" s="206"/>
      <c r="O185" s="206"/>
      <c r="P185" s="206"/>
      <c r="Q185" s="206"/>
      <c r="R185" s="206"/>
      <c r="S185" s="206"/>
      <c r="T185" s="364"/>
      <c r="U185" s="364"/>
      <c r="V185" s="364"/>
    </row>
    <row r="186">
      <c r="A186" s="206"/>
      <c r="B186" s="206"/>
      <c r="C186" s="206"/>
      <c r="D186" s="206"/>
      <c r="E186" s="206"/>
      <c r="F186" s="206"/>
      <c r="G186" s="206"/>
      <c r="H186" s="206"/>
      <c r="I186" s="230"/>
      <c r="J186" s="206"/>
      <c r="K186" s="206"/>
      <c r="L186" s="206"/>
      <c r="M186" s="206"/>
      <c r="N186" s="206"/>
      <c r="O186" s="206"/>
      <c r="P186" s="206"/>
      <c r="Q186" s="206"/>
      <c r="R186" s="206"/>
      <c r="S186" s="206"/>
      <c r="T186" s="364"/>
      <c r="U186" s="364"/>
      <c r="V186" s="364"/>
    </row>
    <row r="187">
      <c r="A187" s="206"/>
      <c r="B187" s="206"/>
      <c r="C187" s="206"/>
      <c r="D187" s="206"/>
      <c r="E187" s="206"/>
      <c r="F187" s="206"/>
      <c r="G187" s="206"/>
      <c r="H187" s="206"/>
      <c r="I187" s="230"/>
      <c r="J187" s="206"/>
      <c r="K187" s="206"/>
      <c r="L187" s="206"/>
      <c r="M187" s="206"/>
      <c r="N187" s="206"/>
      <c r="O187" s="206"/>
      <c r="P187" s="206"/>
      <c r="Q187" s="206"/>
      <c r="R187" s="206"/>
      <c r="S187" s="206"/>
      <c r="T187" s="364"/>
      <c r="U187" s="364"/>
      <c r="V187" s="364"/>
    </row>
    <row r="188">
      <c r="A188" s="206"/>
      <c r="B188" s="206"/>
      <c r="C188" s="206"/>
      <c r="D188" s="206"/>
      <c r="E188" s="206"/>
      <c r="F188" s="206"/>
      <c r="G188" s="206"/>
      <c r="H188" s="206"/>
      <c r="I188" s="230"/>
      <c r="J188" s="206"/>
      <c r="K188" s="206"/>
      <c r="L188" s="206"/>
      <c r="M188" s="206"/>
      <c r="N188" s="206"/>
      <c r="O188" s="206"/>
      <c r="P188" s="206"/>
      <c r="Q188" s="206"/>
      <c r="R188" s="206"/>
      <c r="S188" s="206"/>
      <c r="T188" s="364"/>
      <c r="U188" s="364"/>
      <c r="V188" s="364"/>
    </row>
    <row r="189">
      <c r="A189" s="206"/>
      <c r="B189" s="206"/>
      <c r="C189" s="206"/>
      <c r="D189" s="206"/>
      <c r="E189" s="206"/>
      <c r="F189" s="206"/>
      <c r="G189" s="206"/>
      <c r="H189" s="206"/>
      <c r="I189" s="230"/>
      <c r="J189" s="206"/>
      <c r="K189" s="206"/>
      <c r="L189" s="206"/>
      <c r="M189" s="206"/>
      <c r="N189" s="206"/>
      <c r="O189" s="206"/>
      <c r="P189" s="206"/>
      <c r="Q189" s="206"/>
      <c r="R189" s="206"/>
      <c r="S189" s="206"/>
      <c r="T189" s="364"/>
      <c r="U189" s="364"/>
      <c r="V189" s="364"/>
    </row>
    <row r="190">
      <c r="A190" s="206"/>
      <c r="B190" s="206"/>
      <c r="C190" s="206"/>
      <c r="D190" s="206"/>
      <c r="E190" s="206"/>
      <c r="F190" s="206"/>
      <c r="G190" s="206"/>
      <c r="H190" s="206"/>
      <c r="I190" s="230"/>
      <c r="J190" s="206"/>
      <c r="K190" s="206"/>
      <c r="L190" s="206"/>
      <c r="M190" s="206"/>
      <c r="N190" s="206"/>
      <c r="O190" s="206"/>
      <c r="P190" s="206"/>
      <c r="Q190" s="206"/>
      <c r="R190" s="206"/>
      <c r="S190" s="206"/>
      <c r="T190" s="364"/>
      <c r="U190" s="364"/>
      <c r="V190" s="364"/>
    </row>
    <row r="191">
      <c r="A191" s="206"/>
      <c r="B191" s="206"/>
      <c r="C191" s="206"/>
      <c r="D191" s="206"/>
      <c r="E191" s="206"/>
      <c r="F191" s="206"/>
      <c r="G191" s="206"/>
      <c r="H191" s="206"/>
      <c r="I191" s="230"/>
      <c r="J191" s="206"/>
      <c r="K191" s="206"/>
      <c r="L191" s="206"/>
      <c r="M191" s="206"/>
      <c r="N191" s="206"/>
      <c r="O191" s="206"/>
      <c r="P191" s="206"/>
      <c r="Q191" s="206"/>
      <c r="R191" s="206"/>
      <c r="S191" s="206"/>
      <c r="T191" s="364"/>
      <c r="U191" s="364"/>
      <c r="V191" s="364"/>
    </row>
    <row r="192">
      <c r="A192" s="206"/>
      <c r="B192" s="206"/>
      <c r="C192" s="206"/>
      <c r="D192" s="206"/>
      <c r="E192" s="206"/>
      <c r="F192" s="206"/>
      <c r="G192" s="206"/>
      <c r="H192" s="206"/>
      <c r="I192" s="230"/>
      <c r="J192" s="206"/>
      <c r="K192" s="206"/>
      <c r="L192" s="206"/>
      <c r="M192" s="206"/>
      <c r="N192" s="206"/>
      <c r="O192" s="206"/>
      <c r="P192" s="206"/>
      <c r="Q192" s="206"/>
      <c r="R192" s="206"/>
      <c r="S192" s="206"/>
      <c r="T192" s="364"/>
      <c r="U192" s="364"/>
      <c r="V192" s="364"/>
    </row>
    <row r="193">
      <c r="A193" s="206"/>
      <c r="B193" s="206"/>
      <c r="C193" s="206"/>
      <c r="D193" s="206"/>
      <c r="E193" s="206"/>
      <c r="F193" s="206"/>
      <c r="G193" s="206"/>
      <c r="H193" s="206"/>
      <c r="I193" s="230"/>
      <c r="J193" s="206"/>
      <c r="K193" s="206"/>
      <c r="L193" s="206"/>
      <c r="M193" s="206"/>
      <c r="N193" s="206"/>
      <c r="O193" s="206"/>
      <c r="P193" s="206"/>
      <c r="Q193" s="206"/>
      <c r="R193" s="206"/>
      <c r="S193" s="206"/>
      <c r="T193" s="364"/>
      <c r="U193" s="364"/>
      <c r="V193" s="364"/>
    </row>
    <row r="194">
      <c r="A194" s="206"/>
      <c r="B194" s="206"/>
      <c r="C194" s="206"/>
      <c r="D194" s="206"/>
      <c r="E194" s="206"/>
      <c r="F194" s="206"/>
      <c r="G194" s="206"/>
      <c r="H194" s="206"/>
      <c r="I194" s="230"/>
      <c r="J194" s="206"/>
      <c r="K194" s="206"/>
      <c r="L194" s="206"/>
      <c r="M194" s="206"/>
      <c r="N194" s="206"/>
      <c r="O194" s="206"/>
      <c r="P194" s="206"/>
      <c r="Q194" s="206"/>
      <c r="R194" s="206"/>
      <c r="S194" s="206"/>
      <c r="T194" s="364"/>
      <c r="U194" s="364"/>
      <c r="V194" s="364"/>
    </row>
    <row r="195">
      <c r="A195" s="206"/>
      <c r="B195" s="206"/>
      <c r="C195" s="206"/>
      <c r="D195" s="206"/>
      <c r="E195" s="206"/>
      <c r="F195" s="206"/>
      <c r="G195" s="206"/>
      <c r="H195" s="206"/>
      <c r="I195" s="230"/>
      <c r="J195" s="206"/>
      <c r="K195" s="206"/>
      <c r="L195" s="206"/>
      <c r="M195" s="206"/>
      <c r="N195" s="206"/>
      <c r="O195" s="206"/>
      <c r="P195" s="206"/>
      <c r="Q195" s="206"/>
      <c r="R195" s="206"/>
      <c r="S195" s="206"/>
      <c r="T195" s="364"/>
      <c r="U195" s="364"/>
      <c r="V195" s="364"/>
    </row>
    <row r="196">
      <c r="A196" s="206"/>
      <c r="B196" s="206"/>
      <c r="C196" s="206"/>
      <c r="D196" s="206"/>
      <c r="E196" s="206"/>
      <c r="F196" s="206"/>
      <c r="G196" s="206"/>
      <c r="H196" s="206"/>
      <c r="I196" s="230"/>
      <c r="J196" s="206"/>
      <c r="K196" s="206"/>
      <c r="L196" s="206"/>
      <c r="M196" s="206"/>
      <c r="N196" s="206"/>
      <c r="O196" s="206"/>
      <c r="P196" s="206"/>
      <c r="Q196" s="206"/>
      <c r="R196" s="206"/>
      <c r="S196" s="206"/>
      <c r="T196" s="364"/>
      <c r="U196" s="364"/>
      <c r="V196" s="364"/>
    </row>
    <row r="197">
      <c r="A197" s="206"/>
      <c r="B197" s="206"/>
      <c r="C197" s="206"/>
      <c r="D197" s="206"/>
      <c r="E197" s="206"/>
      <c r="F197" s="206"/>
      <c r="G197" s="206"/>
      <c r="H197" s="206"/>
      <c r="I197" s="230"/>
      <c r="J197" s="206"/>
      <c r="K197" s="206"/>
      <c r="L197" s="206"/>
      <c r="M197" s="206"/>
      <c r="N197" s="206"/>
      <c r="O197" s="206"/>
      <c r="P197" s="206"/>
      <c r="Q197" s="206"/>
      <c r="R197" s="206"/>
      <c r="S197" s="206"/>
      <c r="T197" s="364"/>
      <c r="U197" s="364"/>
      <c r="V197" s="364"/>
    </row>
    <row r="198">
      <c r="A198" s="206"/>
      <c r="B198" s="206"/>
      <c r="C198" s="206"/>
      <c r="D198" s="206"/>
      <c r="E198" s="206"/>
      <c r="F198" s="206"/>
      <c r="G198" s="206"/>
      <c r="H198" s="206"/>
      <c r="I198" s="230"/>
      <c r="J198" s="206"/>
      <c r="K198" s="206"/>
      <c r="L198" s="206"/>
      <c r="M198" s="206"/>
      <c r="N198" s="206"/>
      <c r="O198" s="206"/>
      <c r="P198" s="206"/>
      <c r="Q198" s="206"/>
      <c r="R198" s="206"/>
      <c r="S198" s="206"/>
      <c r="T198" s="364"/>
      <c r="U198" s="364"/>
      <c r="V198" s="364"/>
    </row>
    <row r="199">
      <c r="A199" s="206"/>
      <c r="B199" s="206"/>
      <c r="C199" s="206"/>
      <c r="D199" s="206"/>
      <c r="E199" s="206"/>
      <c r="F199" s="206"/>
      <c r="G199" s="206"/>
      <c r="H199" s="206"/>
      <c r="I199" s="230"/>
      <c r="J199" s="206"/>
      <c r="K199" s="206"/>
      <c r="L199" s="206"/>
      <c r="M199" s="206"/>
      <c r="N199" s="206"/>
      <c r="O199" s="206"/>
      <c r="P199" s="206"/>
      <c r="Q199" s="206"/>
      <c r="R199" s="206"/>
      <c r="S199" s="206"/>
      <c r="T199" s="364"/>
      <c r="U199" s="364"/>
      <c r="V199" s="364"/>
    </row>
    <row r="200">
      <c r="A200" s="206"/>
      <c r="B200" s="206"/>
      <c r="C200" s="206"/>
      <c r="D200" s="206"/>
      <c r="E200" s="206"/>
      <c r="F200" s="206"/>
      <c r="G200" s="206"/>
      <c r="H200" s="206"/>
      <c r="I200" s="230"/>
      <c r="J200" s="206"/>
      <c r="K200" s="206"/>
      <c r="L200" s="206"/>
      <c r="M200" s="206"/>
      <c r="N200" s="206"/>
      <c r="O200" s="206"/>
      <c r="P200" s="206"/>
      <c r="Q200" s="206"/>
      <c r="R200" s="206"/>
      <c r="S200" s="206"/>
      <c r="T200" s="364"/>
      <c r="U200" s="364"/>
      <c r="V200" s="364"/>
    </row>
    <row r="201">
      <c r="A201" s="206"/>
      <c r="B201" s="206"/>
      <c r="C201" s="206"/>
      <c r="D201" s="206"/>
      <c r="E201" s="206"/>
      <c r="F201" s="206"/>
      <c r="G201" s="206"/>
      <c r="H201" s="206"/>
      <c r="I201" s="230"/>
      <c r="J201" s="206"/>
      <c r="K201" s="206"/>
      <c r="L201" s="206"/>
      <c r="M201" s="206"/>
      <c r="N201" s="206"/>
      <c r="O201" s="206"/>
      <c r="P201" s="206"/>
      <c r="Q201" s="206"/>
      <c r="R201" s="206"/>
      <c r="S201" s="206"/>
      <c r="T201" s="364"/>
      <c r="U201" s="364"/>
      <c r="V201" s="364"/>
    </row>
    <row r="202">
      <c r="A202" s="206"/>
      <c r="B202" s="206"/>
      <c r="C202" s="206"/>
      <c r="D202" s="206"/>
      <c r="E202" s="206"/>
      <c r="F202" s="206"/>
      <c r="G202" s="206"/>
      <c r="H202" s="206"/>
      <c r="I202" s="230"/>
      <c r="J202" s="206"/>
      <c r="K202" s="206"/>
      <c r="L202" s="206"/>
      <c r="M202" s="206"/>
      <c r="N202" s="206"/>
      <c r="O202" s="206"/>
      <c r="P202" s="206"/>
      <c r="Q202" s="206"/>
      <c r="R202" s="206"/>
      <c r="S202" s="206"/>
      <c r="T202" s="364"/>
      <c r="U202" s="364"/>
      <c r="V202" s="364"/>
    </row>
    <row r="203">
      <c r="A203" s="206"/>
      <c r="B203" s="206"/>
      <c r="C203" s="206"/>
      <c r="D203" s="206"/>
      <c r="E203" s="206"/>
      <c r="F203" s="206"/>
      <c r="G203" s="206"/>
      <c r="H203" s="206"/>
      <c r="I203" s="230"/>
      <c r="J203" s="206"/>
      <c r="K203" s="206"/>
      <c r="L203" s="206"/>
      <c r="M203" s="206"/>
      <c r="N203" s="206"/>
      <c r="O203" s="206"/>
      <c r="P203" s="206"/>
      <c r="Q203" s="206"/>
      <c r="R203" s="206"/>
      <c r="S203" s="206"/>
      <c r="T203" s="364"/>
      <c r="U203" s="364"/>
      <c r="V203" s="364"/>
    </row>
    <row r="204">
      <c r="A204" s="206"/>
      <c r="B204" s="206"/>
      <c r="C204" s="206"/>
      <c r="D204" s="206"/>
      <c r="E204" s="206"/>
      <c r="F204" s="206"/>
      <c r="G204" s="206"/>
      <c r="H204" s="206"/>
      <c r="I204" s="230"/>
      <c r="J204" s="206"/>
      <c r="K204" s="206"/>
      <c r="L204" s="206"/>
      <c r="M204" s="206"/>
      <c r="N204" s="206"/>
      <c r="O204" s="206"/>
      <c r="P204" s="206"/>
      <c r="Q204" s="206"/>
      <c r="R204" s="206"/>
      <c r="S204" s="206"/>
      <c r="T204" s="364"/>
      <c r="U204" s="364"/>
      <c r="V204" s="364"/>
    </row>
    <row r="205">
      <c r="A205" s="206"/>
      <c r="B205" s="206"/>
      <c r="C205" s="206"/>
      <c r="D205" s="206"/>
      <c r="E205" s="206"/>
      <c r="F205" s="206"/>
      <c r="G205" s="206"/>
      <c r="H205" s="206"/>
      <c r="I205" s="230"/>
      <c r="J205" s="206"/>
      <c r="K205" s="206"/>
      <c r="L205" s="206"/>
      <c r="M205" s="206"/>
      <c r="N205" s="206"/>
      <c r="O205" s="206"/>
      <c r="P205" s="206"/>
      <c r="Q205" s="206"/>
      <c r="R205" s="206"/>
      <c r="S205" s="206"/>
      <c r="T205" s="364"/>
      <c r="U205" s="364"/>
      <c r="V205" s="364"/>
    </row>
    <row r="206">
      <c r="A206" s="206"/>
      <c r="B206" s="206"/>
      <c r="C206" s="206"/>
      <c r="D206" s="206"/>
      <c r="E206" s="206"/>
      <c r="F206" s="206"/>
      <c r="G206" s="206"/>
      <c r="H206" s="206"/>
      <c r="I206" s="230"/>
      <c r="J206" s="206"/>
      <c r="K206" s="206"/>
      <c r="L206" s="206"/>
      <c r="M206" s="206"/>
      <c r="N206" s="206"/>
      <c r="O206" s="206"/>
      <c r="P206" s="206"/>
      <c r="Q206" s="206"/>
      <c r="R206" s="206"/>
      <c r="S206" s="206"/>
      <c r="T206" s="364"/>
      <c r="U206" s="364"/>
      <c r="V206" s="364"/>
    </row>
    <row r="207">
      <c r="A207" s="206"/>
      <c r="B207" s="206"/>
      <c r="C207" s="206"/>
      <c r="D207" s="206"/>
      <c r="E207" s="206"/>
      <c r="F207" s="206"/>
      <c r="G207" s="206"/>
      <c r="H207" s="206"/>
      <c r="I207" s="230"/>
      <c r="J207" s="206"/>
      <c r="K207" s="206"/>
      <c r="L207" s="206"/>
      <c r="M207" s="206"/>
      <c r="N207" s="206"/>
      <c r="O207" s="206"/>
      <c r="P207" s="206"/>
      <c r="Q207" s="206"/>
      <c r="R207" s="206"/>
      <c r="S207" s="206"/>
      <c r="T207" s="364"/>
      <c r="U207" s="364"/>
      <c r="V207" s="364"/>
    </row>
    <row r="208">
      <c r="A208" s="206"/>
      <c r="B208" s="206"/>
      <c r="C208" s="206"/>
      <c r="D208" s="206"/>
      <c r="E208" s="206"/>
      <c r="F208" s="206"/>
      <c r="G208" s="206"/>
      <c r="H208" s="206"/>
      <c r="I208" s="230"/>
      <c r="J208" s="206"/>
      <c r="K208" s="206"/>
      <c r="L208" s="206"/>
      <c r="M208" s="206"/>
      <c r="N208" s="206"/>
      <c r="O208" s="206"/>
      <c r="P208" s="206"/>
      <c r="Q208" s="206"/>
      <c r="R208" s="206"/>
      <c r="S208" s="206"/>
      <c r="T208" s="364"/>
      <c r="U208" s="364"/>
      <c r="V208" s="364"/>
    </row>
    <row r="209">
      <c r="A209" s="206"/>
      <c r="B209" s="206"/>
      <c r="C209" s="206"/>
      <c r="D209" s="206"/>
      <c r="E209" s="206"/>
      <c r="F209" s="206"/>
      <c r="G209" s="206"/>
      <c r="H209" s="206"/>
      <c r="I209" s="230"/>
      <c r="J209" s="206"/>
      <c r="K209" s="206"/>
      <c r="L209" s="206"/>
      <c r="M209" s="206"/>
      <c r="N209" s="206"/>
      <c r="O209" s="206"/>
      <c r="P209" s="206"/>
      <c r="Q209" s="206"/>
      <c r="R209" s="206"/>
      <c r="S209" s="206"/>
      <c r="T209" s="364"/>
      <c r="U209" s="364"/>
      <c r="V209" s="364"/>
    </row>
    <row r="210">
      <c r="A210" s="206"/>
      <c r="B210" s="206"/>
      <c r="C210" s="206"/>
      <c r="D210" s="206"/>
      <c r="E210" s="206"/>
      <c r="F210" s="206"/>
      <c r="G210" s="206"/>
      <c r="H210" s="206"/>
      <c r="I210" s="230"/>
      <c r="J210" s="206"/>
      <c r="K210" s="206"/>
      <c r="L210" s="206"/>
      <c r="M210" s="206"/>
      <c r="N210" s="206"/>
      <c r="O210" s="206"/>
      <c r="P210" s="206"/>
      <c r="Q210" s="206"/>
      <c r="R210" s="206"/>
      <c r="S210" s="206"/>
      <c r="T210" s="364"/>
      <c r="U210" s="364"/>
      <c r="V210" s="364"/>
    </row>
    <row r="211">
      <c r="A211" s="206"/>
      <c r="B211" s="206"/>
      <c r="C211" s="206"/>
      <c r="D211" s="206"/>
      <c r="E211" s="206"/>
      <c r="F211" s="206"/>
      <c r="G211" s="206"/>
      <c r="H211" s="206"/>
      <c r="I211" s="230"/>
      <c r="J211" s="206"/>
      <c r="K211" s="206"/>
      <c r="L211" s="206"/>
      <c r="M211" s="206"/>
      <c r="N211" s="206"/>
      <c r="O211" s="206"/>
      <c r="P211" s="206"/>
      <c r="Q211" s="206"/>
      <c r="R211" s="206"/>
      <c r="S211" s="206"/>
      <c r="T211" s="364"/>
      <c r="U211" s="364"/>
      <c r="V211" s="364"/>
    </row>
    <row r="212">
      <c r="A212" s="206"/>
      <c r="B212" s="206"/>
      <c r="C212" s="206"/>
      <c r="D212" s="206"/>
      <c r="E212" s="206"/>
      <c r="F212" s="206"/>
      <c r="G212" s="206"/>
      <c r="H212" s="206"/>
      <c r="I212" s="230"/>
      <c r="J212" s="206"/>
      <c r="K212" s="206"/>
      <c r="L212" s="206"/>
      <c r="M212" s="206"/>
      <c r="N212" s="206"/>
      <c r="O212" s="206"/>
      <c r="P212" s="206"/>
      <c r="Q212" s="206"/>
      <c r="R212" s="206"/>
      <c r="S212" s="206"/>
      <c r="T212" s="364"/>
      <c r="U212" s="364"/>
      <c r="V212" s="364"/>
    </row>
    <row r="213">
      <c r="A213" s="206"/>
      <c r="B213" s="206"/>
      <c r="C213" s="206"/>
      <c r="D213" s="206"/>
      <c r="E213" s="206"/>
      <c r="F213" s="206"/>
      <c r="G213" s="206"/>
      <c r="H213" s="206"/>
      <c r="I213" s="230"/>
      <c r="J213" s="206"/>
      <c r="K213" s="206"/>
      <c r="L213" s="206"/>
      <c r="M213" s="206"/>
      <c r="N213" s="206"/>
      <c r="O213" s="206"/>
      <c r="P213" s="206"/>
      <c r="Q213" s="206"/>
      <c r="R213" s="206"/>
      <c r="S213" s="206"/>
      <c r="T213" s="364"/>
      <c r="U213" s="364"/>
      <c r="V213" s="364"/>
    </row>
    <row r="214">
      <c r="A214" s="206"/>
      <c r="B214" s="206"/>
      <c r="C214" s="206"/>
      <c r="D214" s="206"/>
      <c r="E214" s="206"/>
      <c r="F214" s="206"/>
      <c r="G214" s="206"/>
      <c r="H214" s="206"/>
      <c r="I214" s="230"/>
      <c r="J214" s="206"/>
      <c r="K214" s="206"/>
      <c r="L214" s="206"/>
      <c r="M214" s="206"/>
      <c r="N214" s="206"/>
      <c r="O214" s="206"/>
      <c r="P214" s="206"/>
      <c r="Q214" s="206"/>
      <c r="R214" s="206"/>
      <c r="S214" s="206"/>
      <c r="T214" s="364"/>
      <c r="U214" s="364"/>
      <c r="V214" s="364"/>
    </row>
    <row r="215">
      <c r="A215" s="206"/>
      <c r="B215" s="206"/>
      <c r="C215" s="206"/>
      <c r="D215" s="206"/>
      <c r="E215" s="206"/>
      <c r="F215" s="206"/>
      <c r="G215" s="206"/>
      <c r="H215" s="206"/>
      <c r="I215" s="230"/>
      <c r="J215" s="206"/>
      <c r="K215" s="206"/>
      <c r="L215" s="206"/>
      <c r="M215" s="206"/>
      <c r="N215" s="206"/>
      <c r="O215" s="206"/>
      <c r="P215" s="206"/>
      <c r="Q215" s="206"/>
      <c r="R215" s="206"/>
      <c r="S215" s="206"/>
      <c r="T215" s="364"/>
      <c r="U215" s="364"/>
      <c r="V215" s="364"/>
    </row>
    <row r="216">
      <c r="A216" s="206"/>
      <c r="B216" s="206"/>
      <c r="C216" s="206"/>
      <c r="D216" s="206"/>
      <c r="E216" s="206"/>
      <c r="F216" s="206"/>
      <c r="G216" s="206"/>
      <c r="H216" s="206"/>
      <c r="I216" s="230"/>
      <c r="J216" s="206"/>
      <c r="K216" s="206"/>
      <c r="L216" s="206"/>
      <c r="M216" s="206"/>
      <c r="N216" s="206"/>
      <c r="O216" s="206"/>
      <c r="P216" s="206"/>
      <c r="Q216" s="206"/>
      <c r="R216" s="206"/>
      <c r="S216" s="206"/>
      <c r="T216" s="364"/>
      <c r="U216" s="364"/>
      <c r="V216" s="364"/>
    </row>
    <row r="217">
      <c r="A217" s="206"/>
      <c r="B217" s="206"/>
      <c r="C217" s="206"/>
      <c r="D217" s="206"/>
      <c r="E217" s="206"/>
      <c r="F217" s="206"/>
      <c r="G217" s="206"/>
      <c r="H217" s="206"/>
      <c r="I217" s="230"/>
      <c r="J217" s="206"/>
      <c r="K217" s="206"/>
      <c r="L217" s="206"/>
      <c r="M217" s="206"/>
      <c r="N217" s="206"/>
      <c r="O217" s="206"/>
      <c r="P217" s="206"/>
      <c r="Q217" s="206"/>
      <c r="R217" s="206"/>
      <c r="S217" s="206"/>
      <c r="T217" s="364"/>
      <c r="U217" s="364"/>
      <c r="V217" s="364"/>
    </row>
    <row r="218">
      <c r="A218" s="206"/>
      <c r="B218" s="206"/>
      <c r="C218" s="206"/>
      <c r="D218" s="206"/>
      <c r="E218" s="206"/>
      <c r="F218" s="206"/>
      <c r="G218" s="206"/>
      <c r="H218" s="206"/>
      <c r="I218" s="230"/>
      <c r="J218" s="206"/>
      <c r="K218" s="206"/>
      <c r="L218" s="206"/>
      <c r="M218" s="206"/>
      <c r="N218" s="206"/>
      <c r="O218" s="206"/>
      <c r="P218" s="206"/>
      <c r="Q218" s="206"/>
      <c r="R218" s="206"/>
      <c r="S218" s="206"/>
      <c r="T218" s="364"/>
      <c r="U218" s="364"/>
      <c r="V218" s="364"/>
    </row>
    <row r="219">
      <c r="A219" s="206"/>
      <c r="B219" s="206"/>
      <c r="C219" s="206"/>
      <c r="D219" s="206"/>
      <c r="E219" s="206"/>
      <c r="F219" s="206"/>
      <c r="G219" s="206"/>
      <c r="H219" s="206"/>
      <c r="I219" s="230"/>
      <c r="J219" s="206"/>
      <c r="K219" s="206"/>
      <c r="L219" s="206"/>
      <c r="M219" s="206"/>
      <c r="N219" s="206"/>
      <c r="O219" s="206"/>
      <c r="P219" s="206"/>
      <c r="Q219" s="206"/>
      <c r="R219" s="206"/>
      <c r="S219" s="206"/>
      <c r="T219" s="364"/>
      <c r="U219" s="364"/>
      <c r="V219" s="364"/>
    </row>
    <row r="220">
      <c r="A220" s="206"/>
      <c r="B220" s="206"/>
      <c r="C220" s="206"/>
      <c r="D220" s="206"/>
      <c r="E220" s="206"/>
      <c r="F220" s="206"/>
      <c r="G220" s="206"/>
      <c r="H220" s="206"/>
      <c r="I220" s="230"/>
      <c r="J220" s="206"/>
      <c r="K220" s="206"/>
      <c r="L220" s="206"/>
      <c r="M220" s="206"/>
      <c r="N220" s="206"/>
      <c r="O220" s="206"/>
      <c r="P220" s="206"/>
      <c r="Q220" s="206"/>
      <c r="R220" s="206"/>
      <c r="S220" s="206"/>
      <c r="T220" s="364"/>
      <c r="U220" s="364"/>
      <c r="V220" s="364"/>
    </row>
    <row r="221">
      <c r="A221" s="206"/>
      <c r="B221" s="206"/>
      <c r="C221" s="206"/>
      <c r="D221" s="206"/>
      <c r="E221" s="206"/>
      <c r="F221" s="206"/>
      <c r="G221" s="206"/>
      <c r="H221" s="206"/>
      <c r="I221" s="230"/>
      <c r="J221" s="206"/>
      <c r="K221" s="206"/>
      <c r="L221" s="206"/>
      <c r="M221" s="206"/>
      <c r="N221" s="206"/>
      <c r="O221" s="206"/>
      <c r="P221" s="206"/>
      <c r="Q221" s="206"/>
      <c r="R221" s="206"/>
      <c r="S221" s="206"/>
      <c r="T221" s="364"/>
      <c r="U221" s="364"/>
      <c r="V221" s="364"/>
    </row>
    <row r="222">
      <c r="A222" s="206"/>
      <c r="B222" s="206"/>
      <c r="C222" s="206"/>
      <c r="D222" s="206"/>
      <c r="E222" s="206"/>
      <c r="F222" s="206"/>
      <c r="G222" s="206"/>
      <c r="H222" s="206"/>
      <c r="I222" s="230"/>
      <c r="J222" s="206"/>
      <c r="K222" s="206"/>
      <c r="L222" s="206"/>
      <c r="M222" s="206"/>
      <c r="N222" s="206"/>
      <c r="O222" s="206"/>
      <c r="P222" s="206"/>
      <c r="Q222" s="206"/>
      <c r="R222" s="206"/>
      <c r="S222" s="206"/>
      <c r="T222" s="364"/>
      <c r="U222" s="364"/>
      <c r="V222" s="364"/>
    </row>
    <row r="223">
      <c r="A223" s="206"/>
      <c r="B223" s="206"/>
      <c r="C223" s="206"/>
      <c r="D223" s="206"/>
      <c r="E223" s="206"/>
      <c r="F223" s="206"/>
      <c r="G223" s="206"/>
      <c r="H223" s="206"/>
      <c r="I223" s="230"/>
      <c r="J223" s="206"/>
      <c r="K223" s="206"/>
      <c r="L223" s="206"/>
      <c r="M223" s="206"/>
      <c r="N223" s="206"/>
      <c r="O223" s="206"/>
      <c r="P223" s="206"/>
      <c r="Q223" s="206"/>
      <c r="R223" s="206"/>
      <c r="S223" s="206"/>
      <c r="T223" s="364"/>
      <c r="U223" s="364"/>
      <c r="V223" s="364"/>
    </row>
    <row r="224">
      <c r="A224" s="206"/>
      <c r="B224" s="206"/>
      <c r="C224" s="206"/>
      <c r="D224" s="206"/>
      <c r="E224" s="206"/>
      <c r="F224" s="206"/>
      <c r="G224" s="206"/>
      <c r="H224" s="206"/>
      <c r="I224" s="230"/>
      <c r="J224" s="206"/>
      <c r="K224" s="206"/>
      <c r="L224" s="206"/>
      <c r="M224" s="206"/>
      <c r="N224" s="206"/>
      <c r="O224" s="206"/>
      <c r="P224" s="206"/>
      <c r="Q224" s="206"/>
      <c r="R224" s="206"/>
      <c r="S224" s="206"/>
      <c r="T224" s="364"/>
      <c r="U224" s="364"/>
      <c r="V224" s="364"/>
    </row>
    <row r="225">
      <c r="A225" s="206"/>
      <c r="B225" s="206"/>
      <c r="C225" s="206"/>
      <c r="D225" s="206"/>
      <c r="E225" s="206"/>
      <c r="F225" s="206"/>
      <c r="G225" s="206"/>
      <c r="H225" s="206"/>
      <c r="I225" s="230"/>
      <c r="J225" s="206"/>
      <c r="K225" s="206"/>
      <c r="L225" s="206"/>
      <c r="M225" s="206"/>
      <c r="N225" s="206"/>
      <c r="O225" s="206"/>
      <c r="P225" s="206"/>
      <c r="Q225" s="206"/>
      <c r="R225" s="206"/>
      <c r="S225" s="206"/>
      <c r="T225" s="364"/>
      <c r="U225" s="364"/>
      <c r="V225" s="364"/>
    </row>
    <row r="226">
      <c r="A226" s="206"/>
      <c r="B226" s="206"/>
      <c r="C226" s="206"/>
      <c r="D226" s="206"/>
      <c r="E226" s="206"/>
      <c r="F226" s="206"/>
      <c r="G226" s="206"/>
      <c r="H226" s="206"/>
      <c r="I226" s="230"/>
      <c r="J226" s="206"/>
      <c r="K226" s="206"/>
      <c r="L226" s="206"/>
      <c r="M226" s="206"/>
      <c r="N226" s="206"/>
      <c r="O226" s="206"/>
      <c r="P226" s="206"/>
      <c r="Q226" s="206"/>
      <c r="R226" s="206"/>
      <c r="S226" s="206"/>
      <c r="T226" s="364"/>
      <c r="U226" s="364"/>
      <c r="V226" s="364"/>
    </row>
    <row r="227">
      <c r="A227" s="206"/>
      <c r="B227" s="206"/>
      <c r="C227" s="206"/>
      <c r="D227" s="206"/>
      <c r="E227" s="206"/>
      <c r="F227" s="206"/>
      <c r="G227" s="206"/>
      <c r="H227" s="206"/>
      <c r="I227" s="230"/>
      <c r="J227" s="206"/>
      <c r="K227" s="206"/>
      <c r="L227" s="206"/>
      <c r="M227" s="206"/>
      <c r="N227" s="206"/>
      <c r="O227" s="206"/>
      <c r="P227" s="206"/>
      <c r="Q227" s="206"/>
      <c r="R227" s="206"/>
      <c r="S227" s="206"/>
      <c r="T227" s="364"/>
      <c r="U227" s="364"/>
      <c r="V227" s="364"/>
    </row>
    <row r="228">
      <c r="A228" s="206"/>
      <c r="B228" s="206"/>
      <c r="C228" s="206"/>
      <c r="D228" s="206"/>
      <c r="E228" s="206"/>
      <c r="F228" s="206"/>
      <c r="G228" s="206"/>
      <c r="H228" s="206"/>
      <c r="I228" s="230"/>
      <c r="J228" s="206"/>
      <c r="K228" s="206"/>
      <c r="L228" s="206"/>
      <c r="M228" s="206"/>
      <c r="N228" s="206"/>
      <c r="O228" s="206"/>
      <c r="P228" s="206"/>
      <c r="Q228" s="206"/>
      <c r="R228" s="206"/>
      <c r="S228" s="206"/>
      <c r="T228" s="364"/>
      <c r="U228" s="364"/>
      <c r="V228" s="364"/>
    </row>
    <row r="229">
      <c r="A229" s="206"/>
      <c r="B229" s="206"/>
      <c r="C229" s="206"/>
      <c r="D229" s="206"/>
      <c r="E229" s="206"/>
      <c r="F229" s="206"/>
      <c r="G229" s="206"/>
      <c r="H229" s="206"/>
      <c r="I229" s="230"/>
      <c r="J229" s="206"/>
      <c r="K229" s="206"/>
      <c r="L229" s="206"/>
      <c r="M229" s="206"/>
      <c r="N229" s="206"/>
      <c r="O229" s="206"/>
      <c r="P229" s="206"/>
      <c r="Q229" s="206"/>
      <c r="R229" s="206"/>
      <c r="S229" s="206"/>
      <c r="T229" s="364"/>
      <c r="U229" s="364"/>
      <c r="V229" s="364"/>
    </row>
    <row r="230">
      <c r="A230" s="206"/>
      <c r="B230" s="206"/>
      <c r="C230" s="206"/>
      <c r="D230" s="206"/>
      <c r="E230" s="206"/>
      <c r="F230" s="206"/>
      <c r="G230" s="206"/>
      <c r="H230" s="206"/>
      <c r="I230" s="230"/>
      <c r="J230" s="206"/>
      <c r="K230" s="206"/>
      <c r="L230" s="206"/>
      <c r="M230" s="206"/>
      <c r="N230" s="206"/>
      <c r="O230" s="206"/>
      <c r="P230" s="206"/>
      <c r="Q230" s="206"/>
      <c r="R230" s="206"/>
      <c r="S230" s="206"/>
      <c r="T230" s="364"/>
      <c r="U230" s="364"/>
      <c r="V230" s="364"/>
    </row>
    <row r="231">
      <c r="A231" s="206"/>
      <c r="B231" s="206"/>
      <c r="C231" s="206"/>
      <c r="D231" s="206"/>
      <c r="E231" s="206"/>
      <c r="F231" s="206"/>
      <c r="G231" s="206"/>
      <c r="H231" s="206"/>
      <c r="I231" s="230"/>
      <c r="J231" s="206"/>
      <c r="K231" s="206"/>
      <c r="L231" s="206"/>
      <c r="M231" s="206"/>
      <c r="N231" s="206"/>
      <c r="O231" s="206"/>
      <c r="P231" s="206"/>
      <c r="Q231" s="206"/>
      <c r="R231" s="206"/>
      <c r="S231" s="206"/>
      <c r="T231" s="364"/>
      <c r="U231" s="364"/>
      <c r="V231" s="364"/>
    </row>
    <row r="232">
      <c r="A232" s="206"/>
      <c r="B232" s="206"/>
      <c r="C232" s="206"/>
      <c r="D232" s="206"/>
      <c r="E232" s="206"/>
      <c r="F232" s="206"/>
      <c r="G232" s="206"/>
      <c r="H232" s="206"/>
      <c r="I232" s="230"/>
      <c r="J232" s="206"/>
      <c r="K232" s="206"/>
      <c r="L232" s="206"/>
      <c r="M232" s="206"/>
      <c r="N232" s="206"/>
      <c r="O232" s="206"/>
      <c r="P232" s="206"/>
      <c r="Q232" s="206"/>
      <c r="R232" s="206"/>
      <c r="S232" s="206"/>
      <c r="T232" s="364"/>
      <c r="U232" s="364"/>
      <c r="V232" s="364"/>
    </row>
    <row r="233">
      <c r="A233" s="206"/>
      <c r="B233" s="206"/>
      <c r="C233" s="206"/>
      <c r="D233" s="206"/>
      <c r="E233" s="206"/>
      <c r="F233" s="206"/>
      <c r="G233" s="206"/>
      <c r="H233" s="206"/>
      <c r="I233" s="230"/>
      <c r="J233" s="206"/>
      <c r="K233" s="206"/>
      <c r="L233" s="206"/>
      <c r="M233" s="206"/>
      <c r="N233" s="206"/>
      <c r="O233" s="206"/>
      <c r="P233" s="206"/>
      <c r="Q233" s="206"/>
      <c r="R233" s="206"/>
      <c r="S233" s="206"/>
      <c r="T233" s="364"/>
      <c r="U233" s="364"/>
      <c r="V233" s="364"/>
    </row>
    <row r="234">
      <c r="A234" s="206"/>
      <c r="B234" s="206"/>
      <c r="C234" s="206"/>
      <c r="D234" s="206"/>
      <c r="E234" s="206"/>
      <c r="F234" s="206"/>
      <c r="G234" s="206"/>
      <c r="H234" s="206"/>
      <c r="I234" s="230"/>
      <c r="J234" s="206"/>
      <c r="K234" s="206"/>
      <c r="L234" s="206"/>
      <c r="M234" s="206"/>
      <c r="N234" s="206"/>
      <c r="O234" s="206"/>
      <c r="P234" s="206"/>
      <c r="Q234" s="206"/>
      <c r="R234" s="206"/>
      <c r="S234" s="206"/>
      <c r="T234" s="364"/>
      <c r="U234" s="364"/>
      <c r="V234" s="364"/>
    </row>
    <row r="235">
      <c r="A235" s="206"/>
      <c r="B235" s="206"/>
      <c r="C235" s="206"/>
      <c r="D235" s="206"/>
      <c r="E235" s="206"/>
      <c r="F235" s="206"/>
      <c r="G235" s="206"/>
      <c r="H235" s="206"/>
      <c r="I235" s="230"/>
      <c r="J235" s="206"/>
      <c r="K235" s="206"/>
      <c r="L235" s="206"/>
      <c r="M235" s="206"/>
      <c r="N235" s="206"/>
      <c r="O235" s="206"/>
      <c r="P235" s="206"/>
      <c r="Q235" s="206"/>
      <c r="R235" s="206"/>
      <c r="S235" s="206"/>
      <c r="T235" s="364"/>
      <c r="U235" s="364"/>
      <c r="V235" s="364"/>
    </row>
    <row r="236">
      <c r="A236" s="206"/>
      <c r="B236" s="206"/>
      <c r="C236" s="206"/>
      <c r="D236" s="206"/>
      <c r="E236" s="206"/>
      <c r="F236" s="206"/>
      <c r="G236" s="206"/>
      <c r="H236" s="206"/>
      <c r="I236" s="230"/>
      <c r="J236" s="206"/>
      <c r="K236" s="206"/>
      <c r="L236" s="206"/>
      <c r="M236" s="206"/>
      <c r="N236" s="206"/>
      <c r="O236" s="206"/>
      <c r="P236" s="206"/>
      <c r="Q236" s="206"/>
      <c r="R236" s="206"/>
      <c r="S236" s="206"/>
      <c r="T236" s="364"/>
      <c r="U236" s="364"/>
      <c r="V236" s="364"/>
    </row>
    <row r="237">
      <c r="A237" s="206"/>
      <c r="B237" s="206"/>
      <c r="C237" s="206"/>
      <c r="D237" s="206"/>
      <c r="E237" s="206"/>
      <c r="F237" s="206"/>
      <c r="G237" s="206"/>
      <c r="H237" s="206"/>
      <c r="I237" s="230"/>
      <c r="J237" s="206"/>
      <c r="K237" s="206"/>
      <c r="L237" s="206"/>
      <c r="M237" s="206"/>
      <c r="N237" s="206"/>
      <c r="O237" s="206"/>
      <c r="P237" s="206"/>
      <c r="Q237" s="206"/>
      <c r="R237" s="206"/>
      <c r="S237" s="206"/>
      <c r="T237" s="364"/>
      <c r="U237" s="364"/>
      <c r="V237" s="364"/>
    </row>
    <row r="238">
      <c r="A238" s="206"/>
      <c r="B238" s="206"/>
      <c r="C238" s="206"/>
      <c r="D238" s="206"/>
      <c r="E238" s="206"/>
      <c r="F238" s="206"/>
      <c r="G238" s="206"/>
      <c r="H238" s="206"/>
      <c r="I238" s="230"/>
      <c r="J238" s="206"/>
      <c r="K238" s="206"/>
      <c r="L238" s="206"/>
      <c r="M238" s="206"/>
      <c r="N238" s="206"/>
      <c r="O238" s="206"/>
      <c r="P238" s="206"/>
      <c r="Q238" s="206"/>
      <c r="R238" s="206"/>
      <c r="S238" s="206"/>
      <c r="T238" s="364"/>
      <c r="U238" s="364"/>
      <c r="V238" s="364"/>
    </row>
    <row r="239">
      <c r="A239" s="206"/>
      <c r="B239" s="206"/>
      <c r="C239" s="206"/>
      <c r="D239" s="206"/>
      <c r="E239" s="206"/>
      <c r="F239" s="206"/>
      <c r="G239" s="206"/>
      <c r="H239" s="206"/>
      <c r="I239" s="230"/>
      <c r="J239" s="206"/>
      <c r="K239" s="206"/>
      <c r="L239" s="206"/>
      <c r="M239" s="206"/>
      <c r="N239" s="206"/>
      <c r="O239" s="206"/>
      <c r="P239" s="206"/>
      <c r="Q239" s="206"/>
      <c r="R239" s="206"/>
      <c r="S239" s="206"/>
      <c r="T239" s="364"/>
      <c r="U239" s="364"/>
      <c r="V239" s="364"/>
    </row>
    <row r="240">
      <c r="A240" s="206"/>
      <c r="B240" s="206"/>
      <c r="C240" s="206"/>
      <c r="D240" s="206"/>
      <c r="E240" s="206"/>
      <c r="F240" s="206"/>
      <c r="G240" s="206"/>
      <c r="H240" s="206"/>
      <c r="I240" s="230"/>
      <c r="J240" s="206"/>
      <c r="K240" s="206"/>
      <c r="L240" s="206"/>
      <c r="M240" s="206"/>
      <c r="N240" s="206"/>
      <c r="O240" s="206"/>
      <c r="P240" s="206"/>
      <c r="Q240" s="206"/>
      <c r="R240" s="206"/>
      <c r="S240" s="206"/>
      <c r="T240" s="364"/>
      <c r="U240" s="364"/>
      <c r="V240" s="364"/>
    </row>
    <row r="241">
      <c r="A241" s="206"/>
      <c r="B241" s="206"/>
      <c r="C241" s="206"/>
      <c r="D241" s="206"/>
      <c r="E241" s="206"/>
      <c r="F241" s="206"/>
      <c r="G241" s="206"/>
      <c r="H241" s="206"/>
      <c r="I241" s="230"/>
      <c r="J241" s="206"/>
      <c r="K241" s="206"/>
      <c r="L241" s="206"/>
      <c r="M241" s="206"/>
      <c r="N241" s="206"/>
      <c r="O241" s="206"/>
      <c r="P241" s="206"/>
      <c r="Q241" s="206"/>
      <c r="R241" s="206"/>
      <c r="S241" s="206"/>
      <c r="T241" s="364"/>
      <c r="U241" s="364"/>
      <c r="V241" s="364"/>
    </row>
    <row r="242">
      <c r="A242" s="206"/>
      <c r="B242" s="206"/>
      <c r="C242" s="206"/>
      <c r="D242" s="206"/>
      <c r="E242" s="206"/>
      <c r="F242" s="206"/>
      <c r="G242" s="206"/>
      <c r="H242" s="206"/>
      <c r="I242" s="230"/>
      <c r="J242" s="206"/>
      <c r="K242" s="206"/>
      <c r="L242" s="206"/>
      <c r="M242" s="206"/>
      <c r="N242" s="206"/>
      <c r="O242" s="206"/>
      <c r="P242" s="206"/>
      <c r="Q242" s="206"/>
      <c r="R242" s="206"/>
      <c r="S242" s="206"/>
      <c r="T242" s="364"/>
      <c r="U242" s="364"/>
      <c r="V242" s="364"/>
    </row>
    <row r="243">
      <c r="A243" s="206"/>
      <c r="B243" s="206"/>
      <c r="C243" s="206"/>
      <c r="D243" s="206"/>
      <c r="E243" s="206"/>
      <c r="F243" s="206"/>
      <c r="G243" s="206"/>
      <c r="H243" s="206"/>
      <c r="I243" s="230"/>
      <c r="J243" s="206"/>
      <c r="K243" s="206"/>
      <c r="L243" s="206"/>
      <c r="M243" s="206"/>
      <c r="N243" s="206"/>
      <c r="O243" s="206"/>
      <c r="P243" s="206"/>
      <c r="Q243" s="206"/>
      <c r="R243" s="206"/>
      <c r="S243" s="206"/>
      <c r="T243" s="364"/>
      <c r="U243" s="364"/>
      <c r="V243" s="364"/>
    </row>
    <row r="244">
      <c r="A244" s="206"/>
      <c r="B244" s="206"/>
      <c r="C244" s="206"/>
      <c r="D244" s="206"/>
      <c r="E244" s="206"/>
      <c r="F244" s="206"/>
      <c r="G244" s="206"/>
      <c r="H244" s="206"/>
      <c r="I244" s="230"/>
      <c r="J244" s="206"/>
      <c r="K244" s="206"/>
      <c r="L244" s="206"/>
      <c r="M244" s="206"/>
      <c r="N244" s="206"/>
      <c r="O244" s="206"/>
      <c r="P244" s="206"/>
      <c r="Q244" s="206"/>
      <c r="R244" s="206"/>
      <c r="S244" s="206"/>
      <c r="T244" s="364"/>
      <c r="U244" s="364"/>
      <c r="V244" s="364"/>
    </row>
    <row r="245">
      <c r="A245" s="206"/>
      <c r="B245" s="206"/>
      <c r="C245" s="206"/>
      <c r="D245" s="206"/>
      <c r="E245" s="206"/>
      <c r="F245" s="206"/>
      <c r="G245" s="206"/>
      <c r="H245" s="206"/>
      <c r="I245" s="230"/>
      <c r="J245" s="206"/>
      <c r="K245" s="206"/>
      <c r="L245" s="206"/>
      <c r="M245" s="206"/>
      <c r="N245" s="206"/>
      <c r="O245" s="206"/>
      <c r="P245" s="206"/>
      <c r="Q245" s="206"/>
      <c r="R245" s="206"/>
      <c r="S245" s="206"/>
      <c r="T245" s="364"/>
      <c r="U245" s="364"/>
      <c r="V245" s="364"/>
    </row>
    <row r="246">
      <c r="A246" s="206"/>
      <c r="B246" s="206"/>
      <c r="C246" s="206"/>
      <c r="D246" s="206"/>
      <c r="E246" s="206"/>
      <c r="F246" s="206"/>
      <c r="G246" s="206"/>
      <c r="H246" s="206"/>
      <c r="I246" s="230"/>
      <c r="J246" s="206"/>
      <c r="K246" s="206"/>
      <c r="L246" s="206"/>
      <c r="M246" s="206"/>
      <c r="N246" s="206"/>
      <c r="O246" s="206"/>
      <c r="P246" s="206"/>
      <c r="Q246" s="206"/>
      <c r="R246" s="206"/>
      <c r="S246" s="206"/>
      <c r="T246" s="364"/>
      <c r="U246" s="364"/>
      <c r="V246" s="364"/>
    </row>
    <row r="247">
      <c r="A247" s="206"/>
      <c r="B247" s="206"/>
      <c r="C247" s="206"/>
      <c r="D247" s="206"/>
      <c r="E247" s="206"/>
      <c r="F247" s="206"/>
      <c r="G247" s="206"/>
      <c r="H247" s="206"/>
      <c r="I247" s="230"/>
      <c r="J247" s="206"/>
      <c r="K247" s="206"/>
      <c r="L247" s="206"/>
      <c r="M247" s="206"/>
      <c r="N247" s="206"/>
      <c r="O247" s="206"/>
      <c r="P247" s="206"/>
      <c r="Q247" s="206"/>
      <c r="R247" s="206"/>
      <c r="S247" s="206"/>
      <c r="T247" s="364"/>
      <c r="U247" s="364"/>
      <c r="V247" s="364"/>
    </row>
    <row r="248">
      <c r="A248" s="206"/>
      <c r="B248" s="206"/>
      <c r="C248" s="206"/>
      <c r="D248" s="206"/>
      <c r="E248" s="206"/>
      <c r="F248" s="206"/>
      <c r="G248" s="206"/>
      <c r="H248" s="206"/>
      <c r="I248" s="230"/>
      <c r="J248" s="206"/>
      <c r="K248" s="206"/>
      <c r="L248" s="206"/>
      <c r="M248" s="206"/>
      <c r="N248" s="206"/>
      <c r="O248" s="206"/>
      <c r="P248" s="206"/>
      <c r="Q248" s="206"/>
      <c r="R248" s="206"/>
      <c r="S248" s="206"/>
      <c r="T248" s="364"/>
      <c r="U248" s="364"/>
      <c r="V248" s="364"/>
    </row>
    <row r="249">
      <c r="A249" s="206"/>
      <c r="B249" s="206"/>
      <c r="C249" s="206"/>
      <c r="D249" s="206"/>
      <c r="E249" s="206"/>
      <c r="F249" s="206"/>
      <c r="G249" s="206"/>
      <c r="H249" s="206"/>
      <c r="I249" s="230"/>
      <c r="J249" s="206"/>
      <c r="K249" s="206"/>
      <c r="L249" s="206"/>
      <c r="M249" s="206"/>
      <c r="N249" s="206"/>
      <c r="O249" s="206"/>
      <c r="P249" s="206"/>
      <c r="Q249" s="206"/>
      <c r="R249" s="206"/>
      <c r="S249" s="206"/>
      <c r="T249" s="364"/>
      <c r="U249" s="364"/>
      <c r="V249" s="364"/>
    </row>
    <row r="250">
      <c r="A250" s="206"/>
      <c r="B250" s="206"/>
      <c r="C250" s="206"/>
      <c r="D250" s="206"/>
      <c r="E250" s="206"/>
      <c r="F250" s="206"/>
      <c r="G250" s="206"/>
      <c r="H250" s="206"/>
      <c r="I250" s="230"/>
      <c r="J250" s="206"/>
      <c r="K250" s="206"/>
      <c r="L250" s="206"/>
      <c r="M250" s="206"/>
      <c r="N250" s="206"/>
      <c r="O250" s="206"/>
      <c r="P250" s="206"/>
      <c r="Q250" s="206"/>
      <c r="R250" s="206"/>
      <c r="S250" s="206"/>
      <c r="T250" s="364"/>
      <c r="U250" s="364"/>
      <c r="V250" s="364"/>
    </row>
    <row r="251">
      <c r="A251" s="206"/>
      <c r="B251" s="206"/>
      <c r="C251" s="206"/>
      <c r="D251" s="206"/>
      <c r="E251" s="206"/>
      <c r="F251" s="206"/>
      <c r="G251" s="206"/>
      <c r="H251" s="206"/>
      <c r="I251" s="230"/>
      <c r="J251" s="206"/>
      <c r="K251" s="206"/>
      <c r="L251" s="206"/>
      <c r="M251" s="206"/>
      <c r="N251" s="206"/>
      <c r="O251" s="206"/>
      <c r="P251" s="206"/>
      <c r="Q251" s="206"/>
      <c r="R251" s="206"/>
      <c r="S251" s="206"/>
      <c r="T251" s="364"/>
      <c r="U251" s="364"/>
      <c r="V251" s="364"/>
    </row>
    <row r="252">
      <c r="A252" s="206"/>
      <c r="B252" s="206"/>
      <c r="C252" s="206"/>
      <c r="D252" s="206"/>
      <c r="E252" s="206"/>
      <c r="F252" s="206"/>
      <c r="G252" s="206"/>
      <c r="H252" s="206"/>
      <c r="I252" s="230"/>
      <c r="J252" s="206"/>
      <c r="K252" s="206"/>
      <c r="L252" s="206"/>
      <c r="M252" s="206"/>
      <c r="N252" s="206"/>
      <c r="O252" s="206"/>
      <c r="P252" s="206"/>
      <c r="Q252" s="206"/>
      <c r="R252" s="206"/>
      <c r="S252" s="206"/>
      <c r="T252" s="364"/>
      <c r="U252" s="364"/>
      <c r="V252" s="364"/>
    </row>
    <row r="253">
      <c r="A253" s="206"/>
      <c r="B253" s="206"/>
      <c r="C253" s="206"/>
      <c r="D253" s="206"/>
      <c r="E253" s="206"/>
      <c r="F253" s="206"/>
      <c r="G253" s="206"/>
      <c r="H253" s="206"/>
      <c r="I253" s="230"/>
      <c r="J253" s="206"/>
      <c r="K253" s="206"/>
      <c r="L253" s="206"/>
      <c r="M253" s="206"/>
      <c r="N253" s="206"/>
      <c r="O253" s="206"/>
      <c r="P253" s="206"/>
      <c r="Q253" s="206"/>
      <c r="R253" s="206"/>
      <c r="S253" s="206"/>
      <c r="T253" s="364"/>
      <c r="U253" s="364"/>
      <c r="V253" s="364"/>
    </row>
    <row r="254">
      <c r="A254" s="206"/>
      <c r="B254" s="206"/>
      <c r="C254" s="206"/>
      <c r="D254" s="206"/>
      <c r="E254" s="206"/>
      <c r="F254" s="206"/>
      <c r="G254" s="206"/>
      <c r="H254" s="206"/>
      <c r="I254" s="230"/>
      <c r="J254" s="206"/>
      <c r="K254" s="206"/>
      <c r="L254" s="206"/>
      <c r="M254" s="206"/>
      <c r="N254" s="206"/>
      <c r="O254" s="206"/>
      <c r="P254" s="206"/>
      <c r="Q254" s="206"/>
      <c r="R254" s="206"/>
      <c r="S254" s="206"/>
      <c r="T254" s="364"/>
      <c r="U254" s="364"/>
      <c r="V254" s="364"/>
    </row>
    <row r="255">
      <c r="A255" s="206"/>
      <c r="B255" s="206"/>
      <c r="C255" s="206"/>
      <c r="D255" s="206"/>
      <c r="E255" s="206"/>
      <c r="F255" s="206"/>
      <c r="G255" s="206"/>
      <c r="H255" s="206"/>
      <c r="I255" s="230"/>
      <c r="J255" s="206"/>
      <c r="K255" s="206"/>
      <c r="L255" s="206"/>
      <c r="M255" s="206"/>
      <c r="N255" s="206"/>
      <c r="O255" s="206"/>
      <c r="P255" s="206"/>
      <c r="Q255" s="206"/>
      <c r="R255" s="206"/>
      <c r="S255" s="206"/>
      <c r="T255" s="364"/>
      <c r="U255" s="364"/>
      <c r="V255" s="364"/>
    </row>
    <row r="256">
      <c r="A256" s="206"/>
      <c r="B256" s="206"/>
      <c r="C256" s="206"/>
      <c r="D256" s="206"/>
      <c r="E256" s="206"/>
      <c r="F256" s="206"/>
      <c r="G256" s="206"/>
      <c r="H256" s="206"/>
      <c r="I256" s="230"/>
      <c r="J256" s="206"/>
      <c r="K256" s="206"/>
      <c r="L256" s="206"/>
      <c r="M256" s="206"/>
      <c r="N256" s="206"/>
      <c r="O256" s="206"/>
      <c r="P256" s="206"/>
      <c r="Q256" s="206"/>
      <c r="R256" s="206"/>
      <c r="S256" s="206"/>
      <c r="T256" s="364"/>
      <c r="U256" s="364"/>
      <c r="V256" s="364"/>
    </row>
    <row r="257">
      <c r="A257" s="206"/>
      <c r="B257" s="206"/>
      <c r="C257" s="206"/>
      <c r="D257" s="206"/>
      <c r="E257" s="206"/>
      <c r="F257" s="206"/>
      <c r="G257" s="206"/>
      <c r="H257" s="206"/>
      <c r="I257" s="230"/>
      <c r="J257" s="206"/>
      <c r="K257" s="206"/>
      <c r="L257" s="206"/>
      <c r="M257" s="206"/>
      <c r="N257" s="206"/>
      <c r="O257" s="206"/>
      <c r="P257" s="206"/>
      <c r="Q257" s="206"/>
      <c r="R257" s="206"/>
      <c r="S257" s="206"/>
      <c r="T257" s="364"/>
      <c r="U257" s="364"/>
      <c r="V257" s="364"/>
    </row>
    <row r="258">
      <c r="A258" s="206"/>
      <c r="B258" s="206"/>
      <c r="C258" s="206"/>
      <c r="D258" s="206"/>
      <c r="E258" s="206"/>
      <c r="F258" s="206"/>
      <c r="G258" s="206"/>
      <c r="H258" s="206"/>
      <c r="I258" s="230"/>
      <c r="J258" s="206"/>
      <c r="K258" s="206"/>
      <c r="L258" s="206"/>
      <c r="M258" s="206"/>
      <c r="N258" s="206"/>
      <c r="O258" s="206"/>
      <c r="P258" s="206"/>
      <c r="Q258" s="206"/>
      <c r="R258" s="206"/>
      <c r="S258" s="206"/>
      <c r="T258" s="364"/>
      <c r="U258" s="364"/>
      <c r="V258" s="364"/>
    </row>
    <row r="259">
      <c r="A259" s="206"/>
      <c r="B259" s="206"/>
      <c r="C259" s="206"/>
      <c r="D259" s="206"/>
      <c r="E259" s="206"/>
      <c r="F259" s="206"/>
      <c r="G259" s="206"/>
      <c r="H259" s="206"/>
      <c r="I259" s="230"/>
      <c r="J259" s="206"/>
      <c r="K259" s="206"/>
      <c r="L259" s="206"/>
      <c r="M259" s="206"/>
      <c r="N259" s="206"/>
      <c r="O259" s="206"/>
      <c r="P259" s="206"/>
      <c r="Q259" s="206"/>
      <c r="R259" s="206"/>
      <c r="S259" s="206"/>
      <c r="T259" s="364"/>
      <c r="U259" s="364"/>
      <c r="V259" s="364"/>
    </row>
    <row r="260">
      <c r="A260" s="206"/>
      <c r="B260" s="206"/>
      <c r="C260" s="206"/>
      <c r="D260" s="206"/>
      <c r="E260" s="206"/>
      <c r="F260" s="206"/>
      <c r="G260" s="206"/>
      <c r="H260" s="206"/>
      <c r="I260" s="230"/>
      <c r="J260" s="206"/>
      <c r="K260" s="206"/>
      <c r="L260" s="206"/>
      <c r="M260" s="206"/>
      <c r="N260" s="206"/>
      <c r="O260" s="206"/>
      <c r="P260" s="206"/>
      <c r="Q260" s="206"/>
      <c r="R260" s="206"/>
      <c r="S260" s="206"/>
      <c r="T260" s="364"/>
      <c r="U260" s="364"/>
      <c r="V260" s="364"/>
    </row>
    <row r="261">
      <c r="A261" s="206"/>
      <c r="B261" s="206"/>
      <c r="C261" s="206"/>
      <c r="D261" s="206"/>
      <c r="E261" s="206"/>
      <c r="F261" s="206"/>
      <c r="G261" s="206"/>
      <c r="H261" s="206"/>
      <c r="I261" s="230"/>
      <c r="J261" s="206"/>
      <c r="K261" s="206"/>
      <c r="L261" s="206"/>
      <c r="M261" s="206"/>
      <c r="N261" s="206"/>
      <c r="O261" s="206"/>
      <c r="P261" s="206"/>
      <c r="Q261" s="206"/>
      <c r="R261" s="206"/>
      <c r="S261" s="206"/>
      <c r="T261" s="364"/>
      <c r="U261" s="364"/>
      <c r="V261" s="364"/>
    </row>
    <row r="262">
      <c r="A262" s="206"/>
      <c r="B262" s="206"/>
      <c r="C262" s="206"/>
      <c r="D262" s="206"/>
      <c r="E262" s="206"/>
      <c r="F262" s="206"/>
      <c r="G262" s="206"/>
      <c r="H262" s="206"/>
      <c r="I262" s="230"/>
      <c r="J262" s="206"/>
      <c r="K262" s="206"/>
      <c r="L262" s="206"/>
      <c r="M262" s="206"/>
      <c r="N262" s="206"/>
      <c r="O262" s="206"/>
      <c r="P262" s="206"/>
      <c r="Q262" s="206"/>
      <c r="R262" s="206"/>
      <c r="S262" s="206"/>
      <c r="T262" s="364"/>
      <c r="U262" s="364"/>
      <c r="V262" s="364"/>
    </row>
    <row r="263">
      <c r="A263" s="206"/>
      <c r="B263" s="206"/>
      <c r="C263" s="206"/>
      <c r="D263" s="206"/>
      <c r="E263" s="206"/>
      <c r="F263" s="206"/>
      <c r="G263" s="206"/>
      <c r="H263" s="206"/>
      <c r="I263" s="230"/>
      <c r="J263" s="206"/>
      <c r="K263" s="206"/>
      <c r="L263" s="206"/>
      <c r="M263" s="206"/>
      <c r="N263" s="206"/>
      <c r="O263" s="206"/>
      <c r="P263" s="206"/>
      <c r="Q263" s="206"/>
      <c r="R263" s="206"/>
      <c r="S263" s="206"/>
      <c r="T263" s="364"/>
      <c r="U263" s="364"/>
      <c r="V263" s="364"/>
    </row>
    <row r="264">
      <c r="A264" s="206"/>
      <c r="B264" s="206"/>
      <c r="C264" s="206"/>
      <c r="D264" s="206"/>
      <c r="E264" s="206"/>
      <c r="F264" s="206"/>
      <c r="G264" s="206"/>
      <c r="H264" s="206"/>
      <c r="I264" s="230"/>
      <c r="J264" s="206"/>
      <c r="K264" s="206"/>
      <c r="L264" s="206"/>
      <c r="M264" s="206"/>
      <c r="N264" s="206"/>
      <c r="O264" s="206"/>
      <c r="P264" s="206"/>
      <c r="Q264" s="206"/>
      <c r="R264" s="206"/>
      <c r="S264" s="206"/>
      <c r="T264" s="364"/>
      <c r="U264" s="364"/>
      <c r="V264" s="364"/>
    </row>
    <row r="265">
      <c r="A265" s="206"/>
      <c r="B265" s="206"/>
      <c r="C265" s="206"/>
      <c r="D265" s="206"/>
      <c r="E265" s="206"/>
      <c r="F265" s="206"/>
      <c r="G265" s="206"/>
      <c r="H265" s="206"/>
      <c r="I265" s="230"/>
      <c r="J265" s="206"/>
      <c r="K265" s="206"/>
      <c r="L265" s="206"/>
      <c r="M265" s="206"/>
      <c r="N265" s="206"/>
      <c r="O265" s="206"/>
      <c r="P265" s="206"/>
      <c r="Q265" s="206"/>
      <c r="R265" s="206"/>
      <c r="S265" s="206"/>
      <c r="T265" s="364"/>
      <c r="U265" s="364"/>
      <c r="V265" s="364"/>
    </row>
    <row r="266">
      <c r="A266" s="206"/>
      <c r="B266" s="206"/>
      <c r="C266" s="206"/>
      <c r="D266" s="206"/>
      <c r="E266" s="206"/>
      <c r="F266" s="206"/>
      <c r="G266" s="206"/>
      <c r="H266" s="206"/>
      <c r="I266" s="230"/>
      <c r="J266" s="206"/>
      <c r="K266" s="206"/>
      <c r="L266" s="206"/>
      <c r="M266" s="206"/>
      <c r="N266" s="206"/>
      <c r="O266" s="206"/>
      <c r="P266" s="206"/>
      <c r="Q266" s="206"/>
      <c r="R266" s="206"/>
      <c r="S266" s="206"/>
      <c r="T266" s="364"/>
      <c r="U266" s="364"/>
      <c r="V266" s="364"/>
    </row>
    <row r="267">
      <c r="A267" s="206"/>
      <c r="B267" s="206"/>
      <c r="C267" s="206"/>
      <c r="D267" s="206"/>
      <c r="E267" s="206"/>
      <c r="F267" s="206"/>
      <c r="G267" s="206"/>
      <c r="H267" s="206"/>
      <c r="I267" s="230"/>
      <c r="J267" s="206"/>
      <c r="K267" s="206"/>
      <c r="L267" s="206"/>
      <c r="M267" s="206"/>
      <c r="N267" s="206"/>
      <c r="O267" s="206"/>
      <c r="P267" s="206"/>
      <c r="Q267" s="206"/>
      <c r="R267" s="206"/>
      <c r="S267" s="206"/>
      <c r="T267" s="364"/>
      <c r="U267" s="364"/>
      <c r="V267" s="364"/>
    </row>
    <row r="268">
      <c r="A268" s="206"/>
      <c r="B268" s="206"/>
      <c r="C268" s="206"/>
      <c r="D268" s="206"/>
      <c r="E268" s="206"/>
      <c r="F268" s="206"/>
      <c r="G268" s="206"/>
      <c r="H268" s="206"/>
      <c r="I268" s="230"/>
      <c r="J268" s="206"/>
      <c r="K268" s="206"/>
      <c r="L268" s="206"/>
      <c r="M268" s="206"/>
      <c r="N268" s="206"/>
      <c r="O268" s="206"/>
      <c r="P268" s="206"/>
      <c r="Q268" s="206"/>
      <c r="R268" s="206"/>
      <c r="S268" s="206"/>
      <c r="T268" s="364"/>
      <c r="U268" s="364"/>
      <c r="V268" s="364"/>
    </row>
    <row r="269">
      <c r="A269" s="206"/>
      <c r="B269" s="206"/>
      <c r="C269" s="206"/>
      <c r="D269" s="206"/>
      <c r="E269" s="206"/>
      <c r="F269" s="206"/>
      <c r="G269" s="206"/>
      <c r="H269" s="206"/>
      <c r="I269" s="230"/>
      <c r="J269" s="206"/>
      <c r="K269" s="206"/>
      <c r="L269" s="206"/>
      <c r="M269" s="206"/>
      <c r="N269" s="206"/>
      <c r="O269" s="206"/>
      <c r="P269" s="206"/>
      <c r="Q269" s="206"/>
      <c r="R269" s="206"/>
      <c r="S269" s="206"/>
      <c r="T269" s="364"/>
      <c r="U269" s="364"/>
      <c r="V269" s="364"/>
    </row>
    <row r="270">
      <c r="A270" s="206"/>
      <c r="B270" s="206"/>
      <c r="C270" s="206"/>
      <c r="D270" s="206"/>
      <c r="E270" s="206"/>
      <c r="F270" s="206"/>
      <c r="G270" s="206"/>
      <c r="H270" s="206"/>
      <c r="I270" s="230"/>
      <c r="J270" s="206"/>
      <c r="K270" s="206"/>
      <c r="L270" s="206"/>
      <c r="M270" s="206"/>
      <c r="N270" s="206"/>
      <c r="O270" s="206"/>
      <c r="P270" s="206"/>
      <c r="Q270" s="206"/>
      <c r="R270" s="206"/>
      <c r="S270" s="206"/>
      <c r="T270" s="364"/>
      <c r="U270" s="364"/>
      <c r="V270" s="364"/>
    </row>
    <row r="271">
      <c r="A271" s="206"/>
      <c r="B271" s="206"/>
      <c r="C271" s="206"/>
      <c r="D271" s="206"/>
      <c r="E271" s="206"/>
      <c r="F271" s="206"/>
      <c r="G271" s="206"/>
      <c r="H271" s="206"/>
      <c r="I271" s="230"/>
      <c r="J271" s="206"/>
      <c r="K271" s="206"/>
      <c r="L271" s="206"/>
      <c r="M271" s="206"/>
      <c r="N271" s="206"/>
      <c r="O271" s="206"/>
      <c r="P271" s="206"/>
      <c r="Q271" s="206"/>
      <c r="R271" s="206"/>
      <c r="S271" s="206"/>
      <c r="T271" s="364"/>
      <c r="U271" s="364"/>
      <c r="V271" s="364"/>
    </row>
    <row r="272">
      <c r="A272" s="206"/>
      <c r="B272" s="206"/>
      <c r="C272" s="206"/>
      <c r="D272" s="206"/>
      <c r="E272" s="206"/>
      <c r="F272" s="206"/>
      <c r="G272" s="206"/>
      <c r="H272" s="206"/>
      <c r="I272" s="230"/>
      <c r="J272" s="206"/>
      <c r="K272" s="206"/>
      <c r="L272" s="206"/>
      <c r="M272" s="206"/>
      <c r="N272" s="206"/>
      <c r="O272" s="206"/>
      <c r="P272" s="206"/>
      <c r="Q272" s="206"/>
      <c r="R272" s="206"/>
      <c r="S272" s="206"/>
      <c r="T272" s="364"/>
      <c r="U272" s="364"/>
      <c r="V272" s="364"/>
    </row>
    <row r="273">
      <c r="A273" s="206"/>
      <c r="B273" s="206"/>
      <c r="C273" s="206"/>
      <c r="D273" s="206"/>
      <c r="E273" s="206"/>
      <c r="F273" s="206"/>
      <c r="G273" s="206"/>
      <c r="H273" s="206"/>
      <c r="I273" s="230"/>
      <c r="J273" s="206"/>
      <c r="K273" s="206"/>
      <c r="L273" s="206"/>
      <c r="M273" s="206"/>
      <c r="N273" s="206"/>
      <c r="O273" s="206"/>
      <c r="P273" s="206"/>
      <c r="Q273" s="206"/>
      <c r="R273" s="206"/>
      <c r="S273" s="206"/>
      <c r="T273" s="364"/>
      <c r="U273" s="364"/>
      <c r="V273" s="364"/>
    </row>
    <row r="274">
      <c r="A274" s="206"/>
      <c r="B274" s="206"/>
      <c r="C274" s="206"/>
      <c r="D274" s="206"/>
      <c r="E274" s="206"/>
      <c r="F274" s="206"/>
      <c r="G274" s="206"/>
      <c r="H274" s="206"/>
      <c r="I274" s="230"/>
      <c r="J274" s="206"/>
      <c r="K274" s="206"/>
      <c r="L274" s="206"/>
      <c r="M274" s="206"/>
      <c r="N274" s="206"/>
      <c r="O274" s="206"/>
      <c r="P274" s="206"/>
      <c r="Q274" s="206"/>
      <c r="R274" s="206"/>
      <c r="S274" s="206"/>
      <c r="T274" s="364"/>
      <c r="U274" s="364"/>
      <c r="V274" s="364"/>
    </row>
    <row r="275">
      <c r="A275" s="206"/>
      <c r="B275" s="206"/>
      <c r="C275" s="206"/>
      <c r="D275" s="206"/>
      <c r="E275" s="206"/>
      <c r="F275" s="206"/>
      <c r="G275" s="206"/>
      <c r="H275" s="206"/>
      <c r="I275" s="230"/>
      <c r="J275" s="206"/>
      <c r="K275" s="206"/>
      <c r="L275" s="206"/>
      <c r="M275" s="206"/>
      <c r="N275" s="206"/>
      <c r="O275" s="206"/>
      <c r="P275" s="206"/>
      <c r="Q275" s="206"/>
      <c r="R275" s="206"/>
      <c r="S275" s="206"/>
      <c r="T275" s="364"/>
      <c r="U275" s="364"/>
      <c r="V275" s="364"/>
    </row>
    <row r="276">
      <c r="A276" s="206"/>
      <c r="B276" s="206"/>
      <c r="C276" s="206"/>
      <c r="D276" s="206"/>
      <c r="E276" s="206"/>
      <c r="F276" s="206"/>
      <c r="G276" s="206"/>
      <c r="H276" s="206"/>
      <c r="I276" s="230"/>
      <c r="J276" s="206"/>
      <c r="K276" s="206"/>
      <c r="L276" s="206"/>
      <c r="M276" s="206"/>
      <c r="N276" s="206"/>
      <c r="O276" s="206"/>
      <c r="P276" s="206"/>
      <c r="Q276" s="206"/>
      <c r="R276" s="206"/>
      <c r="S276" s="206"/>
      <c r="T276" s="364"/>
      <c r="U276" s="364"/>
      <c r="V276" s="364"/>
    </row>
    <row r="277">
      <c r="A277" s="206"/>
      <c r="B277" s="206"/>
      <c r="C277" s="206"/>
      <c r="D277" s="206"/>
      <c r="E277" s="206"/>
      <c r="F277" s="206"/>
      <c r="G277" s="206"/>
      <c r="H277" s="206"/>
      <c r="I277" s="230"/>
      <c r="J277" s="206"/>
      <c r="K277" s="206"/>
      <c r="L277" s="206"/>
      <c r="M277" s="206"/>
      <c r="N277" s="206"/>
      <c r="O277" s="206"/>
      <c r="P277" s="206"/>
      <c r="Q277" s="206"/>
      <c r="R277" s="206"/>
      <c r="S277" s="206"/>
      <c r="T277" s="364"/>
      <c r="U277" s="364"/>
      <c r="V277" s="364"/>
    </row>
    <row r="278">
      <c r="A278" s="206"/>
      <c r="B278" s="206"/>
      <c r="C278" s="206"/>
      <c r="D278" s="206"/>
      <c r="E278" s="206"/>
      <c r="F278" s="206"/>
      <c r="G278" s="206"/>
      <c r="H278" s="206"/>
      <c r="I278" s="230"/>
      <c r="J278" s="206"/>
      <c r="K278" s="206"/>
      <c r="L278" s="206"/>
      <c r="M278" s="206"/>
      <c r="N278" s="206"/>
      <c r="O278" s="206"/>
      <c r="P278" s="206"/>
      <c r="Q278" s="206"/>
      <c r="R278" s="206"/>
      <c r="S278" s="206"/>
      <c r="T278" s="364"/>
      <c r="U278" s="364"/>
      <c r="V278" s="364"/>
    </row>
    <row r="279">
      <c r="A279" s="206"/>
      <c r="B279" s="206"/>
      <c r="C279" s="206"/>
      <c r="D279" s="206"/>
      <c r="E279" s="206"/>
      <c r="F279" s="206"/>
      <c r="G279" s="206"/>
      <c r="H279" s="206"/>
      <c r="I279" s="230"/>
      <c r="J279" s="206"/>
      <c r="K279" s="206"/>
      <c r="L279" s="206"/>
      <c r="M279" s="206"/>
      <c r="N279" s="206"/>
      <c r="O279" s="206"/>
      <c r="P279" s="206"/>
      <c r="Q279" s="206"/>
      <c r="R279" s="206"/>
      <c r="S279" s="206"/>
      <c r="T279" s="364"/>
      <c r="U279" s="364"/>
      <c r="V279" s="364"/>
    </row>
    <row r="280">
      <c r="A280" s="206"/>
      <c r="B280" s="206"/>
      <c r="C280" s="206"/>
      <c r="D280" s="206"/>
      <c r="E280" s="206"/>
      <c r="F280" s="206"/>
      <c r="G280" s="206"/>
      <c r="H280" s="206"/>
      <c r="I280" s="230"/>
      <c r="J280" s="206"/>
      <c r="K280" s="206"/>
      <c r="L280" s="206"/>
      <c r="M280" s="206"/>
      <c r="N280" s="206"/>
      <c r="O280" s="206"/>
      <c r="P280" s="206"/>
      <c r="Q280" s="206"/>
      <c r="R280" s="206"/>
      <c r="S280" s="206"/>
      <c r="T280" s="364"/>
      <c r="U280" s="364"/>
      <c r="V280" s="364"/>
    </row>
    <row r="281">
      <c r="A281" s="206"/>
      <c r="B281" s="206"/>
      <c r="C281" s="206"/>
      <c r="D281" s="206"/>
      <c r="E281" s="206"/>
      <c r="F281" s="206"/>
      <c r="G281" s="206"/>
      <c r="H281" s="206"/>
      <c r="I281" s="230"/>
      <c r="J281" s="206"/>
      <c r="K281" s="206"/>
      <c r="L281" s="206"/>
      <c r="M281" s="206"/>
      <c r="N281" s="206"/>
      <c r="O281" s="206"/>
      <c r="P281" s="206"/>
      <c r="Q281" s="206"/>
      <c r="R281" s="206"/>
      <c r="S281" s="206"/>
      <c r="T281" s="364"/>
      <c r="U281" s="364"/>
      <c r="V281" s="364"/>
    </row>
    <row r="282">
      <c r="A282" s="206"/>
      <c r="B282" s="206"/>
      <c r="C282" s="206"/>
      <c r="D282" s="206"/>
      <c r="E282" s="206"/>
      <c r="F282" s="206"/>
      <c r="G282" s="206"/>
      <c r="H282" s="206"/>
      <c r="I282" s="230"/>
      <c r="J282" s="206"/>
      <c r="K282" s="206"/>
      <c r="L282" s="206"/>
      <c r="M282" s="206"/>
      <c r="N282" s="206"/>
      <c r="O282" s="206"/>
      <c r="P282" s="206"/>
      <c r="Q282" s="206"/>
      <c r="R282" s="206"/>
      <c r="S282" s="206"/>
      <c r="T282" s="364"/>
      <c r="U282" s="364"/>
      <c r="V282" s="364"/>
    </row>
    <row r="283">
      <c r="A283" s="206"/>
      <c r="B283" s="206"/>
      <c r="C283" s="206"/>
      <c r="D283" s="206"/>
      <c r="E283" s="206"/>
      <c r="F283" s="206"/>
      <c r="G283" s="206"/>
      <c r="H283" s="206"/>
      <c r="I283" s="230"/>
      <c r="J283" s="206"/>
      <c r="K283" s="206"/>
      <c r="L283" s="206"/>
      <c r="M283" s="206"/>
      <c r="N283" s="206"/>
      <c r="O283" s="206"/>
      <c r="P283" s="206"/>
      <c r="Q283" s="206"/>
      <c r="R283" s="206"/>
      <c r="S283" s="206"/>
      <c r="T283" s="364"/>
      <c r="U283" s="364"/>
      <c r="V283" s="364"/>
    </row>
    <row r="284">
      <c r="A284" s="206"/>
      <c r="B284" s="206"/>
      <c r="C284" s="206"/>
      <c r="D284" s="206"/>
      <c r="E284" s="206"/>
      <c r="F284" s="206"/>
      <c r="G284" s="206"/>
      <c r="H284" s="206"/>
      <c r="I284" s="230"/>
      <c r="J284" s="206"/>
      <c r="K284" s="206"/>
      <c r="L284" s="206"/>
      <c r="M284" s="206"/>
      <c r="N284" s="206"/>
      <c r="O284" s="206"/>
      <c r="P284" s="206"/>
      <c r="Q284" s="206"/>
      <c r="R284" s="206"/>
      <c r="S284" s="206"/>
      <c r="T284" s="364"/>
      <c r="U284" s="364"/>
      <c r="V284" s="364"/>
    </row>
    <row r="285">
      <c r="A285" s="206"/>
      <c r="B285" s="206"/>
      <c r="C285" s="206"/>
      <c r="D285" s="206"/>
      <c r="E285" s="206"/>
      <c r="F285" s="206"/>
      <c r="G285" s="206"/>
      <c r="H285" s="206"/>
      <c r="I285" s="230"/>
      <c r="J285" s="206"/>
      <c r="K285" s="206"/>
      <c r="L285" s="206"/>
      <c r="M285" s="206"/>
      <c r="N285" s="206"/>
      <c r="O285" s="206"/>
      <c r="P285" s="206"/>
      <c r="Q285" s="206"/>
      <c r="R285" s="206"/>
      <c r="S285" s="206"/>
      <c r="T285" s="364"/>
      <c r="U285" s="364"/>
      <c r="V285" s="364"/>
    </row>
    <row r="286">
      <c r="A286" s="206"/>
      <c r="B286" s="206"/>
      <c r="C286" s="206"/>
      <c r="D286" s="206"/>
      <c r="E286" s="206"/>
      <c r="F286" s="206"/>
      <c r="G286" s="206"/>
      <c r="H286" s="206"/>
      <c r="I286" s="230"/>
      <c r="J286" s="206"/>
      <c r="K286" s="206"/>
      <c r="L286" s="206"/>
      <c r="M286" s="206"/>
      <c r="N286" s="206"/>
      <c r="O286" s="206"/>
      <c r="P286" s="206"/>
      <c r="Q286" s="206"/>
      <c r="R286" s="206"/>
      <c r="S286" s="206"/>
      <c r="T286" s="364"/>
      <c r="U286" s="364"/>
      <c r="V286" s="364"/>
    </row>
    <row r="287">
      <c r="A287" s="206"/>
      <c r="B287" s="206"/>
      <c r="C287" s="206"/>
      <c r="D287" s="206"/>
      <c r="E287" s="206"/>
      <c r="F287" s="206"/>
      <c r="G287" s="206"/>
      <c r="H287" s="206"/>
      <c r="I287" s="230"/>
      <c r="J287" s="206"/>
      <c r="K287" s="206"/>
      <c r="L287" s="206"/>
      <c r="M287" s="206"/>
      <c r="N287" s="206"/>
      <c r="O287" s="206"/>
      <c r="P287" s="206"/>
      <c r="Q287" s="206"/>
      <c r="R287" s="206"/>
      <c r="S287" s="206"/>
      <c r="T287" s="364"/>
      <c r="U287" s="364"/>
      <c r="V287" s="364"/>
    </row>
    <row r="288">
      <c r="A288" s="206"/>
      <c r="B288" s="206"/>
      <c r="C288" s="206"/>
      <c r="D288" s="206"/>
      <c r="E288" s="206"/>
      <c r="F288" s="206"/>
      <c r="G288" s="206"/>
      <c r="H288" s="206"/>
      <c r="I288" s="230"/>
      <c r="J288" s="206"/>
      <c r="K288" s="206"/>
      <c r="L288" s="206"/>
      <c r="M288" s="206"/>
      <c r="N288" s="206"/>
      <c r="O288" s="206"/>
      <c r="P288" s="206"/>
      <c r="Q288" s="206"/>
      <c r="R288" s="206"/>
      <c r="S288" s="206"/>
      <c r="T288" s="364"/>
      <c r="U288" s="364"/>
      <c r="V288" s="364"/>
    </row>
    <row r="289">
      <c r="A289" s="206"/>
      <c r="B289" s="206"/>
      <c r="C289" s="206"/>
      <c r="D289" s="206"/>
      <c r="E289" s="206"/>
      <c r="F289" s="206"/>
      <c r="G289" s="206"/>
      <c r="H289" s="206"/>
      <c r="I289" s="230"/>
      <c r="J289" s="206"/>
      <c r="K289" s="206"/>
      <c r="L289" s="206"/>
      <c r="M289" s="206"/>
      <c r="N289" s="206"/>
      <c r="O289" s="206"/>
      <c r="P289" s="206"/>
      <c r="Q289" s="206"/>
      <c r="R289" s="206"/>
      <c r="S289" s="206"/>
      <c r="T289" s="364"/>
      <c r="U289" s="364"/>
      <c r="V289" s="364"/>
    </row>
    <row r="290">
      <c r="A290" s="206"/>
      <c r="B290" s="206"/>
      <c r="C290" s="206"/>
      <c r="D290" s="206"/>
      <c r="E290" s="206"/>
      <c r="F290" s="206"/>
      <c r="G290" s="206"/>
      <c r="H290" s="206"/>
      <c r="I290" s="230"/>
      <c r="J290" s="206"/>
      <c r="K290" s="206"/>
      <c r="L290" s="206"/>
      <c r="M290" s="206"/>
      <c r="N290" s="206"/>
      <c r="O290" s="206"/>
      <c r="P290" s="206"/>
      <c r="Q290" s="206"/>
      <c r="R290" s="206"/>
      <c r="S290" s="206"/>
      <c r="T290" s="364"/>
      <c r="U290" s="364"/>
      <c r="V290" s="364"/>
    </row>
    <row r="291">
      <c r="A291" s="206"/>
      <c r="B291" s="206"/>
      <c r="C291" s="206"/>
      <c r="D291" s="206"/>
      <c r="E291" s="206"/>
      <c r="F291" s="206"/>
      <c r="G291" s="206"/>
      <c r="H291" s="206"/>
      <c r="I291" s="230"/>
      <c r="J291" s="206"/>
      <c r="K291" s="206"/>
      <c r="L291" s="206"/>
      <c r="M291" s="206"/>
      <c r="N291" s="206"/>
      <c r="O291" s="206"/>
      <c r="P291" s="206"/>
      <c r="Q291" s="206"/>
      <c r="R291" s="206"/>
      <c r="S291" s="206"/>
      <c r="T291" s="364"/>
      <c r="U291" s="364"/>
      <c r="V291" s="364"/>
    </row>
    <row r="292">
      <c r="A292" s="206"/>
      <c r="B292" s="206"/>
      <c r="C292" s="206"/>
      <c r="D292" s="206"/>
      <c r="E292" s="206"/>
      <c r="F292" s="206"/>
      <c r="G292" s="206"/>
      <c r="H292" s="206"/>
      <c r="I292" s="230"/>
      <c r="J292" s="206"/>
      <c r="K292" s="206"/>
      <c r="L292" s="206"/>
      <c r="M292" s="206"/>
      <c r="N292" s="206"/>
      <c r="O292" s="206"/>
      <c r="P292" s="206"/>
      <c r="Q292" s="206"/>
      <c r="R292" s="206"/>
      <c r="S292" s="206"/>
      <c r="T292" s="364"/>
      <c r="U292" s="364"/>
      <c r="V292" s="364"/>
    </row>
    <row r="293">
      <c r="A293" s="206"/>
      <c r="B293" s="206"/>
      <c r="C293" s="206"/>
      <c r="D293" s="206"/>
      <c r="E293" s="206"/>
      <c r="F293" s="206"/>
      <c r="G293" s="206"/>
      <c r="H293" s="206"/>
      <c r="I293" s="230"/>
      <c r="J293" s="206"/>
      <c r="K293" s="206"/>
      <c r="L293" s="206"/>
      <c r="M293" s="206"/>
      <c r="N293" s="206"/>
      <c r="O293" s="206"/>
      <c r="P293" s="206"/>
      <c r="Q293" s="206"/>
      <c r="R293" s="206"/>
      <c r="S293" s="206"/>
      <c r="T293" s="364"/>
      <c r="U293" s="364"/>
      <c r="V293" s="364"/>
    </row>
  </sheetData>
  <autoFilter ref="$A$5:$M$145"/>
  <conditionalFormatting sqref="I6:J145">
    <cfRule type="cellIs" dxfId="7" priority="1" operator="lessThanOrEqual">
      <formula>"10%"</formula>
    </cfRule>
  </conditionalFormatting>
  <conditionalFormatting sqref="I6:J145">
    <cfRule type="cellIs" dxfId="8" priority="2" operator="greaterThan">
      <formula>"10%"</formula>
    </cfRule>
  </conditionalFormatting>
  <dataValidations>
    <dataValidation type="list" allowBlank="1" showErrorMessage="1" sqref="A6:A145">
      <formula1>Dados!$A$1:$V$1</formula1>
    </dataValidation>
  </dataValidation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24.0"/>
    <col customWidth="1" min="2" max="2" width="36.13"/>
    <col customWidth="1" hidden="1" min="3" max="3" width="18.13"/>
    <col customWidth="1" min="4" max="4" width="8.75"/>
    <col customWidth="1" min="5" max="5" width="10.25"/>
    <col customWidth="1" min="6" max="6" width="19.38"/>
    <col customWidth="1" hidden="1" min="7" max="7" width="19.5"/>
    <col customWidth="1" min="8" max="8" width="13.0"/>
    <col customWidth="1" min="9" max="9" width="12.88"/>
    <col customWidth="1" hidden="1" min="10" max="10" width="9.25"/>
    <col customWidth="1" min="11" max="11" width="6.75"/>
    <col customWidth="1" hidden="1" min="12" max="12" width="24.75"/>
    <col customWidth="1" hidden="1" min="13" max="13" width="16.38"/>
    <col customWidth="1" min="14" max="14" width="13.13"/>
    <col customWidth="1" min="15" max="15" width="24.75"/>
    <col customWidth="1" min="16" max="21" width="22.25"/>
    <col customWidth="1" min="22" max="22" width="48.75"/>
    <col customWidth="1" min="23" max="24" width="32.88"/>
  </cols>
  <sheetData>
    <row r="1">
      <c r="A1" s="370" t="s">
        <v>773</v>
      </c>
      <c r="B1" s="371"/>
      <c r="C1" s="371"/>
      <c r="D1" s="371"/>
      <c r="E1" s="371"/>
      <c r="F1" s="371"/>
      <c r="G1" s="372"/>
      <c r="H1" s="371"/>
      <c r="I1" s="372"/>
      <c r="J1" s="372"/>
      <c r="K1" s="373"/>
      <c r="L1" s="373"/>
      <c r="M1" s="373"/>
      <c r="N1" s="372"/>
      <c r="O1" s="372"/>
      <c r="P1" s="372"/>
      <c r="Q1" s="372"/>
      <c r="R1" s="372"/>
      <c r="S1" s="372"/>
      <c r="T1" s="372"/>
      <c r="U1" s="372"/>
      <c r="V1" s="374"/>
      <c r="W1" s="372"/>
      <c r="X1" s="372"/>
      <c r="Y1" s="375"/>
      <c r="Z1" s="375"/>
    </row>
    <row r="2">
      <c r="A2" s="371"/>
      <c r="B2" s="371"/>
      <c r="C2" s="371"/>
      <c r="D2" s="371"/>
      <c r="E2" s="376"/>
      <c r="F2" s="371"/>
      <c r="G2" s="372"/>
      <c r="H2" s="371"/>
      <c r="I2" s="372"/>
      <c r="J2" s="372"/>
      <c r="K2" s="373"/>
      <c r="L2" s="373"/>
      <c r="M2" s="373"/>
      <c r="N2" s="372"/>
      <c r="O2" s="372"/>
      <c r="P2" s="372"/>
      <c r="Q2" s="372"/>
      <c r="R2" s="372"/>
      <c r="S2" s="372"/>
      <c r="T2" s="372"/>
      <c r="U2" s="372"/>
      <c r="V2" s="374"/>
      <c r="W2" s="372"/>
      <c r="X2" s="372"/>
      <c r="Y2" s="375"/>
      <c r="Z2" s="375"/>
    </row>
    <row r="3">
      <c r="A3" s="371"/>
      <c r="B3" s="371"/>
      <c r="C3" s="371"/>
      <c r="D3" s="371"/>
      <c r="E3" s="376" t="s">
        <v>997</v>
      </c>
      <c r="F3" s="371"/>
      <c r="G3" s="372"/>
      <c r="H3" s="371"/>
      <c r="I3" s="372"/>
      <c r="J3" s="372"/>
      <c r="K3" s="373"/>
      <c r="L3" s="373"/>
      <c r="M3" s="373"/>
      <c r="N3" s="372"/>
      <c r="O3" s="372"/>
      <c r="P3" s="372"/>
      <c r="Q3" s="372"/>
      <c r="R3" s="372"/>
      <c r="S3" s="372"/>
      <c r="T3" s="372"/>
      <c r="U3" s="372"/>
      <c r="V3" s="374"/>
      <c r="W3" s="372"/>
      <c r="X3" s="372"/>
      <c r="Y3" s="375"/>
      <c r="Z3" s="375"/>
    </row>
    <row r="4" ht="21.0" customHeight="1">
      <c r="A4" s="377"/>
      <c r="B4" s="377"/>
      <c r="C4" s="377"/>
      <c r="D4" s="377"/>
      <c r="E4" s="377"/>
      <c r="F4" s="377"/>
      <c r="G4" s="378"/>
      <c r="H4" s="377"/>
      <c r="I4" s="377"/>
      <c r="J4" s="377"/>
      <c r="K4" s="379"/>
      <c r="L4" s="379"/>
      <c r="M4" s="379"/>
      <c r="N4" s="377"/>
      <c r="O4" s="377"/>
      <c r="P4" s="377"/>
      <c r="Q4" s="377"/>
      <c r="R4" s="377"/>
      <c r="S4" s="377"/>
      <c r="T4" s="377"/>
      <c r="U4" s="377"/>
      <c r="V4" s="380"/>
      <c r="W4" s="371"/>
      <c r="X4" s="371"/>
      <c r="Y4" s="375"/>
      <c r="Z4" s="375"/>
    </row>
    <row r="5">
      <c r="A5" s="116" t="str">
        <f>IFERROR(__xludf.DUMMYFUNCTION("IMPORTRANGE(""https://docs.google.com/spreadsheets/d/15SL5aBAKxDhXFRR-SToVu_tyAYjb-w6zmz_0mccG1uQ/edit#gid=1143847074"",""Plano de capacitação - 2024!A5:N145"")"),"PROJETO")</f>
        <v>PROJETO</v>
      </c>
      <c r="B5" s="116" t="str">
        <f>IFERROR(__xludf.DUMMYFUNCTION("""COMPUTED_VALUE"""),"CURSO")</f>
        <v>CURSO</v>
      </c>
      <c r="C5" s="117" t="str">
        <f>IFERROR(__xludf.DUMMYFUNCTION("""COMPUTED_VALUE"""),"TIPO DE CURSO (PPP)")</f>
        <v>TIPO DE CURSO (PPP)</v>
      </c>
      <c r="D5" s="117" t="str">
        <f>IFERROR(__xludf.DUMMYFUNCTION("""COMPUTED_VALUE"""),"CARGA HORÁRIA")</f>
        <v>CARGA HORÁRIA</v>
      </c>
      <c r="E5" s="116" t="str">
        <f>IFERROR(__xludf.DUMMYFUNCTION("""COMPUTED_VALUE"""),"TURMA")</f>
        <v>TURMA</v>
      </c>
      <c r="F5" s="117" t="str">
        <f>IFERROR(__xludf.DUMMYFUNCTION("""COMPUTED_VALUE"""),"LOCAL DE REALIZAÇÃO")</f>
        <v>LOCAL DE REALIZAÇÃO</v>
      </c>
      <c r="G5" s="117" t="str">
        <f>IFERROR(__xludf.DUMMYFUNCTION("""COMPUTED_VALUE"""),"REGIÃO DO PÚBLICO")</f>
        <v>REGIÃO DO PÚBLICO</v>
      </c>
      <c r="H5" s="117" t="str">
        <f>IFERROR(__xludf.DUMMYFUNCTION("""COMPUTED_VALUE"""),"MODALIDADE")</f>
        <v>MODALIDADE</v>
      </c>
      <c r="I5" s="117" t="str">
        <f>IFERROR(__xludf.DUMMYFUNCTION("""COMPUTED_VALUE"""),"MÊS DE REALIZAÇÃO")</f>
        <v>MÊS DE REALIZAÇÃO</v>
      </c>
      <c r="J5" s="117" t="str">
        <f>IFERROR(__xludf.DUMMYFUNCTION("""COMPUTED_VALUE"""),"DIAS")</f>
        <v>DIAS</v>
      </c>
      <c r="K5" s="117" t="str">
        <f>IFERROR(__xludf.DUMMYFUNCTION("""COMPUTED_VALUE"""),"DATA INÍCIO")</f>
        <v>DATA INÍCIO</v>
      </c>
      <c r="L5" s="120" t="str">
        <f>IFERROR(__xludf.DUMMYFUNCTION("""COMPUTED_VALUE"""),"DATA FIM")</f>
        <v>DATA FIM</v>
      </c>
      <c r="M5" s="120" t="str">
        <f>IFERROR(__xludf.DUMMYFUNCTION("""COMPUTED_VALUE"""),"LINK AGENDA")</f>
        <v>LINK AGENDA</v>
      </c>
      <c r="N5" s="117" t="str">
        <f>IFERROR(__xludf.DUMMYFUNCTION("""COMPUTED_VALUE"""),"VAGAS")</f>
        <v>VAGAS</v>
      </c>
      <c r="O5" s="381" t="s">
        <v>998</v>
      </c>
      <c r="P5" s="381" t="s">
        <v>999</v>
      </c>
      <c r="Q5" s="381" t="s">
        <v>1000</v>
      </c>
      <c r="R5" s="381" t="s">
        <v>1001</v>
      </c>
      <c r="S5" s="381" t="s">
        <v>1002</v>
      </c>
      <c r="T5" s="381" t="s">
        <v>1003</v>
      </c>
      <c r="U5" s="381" t="s">
        <v>1004</v>
      </c>
      <c r="V5" s="382" t="s">
        <v>1005</v>
      </c>
      <c r="W5" s="383"/>
      <c r="X5" s="383"/>
      <c r="Y5" s="384"/>
      <c r="Z5" s="384"/>
    </row>
    <row r="6">
      <c r="A6" s="135" t="str">
        <f>IFERROR(__xludf.DUMMYFUNCTION("""COMPUTED_VALUE"""),"Qualificação em Sala de Vacina")</f>
        <v>Qualificação em Sala de Vacina</v>
      </c>
      <c r="B6" s="124" t="str">
        <f>IFERROR(__xludf.DUMMYFUNCTION("""COMPUTED_VALUE"""),"Curso básico de imunização para profissionais de vacinação da saúde indígena")</f>
        <v>Curso básico de imunização para profissionais de vacinação da saúde indígena</v>
      </c>
      <c r="C6" s="125" t="str">
        <f>IFERROR(__xludf.DUMMYFUNCTION("""COMPUTED_VALUE"""),"Básico (Até 79h)")</f>
        <v>Básico (Até 79h)</v>
      </c>
      <c r="D6" s="126">
        <f>IFERROR(__xludf.DUMMYFUNCTION("""COMPUTED_VALUE"""),40.0)</f>
        <v>40</v>
      </c>
      <c r="E6" s="126" t="str">
        <f>IFERROR(__xludf.DUMMYFUNCTION("""COMPUTED_VALUE"""),"Turma 1")</f>
        <v>Turma 1</v>
      </c>
      <c r="F6" s="125" t="str">
        <f>IFERROR(__xludf.DUMMYFUNCTION("""COMPUTED_VALUE"""),"Fortaleza")</f>
        <v>Fortaleza</v>
      </c>
      <c r="G6" s="136" t="str">
        <f>IFERROR(__xludf.DUMMYFUNCTION("""COMPUTED_VALUE"""),"SRFOR")</f>
        <v>SRFOR</v>
      </c>
      <c r="H6" s="125" t="str">
        <f>IFERROR(__xludf.DUMMYFUNCTION("""COMPUTED_VALUE"""),"Presencial (máximo 20% EaD)")</f>
        <v>Presencial (máximo 20% EaD)</v>
      </c>
      <c r="I6" s="125" t="str">
        <f>IFERROR(__xludf.DUMMYFUNCTION("""COMPUTED_VALUE"""),"Julho")</f>
        <v>Julho</v>
      </c>
      <c r="J6" s="125" t="str">
        <f>IFERROR(__xludf.DUMMYFUNCTION("""COMPUTED_VALUE"""),"01 a 05")</f>
        <v>01 a 05</v>
      </c>
      <c r="K6" s="129">
        <f>IFERROR(__xludf.DUMMYFUNCTION("""COMPUTED_VALUE"""),45474.0)</f>
        <v>45474</v>
      </c>
      <c r="L6" s="195">
        <f>IFERROR(__xludf.DUMMYFUNCTION("""COMPUTED_VALUE"""),45478.0)</f>
        <v>45478</v>
      </c>
      <c r="M6" s="125" t="str">
        <f>IFERROR(__xludf.DUMMYFUNCTION("""COMPUTED_VALUE"""),"Curso básico de imunização para profissionais de vacinação da saúde indígena")</f>
        <v>Curso básico de imunização para profissionais de vacinação da saúde indígena</v>
      </c>
      <c r="N6" s="126">
        <f>IFERROR(__xludf.DUMMYFUNCTION("""COMPUTED_VALUE"""),35.0)</f>
        <v>35</v>
      </c>
      <c r="O6" s="385"/>
      <c r="P6" s="385"/>
      <c r="Q6" s="385"/>
      <c r="R6" s="385"/>
      <c r="S6" s="385"/>
      <c r="T6" s="385"/>
      <c r="U6" s="385"/>
      <c r="V6" s="385"/>
      <c r="W6" s="210"/>
      <c r="X6" s="210"/>
      <c r="Y6" s="386"/>
      <c r="Z6" s="386"/>
    </row>
    <row r="7">
      <c r="A7" s="135" t="str">
        <f>IFERROR(__xludf.DUMMYFUNCTION("""COMPUTED_VALUE"""),"Qualificação em Sala de Vacina")</f>
        <v>Qualificação em Sala de Vacina</v>
      </c>
      <c r="B7" s="124" t="str">
        <f>IFERROR(__xludf.DUMMYFUNCTION("""COMPUTED_VALUE"""),"Curso Teórico Prático de Vigilância e Assistência aos Acidentes por Animais Peçonhentos")</f>
        <v>Curso Teórico Prático de Vigilância e Assistência aos Acidentes por Animais Peçonhentos</v>
      </c>
      <c r="C7" s="125" t="str">
        <f>IFERROR(__xludf.DUMMYFUNCTION("""COMPUTED_VALUE"""),"Básico (Até 79h)")</f>
        <v>Básico (Até 79h)</v>
      </c>
      <c r="D7" s="126">
        <f>IFERROR(__xludf.DUMMYFUNCTION("""COMPUTED_VALUE"""),16.0)</f>
        <v>16</v>
      </c>
      <c r="E7" s="126" t="str">
        <f>IFERROR(__xludf.DUMMYFUNCTION("""COMPUTED_VALUE"""),"Turma 1")</f>
        <v>Turma 1</v>
      </c>
      <c r="F7" s="125" t="str">
        <f>IFERROR(__xludf.DUMMYFUNCTION("""COMPUTED_VALUE"""),"Fortaleza")</f>
        <v>Fortaleza</v>
      </c>
      <c r="G7" s="136" t="str">
        <f>IFERROR(__xludf.DUMMYFUNCTION("""COMPUTED_VALUE"""),"SR Norte, SR Cariri, SR Fortaleza, SR Litoral Leste/Jaguaribe, SR Sertão Central")</f>
        <v>SR Norte, SR Cariri, SR Fortaleza, SR Litoral Leste/Jaguaribe, SR Sertão Central</v>
      </c>
      <c r="H7" s="125" t="str">
        <f>IFERROR(__xludf.DUMMYFUNCTION("""COMPUTED_VALUE"""),"Presencial (máximo 20% EaD)")</f>
        <v>Presencial (máximo 20% EaD)</v>
      </c>
      <c r="I7" s="125" t="str">
        <f>IFERROR(__xludf.DUMMYFUNCTION("""COMPUTED_VALUE"""),"Novembro")</f>
        <v>Novembro</v>
      </c>
      <c r="J7" s="125" t="str">
        <f>IFERROR(__xludf.DUMMYFUNCTION("""COMPUTED_VALUE"""),"17 e 18")</f>
        <v>17 e 18</v>
      </c>
      <c r="K7" s="129">
        <f>IFERROR(__xludf.DUMMYFUNCTION("""COMPUTED_VALUE"""),45475.0)</f>
        <v>45475</v>
      </c>
      <c r="L7" s="195">
        <f>IFERROR(__xludf.DUMMYFUNCTION("""COMPUTED_VALUE"""),45479.0)</f>
        <v>45479</v>
      </c>
      <c r="M7" s="125"/>
      <c r="N7" s="126">
        <f>IFERROR(__xludf.DUMMYFUNCTION("""COMPUTED_VALUE"""),150.0)</f>
        <v>150</v>
      </c>
      <c r="P7" s="385"/>
      <c r="Q7" s="385"/>
      <c r="R7" s="385"/>
      <c r="S7" s="385"/>
      <c r="T7" s="385"/>
      <c r="U7" s="385"/>
      <c r="V7" s="385"/>
      <c r="W7" s="210"/>
      <c r="X7" s="210"/>
      <c r="Y7" s="386"/>
      <c r="Z7" s="386"/>
    </row>
    <row r="8">
      <c r="A8" s="135" t="str">
        <f>IFERROR(__xludf.DUMMYFUNCTION("""COMPUTED_VALUE"""),"Qualificação em Sala de Vacina")</f>
        <v>Qualificação em Sala de Vacina</v>
      </c>
      <c r="B8" s="125" t="str">
        <f>IFERROR(__xludf.DUMMYFUNCTION("""COMPUTED_VALUE"""),"Curso Básico de Atualização em Imunização para Profissionais de Vacinação da Saúde Quilombola")</f>
        <v>Curso Básico de Atualização em Imunização para Profissionais de Vacinação da Saúde Quilombola</v>
      </c>
      <c r="C8" s="125" t="str">
        <f>IFERROR(__xludf.DUMMYFUNCTION("""COMPUTED_VALUE"""),"Básico (Até 79h)")</f>
        <v>Básico (Até 79h)</v>
      </c>
      <c r="D8" s="126">
        <f>IFERROR(__xludf.DUMMYFUNCTION("""COMPUTED_VALUE"""),40.0)</f>
        <v>40</v>
      </c>
      <c r="E8" s="126" t="str">
        <f>IFERROR(__xludf.DUMMYFUNCTION("""COMPUTED_VALUE"""),"Turma 1")</f>
        <v>Turma 1</v>
      </c>
      <c r="F8" s="125" t="str">
        <f>IFERROR(__xludf.DUMMYFUNCTION("""COMPUTED_VALUE"""),"Fortaleza")</f>
        <v>Fortaleza</v>
      </c>
      <c r="G8" s="125" t="str">
        <f>IFERROR(__xludf.DUMMYFUNCTION("""COMPUTED_VALUE"""),"SRFOR/SRNOR/SRSUL")</f>
        <v>SRFOR/SRNOR/SRSUL</v>
      </c>
      <c r="H8" s="126" t="str">
        <f>IFERROR(__xludf.DUMMYFUNCTION("""COMPUTED_VALUE"""),"Híbrido (Presencial/EaD)")</f>
        <v>Híbrido (Presencial/EaD)</v>
      </c>
      <c r="I8" s="138" t="str">
        <f>IFERROR(__xludf.DUMMYFUNCTION("""COMPUTED_VALUE"""),"Setembro")</f>
        <v>Setembro</v>
      </c>
      <c r="J8" s="125" t="str">
        <f>IFERROR(__xludf.DUMMYFUNCTION("""COMPUTED_VALUE"""),"02 a 06")</f>
        <v>02 a 06</v>
      </c>
      <c r="K8" s="126"/>
      <c r="L8" s="126"/>
      <c r="M8" s="126"/>
      <c r="N8" s="126">
        <f>IFERROR(__xludf.DUMMYFUNCTION("""COMPUTED_VALUE"""),35.0)</f>
        <v>35</v>
      </c>
      <c r="O8" s="385"/>
      <c r="P8" s="385"/>
      <c r="Q8" s="385"/>
      <c r="R8" s="385"/>
      <c r="S8" s="385"/>
      <c r="T8" s="385"/>
      <c r="U8" s="385"/>
      <c r="V8" s="385"/>
      <c r="W8" s="210"/>
      <c r="X8" s="210"/>
      <c r="Y8" s="386"/>
      <c r="Z8" s="386"/>
    </row>
    <row r="9">
      <c r="A9" s="135" t="str">
        <f>IFERROR(__xludf.DUMMYFUNCTION("""COMPUTED_VALUE"""),"Qualificação e resposta às emergências em saúde")</f>
        <v>Qualificação e resposta às emergências em saúde</v>
      </c>
      <c r="B9" s="125" t="str">
        <f>IFERROR(__xludf.DUMMYFUNCTION("""COMPUTED_VALUE"""),"Curso de Codificação de Causa Básica de Óbito")</f>
        <v>Curso de Codificação de Causa Básica de Óbito</v>
      </c>
      <c r="C9" s="125" t="str">
        <f>IFERROR(__xludf.DUMMYFUNCTION("""COMPUTED_VALUE"""),"Básico (Até 79h)")</f>
        <v>Básico (Até 79h)</v>
      </c>
      <c r="D9" s="126">
        <f>IFERROR(__xludf.DUMMYFUNCTION("""COMPUTED_VALUE"""),45.0)</f>
        <v>45</v>
      </c>
      <c r="E9" s="126" t="str">
        <f>IFERROR(__xludf.DUMMYFUNCTION("""COMPUTED_VALUE"""),"Turma 1")</f>
        <v>Turma 1</v>
      </c>
      <c r="F9" s="125" t="str">
        <f>IFERROR(__xludf.DUMMYFUNCTION("""COMPUTED_VALUE"""),"Fortaleza")</f>
        <v>Fortaleza</v>
      </c>
      <c r="G9" s="125" t="str">
        <f>IFERROR(__xludf.DUMMYFUNCTION("""COMPUTED_VALUE"""),"SR Norte, SR Cariri, SR Fortaleza, SR Litoral Leste/Jaguaribe, SR Sertão Central")</f>
        <v>SR Norte, SR Cariri, SR Fortaleza, SR Litoral Leste/Jaguaribe, SR Sertão Central</v>
      </c>
      <c r="H9" s="126" t="str">
        <f>IFERROR(__xludf.DUMMYFUNCTION("""COMPUTED_VALUE"""),"Presencial (máximo 20% EaD)")</f>
        <v>Presencial (máximo 20% EaD)</v>
      </c>
      <c r="I9" s="138" t="str">
        <f>IFERROR(__xludf.DUMMYFUNCTION("""COMPUTED_VALUE"""),"Julho/Agosto")</f>
        <v>Julho/Agosto</v>
      </c>
      <c r="J9" s="125" t="str">
        <f>IFERROR(__xludf.DUMMYFUNCTION("""COMPUTED_VALUE"""),"29/07 a 02/08")</f>
        <v>29/07 a 02/08</v>
      </c>
      <c r="K9" s="129">
        <f>IFERROR(__xludf.DUMMYFUNCTION("""COMPUTED_VALUE"""),45502.0)</f>
        <v>45502</v>
      </c>
      <c r="L9" s="129">
        <f>IFERROR(__xludf.DUMMYFUNCTION("""COMPUTED_VALUE"""),45506.0)</f>
        <v>45506</v>
      </c>
      <c r="M9" s="126" t="str">
        <f>IFERROR(__xludf.DUMMYFUNCTION("""COMPUTED_VALUE"""),"Curso de Codificação de Causa Básica de Óbito")</f>
        <v>Curso de Codificação de Causa Básica de Óbito</v>
      </c>
      <c r="N9" s="126">
        <f>IFERROR(__xludf.DUMMYFUNCTION("""COMPUTED_VALUE"""),30.0)</f>
        <v>30</v>
      </c>
      <c r="P9" s="385"/>
      <c r="Q9" s="385"/>
      <c r="R9" s="385"/>
      <c r="S9" s="385"/>
      <c r="T9" s="385"/>
      <c r="U9" s="385"/>
      <c r="V9" s="385"/>
      <c r="W9" s="210"/>
      <c r="X9" s="210"/>
      <c r="Y9" s="386"/>
      <c r="Z9" s="386"/>
    </row>
    <row r="10">
      <c r="A10" s="135" t="str">
        <f>IFERROR(__xludf.DUMMYFUNCTION("""COMPUTED_VALUE"""),"Qualificação e resposta às emergências em saúde")</f>
        <v>Qualificação e resposta às emergências em saúde</v>
      </c>
      <c r="B10" s="124" t="str">
        <f>IFERROR(__xludf.DUMMYFUNCTION("""COMPUTED_VALUE"""),"Curso de Investigação de Surto")</f>
        <v>Curso de Investigação de Surto</v>
      </c>
      <c r="C10" s="125" t="str">
        <f>IFERROR(__xludf.DUMMYFUNCTION("""COMPUTED_VALUE"""),"Básico (Até 79h)")</f>
        <v>Básico (Até 79h)</v>
      </c>
      <c r="D10" s="126">
        <f>IFERROR(__xludf.DUMMYFUNCTION("""COMPUTED_VALUE"""),40.0)</f>
        <v>40</v>
      </c>
      <c r="E10" s="126" t="str">
        <f>IFERROR(__xludf.DUMMYFUNCTION("""COMPUTED_VALUE"""),"Turma 1")</f>
        <v>Turma 1</v>
      </c>
      <c r="F10" s="125" t="str">
        <f>IFERROR(__xludf.DUMMYFUNCTION("""COMPUTED_VALUE"""),"Fortaleza")</f>
        <v>Fortaleza</v>
      </c>
      <c r="G10" s="125" t="str">
        <f>IFERROR(__xludf.DUMMYFUNCTION("""COMPUTED_VALUE"""),"SRFOR")</f>
        <v>SRFOR</v>
      </c>
      <c r="H10" s="125" t="str">
        <f>IFERROR(__xludf.DUMMYFUNCTION("""COMPUTED_VALUE"""),"Híbrido (Presencial/EaD)")</f>
        <v>Híbrido (Presencial/EaD)</v>
      </c>
      <c r="I10" s="125" t="str">
        <f>IFERROR(__xludf.DUMMYFUNCTION("""COMPUTED_VALUE"""),"Julho")</f>
        <v>Julho</v>
      </c>
      <c r="J10" s="125" t="str">
        <f>IFERROR(__xludf.DUMMYFUNCTION("""COMPUTED_VALUE"""),"09/07 a 11/07")</f>
        <v>09/07 a 11/07</v>
      </c>
      <c r="K10" s="129">
        <f>IFERROR(__xludf.DUMMYFUNCTION("""COMPUTED_VALUE"""),45474.0)</f>
        <v>45474</v>
      </c>
      <c r="L10" s="195">
        <f>IFERROR(__xludf.DUMMYFUNCTION("""COMPUTED_VALUE"""),45476.0)</f>
        <v>45476</v>
      </c>
      <c r="M10" s="117" t="str">
        <f>IFERROR(__xludf.DUMMYFUNCTION("""COMPUTED_VALUE"""),"Curso de Investigação de Surto")</f>
        <v>Curso de Investigação de Surto</v>
      </c>
      <c r="N10" s="126">
        <f>IFERROR(__xludf.DUMMYFUNCTION("""COMPUTED_VALUE"""),35.0)</f>
        <v>35</v>
      </c>
      <c r="P10" s="385"/>
      <c r="Q10" s="385"/>
      <c r="R10" s="385"/>
      <c r="S10" s="385"/>
      <c r="T10" s="385"/>
      <c r="U10" s="385"/>
      <c r="V10" s="385"/>
      <c r="W10" s="210"/>
      <c r="X10" s="210"/>
      <c r="Y10" s="386"/>
      <c r="Z10" s="386"/>
    </row>
    <row r="11" ht="27.0" customHeight="1">
      <c r="A11" s="135" t="str">
        <f>IFERROR(__xludf.DUMMYFUNCTION("""COMPUTED_VALUE"""),"Epidemiologia em Serviço")</f>
        <v>Epidemiologia em Serviço</v>
      </c>
      <c r="B11" s="124" t="str">
        <f>IFERROR(__xludf.DUMMYFUNCTION("""COMPUTED_VALUE"""),"Curso de Vigilância e Manejo Clínico da Tuberculose")</f>
        <v>Curso de Vigilância e Manejo Clínico da Tuberculose</v>
      </c>
      <c r="C11" s="125" t="str">
        <f>IFERROR(__xludf.DUMMYFUNCTION("""COMPUTED_VALUE"""),"Básico (Até 79h)")</f>
        <v>Básico (Até 79h)</v>
      </c>
      <c r="D11" s="126">
        <f>IFERROR(__xludf.DUMMYFUNCTION("""COMPUTED_VALUE"""),40.0)</f>
        <v>40</v>
      </c>
      <c r="E11" s="126" t="str">
        <f>IFERROR(__xludf.DUMMYFUNCTION("""COMPUTED_VALUE"""),"Turma 1")</f>
        <v>Turma 1</v>
      </c>
      <c r="F11" s="125" t="str">
        <f>IFERROR(__xludf.DUMMYFUNCTION("""COMPUTED_VALUE"""),"Limoeiro do Norte")</f>
        <v>Limoeiro do Norte</v>
      </c>
      <c r="G11" s="125" t="str">
        <f>IFERROR(__xludf.DUMMYFUNCTION("""COMPUTED_VALUE"""),"SRLES")</f>
        <v>SRLES</v>
      </c>
      <c r="H11" s="126" t="str">
        <f>IFERROR(__xludf.DUMMYFUNCTION("""COMPUTED_VALUE"""),"Híbrido (Presencial/EaD)")</f>
        <v>Híbrido (Presencial/EaD)</v>
      </c>
      <c r="I11" s="125" t="str">
        <f>IFERROR(__xludf.DUMMYFUNCTION("""COMPUTED_VALUE"""),"Agosto")</f>
        <v>Agosto</v>
      </c>
      <c r="J11" s="125" t="str">
        <f>IFERROR(__xludf.DUMMYFUNCTION("""COMPUTED_VALUE"""),"26 a 30")</f>
        <v>26 a 30</v>
      </c>
      <c r="K11" s="126"/>
      <c r="L11" s="125"/>
      <c r="M11" s="125"/>
      <c r="N11" s="126">
        <f>IFERROR(__xludf.DUMMYFUNCTION("""COMPUTED_VALUE"""),15.0)</f>
        <v>15</v>
      </c>
      <c r="O11" s="385"/>
      <c r="P11" s="385"/>
      <c r="Q11" s="385"/>
      <c r="R11" s="385"/>
      <c r="S11" s="385"/>
      <c r="T11" s="385"/>
      <c r="U11" s="385"/>
      <c r="V11" s="385"/>
      <c r="W11" s="210"/>
      <c r="X11" s="210"/>
      <c r="Y11" s="386"/>
      <c r="Z11" s="386"/>
    </row>
    <row r="12">
      <c r="A12" s="135" t="str">
        <f>IFERROR(__xludf.DUMMYFUNCTION("""COMPUTED_VALUE"""),"Epidemiologia em Serviço")</f>
        <v>Epidemiologia em Serviço</v>
      </c>
      <c r="B12" s="124" t="str">
        <f>IFERROR(__xludf.DUMMYFUNCTION("""COMPUTED_VALUE"""),"Curso de Vigilância e Manejo Clínico da Tuberculose")</f>
        <v>Curso de Vigilância e Manejo Clínico da Tuberculose</v>
      </c>
      <c r="C12" s="125" t="str">
        <f>IFERROR(__xludf.DUMMYFUNCTION("""COMPUTED_VALUE"""),"Básico (Até 79h)")</f>
        <v>Básico (Até 79h)</v>
      </c>
      <c r="D12" s="126">
        <f>IFERROR(__xludf.DUMMYFUNCTION("""COMPUTED_VALUE"""),40.0)</f>
        <v>40</v>
      </c>
      <c r="E12" s="126" t="str">
        <f>IFERROR(__xludf.DUMMYFUNCTION("""COMPUTED_VALUE"""),"Turma 2")</f>
        <v>Turma 2</v>
      </c>
      <c r="F12" s="125" t="str">
        <f>IFERROR(__xludf.DUMMYFUNCTION("""COMPUTED_VALUE"""),"Tauá")</f>
        <v>Tauá</v>
      </c>
      <c r="G12" s="125" t="str">
        <f>IFERROR(__xludf.DUMMYFUNCTION("""COMPUTED_VALUE"""),"SRCEN")</f>
        <v>SRCEN</v>
      </c>
      <c r="H12" s="126" t="str">
        <f>IFERROR(__xludf.DUMMYFUNCTION("""COMPUTED_VALUE"""),"Híbrido (Presencial/EaD)")</f>
        <v>Híbrido (Presencial/EaD)</v>
      </c>
      <c r="I12" s="138" t="str">
        <f>IFERROR(__xludf.DUMMYFUNCTION("""COMPUTED_VALUE"""),"Setembro")</f>
        <v>Setembro</v>
      </c>
      <c r="J12" s="125" t="str">
        <f>IFERROR(__xludf.DUMMYFUNCTION("""COMPUTED_VALUE"""),"09 a 13")</f>
        <v>09 a 13</v>
      </c>
      <c r="K12" s="129">
        <f>IFERROR(__xludf.DUMMYFUNCTION("""COMPUTED_VALUE"""),45509.0)</f>
        <v>45509</v>
      </c>
      <c r="L12" s="195">
        <f>IFERROR(__xludf.DUMMYFUNCTION("""COMPUTED_VALUE"""),45513.0)</f>
        <v>45513</v>
      </c>
      <c r="M12" s="125"/>
      <c r="N12" s="126">
        <f>IFERROR(__xludf.DUMMYFUNCTION("""COMPUTED_VALUE"""),15.0)</f>
        <v>15</v>
      </c>
      <c r="P12" s="385"/>
      <c r="Q12" s="385"/>
      <c r="R12" s="385"/>
      <c r="S12" s="385"/>
      <c r="T12" s="385"/>
      <c r="U12" s="385"/>
      <c r="V12" s="385"/>
      <c r="W12" s="210"/>
      <c r="X12" s="210"/>
      <c r="Y12" s="386"/>
      <c r="Z12" s="386"/>
    </row>
    <row r="13">
      <c r="A13" s="135" t="str">
        <f>IFERROR(__xludf.DUMMYFUNCTION("""COMPUTED_VALUE"""),"Epidemiologia em Serviço")</f>
        <v>Epidemiologia em Serviço</v>
      </c>
      <c r="B13" s="135" t="str">
        <f>IFERROR(__xludf.DUMMYFUNCTION("""COMPUTED_VALUE"""),"Curso básico de vigilância da hanseniase e prevençao de incapacidades")</f>
        <v>Curso básico de vigilância da hanseniase e prevençao de incapacidades</v>
      </c>
      <c r="C13" s="125" t="str">
        <f>IFERROR(__xludf.DUMMYFUNCTION("""COMPUTED_VALUE"""),"Básico (Até 79h)")</f>
        <v>Básico (Até 79h)</v>
      </c>
      <c r="D13" s="126">
        <f>IFERROR(__xludf.DUMMYFUNCTION("""COMPUTED_VALUE"""),40.0)</f>
        <v>40</v>
      </c>
      <c r="E13" s="126" t="str">
        <f>IFERROR(__xludf.DUMMYFUNCTION("""COMPUTED_VALUE"""),"Turma 1")</f>
        <v>Turma 1</v>
      </c>
      <c r="F13" s="125" t="str">
        <f>IFERROR(__xludf.DUMMYFUNCTION("""COMPUTED_VALUE"""),"Fortaleza")</f>
        <v>Fortaleza</v>
      </c>
      <c r="G13" s="125" t="str">
        <f>IFERROR(__xludf.DUMMYFUNCTION("""COMPUTED_VALUE"""),"SRCEN")</f>
        <v>SRCEN</v>
      </c>
      <c r="H13" s="125" t="str">
        <f>IFERROR(__xludf.DUMMYFUNCTION("""COMPUTED_VALUE"""),"Presencial (máximo 20% EaD)")</f>
        <v>Presencial (máximo 20% EaD)</v>
      </c>
      <c r="I13" s="138" t="str">
        <f>IFERROR(__xludf.DUMMYFUNCTION("""COMPUTED_VALUE"""),"Julho")</f>
        <v>Julho</v>
      </c>
      <c r="J13" s="125" t="str">
        <f>IFERROR(__xludf.DUMMYFUNCTION("""COMPUTED_VALUE"""),"15 a 19")</f>
        <v>15 a 19</v>
      </c>
      <c r="K13" s="129">
        <f>IFERROR(__xludf.DUMMYFUNCTION("""COMPUTED_VALUE"""),45488.0)</f>
        <v>45488</v>
      </c>
      <c r="L13" s="129">
        <f>IFERROR(__xludf.DUMMYFUNCTION("""COMPUTED_VALUE"""),45492.0)</f>
        <v>45492</v>
      </c>
      <c r="M13" s="126" t="str">
        <f>IFERROR(__xludf.DUMMYFUNCTION("""COMPUTED_VALUE"""),"Curso básico de vigilância da hanseniase e prevençao de incapacidades")</f>
        <v>Curso básico de vigilância da hanseniase e prevençao de incapacidades</v>
      </c>
      <c r="N13" s="126">
        <f>IFERROR(__xludf.DUMMYFUNCTION("""COMPUTED_VALUE"""),15.0)</f>
        <v>15</v>
      </c>
      <c r="P13" s="385"/>
      <c r="Q13" s="385"/>
      <c r="R13" s="385"/>
      <c r="S13" s="385"/>
      <c r="T13" s="385"/>
      <c r="U13" s="385"/>
      <c r="V13" s="385"/>
      <c r="W13" s="210"/>
      <c r="X13" s="210"/>
      <c r="Y13" s="386"/>
      <c r="Z13" s="386"/>
    </row>
    <row r="14">
      <c r="A14" s="135" t="str">
        <f>IFERROR(__xludf.DUMMYFUNCTION("""COMPUTED_VALUE"""),"Epidemiologia em Serviço")</f>
        <v>Epidemiologia em Serviço</v>
      </c>
      <c r="B14" s="125" t="str">
        <f>IFERROR(__xludf.DUMMYFUNCTION("""COMPUTED_VALUE"""),"Curso básico de vigilância da hanseniase e prevençao de incapacidades")</f>
        <v>Curso básico de vigilância da hanseniase e prevençao de incapacidades</v>
      </c>
      <c r="C14" s="125" t="str">
        <f>IFERROR(__xludf.DUMMYFUNCTION("""COMPUTED_VALUE"""),"Básico (Até 79h)")</f>
        <v>Básico (Até 79h)</v>
      </c>
      <c r="D14" s="126">
        <f>IFERROR(__xludf.DUMMYFUNCTION("""COMPUTED_VALUE"""),40.0)</f>
        <v>40</v>
      </c>
      <c r="E14" s="126" t="str">
        <f>IFERROR(__xludf.DUMMYFUNCTION("""COMPUTED_VALUE"""),"Turma 2")</f>
        <v>Turma 2</v>
      </c>
      <c r="F14" s="125" t="str">
        <f>IFERROR(__xludf.DUMMYFUNCTION("""COMPUTED_VALUE"""),"Fortaleza")</f>
        <v>Fortaleza</v>
      </c>
      <c r="G14" s="126" t="str">
        <f>IFERROR(__xludf.DUMMYFUNCTION("""COMPUTED_VALUE"""),"SRLES")</f>
        <v>SRLES</v>
      </c>
      <c r="H14" s="125" t="str">
        <f>IFERROR(__xludf.DUMMYFUNCTION("""COMPUTED_VALUE"""),"Presencial (máximo 20% EaD)")</f>
        <v>Presencial (máximo 20% EaD)</v>
      </c>
      <c r="I14" s="138" t="str">
        <f>IFERROR(__xludf.DUMMYFUNCTION("""COMPUTED_VALUE"""),"Julho")</f>
        <v>Julho</v>
      </c>
      <c r="J14" s="125" t="str">
        <f>IFERROR(__xludf.DUMMYFUNCTION("""COMPUTED_VALUE"""),"22 a 26")</f>
        <v>22 a 26</v>
      </c>
      <c r="K14" s="129">
        <f>IFERROR(__xludf.DUMMYFUNCTION("""COMPUTED_VALUE"""),45495.0)</f>
        <v>45495</v>
      </c>
      <c r="L14" s="195">
        <f>IFERROR(__xludf.DUMMYFUNCTION("""COMPUTED_VALUE"""),45499.0)</f>
        <v>45499</v>
      </c>
      <c r="M14" s="125" t="str">
        <f>IFERROR(__xludf.DUMMYFUNCTION("""COMPUTED_VALUE"""),"Curso básico de vigilância da hanseniase e prevençao de incapacidades")</f>
        <v>Curso básico de vigilância da hanseniase e prevençao de incapacidades</v>
      </c>
      <c r="N14" s="126">
        <f>IFERROR(__xludf.DUMMYFUNCTION("""COMPUTED_VALUE"""),15.0)</f>
        <v>15</v>
      </c>
      <c r="P14" s="385"/>
      <c r="Q14" s="385"/>
      <c r="R14" s="385"/>
      <c r="S14" s="385"/>
      <c r="T14" s="385"/>
      <c r="U14" s="385"/>
      <c r="V14" s="385"/>
      <c r="W14" s="210"/>
      <c r="X14" s="210"/>
      <c r="Y14" s="386"/>
      <c r="Z14" s="386"/>
    </row>
    <row r="15">
      <c r="A15" s="135" t="str">
        <f>IFERROR(__xludf.DUMMYFUNCTION("""COMPUTED_VALUE"""),"Epidemiologia em Serviço")</f>
        <v>Epidemiologia em Serviço</v>
      </c>
      <c r="B15" s="125" t="str">
        <f>IFERROR(__xludf.DUMMYFUNCTION("""COMPUTED_VALUE"""),"Vigilância epidemiológica da covid-19, Influenza e Outros Vírus Respiratórios (OVR)")</f>
        <v>Vigilância epidemiológica da covid-19, Influenza e Outros Vírus Respiratórios (OVR)</v>
      </c>
      <c r="C15" s="125" t="str">
        <f>IFERROR(__xludf.DUMMYFUNCTION("""COMPUTED_VALUE"""),"Básico (Até 79h)")</f>
        <v>Básico (Até 79h)</v>
      </c>
      <c r="D15" s="126">
        <f>IFERROR(__xludf.DUMMYFUNCTION("""COMPUTED_VALUE"""),40.0)</f>
        <v>40</v>
      </c>
      <c r="E15" s="126" t="str">
        <f>IFERROR(__xludf.DUMMYFUNCTION("""COMPUTED_VALUE"""),"Turma 1")</f>
        <v>Turma 1</v>
      </c>
      <c r="F15" s="125" t="str">
        <f>IFERROR(__xludf.DUMMYFUNCTION("""COMPUTED_VALUE"""),"Fortaleza")</f>
        <v>Fortaleza</v>
      </c>
      <c r="G15" s="135" t="str">
        <f>IFERROR(__xludf.DUMMYFUNCTION("""COMPUTED_VALUE"""),"SR Sertão Central/ SR Litoral Leste/Jaguaribe/ SR Cariri")</f>
        <v>SR Sertão Central/ SR Litoral Leste/Jaguaribe/ SR Cariri</v>
      </c>
      <c r="H15" s="125" t="str">
        <f>IFERROR(__xludf.DUMMYFUNCTION("""COMPUTED_VALUE"""),"Híbrido (Presencial/EaD)")</f>
        <v>Híbrido (Presencial/EaD)</v>
      </c>
      <c r="I15" s="138" t="str">
        <f>IFERROR(__xludf.DUMMYFUNCTION("""COMPUTED_VALUE"""),"Abril")</f>
        <v>Abril</v>
      </c>
      <c r="J15" s="125" t="str">
        <f>IFERROR(__xludf.DUMMYFUNCTION("""COMPUTED_VALUE"""),"22 a 26")</f>
        <v>22 a 26</v>
      </c>
      <c r="K15" s="129">
        <f>IFERROR(__xludf.DUMMYFUNCTION("""COMPUTED_VALUE"""),45404.0)</f>
        <v>45404</v>
      </c>
      <c r="L15" s="195">
        <f>IFERROR(__xludf.DUMMYFUNCTION("""COMPUTED_VALUE"""),45408.0)</f>
        <v>45408</v>
      </c>
      <c r="M15" s="125" t="str">
        <f>IFERROR(__xludf.DUMMYFUNCTION("""COMPUTED_VALUE"""),"Abertura do Curso de Vigilância Epidemiológica da Covid-19, Influenza e Outros Vírus Respiratórios")</f>
        <v>Abertura do Curso de Vigilância Epidemiológica da Covid-19, Influenza e Outros Vírus Respiratórios</v>
      </c>
      <c r="N15" s="126">
        <f>IFERROR(__xludf.DUMMYFUNCTION("""COMPUTED_VALUE"""),30.0)</f>
        <v>30</v>
      </c>
      <c r="P15" s="385"/>
      <c r="Q15" s="385"/>
      <c r="R15" s="385"/>
      <c r="S15" s="385"/>
      <c r="T15" s="385"/>
      <c r="U15" s="385"/>
      <c r="V15" s="385"/>
      <c r="W15" s="210"/>
      <c r="X15" s="210"/>
      <c r="Y15" s="386"/>
      <c r="Z15" s="386"/>
    </row>
    <row r="16">
      <c r="A16" s="135" t="str">
        <f>IFERROR(__xludf.DUMMYFUNCTION("""COMPUTED_VALUE"""),"Epidemiologia em Serviço")</f>
        <v>Epidemiologia em Serviço</v>
      </c>
      <c r="B16" s="125" t="str">
        <f>IFERROR(__xludf.DUMMYFUNCTION("""COMPUTED_VALUE"""),"Vigilância epidemiológica da covid-19, Influenza e Outros Vírus Respiratórios (OVR)")</f>
        <v>Vigilância epidemiológica da covid-19, Influenza e Outros Vírus Respiratórios (OVR)</v>
      </c>
      <c r="C16" s="125" t="str">
        <f>IFERROR(__xludf.DUMMYFUNCTION("""COMPUTED_VALUE"""),"Básico (Até 79h)")</f>
        <v>Básico (Até 79h)</v>
      </c>
      <c r="D16" s="126">
        <f>IFERROR(__xludf.DUMMYFUNCTION("""COMPUTED_VALUE"""),40.0)</f>
        <v>40</v>
      </c>
      <c r="E16" s="126" t="str">
        <f>IFERROR(__xludf.DUMMYFUNCTION("""COMPUTED_VALUE"""),"Turma 2")</f>
        <v>Turma 2</v>
      </c>
      <c r="F16" s="125" t="str">
        <f>IFERROR(__xludf.DUMMYFUNCTION("""COMPUTED_VALUE"""),"Sobral")</f>
        <v>Sobral</v>
      </c>
      <c r="G16" s="126" t="str">
        <f>IFERROR(__xludf.DUMMYFUNCTION("""COMPUTED_VALUE"""),"SR Norte")</f>
        <v>SR Norte</v>
      </c>
      <c r="H16" s="126" t="str">
        <f>IFERROR(__xludf.DUMMYFUNCTION("""COMPUTED_VALUE"""),"Híbrido (Presencial/EaD)")</f>
        <v>Híbrido (Presencial/EaD)</v>
      </c>
      <c r="I16" s="138" t="str">
        <f>IFERROR(__xludf.DUMMYFUNCTION("""COMPUTED_VALUE"""),"Maio")</f>
        <v>Maio</v>
      </c>
      <c r="J16" s="125" t="str">
        <f>IFERROR(__xludf.DUMMYFUNCTION("""COMPUTED_VALUE"""),"06 a 10")</f>
        <v>06 a 10</v>
      </c>
      <c r="K16" s="129">
        <f>IFERROR(__xludf.DUMMYFUNCTION("""COMPUTED_VALUE"""),45418.0)</f>
        <v>45418</v>
      </c>
      <c r="L16" s="129">
        <f>IFERROR(__xludf.DUMMYFUNCTION("""COMPUTED_VALUE"""),45422.0)</f>
        <v>45422</v>
      </c>
      <c r="M16" s="126" t="str">
        <f>IFERROR(__xludf.DUMMYFUNCTION("""COMPUTED_VALUE"""),"Vigilância epidemiológica da covid-19, Influenza e Outros Vírus Respiratórios (OVR)")</f>
        <v>Vigilância epidemiológica da covid-19, Influenza e Outros Vírus Respiratórios (OVR)</v>
      </c>
      <c r="N16" s="126">
        <f>IFERROR(__xludf.DUMMYFUNCTION("""COMPUTED_VALUE"""),30.0)</f>
        <v>30</v>
      </c>
      <c r="P16" s="385"/>
      <c r="Q16" s="385"/>
      <c r="R16" s="385"/>
      <c r="S16" s="385"/>
      <c r="T16" s="385"/>
      <c r="U16" s="385"/>
      <c r="V16" s="385"/>
      <c r="W16" s="210"/>
      <c r="X16" s="210"/>
      <c r="Y16" s="386"/>
      <c r="Z16" s="386"/>
    </row>
    <row r="17">
      <c r="A17" s="135" t="str">
        <f>IFERROR(__xludf.DUMMYFUNCTION("""COMPUTED_VALUE"""),"Epidemiologia em Serviço")</f>
        <v>Epidemiologia em Serviço</v>
      </c>
      <c r="B17" s="125" t="str">
        <f>IFERROR(__xludf.DUMMYFUNCTION("""COMPUTED_VALUE"""),"Curso Teórico-Prático de Vigilância das Meningites e Doenças Exantemáticas (Sarampo, Rubéola e Síndrome da Rubéola Congênita)")</f>
        <v>Curso Teórico-Prático de Vigilância das Meningites e Doenças Exantemáticas (Sarampo, Rubéola e Síndrome da Rubéola Congênita)</v>
      </c>
      <c r="C17" s="125" t="str">
        <f>IFERROR(__xludf.DUMMYFUNCTION("""COMPUTED_VALUE"""),"Básico (Até 79h)")</f>
        <v>Básico (Até 79h)</v>
      </c>
      <c r="D17" s="126">
        <f>IFERROR(__xludf.DUMMYFUNCTION("""COMPUTED_VALUE"""),40.0)</f>
        <v>40</v>
      </c>
      <c r="E17" s="126" t="str">
        <f>IFERROR(__xludf.DUMMYFUNCTION("""COMPUTED_VALUE"""),"Turma 1")</f>
        <v>Turma 1</v>
      </c>
      <c r="F17" s="125" t="str">
        <f>IFERROR(__xludf.DUMMYFUNCTION("""COMPUTED_VALUE"""),"Fortaleza")</f>
        <v>Fortaleza</v>
      </c>
      <c r="G17" s="126" t="str">
        <f>IFERROR(__xludf.DUMMYFUNCTION("""COMPUTED_VALUE"""),"SR Sertão Central/ SR Litoral Leste/Jaguaribe/ SR Norte")</f>
        <v>SR Sertão Central/ SR Litoral Leste/Jaguaribe/ SR Norte</v>
      </c>
      <c r="H17" s="126" t="str">
        <f>IFERROR(__xludf.DUMMYFUNCTION("""COMPUTED_VALUE"""),"Presencial (máximo 20% EaD)")</f>
        <v>Presencial (máximo 20% EaD)</v>
      </c>
      <c r="I17" s="138" t="str">
        <f>IFERROR(__xludf.DUMMYFUNCTION("""COMPUTED_VALUE"""),"Junho")</f>
        <v>Junho</v>
      </c>
      <c r="J17" s="154" t="str">
        <f>IFERROR(__xludf.DUMMYFUNCTION("""COMPUTED_VALUE"""),"24 a 28")</f>
        <v>24 a 28</v>
      </c>
      <c r="K17" s="129">
        <f>IFERROR(__xludf.DUMMYFUNCTION("""COMPUTED_VALUE"""),45467.0)</f>
        <v>45467</v>
      </c>
      <c r="L17" s="129">
        <f>IFERROR(__xludf.DUMMYFUNCTION("""COMPUTED_VALUE"""),45471.0)</f>
        <v>45471</v>
      </c>
      <c r="M17" s="126" t="str">
        <f>IFERROR(__xludf.DUMMYFUNCTION("""COMPUTED_VALUE"""),"Curso Teórico-Prático de Vigilância das Meningites e Doenças Exantemáticas (Sarampo, Rubéola e Síndrome da Rubéola Congênita)")</f>
        <v>Curso Teórico-Prático de Vigilância das Meningites e Doenças Exantemáticas (Sarampo, Rubéola e Síndrome da Rubéola Congênita)</v>
      </c>
      <c r="N17" s="126">
        <f>IFERROR(__xludf.DUMMYFUNCTION("""COMPUTED_VALUE"""),30.0)</f>
        <v>30</v>
      </c>
      <c r="P17" s="385"/>
      <c r="Q17" s="385"/>
      <c r="R17" s="385"/>
      <c r="S17" s="385"/>
      <c r="T17" s="385"/>
      <c r="U17" s="385"/>
      <c r="V17" s="385"/>
      <c r="W17" s="124"/>
      <c r="X17" s="124"/>
      <c r="Y17" s="386"/>
      <c r="Z17" s="386"/>
    </row>
    <row r="18">
      <c r="A18" s="135" t="str">
        <f>IFERROR(__xludf.DUMMYFUNCTION("""COMPUTED_VALUE"""),"Epidemiologia em Serviço")</f>
        <v>Epidemiologia em Serviço</v>
      </c>
      <c r="B18" s="125" t="str">
        <f>IFERROR(__xludf.DUMMYFUNCTION("""COMPUTED_VALUE"""),"Curso de Vigilância do Óbito Materno, Infantil e Fetal e Óbitos com Causa Básica Mal Definida")</f>
        <v>Curso de Vigilância do Óbito Materno, Infantil e Fetal e Óbitos com Causa Básica Mal Definida</v>
      </c>
      <c r="C18" s="125" t="str">
        <f>IFERROR(__xludf.DUMMYFUNCTION("""COMPUTED_VALUE"""),"Básico (Até 79h)")</f>
        <v>Básico (Até 79h)</v>
      </c>
      <c r="D18" s="126">
        <f>IFERROR(__xludf.DUMMYFUNCTION("""COMPUTED_VALUE"""),40.0)</f>
        <v>40</v>
      </c>
      <c r="E18" s="126" t="str">
        <f>IFERROR(__xludf.DUMMYFUNCTION("""COMPUTED_VALUE"""),"Turma 1")</f>
        <v>Turma 1</v>
      </c>
      <c r="F18" s="125" t="str">
        <f>IFERROR(__xludf.DUMMYFUNCTION("""COMPUTED_VALUE"""),"Fortaleza")</f>
        <v>Fortaleza</v>
      </c>
      <c r="G18" s="158" t="str">
        <f>IFERROR(__xludf.DUMMYFUNCTION("""COMPUTED_VALUE"""),"SR Norte / SR Fortaleza")</f>
        <v>SR Norte / SR Fortaleza</v>
      </c>
      <c r="H18" s="126" t="str">
        <f>IFERROR(__xludf.DUMMYFUNCTION("""COMPUTED_VALUE"""),"Presencial (máximo 20% EaD)")</f>
        <v>Presencial (máximo 20% EaD)</v>
      </c>
      <c r="I18" s="138" t="str">
        <f>IFERROR(__xludf.DUMMYFUNCTION("""COMPUTED_VALUE"""),"Junho")</f>
        <v>Junho</v>
      </c>
      <c r="J18" s="125" t="str">
        <f>IFERROR(__xludf.DUMMYFUNCTION("""COMPUTED_VALUE"""),"03 a 11")</f>
        <v>03 a 11</v>
      </c>
      <c r="K18" s="129">
        <f>IFERROR(__xludf.DUMMYFUNCTION("""COMPUTED_VALUE"""),45446.0)</f>
        <v>45446</v>
      </c>
      <c r="L18" s="129">
        <f>IFERROR(__xludf.DUMMYFUNCTION("""COMPUTED_VALUE"""),45450.0)</f>
        <v>45450</v>
      </c>
      <c r="M18" s="126" t="str">
        <f>IFERROR(__xludf.DUMMYFUNCTION("""COMPUTED_VALUE"""),"Curso de Vigilância do Óbito Materno, Infantil e Fetal e Óbitos com Causa Básica Mal Definida")</f>
        <v>Curso de Vigilância do Óbito Materno, Infantil e Fetal e Óbitos com Causa Básica Mal Definida</v>
      </c>
      <c r="N18" s="126">
        <f>IFERROR(__xludf.DUMMYFUNCTION("""COMPUTED_VALUE"""),30.0)</f>
        <v>30</v>
      </c>
      <c r="P18" s="385"/>
      <c r="Q18" s="385"/>
      <c r="R18" s="385"/>
      <c r="S18" s="385"/>
      <c r="T18" s="385"/>
      <c r="U18" s="385"/>
      <c r="V18" s="385"/>
      <c r="W18" s="210"/>
      <c r="X18" s="210"/>
      <c r="Y18" s="386"/>
      <c r="Z18" s="386"/>
    </row>
    <row r="19">
      <c r="A19" s="135" t="str">
        <f>IFERROR(__xludf.DUMMYFUNCTION("""COMPUTED_VALUE"""),"Epidemiologia em Serviço")</f>
        <v>Epidemiologia em Serviço</v>
      </c>
      <c r="B19" s="124" t="str">
        <f>IFERROR(__xludf.DUMMYFUNCTION("""COMPUTED_VALUE"""),"Curso Básico de Vigilância de Causas Externas (violências e acidentes)")</f>
        <v>Curso Básico de Vigilância de Causas Externas (violências e acidentes)</v>
      </c>
      <c r="C19" s="125" t="str">
        <f>IFERROR(__xludf.DUMMYFUNCTION("""COMPUTED_VALUE"""),"Básico (Até 79h)")</f>
        <v>Básico (Até 79h)</v>
      </c>
      <c r="D19" s="126">
        <f>IFERROR(__xludf.DUMMYFUNCTION("""COMPUTED_VALUE"""),40.0)</f>
        <v>40</v>
      </c>
      <c r="E19" s="126" t="str">
        <f>IFERROR(__xludf.DUMMYFUNCTION("""COMPUTED_VALUE"""),"Turma 1")</f>
        <v>Turma 1</v>
      </c>
      <c r="F19" s="125" t="str">
        <f>IFERROR(__xludf.DUMMYFUNCTION("""COMPUTED_VALUE"""),"Juazeiro do Norte")</f>
        <v>Juazeiro do Norte</v>
      </c>
      <c r="G19" s="125" t="str">
        <f>IFERROR(__xludf.DUMMYFUNCTION("""COMPUTED_VALUE"""),"SR Sul/Cariri")</f>
        <v>SR Sul/Cariri</v>
      </c>
      <c r="H19" s="126" t="str">
        <f>IFERROR(__xludf.DUMMYFUNCTION("""COMPUTED_VALUE"""),"Híbrido (Presencial/EaD)")</f>
        <v>Híbrido (Presencial/EaD)</v>
      </c>
      <c r="I19" s="125" t="str">
        <f>IFERROR(__xludf.DUMMYFUNCTION("""COMPUTED_VALUE"""),"Abril")</f>
        <v>Abril</v>
      </c>
      <c r="J19" s="125" t="str">
        <f>IFERROR(__xludf.DUMMYFUNCTION("""COMPUTED_VALUE"""),"08 a 12")</f>
        <v>08 a 12</v>
      </c>
      <c r="K19" s="129">
        <f>IFERROR(__xludf.DUMMYFUNCTION("""COMPUTED_VALUE"""),45390.0)</f>
        <v>45390</v>
      </c>
      <c r="L19" s="195">
        <f>IFERROR(__xludf.DUMMYFUNCTION("""COMPUTED_VALUE"""),45394.0)</f>
        <v>45394</v>
      </c>
      <c r="M19" s="125" t="str">
        <f>IFERROR(__xludf.DUMMYFUNCTION("""COMPUTED_VALUE"""),"Curso Básico de Vigilância de Causas Externas (violências e acidentes)")</f>
        <v>Curso Básico de Vigilância de Causas Externas (violências e acidentes)</v>
      </c>
      <c r="N19" s="126">
        <f>IFERROR(__xludf.DUMMYFUNCTION("""COMPUTED_VALUE"""),30.0)</f>
        <v>30</v>
      </c>
      <c r="P19" s="385"/>
      <c r="Q19" s="385"/>
      <c r="R19" s="385"/>
      <c r="S19" s="385"/>
      <c r="T19" s="385"/>
      <c r="U19" s="385"/>
      <c r="V19" s="385"/>
      <c r="W19" s="124"/>
      <c r="X19" s="124"/>
      <c r="Y19" s="386"/>
      <c r="Z19" s="386"/>
    </row>
    <row r="20">
      <c r="A20" s="135" t="str">
        <f>IFERROR(__xludf.DUMMYFUNCTION("""COMPUTED_VALUE"""),"Epidemiologia em Serviço")</f>
        <v>Epidemiologia em Serviço</v>
      </c>
      <c r="B20" s="135" t="str">
        <f>IFERROR(__xludf.DUMMYFUNCTION("""COMPUTED_VALUE"""),"Curso Básico para Registrador de Câncer (RHC)")</f>
        <v>Curso Básico para Registrador de Câncer (RHC)</v>
      </c>
      <c r="C20" s="125" t="str">
        <f>IFERROR(__xludf.DUMMYFUNCTION("""COMPUTED_VALUE"""),"Básico (Até 79h)")</f>
        <v>Básico (Até 79h)</v>
      </c>
      <c r="D20" s="126">
        <f>IFERROR(__xludf.DUMMYFUNCTION("""COMPUTED_VALUE"""),40.0)</f>
        <v>40</v>
      </c>
      <c r="E20" s="126" t="str">
        <f>IFERROR(__xludf.DUMMYFUNCTION("""COMPUTED_VALUE"""),"Turma 1")</f>
        <v>Turma 1</v>
      </c>
      <c r="F20" s="125" t="str">
        <f>IFERROR(__xludf.DUMMYFUNCTION("""COMPUTED_VALUE"""),"Fortaleza")</f>
        <v>Fortaleza</v>
      </c>
      <c r="G20" s="125" t="str">
        <f>IFERROR(__xludf.DUMMYFUNCTION("""COMPUTED_VALUE"""),"Superintendências Regionais de Saúde: Fortaleza, Cariri e Norte")</f>
        <v>Superintendências Regionais de Saúde: Fortaleza, Cariri e Norte</v>
      </c>
      <c r="H20" s="125" t="str">
        <f>IFERROR(__xludf.DUMMYFUNCTION("""COMPUTED_VALUE"""),"Presencial (máximo 20% EaD)")</f>
        <v>Presencial (máximo 20% EaD)</v>
      </c>
      <c r="I20" s="138" t="str">
        <f>IFERROR(__xludf.DUMMYFUNCTION("""COMPUTED_VALUE"""),"Outubro")</f>
        <v>Outubro</v>
      </c>
      <c r="J20" s="125" t="str">
        <f>IFERROR(__xludf.DUMMYFUNCTION("""COMPUTED_VALUE"""),"14 a 18")</f>
        <v>14 a 18</v>
      </c>
      <c r="K20" s="129">
        <f>IFERROR(__xludf.DUMMYFUNCTION("""COMPUTED_VALUE"""),45523.0)</f>
        <v>45523</v>
      </c>
      <c r="L20" s="129">
        <f>IFERROR(__xludf.DUMMYFUNCTION("""COMPUTED_VALUE"""),45527.0)</f>
        <v>45527</v>
      </c>
      <c r="M20" s="126" t="str">
        <f>IFERROR(__xludf.DUMMYFUNCTION("""COMPUTED_VALUE"""),"Curso Básico para Registrador de Câncer (RHC)")</f>
        <v>Curso Básico para Registrador de Câncer (RHC)</v>
      </c>
      <c r="N20" s="126">
        <f>IFERROR(__xludf.DUMMYFUNCTION("""COMPUTED_VALUE"""),30.0)</f>
        <v>30</v>
      </c>
      <c r="O20" s="385"/>
      <c r="P20" s="385"/>
      <c r="Q20" s="385"/>
      <c r="R20" s="385"/>
      <c r="S20" s="385"/>
      <c r="T20" s="385"/>
      <c r="U20" s="385"/>
      <c r="V20" s="385"/>
      <c r="W20" s="124"/>
      <c r="X20" s="124"/>
      <c r="Y20" s="386"/>
      <c r="Z20" s="386"/>
    </row>
    <row r="21">
      <c r="A21" s="387" t="str">
        <f>IFERROR(__xludf.DUMMYFUNCTION("""COMPUTED_VALUE"""),"IST/HIV/AIDS e Hepatites Virais")</f>
        <v>IST/HIV/AIDS e Hepatites Virais</v>
      </c>
      <c r="B21" s="124" t="str">
        <f>IFERROR(__xludf.DUMMYFUNCTION("""COMPUTED_VALUE"""),"Curso Básico de Vigilância das IST/HIV/AIDS, Sífilis e Hepatites Virais")</f>
        <v>Curso Básico de Vigilância das IST/HIV/AIDS, Sífilis e Hepatites Virais</v>
      </c>
      <c r="C21" s="125" t="str">
        <f>IFERROR(__xludf.DUMMYFUNCTION("""COMPUTED_VALUE"""),"Básico (Até 79h)")</f>
        <v>Básico (Até 79h)</v>
      </c>
      <c r="D21" s="126">
        <f>IFERROR(__xludf.DUMMYFUNCTION("""COMPUTED_VALUE"""),40.0)</f>
        <v>40</v>
      </c>
      <c r="E21" s="126" t="str">
        <f>IFERROR(__xludf.DUMMYFUNCTION("""COMPUTED_VALUE"""),"Turma 1")</f>
        <v>Turma 1</v>
      </c>
      <c r="F21" s="125" t="str">
        <f>IFERROR(__xludf.DUMMYFUNCTION("""COMPUTED_VALUE"""),"Juazeiro do Norte")</f>
        <v>Juazeiro do Norte</v>
      </c>
      <c r="G21" s="124" t="str">
        <f>IFERROR(__xludf.DUMMYFUNCTION("""COMPUTED_VALUE"""),"SR Cariri")</f>
        <v>SR Cariri</v>
      </c>
      <c r="H21" s="126" t="str">
        <f>IFERROR(__xludf.DUMMYFUNCTION("""COMPUTED_VALUE"""),"Presencial (máximo 20% EaD)")</f>
        <v>Presencial (máximo 20% EaD)</v>
      </c>
      <c r="I21" s="125" t="str">
        <f>IFERROR(__xludf.DUMMYFUNCTION("""COMPUTED_VALUE"""),"Maio")</f>
        <v>Maio</v>
      </c>
      <c r="J21" s="125" t="str">
        <f>IFERROR(__xludf.DUMMYFUNCTION("""COMPUTED_VALUE"""),"20 a 24")</f>
        <v>20 a 24</v>
      </c>
      <c r="K21" s="129">
        <f>IFERROR(__xludf.DUMMYFUNCTION("""COMPUTED_VALUE"""),45432.0)</f>
        <v>45432</v>
      </c>
      <c r="L21" s="195">
        <f>IFERROR(__xludf.DUMMYFUNCTION("""COMPUTED_VALUE"""),45436.0)</f>
        <v>45436</v>
      </c>
      <c r="M21" s="125" t="str">
        <f>IFERROR(__xludf.DUMMYFUNCTION("""COMPUTED_VALUE"""),"Curso Básico de Vigilância das IST/HIV/AIDS, Sífilis e Hepatites Virais")</f>
        <v>Curso Básico de Vigilância das IST/HIV/AIDS, Sífilis e Hepatites Virais</v>
      </c>
      <c r="N21" s="126">
        <f>IFERROR(__xludf.DUMMYFUNCTION("""COMPUTED_VALUE"""),30.0)</f>
        <v>30</v>
      </c>
      <c r="P21" s="385"/>
      <c r="Q21" s="385"/>
      <c r="R21" s="385"/>
      <c r="S21" s="385"/>
      <c r="T21" s="385"/>
      <c r="U21" s="385"/>
      <c r="V21" s="385"/>
      <c r="W21" s="124"/>
      <c r="X21" s="124"/>
      <c r="Y21" s="386"/>
      <c r="Z21" s="386"/>
    </row>
    <row r="22" ht="36.0" customHeight="1">
      <c r="A22" s="387" t="str">
        <f>IFERROR(__xludf.DUMMYFUNCTION("""COMPUTED_VALUE"""),"IST/HIV/AIDS e Hepatites Virais")</f>
        <v>IST/HIV/AIDS e Hepatites Virais</v>
      </c>
      <c r="B22" s="125" t="str">
        <f>IFERROR(__xludf.DUMMYFUNCTION("""COMPUTED_VALUE"""),"Curso Básico de Vigilância das IST/HIV/AIDS, Sífilis e Hepatites Virais")</f>
        <v>Curso Básico de Vigilância das IST/HIV/AIDS, Sífilis e Hepatites Virais</v>
      </c>
      <c r="C22" s="125" t="str">
        <f>IFERROR(__xludf.DUMMYFUNCTION("""COMPUTED_VALUE"""),"Básico (Até 79h)")</f>
        <v>Básico (Até 79h)</v>
      </c>
      <c r="D22" s="126">
        <f>IFERROR(__xludf.DUMMYFUNCTION("""COMPUTED_VALUE"""),40.0)</f>
        <v>40</v>
      </c>
      <c r="E22" s="126" t="str">
        <f>IFERROR(__xludf.DUMMYFUNCTION("""COMPUTED_VALUE"""),"Turma 2")</f>
        <v>Turma 2</v>
      </c>
      <c r="F22" s="125" t="str">
        <f>IFERROR(__xludf.DUMMYFUNCTION("""COMPUTED_VALUE"""),"Quixadá")</f>
        <v>Quixadá</v>
      </c>
      <c r="G22" s="126" t="str">
        <f>IFERROR(__xludf.DUMMYFUNCTION("""COMPUTED_VALUE"""),"SRCEN")</f>
        <v>SRCEN</v>
      </c>
      <c r="H22" s="126" t="str">
        <f>IFERROR(__xludf.DUMMYFUNCTION("""COMPUTED_VALUE"""),"Presencial (máximo 20% EaD)")</f>
        <v>Presencial (máximo 20% EaD)</v>
      </c>
      <c r="I22" s="138" t="str">
        <f>IFERROR(__xludf.DUMMYFUNCTION("""COMPUTED_VALUE"""),"Julho/Agosto")</f>
        <v>Julho/Agosto</v>
      </c>
      <c r="J22" s="125" t="str">
        <f>IFERROR(__xludf.DUMMYFUNCTION("""COMPUTED_VALUE"""),"29 a 02")</f>
        <v>29 a 02</v>
      </c>
      <c r="K22" s="129">
        <f>IFERROR(__xludf.DUMMYFUNCTION("""COMPUTED_VALUE"""),45502.0)</f>
        <v>45502</v>
      </c>
      <c r="L22" s="195">
        <f>IFERROR(__xludf.DUMMYFUNCTION("""COMPUTED_VALUE"""),45506.0)</f>
        <v>45506</v>
      </c>
      <c r="M22" s="125" t="str">
        <f>IFERROR(__xludf.DUMMYFUNCTION("""COMPUTED_VALUE"""),"Curso Básico de Vigilância das IST/HIV/AIDS, Sífilis e Hepatites Virais")</f>
        <v>Curso Básico de Vigilância das IST/HIV/AIDS, Sífilis e Hepatites Virais</v>
      </c>
      <c r="N22" s="126">
        <f>IFERROR(__xludf.DUMMYFUNCTION("""COMPUTED_VALUE"""),30.0)</f>
        <v>30</v>
      </c>
      <c r="O22" s="385"/>
      <c r="P22" s="385"/>
      <c r="Q22" s="385"/>
      <c r="R22" s="385"/>
      <c r="S22" s="385"/>
      <c r="T22" s="385"/>
      <c r="U22" s="385"/>
      <c r="V22" s="385"/>
      <c r="W22" s="124"/>
      <c r="X22" s="124"/>
      <c r="Y22" s="386"/>
      <c r="Z22" s="386"/>
    </row>
    <row r="23" ht="36.0" customHeight="1">
      <c r="A23" s="387" t="str">
        <f>IFERROR(__xludf.DUMMYFUNCTION("""COMPUTED_VALUE"""),"Vigilância e Controle das  Endemias")</f>
        <v>Vigilância e Controle das  Endemias</v>
      </c>
      <c r="B23" s="124" t="str">
        <f>IFERROR(__xludf.DUMMYFUNCTION("""COMPUTED_VALUE"""),"Diagnóstico laboratorial da esquistossomose mansoni e Geo helmintos")</f>
        <v>Diagnóstico laboratorial da esquistossomose mansoni e Geo helmintos</v>
      </c>
      <c r="C23" s="125" t="str">
        <f>IFERROR(__xludf.DUMMYFUNCTION("""COMPUTED_VALUE"""),"Básico (Até 79h)")</f>
        <v>Básico (Até 79h)</v>
      </c>
      <c r="D23" s="126">
        <f>IFERROR(__xludf.DUMMYFUNCTION("""COMPUTED_VALUE"""),40.0)</f>
        <v>40</v>
      </c>
      <c r="E23" s="126" t="str">
        <f>IFERROR(__xludf.DUMMYFUNCTION("""COMPUTED_VALUE"""),"Turma 1")</f>
        <v>Turma 1</v>
      </c>
      <c r="F23" s="125" t="str">
        <f>IFERROR(__xludf.DUMMYFUNCTION("""COMPUTED_VALUE"""),"Fortaleza")</f>
        <v>Fortaleza</v>
      </c>
      <c r="G23" s="125" t="str">
        <f>IFERROR(__xludf.DUMMYFUNCTION("""COMPUTED_VALUE"""),"ADS (Baturité, Maracanaú, Baturité, Itapipoca, Quixadá, Camocim e Tianguá) LACEN Juazeiro do Norte e LACEN Crato [5]")</f>
        <v>ADS (Baturité, Maracanaú, Baturité, Itapipoca, Quixadá, Camocim e Tianguá) LACEN Juazeiro do Norte e LACEN Crato [5]</v>
      </c>
      <c r="H23" s="125" t="str">
        <f>IFERROR(__xludf.DUMMYFUNCTION("""COMPUTED_VALUE"""),"Presencial (máximo 20% EaD)")</f>
        <v>Presencial (máximo 20% EaD)</v>
      </c>
      <c r="I23" s="138" t="str">
        <f>IFERROR(__xludf.DUMMYFUNCTION("""COMPUTED_VALUE"""),"Maio")</f>
        <v>Maio</v>
      </c>
      <c r="J23" s="125" t="str">
        <f>IFERROR(__xludf.DUMMYFUNCTION("""COMPUTED_VALUE"""),"20 a 24")</f>
        <v>20 a 24</v>
      </c>
      <c r="K23" s="129">
        <f>IFERROR(__xludf.DUMMYFUNCTION("""COMPUTED_VALUE"""),45432.0)</f>
        <v>45432</v>
      </c>
      <c r="L23" s="195">
        <f>IFERROR(__xludf.DUMMYFUNCTION("""COMPUTED_VALUE"""),45436.0)</f>
        <v>45436</v>
      </c>
      <c r="M23" s="125" t="str">
        <f>IFERROR(__xludf.DUMMYFUNCTION("""COMPUTED_VALUE"""),"Diagnóstico laboratorial da esquistossomose mansoni e Geo helmintos")</f>
        <v>Diagnóstico laboratorial da esquistossomose mansoni e Geo helmintos</v>
      </c>
      <c r="N23" s="126">
        <f>IFERROR(__xludf.DUMMYFUNCTION("""COMPUTED_VALUE"""),15.0)</f>
        <v>15</v>
      </c>
      <c r="P23" s="385"/>
      <c r="Q23" s="385"/>
      <c r="R23" s="385"/>
      <c r="S23" s="385"/>
      <c r="T23" s="385"/>
      <c r="U23" s="385"/>
      <c r="V23" s="385"/>
      <c r="W23" s="124"/>
      <c r="X23" s="124"/>
      <c r="Y23" s="386"/>
      <c r="Z23" s="386"/>
    </row>
    <row r="24" ht="36.0" customHeight="1">
      <c r="A24" s="387" t="str">
        <f>IFERROR(__xludf.DUMMYFUNCTION("""COMPUTED_VALUE"""),"Vigilância e Controle das  Endemias")</f>
        <v>Vigilância e Controle das  Endemias</v>
      </c>
      <c r="B24" s="124" t="str">
        <f>IFERROR(__xludf.DUMMYFUNCTION("""COMPUTED_VALUE"""),"Curso Básico de Controle Químico Residual para vetores da Doença de Chagas e Leishmaniose")</f>
        <v>Curso Básico de Controle Químico Residual para vetores da Doença de Chagas e Leishmaniose</v>
      </c>
      <c r="C24" s="125" t="str">
        <f>IFERROR(__xludf.DUMMYFUNCTION("""COMPUTED_VALUE"""),"Básico (Até 79h)")</f>
        <v>Básico (Até 79h)</v>
      </c>
      <c r="D24" s="126">
        <f>IFERROR(__xludf.DUMMYFUNCTION("""COMPUTED_VALUE"""),40.0)</f>
        <v>40</v>
      </c>
      <c r="E24" s="126" t="str">
        <f>IFERROR(__xludf.DUMMYFUNCTION("""COMPUTED_VALUE"""),"Turma 1")</f>
        <v>Turma 1</v>
      </c>
      <c r="F24" s="125" t="str">
        <f>IFERROR(__xludf.DUMMYFUNCTION("""COMPUTED_VALUE"""),"Crato")</f>
        <v>Crato</v>
      </c>
      <c r="G24" s="125" t="str">
        <f>IFERROR(__xludf.DUMMYFUNCTION("""COMPUTED_VALUE"""),"SR Cariri (municípios prioritários) ")</f>
        <v>SR Cariri (municípios prioritários) </v>
      </c>
      <c r="H24" s="126" t="str">
        <f>IFERROR(__xludf.DUMMYFUNCTION("""COMPUTED_VALUE"""),"Presencial (máximo 20% EaD)")</f>
        <v>Presencial (máximo 20% EaD)</v>
      </c>
      <c r="I24" s="138" t="str">
        <f>IFERROR(__xludf.DUMMYFUNCTION("""COMPUTED_VALUE"""),"Outubro")</f>
        <v>Outubro</v>
      </c>
      <c r="J24" s="125" t="str">
        <f>IFERROR(__xludf.DUMMYFUNCTION("""COMPUTED_VALUE"""),"21 a 25")</f>
        <v>21 a 25</v>
      </c>
      <c r="K24" s="126"/>
      <c r="L24" s="125"/>
      <c r="M24" s="138"/>
      <c r="N24" s="126">
        <f>IFERROR(__xludf.DUMMYFUNCTION("""COMPUTED_VALUE"""),20.0)</f>
        <v>20</v>
      </c>
      <c r="P24" s="385"/>
      <c r="Q24" s="385"/>
      <c r="R24" s="385"/>
      <c r="S24" s="385"/>
      <c r="T24" s="385"/>
      <c r="U24" s="385"/>
      <c r="V24" s="385"/>
      <c r="W24" s="124"/>
      <c r="X24" s="124"/>
      <c r="Y24" s="386"/>
      <c r="Z24" s="386"/>
    </row>
    <row r="25" ht="45.0" customHeight="1">
      <c r="A25" s="387" t="str">
        <f>IFERROR(__xludf.DUMMYFUNCTION("""COMPUTED_VALUE"""),"Vigilância e Controle das  Endemias")</f>
        <v>Vigilância e Controle das  Endemias</v>
      </c>
      <c r="B25" s="124" t="str">
        <f>IFERROR(__xludf.DUMMYFUNCTION("""COMPUTED_VALUE"""),"Curso Básico de Controle Químico Residual para vetores da Doença de Chagas e Leishmaniose")</f>
        <v>Curso Básico de Controle Químico Residual para vetores da Doença de Chagas e Leishmaniose</v>
      </c>
      <c r="C25" s="125" t="str">
        <f>IFERROR(__xludf.DUMMYFUNCTION("""COMPUTED_VALUE"""),"Básico (Até 79h)")</f>
        <v>Básico (Até 79h)</v>
      </c>
      <c r="D25" s="126">
        <f>IFERROR(__xludf.DUMMYFUNCTION("""COMPUTED_VALUE"""),40.0)</f>
        <v>40</v>
      </c>
      <c r="E25" s="126" t="str">
        <f>IFERROR(__xludf.DUMMYFUNCTION("""COMPUTED_VALUE"""),"Turma 2")</f>
        <v>Turma 2</v>
      </c>
      <c r="F25" s="125" t="str">
        <f>IFERROR(__xludf.DUMMYFUNCTION("""COMPUTED_VALUE"""),"Sobral")</f>
        <v>Sobral</v>
      </c>
      <c r="G25" s="124" t="str">
        <f>IFERROR(__xludf.DUMMYFUNCTION("""COMPUTED_VALUE"""),"SR Norte (municípios prioritários) ")</f>
        <v>SR Norte (municípios prioritários) </v>
      </c>
      <c r="H25" s="126" t="str">
        <f>IFERROR(__xludf.DUMMYFUNCTION("""COMPUTED_VALUE"""),"Presencial (máximo 20% EaD)")</f>
        <v>Presencial (máximo 20% EaD)</v>
      </c>
      <c r="I25" s="138" t="str">
        <f>IFERROR(__xludf.DUMMYFUNCTION("""COMPUTED_VALUE"""),"Novembro")</f>
        <v>Novembro</v>
      </c>
      <c r="J25" s="125" t="str">
        <f>IFERROR(__xludf.DUMMYFUNCTION("""COMPUTED_VALUE"""),"25 a 29")</f>
        <v>25 a 29</v>
      </c>
      <c r="K25" s="161">
        <f>IFERROR(__xludf.DUMMYFUNCTION("""COMPUTED_VALUE"""),45579.0)</f>
        <v>45579</v>
      </c>
      <c r="L25" s="189">
        <f>IFERROR(__xludf.DUMMYFUNCTION("""COMPUTED_VALUE"""),45604.0)</f>
        <v>45604</v>
      </c>
      <c r="M25" s="125" t="str">
        <f>IFERROR(__xludf.DUMMYFUNCTION("""COMPUTED_VALUE"""),"Curso de Identificação de Triatomíneos e Parasitologia da doença de Chagas")</f>
        <v>Curso de Identificação de Triatomíneos e Parasitologia da doença de Chagas</v>
      </c>
      <c r="N25" s="126">
        <f>IFERROR(__xludf.DUMMYFUNCTION("""COMPUTED_VALUE"""),25.0)</f>
        <v>25</v>
      </c>
      <c r="P25" s="385"/>
      <c r="Q25" s="385"/>
      <c r="R25" s="385"/>
      <c r="S25" s="385"/>
      <c r="T25" s="385"/>
      <c r="U25" s="385"/>
      <c r="V25" s="385"/>
      <c r="W25" s="124"/>
      <c r="X25" s="124"/>
      <c r="Y25" s="386"/>
      <c r="Z25" s="386"/>
    </row>
    <row r="26" ht="36.0" customHeight="1">
      <c r="A26" s="387" t="str">
        <f>IFERROR(__xludf.DUMMYFUNCTION("""COMPUTED_VALUE"""),"Vigilância e Controle das  Endemias")</f>
        <v>Vigilância e Controle das  Endemias</v>
      </c>
      <c r="B26" s="125" t="str">
        <f>IFERROR(__xludf.DUMMYFUNCTION("""COMPUTED_VALUE"""),"Curso de Vigilância e Controle da Doença de Chagas")</f>
        <v>Curso de Vigilância e Controle da Doença de Chagas</v>
      </c>
      <c r="C26" s="125" t="str">
        <f>IFERROR(__xludf.DUMMYFUNCTION("""COMPUTED_VALUE"""),"Básico (Até 79h)")</f>
        <v>Básico (Até 79h)</v>
      </c>
      <c r="D26" s="126">
        <f>IFERROR(__xludf.DUMMYFUNCTION("""COMPUTED_VALUE"""),40.0)</f>
        <v>40</v>
      </c>
      <c r="E26" s="126" t="str">
        <f>IFERROR(__xludf.DUMMYFUNCTION("""COMPUTED_VALUE"""),"Turma 1")</f>
        <v>Turma 1</v>
      </c>
      <c r="F26" s="125" t="str">
        <f>IFERROR(__xludf.DUMMYFUNCTION("""COMPUTED_VALUE"""),"Fortaleza")</f>
        <v>Fortaleza</v>
      </c>
      <c r="G26" s="125" t="str">
        <f>IFERROR(__xludf.DUMMYFUNCTION("""COMPUTED_VALUE"""),"Todas as SR, ADS e municípios")</f>
        <v>Todas as SR, ADS e municípios</v>
      </c>
      <c r="H26" s="125" t="str">
        <f>IFERROR(__xludf.DUMMYFUNCTION("""COMPUTED_VALUE"""),"EaD (máximo 20% presencial)")</f>
        <v>EaD (máximo 20% presencial)</v>
      </c>
      <c r="I26" s="138" t="str">
        <f>IFERROR(__xludf.DUMMYFUNCTION("""COMPUTED_VALUE"""),"Junho")</f>
        <v>Junho</v>
      </c>
      <c r="J26" s="125" t="str">
        <f>IFERROR(__xludf.DUMMYFUNCTION("""COMPUTED_VALUE"""),"05, 06, 12, 13, 19, 20")</f>
        <v>05, 06, 12, 13, 19, 20</v>
      </c>
      <c r="K26" s="129">
        <f>IFERROR(__xludf.DUMMYFUNCTION("""COMPUTED_VALUE"""),45448.0)</f>
        <v>45448</v>
      </c>
      <c r="L26" s="195">
        <f>IFERROR(__xludf.DUMMYFUNCTION("""COMPUTED_VALUE"""),45463.0)</f>
        <v>45463</v>
      </c>
      <c r="M26" s="125" t="str">
        <f>IFERROR(__xludf.DUMMYFUNCTION("""COMPUTED_VALUE"""),"Curso de Vigilância e Controle da Doença de Chagas")</f>
        <v>Curso de Vigilância e Controle da Doença de Chagas</v>
      </c>
      <c r="N26" s="126">
        <f>IFERROR(__xludf.DUMMYFUNCTION("""COMPUTED_VALUE"""),20.0)</f>
        <v>20</v>
      </c>
      <c r="P26" s="385"/>
      <c r="Q26" s="385"/>
      <c r="R26" s="385"/>
      <c r="S26" s="385"/>
      <c r="T26" s="385"/>
      <c r="U26" s="385"/>
      <c r="V26" s="385"/>
      <c r="W26" s="124"/>
      <c r="X26" s="124"/>
      <c r="Y26" s="386"/>
      <c r="Z26" s="386"/>
    </row>
    <row r="27">
      <c r="A27" s="387" t="str">
        <f>IFERROR(__xludf.DUMMYFUNCTION("""COMPUTED_VALUE"""),"Vigilância e Controle das  Endemias")</f>
        <v>Vigilância e Controle das  Endemias</v>
      </c>
      <c r="B27" s="124" t="str">
        <f>IFERROR(__xludf.DUMMYFUNCTION("""COMPUTED_VALUE"""),"Curso Básico de Vigilância e Controle da Raiva")</f>
        <v>Curso Básico de Vigilância e Controle da Raiva</v>
      </c>
      <c r="C27" s="125" t="str">
        <f>IFERROR(__xludf.DUMMYFUNCTION("""COMPUTED_VALUE"""),"Básico (Até 79h)")</f>
        <v>Básico (Até 79h)</v>
      </c>
      <c r="D27" s="126">
        <f>IFERROR(__xludf.DUMMYFUNCTION("""COMPUTED_VALUE"""),40.0)</f>
        <v>40</v>
      </c>
      <c r="E27" s="126" t="str">
        <f>IFERROR(__xludf.DUMMYFUNCTION("""COMPUTED_VALUE"""),"Turma 1")</f>
        <v>Turma 1</v>
      </c>
      <c r="F27" s="125" t="str">
        <f>IFERROR(__xludf.DUMMYFUNCTION("""COMPUTED_VALUE"""),"Fortaleza")</f>
        <v>Fortaleza</v>
      </c>
      <c r="G27" s="136" t="str">
        <f>IFERROR(__xludf.DUMMYFUNCTION("""COMPUTED_VALUE"""),"SR For")</f>
        <v>SR For</v>
      </c>
      <c r="H27" s="126" t="str">
        <f>IFERROR(__xludf.DUMMYFUNCTION("""COMPUTED_VALUE"""),"Presencial (máximo 20% EaD)")</f>
        <v>Presencial (máximo 20% EaD)</v>
      </c>
      <c r="I27" s="125" t="str">
        <f>IFERROR(__xludf.DUMMYFUNCTION("""COMPUTED_VALUE"""),"Maio")</f>
        <v>Maio</v>
      </c>
      <c r="J27" s="125" t="str">
        <f>IFERROR(__xludf.DUMMYFUNCTION("""COMPUTED_VALUE"""),"13 a 17")</f>
        <v>13 a 17</v>
      </c>
      <c r="K27" s="129">
        <f>IFERROR(__xludf.DUMMYFUNCTION("""COMPUTED_VALUE"""),45425.0)</f>
        <v>45425</v>
      </c>
      <c r="L27" s="195">
        <f>IFERROR(__xludf.DUMMYFUNCTION("""COMPUTED_VALUE"""),45429.0)</f>
        <v>45429</v>
      </c>
      <c r="M27" s="125" t="str">
        <f>IFERROR(__xludf.DUMMYFUNCTION("""COMPUTED_VALUE"""),"Curso Básico de Vigilância e Controle da Raiva")</f>
        <v>Curso Básico de Vigilância e Controle da Raiva</v>
      </c>
      <c r="N27" s="126">
        <f>IFERROR(__xludf.DUMMYFUNCTION("""COMPUTED_VALUE"""),15.0)</f>
        <v>15</v>
      </c>
      <c r="P27" s="385"/>
      <c r="Q27" s="385"/>
      <c r="R27" s="385"/>
      <c r="S27" s="385"/>
      <c r="T27" s="385"/>
      <c r="U27" s="385"/>
      <c r="V27" s="385"/>
      <c r="W27" s="124"/>
      <c r="X27" s="124"/>
      <c r="Y27" s="386"/>
      <c r="Z27" s="386"/>
    </row>
    <row r="28" ht="36.75" customHeight="1">
      <c r="A28" s="135" t="str">
        <f>IFERROR(__xludf.DUMMYFUNCTION("""COMPUTED_VALUE"""),"Vigilância e Controle das  Endemias")</f>
        <v>Vigilância e Controle das  Endemias</v>
      </c>
      <c r="B28" s="125" t="str">
        <f>IFERROR(__xludf.DUMMYFUNCTION("""COMPUTED_VALUE"""),"VI Capacitação sobre Diagnostico e Tratamento de Acidentes por Animais Peçonhentos")</f>
        <v>VI Capacitação sobre Diagnostico e Tratamento de Acidentes por Animais Peçonhentos</v>
      </c>
      <c r="C28" s="125" t="str">
        <f>IFERROR(__xludf.DUMMYFUNCTION("""COMPUTED_VALUE"""),"Básico (Até 79h)")</f>
        <v>Básico (Até 79h)</v>
      </c>
      <c r="D28" s="126">
        <f>IFERROR(__xludf.DUMMYFUNCTION("""COMPUTED_VALUE"""),16.0)</f>
        <v>16</v>
      </c>
      <c r="E28" s="126" t="str">
        <f>IFERROR(__xludf.DUMMYFUNCTION("""COMPUTED_VALUE"""),"Turma 1")</f>
        <v>Turma 1</v>
      </c>
      <c r="F28" s="125" t="str">
        <f>IFERROR(__xludf.DUMMYFUNCTION("""COMPUTED_VALUE"""),"Limoeiro do Norte")</f>
        <v>Limoeiro do Norte</v>
      </c>
      <c r="G28" s="125" t="str">
        <f>IFERROR(__xludf.DUMMYFUNCTION("""COMPUTED_VALUE"""),"Russas / Aracati/Limoeiro do Norte")</f>
        <v>Russas / Aracati/Limoeiro do Norte</v>
      </c>
      <c r="H28" s="126" t="str">
        <f>IFERROR(__xludf.DUMMYFUNCTION("""COMPUTED_VALUE"""),"Presencial (máximo 20% EaD)")</f>
        <v>Presencial (máximo 20% EaD)</v>
      </c>
      <c r="I28" s="125" t="str">
        <f>IFERROR(__xludf.DUMMYFUNCTION("""COMPUTED_VALUE"""),"Agosto")</f>
        <v>Agosto</v>
      </c>
      <c r="J28" s="125" t="str">
        <f>IFERROR(__xludf.DUMMYFUNCTION("""COMPUTED_VALUE"""),"07 e 08")</f>
        <v>07 e 08</v>
      </c>
      <c r="K28" s="129">
        <f>IFERROR(__xludf.DUMMYFUNCTION("""COMPUTED_VALUE"""),45497.0)</f>
        <v>45497</v>
      </c>
      <c r="L28" s="129">
        <f>IFERROR(__xludf.DUMMYFUNCTION("""COMPUTED_VALUE"""),45498.0)</f>
        <v>45498</v>
      </c>
      <c r="M28" s="126" t="str">
        <f>IFERROR(__xludf.DUMMYFUNCTION("""COMPUTED_VALUE"""),"VI Capacitação sobre Diagnostico e Tratamento de Acidentes por Animais Peçonhentos")</f>
        <v>VI Capacitação sobre Diagnostico e Tratamento de Acidentes por Animais Peçonhentos</v>
      </c>
      <c r="N28" s="126">
        <f>IFERROR(__xludf.DUMMYFUNCTION("""COMPUTED_VALUE"""),100.0)</f>
        <v>100</v>
      </c>
      <c r="O28" s="385"/>
      <c r="P28" s="385"/>
      <c r="Q28" s="385"/>
      <c r="R28" s="385"/>
      <c r="S28" s="385"/>
      <c r="T28" s="385"/>
      <c r="U28" s="385"/>
      <c r="V28" s="385"/>
      <c r="W28" s="124"/>
      <c r="X28" s="124"/>
      <c r="Y28" s="386"/>
      <c r="Z28" s="386"/>
    </row>
    <row r="29">
      <c r="A29" s="135" t="str">
        <f>IFERROR(__xludf.DUMMYFUNCTION("""COMPUTED_VALUE"""),"Vigilância e Controle das  Endemias")</f>
        <v>Vigilância e Controle das  Endemias</v>
      </c>
      <c r="B29" s="125" t="str">
        <f>IFERROR(__xludf.DUMMYFUNCTION("""COMPUTED_VALUE"""),"Curso de supervisão das atividades de controle das Arboviroses")</f>
        <v>Curso de supervisão das atividades de controle das Arboviroses</v>
      </c>
      <c r="C29" s="125" t="str">
        <f>IFERROR(__xludf.DUMMYFUNCTION("""COMPUTED_VALUE"""),"Básico (Até 79h)")</f>
        <v>Básico (Até 79h)</v>
      </c>
      <c r="D29" s="126">
        <f>IFERROR(__xludf.DUMMYFUNCTION("""COMPUTED_VALUE"""),40.0)</f>
        <v>40</v>
      </c>
      <c r="E29" s="126" t="str">
        <f>IFERROR(__xludf.DUMMYFUNCTION("""COMPUTED_VALUE"""),"Turma 1")</f>
        <v>Turma 1</v>
      </c>
      <c r="F29" s="125" t="str">
        <f>IFERROR(__xludf.DUMMYFUNCTION("""COMPUTED_VALUE"""),"Juazeiro do Norte")</f>
        <v>Juazeiro do Norte</v>
      </c>
      <c r="G29" s="125" t="str">
        <f>IFERROR(__xludf.DUMMYFUNCTION("""COMPUTED_VALUE"""),"SR Cariri")</f>
        <v>SR Cariri</v>
      </c>
      <c r="H29" s="126" t="str">
        <f>IFERROR(__xludf.DUMMYFUNCTION("""COMPUTED_VALUE"""),"Presencial (máximo 20% EaD)")</f>
        <v>Presencial (máximo 20% EaD)</v>
      </c>
      <c r="I29" s="125" t="str">
        <f>IFERROR(__xludf.DUMMYFUNCTION("""COMPUTED_VALUE"""),"Julho")</f>
        <v>Julho</v>
      </c>
      <c r="J29" s="125" t="str">
        <f>IFERROR(__xludf.DUMMYFUNCTION("""COMPUTED_VALUE"""),"15 a 19")</f>
        <v>15 a 19</v>
      </c>
      <c r="K29" s="129">
        <f>IFERROR(__xludf.DUMMYFUNCTION("""COMPUTED_VALUE"""),45488.0)</f>
        <v>45488</v>
      </c>
      <c r="L29" s="129">
        <f>IFERROR(__xludf.DUMMYFUNCTION("""COMPUTED_VALUE"""),45492.0)</f>
        <v>45492</v>
      </c>
      <c r="M29" s="126" t="str">
        <f>IFERROR(__xludf.DUMMYFUNCTION("""COMPUTED_VALUE"""),"Curso de supervisão das atividades de controle das Arboviroses")</f>
        <v>Curso de supervisão das atividades de controle das Arboviroses</v>
      </c>
      <c r="N29" s="126">
        <f>IFERROR(__xludf.DUMMYFUNCTION("""COMPUTED_VALUE"""),30.0)</f>
        <v>30</v>
      </c>
      <c r="P29" s="385"/>
      <c r="Q29" s="385"/>
      <c r="R29" s="385"/>
      <c r="S29" s="385"/>
      <c r="T29" s="385"/>
      <c r="U29" s="385"/>
      <c r="V29" s="385"/>
      <c r="W29" s="210"/>
      <c r="X29" s="210"/>
      <c r="Y29" s="386"/>
      <c r="Z29" s="386"/>
    </row>
    <row r="30">
      <c r="A30" s="135" t="str">
        <f>IFERROR(__xludf.DUMMYFUNCTION("""COMPUTED_VALUE"""),"Capacitação em Vigilância em Saúde do(a) Trabalhador(a)")</f>
        <v>Capacitação em Vigilância em Saúde do(a) Trabalhador(a)</v>
      </c>
      <c r="B30" s="125" t="str">
        <f>IFERROR(__xludf.DUMMYFUNCTION("""COMPUTED_VALUE"""),"Curso Básico de Vigilância em Saúde do Trabalhador na Atenção Primária à Saúde")</f>
        <v>Curso Básico de Vigilância em Saúde do Trabalhador na Atenção Primária à Saúde</v>
      </c>
      <c r="C30" s="125" t="str">
        <f>IFERROR(__xludf.DUMMYFUNCTION("""COMPUTED_VALUE"""),"Básico (Até 79h)")</f>
        <v>Básico (Até 79h)</v>
      </c>
      <c r="D30" s="126">
        <f>IFERROR(__xludf.DUMMYFUNCTION("""COMPUTED_VALUE"""),60.0)</f>
        <v>60</v>
      </c>
      <c r="E30" s="126" t="str">
        <f>IFERROR(__xludf.DUMMYFUNCTION("""COMPUTED_VALUE"""),"Turma 1")</f>
        <v>Turma 1</v>
      </c>
      <c r="F30" s="125" t="str">
        <f>IFERROR(__xludf.DUMMYFUNCTION("""COMPUTED_VALUE"""),"Fortaleza")</f>
        <v>Fortaleza</v>
      </c>
      <c r="G30" s="125" t="str">
        <f>IFERROR(__xludf.DUMMYFUNCTION("""COMPUTED_VALUE"""),"SRFOR")</f>
        <v>SRFOR</v>
      </c>
      <c r="H30" s="126" t="str">
        <f>IFERROR(__xludf.DUMMYFUNCTION("""COMPUTED_VALUE"""),"Presencial (máximo 20% EaD)")</f>
        <v>Presencial (máximo 20% EaD)</v>
      </c>
      <c r="I30" s="125" t="str">
        <f>IFERROR(__xludf.DUMMYFUNCTION("""COMPUTED_VALUE"""),"Agosto")</f>
        <v>Agosto</v>
      </c>
      <c r="J30" s="125" t="str">
        <f>IFERROR(__xludf.DUMMYFUNCTION("""COMPUTED_VALUE"""),"08,09,21,22 e 23")</f>
        <v>08,09,21,22 e 23</v>
      </c>
      <c r="K30" s="129">
        <f>IFERROR(__xludf.DUMMYFUNCTION("""COMPUTED_VALUE"""),45512.0)</f>
        <v>45512</v>
      </c>
      <c r="L30" s="129">
        <f>IFERROR(__xludf.DUMMYFUNCTION("""COMPUTED_VALUE"""),45527.0)</f>
        <v>45527</v>
      </c>
      <c r="M30" s="126" t="str">
        <f>IFERROR(__xludf.DUMMYFUNCTION("""COMPUTED_VALUE"""),"Curso Básico de Vigilância em Saúde do Trabalhador na Atenção Primária à Saúde")</f>
        <v>Curso Básico de Vigilância em Saúde do Trabalhador na Atenção Primária à Saúde</v>
      </c>
      <c r="N30" s="126">
        <f>IFERROR(__xludf.DUMMYFUNCTION("""COMPUTED_VALUE"""),30.0)</f>
        <v>30</v>
      </c>
      <c r="P30" s="385"/>
      <c r="Q30" s="385"/>
      <c r="R30" s="385"/>
      <c r="S30" s="385"/>
      <c r="T30" s="385"/>
      <c r="U30" s="385"/>
      <c r="V30" s="385"/>
      <c r="W30" s="124"/>
      <c r="X30" s="124"/>
      <c r="Y30" s="386"/>
      <c r="Z30" s="386"/>
    </row>
    <row r="31">
      <c r="A31" s="135" t="str">
        <f>IFERROR(__xludf.DUMMYFUNCTION("""COMPUTED_VALUE"""),"Capacitação em Vigilância em Saúde do(a) Trabalhador(a)")</f>
        <v>Capacitação em Vigilância em Saúde do(a) Trabalhador(a)</v>
      </c>
      <c r="B31" s="125" t="str">
        <f>IFERROR(__xludf.DUMMYFUNCTION("""COMPUTED_VALUE"""),"Curso Básico de Vigilância em Saúde do Trabalhador na Atenção Primária à Saúde")</f>
        <v>Curso Básico de Vigilância em Saúde do Trabalhador na Atenção Primária à Saúde</v>
      </c>
      <c r="C31" s="125" t="str">
        <f>IFERROR(__xludf.DUMMYFUNCTION("""COMPUTED_VALUE"""),"Básico (Até 79h)")</f>
        <v>Básico (Até 79h)</v>
      </c>
      <c r="D31" s="126">
        <f>IFERROR(__xludf.DUMMYFUNCTION("""COMPUTED_VALUE"""),60.0)</f>
        <v>60</v>
      </c>
      <c r="E31" s="126" t="str">
        <f>IFERROR(__xludf.DUMMYFUNCTION("""COMPUTED_VALUE"""),"Turma 1")</f>
        <v>Turma 1</v>
      </c>
      <c r="F31" s="125" t="str">
        <f>IFERROR(__xludf.DUMMYFUNCTION("""COMPUTED_VALUE"""),"Fortaleza")</f>
        <v>Fortaleza</v>
      </c>
      <c r="G31" s="125" t="str">
        <f>IFERROR(__xludf.DUMMYFUNCTION("""COMPUTED_VALUE"""),"SRFOR")</f>
        <v>SRFOR</v>
      </c>
      <c r="H31" s="126" t="str">
        <f>IFERROR(__xludf.DUMMYFUNCTION("""COMPUTED_VALUE"""),"Presencial (máximo 20% EaD)")</f>
        <v>Presencial (máximo 20% EaD)</v>
      </c>
      <c r="I31" s="125" t="str">
        <f>IFERROR(__xludf.DUMMYFUNCTION("""COMPUTED_VALUE"""),"Julho")</f>
        <v>Julho</v>
      </c>
      <c r="J31" s="125" t="str">
        <f>IFERROR(__xludf.DUMMYFUNCTION("""COMPUTED_VALUE"""),"10,11,12,18 e 19")</f>
        <v>10,11,12,18 e 19</v>
      </c>
      <c r="K31" s="129">
        <f>IFERROR(__xludf.DUMMYFUNCTION("""COMPUTED_VALUE"""),45483.0)</f>
        <v>45483</v>
      </c>
      <c r="L31" s="129">
        <f>IFERROR(__xludf.DUMMYFUNCTION("""COMPUTED_VALUE"""),45492.0)</f>
        <v>45492</v>
      </c>
      <c r="M31" s="126" t="str">
        <f>IFERROR(__xludf.DUMMYFUNCTION("""COMPUTED_VALUE"""),"Curso Básico de Vigilância em Saúde do Trabalhador na Atenção Primária à Saúde")</f>
        <v>Curso Básico de Vigilância em Saúde do Trabalhador na Atenção Primária à Saúde</v>
      </c>
      <c r="N31" s="126">
        <f>IFERROR(__xludf.DUMMYFUNCTION("""COMPUTED_VALUE"""),30.0)</f>
        <v>30</v>
      </c>
      <c r="P31" s="385"/>
      <c r="Q31" s="385"/>
      <c r="R31" s="385"/>
      <c r="S31" s="385"/>
      <c r="T31" s="385"/>
      <c r="U31" s="385"/>
      <c r="V31" s="385"/>
      <c r="W31" s="124"/>
      <c r="X31" s="124"/>
      <c r="Y31" s="386"/>
      <c r="Z31" s="386"/>
    </row>
    <row r="32">
      <c r="A32" s="135" t="str">
        <f>IFERROR(__xludf.DUMMYFUNCTION("""COMPUTED_VALUE"""),"Capacitação em Vigilância em Saúde do(a) Trabalhador(a)")</f>
        <v>Capacitação em Vigilância em Saúde do(a) Trabalhador(a)</v>
      </c>
      <c r="B32" s="125" t="str">
        <f>IFERROR(__xludf.DUMMYFUNCTION("""COMPUTED_VALUE"""),"Curso de Vigilância em Saúde Ambiental")</f>
        <v>Curso de Vigilância em Saúde Ambiental</v>
      </c>
      <c r="C32" s="125" t="str">
        <f>IFERROR(__xludf.DUMMYFUNCTION("""COMPUTED_VALUE"""),"Básico (Até 79h)")</f>
        <v>Básico (Até 79h)</v>
      </c>
      <c r="D32" s="126">
        <f>IFERROR(__xludf.DUMMYFUNCTION("""COMPUTED_VALUE"""),40.0)</f>
        <v>40</v>
      </c>
      <c r="E32" s="126" t="str">
        <f>IFERROR(__xludf.DUMMYFUNCTION("""COMPUTED_VALUE"""),"Turma 1")</f>
        <v>Turma 1</v>
      </c>
      <c r="F32" s="125" t="str">
        <f>IFERROR(__xludf.DUMMYFUNCTION("""COMPUTED_VALUE"""),"Fortaleza")</f>
        <v>Fortaleza</v>
      </c>
      <c r="G32" s="125" t="str">
        <f>IFERROR(__xludf.DUMMYFUNCTION("""COMPUTED_VALUE"""),"SR Norte, SR Cariri, SR Fortaleza, SR Litoral Leste/Jaguaribe, SR Sertão Central")</f>
        <v>SR Norte, SR Cariri, SR Fortaleza, SR Litoral Leste/Jaguaribe, SR Sertão Central</v>
      </c>
      <c r="H32" s="126" t="str">
        <f>IFERROR(__xludf.DUMMYFUNCTION("""COMPUTED_VALUE"""),"Presencial (máximo 20% EaD)")</f>
        <v>Presencial (máximo 20% EaD)</v>
      </c>
      <c r="I32" s="125" t="str">
        <f>IFERROR(__xludf.DUMMYFUNCTION("""COMPUTED_VALUE"""),"Julho/Agosto")</f>
        <v>Julho/Agosto</v>
      </c>
      <c r="J32" s="125" t="str">
        <f>IFERROR(__xludf.DUMMYFUNCTION("""COMPUTED_VALUE"""),"29/07 a 02/08")</f>
        <v>29/07 a 02/08</v>
      </c>
      <c r="K32" s="129">
        <f>IFERROR(__xludf.DUMMYFUNCTION("""COMPUTED_VALUE"""),45502.0)</f>
        <v>45502</v>
      </c>
      <c r="L32" s="129">
        <f>IFERROR(__xludf.DUMMYFUNCTION("""COMPUTED_VALUE"""),45506.0)</f>
        <v>45506</v>
      </c>
      <c r="M32" s="177" t="str">
        <f>IFERROR(__xludf.DUMMYFUNCTION("""COMPUTED_VALUE"""),"Curso de Atualização em Vigilância em Saúde Ambiental")</f>
        <v>Curso de Atualização em Vigilância em Saúde Ambiental</v>
      </c>
      <c r="N32" s="126">
        <f>IFERROR(__xludf.DUMMYFUNCTION("""COMPUTED_VALUE"""),40.0)</f>
        <v>40</v>
      </c>
      <c r="P32" s="385"/>
      <c r="Q32" s="385"/>
      <c r="R32" s="385"/>
      <c r="S32" s="385"/>
      <c r="T32" s="385"/>
      <c r="U32" s="385"/>
      <c r="V32" s="385"/>
      <c r="W32" s="124"/>
      <c r="X32" s="124"/>
      <c r="Y32" s="386"/>
      <c r="Z32" s="386"/>
    </row>
    <row r="33">
      <c r="A33" s="135" t="str">
        <f>IFERROR(__xludf.DUMMYFUNCTION("""COMPUTED_VALUE"""),"Capacitação em Vigilância em Saúde do(a) Trabalhador(a)")</f>
        <v>Capacitação em Vigilância em Saúde do(a) Trabalhador(a)</v>
      </c>
      <c r="B33" s="124" t="str">
        <f>IFERROR(__xludf.DUMMYFUNCTION("""COMPUTED_VALUE"""),"Curso de Vigilância e Atenção em Saúde de Populações Expostas à Mineração de Urânio e Fosfato no Ceará")</f>
        <v>Curso de Vigilância e Atenção em Saúde de Populações Expostas à Mineração de Urânio e Fosfato no Ceará</v>
      </c>
      <c r="C33" s="125" t="str">
        <f>IFERROR(__xludf.DUMMYFUNCTION("""COMPUTED_VALUE"""),"Básico (Até 79h)")</f>
        <v>Básico (Até 79h)</v>
      </c>
      <c r="D33" s="126">
        <f>IFERROR(__xludf.DUMMYFUNCTION("""COMPUTED_VALUE"""),40.0)</f>
        <v>40</v>
      </c>
      <c r="E33" s="126" t="str">
        <f>IFERROR(__xludf.DUMMYFUNCTION("""COMPUTED_VALUE"""),"Turma 1")</f>
        <v>Turma 1</v>
      </c>
      <c r="F33" s="125" t="str">
        <f>IFERROR(__xludf.DUMMYFUNCTION("""COMPUTED_VALUE"""),"Sobral")</f>
        <v>Sobral</v>
      </c>
      <c r="G33" s="125" t="str">
        <f>IFERROR(__xludf.DUMMYFUNCTION("""COMPUTED_VALUE"""),"SR Norte")</f>
        <v>SR Norte</v>
      </c>
      <c r="H33" s="125" t="str">
        <f>IFERROR(__xludf.DUMMYFUNCTION("""COMPUTED_VALUE"""),"Presencial (máximo 20% EaD)")</f>
        <v>Presencial (máximo 20% EaD)</v>
      </c>
      <c r="I33" s="125" t="str">
        <f>IFERROR(__xludf.DUMMYFUNCTION("""COMPUTED_VALUE"""),"Julho")</f>
        <v>Julho</v>
      </c>
      <c r="J33" s="125" t="str">
        <f>IFERROR(__xludf.DUMMYFUNCTION("""COMPUTED_VALUE"""),"01 a 04, 12")</f>
        <v>01 a 04, 12</v>
      </c>
      <c r="K33" s="129">
        <f>IFERROR(__xludf.DUMMYFUNCTION("""COMPUTED_VALUE"""),45474.0)</f>
        <v>45474</v>
      </c>
      <c r="L33" s="195">
        <f>IFERROR(__xludf.DUMMYFUNCTION("""COMPUTED_VALUE"""),45478.0)</f>
        <v>45478</v>
      </c>
      <c r="M33" s="125" t="str">
        <f>IFERROR(__xludf.DUMMYFUNCTION("""COMPUTED_VALUE"""),"Curso de Vigilância de Populações Expostas a mineração de urânio e fosfato no Ceará")</f>
        <v>Curso de Vigilância de Populações Expostas a mineração de urânio e fosfato no Ceará</v>
      </c>
      <c r="N33" s="126">
        <f>IFERROR(__xludf.DUMMYFUNCTION("""COMPUTED_VALUE"""),40.0)</f>
        <v>40</v>
      </c>
      <c r="P33" s="385"/>
      <c r="Q33" s="385"/>
      <c r="R33" s="385"/>
      <c r="S33" s="385"/>
      <c r="T33" s="385"/>
      <c r="U33" s="385"/>
      <c r="V33" s="385"/>
      <c r="W33" s="210"/>
      <c r="X33" s="210"/>
      <c r="Y33" s="386"/>
      <c r="Z33" s="386"/>
    </row>
    <row r="34">
      <c r="A34" s="135" t="str">
        <f>IFERROR(__xludf.DUMMYFUNCTION("""COMPUTED_VALUE"""),"Capacitação em Vigilância em Saúde do(a) Trabalhador(a)")</f>
        <v>Capacitação em Vigilância em Saúde do(a) Trabalhador(a)</v>
      </c>
      <c r="B34" s="124" t="str">
        <f>IFERROR(__xludf.DUMMYFUNCTION("""COMPUTED_VALUE"""),"Curso de Vigilância das Doenças e Agravos Relacionados ao Trabalho")</f>
        <v>Curso de Vigilância das Doenças e Agravos Relacionados ao Trabalho</v>
      </c>
      <c r="C34" s="125" t="str">
        <f>IFERROR(__xludf.DUMMYFUNCTION("""COMPUTED_VALUE"""),"Básico (Até 79h)")</f>
        <v>Básico (Até 79h)</v>
      </c>
      <c r="D34" s="126">
        <f>IFERROR(__xludf.DUMMYFUNCTION("""COMPUTED_VALUE"""),60.0)</f>
        <v>60</v>
      </c>
      <c r="E34" s="126" t="str">
        <f>IFERROR(__xludf.DUMMYFUNCTION("""COMPUTED_VALUE"""),"Turma 1")</f>
        <v>Turma 1</v>
      </c>
      <c r="F34" s="125" t="str">
        <f>IFERROR(__xludf.DUMMYFUNCTION("""COMPUTED_VALUE"""),"Quixadá")</f>
        <v>Quixadá</v>
      </c>
      <c r="G34" s="125" t="str">
        <f>IFERROR(__xludf.DUMMYFUNCTION("""COMPUTED_VALUE"""),"SR Sertão Central")</f>
        <v>SR Sertão Central</v>
      </c>
      <c r="H34" s="125" t="str">
        <f>IFERROR(__xludf.DUMMYFUNCTION("""COMPUTED_VALUE"""),"Presencial (máximo 20% EaD)")</f>
        <v>Presencial (máximo 20% EaD)</v>
      </c>
      <c r="I34" s="125" t="str">
        <f>IFERROR(__xludf.DUMMYFUNCTION("""COMPUTED_VALUE"""),"Agosto")</f>
        <v>Agosto</v>
      </c>
      <c r="J34" s="125" t="str">
        <f>IFERROR(__xludf.DUMMYFUNCTION("""COMPUTED_VALUE"""),"12 a 16")</f>
        <v>12 a 16</v>
      </c>
      <c r="K34" s="129">
        <f>IFERROR(__xludf.DUMMYFUNCTION("""COMPUTED_VALUE"""),45516.0)</f>
        <v>45516</v>
      </c>
      <c r="L34" s="195">
        <f>IFERROR(__xludf.DUMMYFUNCTION("""COMPUTED_VALUE"""),45520.0)</f>
        <v>45520</v>
      </c>
      <c r="M34" s="125" t="str">
        <f>IFERROR(__xludf.DUMMYFUNCTION("""COMPUTED_VALUE"""),"Curso de Vigilância das Doenças e Agravos Relacionados ao Trabalho")</f>
        <v>Curso de Vigilância das Doenças e Agravos Relacionados ao Trabalho</v>
      </c>
      <c r="N34" s="126">
        <f>IFERROR(__xludf.DUMMYFUNCTION("""COMPUTED_VALUE"""),40.0)</f>
        <v>40</v>
      </c>
      <c r="O34" s="385"/>
      <c r="P34" s="385"/>
      <c r="Q34" s="385"/>
      <c r="R34" s="385"/>
      <c r="S34" s="385"/>
      <c r="T34" s="385"/>
      <c r="U34" s="385"/>
      <c r="V34" s="385"/>
      <c r="W34" s="210"/>
      <c r="X34" s="210"/>
      <c r="Y34" s="386"/>
      <c r="Z34" s="386"/>
    </row>
    <row r="35">
      <c r="A35" s="135" t="str">
        <f>IFERROR(__xludf.DUMMYFUNCTION("""COMPUTED_VALUE"""),"Capacitação em Vigilância em Saúde do(a) Trabalhador(a)")</f>
        <v>Capacitação em Vigilância em Saúde do(a) Trabalhador(a)</v>
      </c>
      <c r="B35" s="124" t="str">
        <f>IFERROR(__xludf.DUMMYFUNCTION("""COMPUTED_VALUE"""),"Curso de Vigilância das Doenças e Agravos Relacionados ao Trabalho")</f>
        <v>Curso de Vigilância das Doenças e Agravos Relacionados ao Trabalho</v>
      </c>
      <c r="C35" s="125" t="str">
        <f>IFERROR(__xludf.DUMMYFUNCTION("""COMPUTED_VALUE"""),"Básico (Até 79h)")</f>
        <v>Básico (Até 79h)</v>
      </c>
      <c r="D35" s="126">
        <f>IFERROR(__xludf.DUMMYFUNCTION("""COMPUTED_VALUE"""),60.0)</f>
        <v>60</v>
      </c>
      <c r="E35" s="126" t="str">
        <f>IFERROR(__xludf.DUMMYFUNCTION("""COMPUTED_VALUE"""),"Turma 2")</f>
        <v>Turma 2</v>
      </c>
      <c r="F35" s="125" t="str">
        <f>IFERROR(__xludf.DUMMYFUNCTION("""COMPUTED_VALUE"""),"Juazeiro do Norte")</f>
        <v>Juazeiro do Norte</v>
      </c>
      <c r="G35" s="125" t="str">
        <f>IFERROR(__xludf.DUMMYFUNCTION("""COMPUTED_VALUE"""),"SR Cariri")</f>
        <v>SR Cariri</v>
      </c>
      <c r="H35" s="126" t="str">
        <f>IFERROR(__xludf.DUMMYFUNCTION("""COMPUTED_VALUE"""),"Presencial (máximo 20% EaD)")</f>
        <v>Presencial (máximo 20% EaD)</v>
      </c>
      <c r="I35" s="125" t="str">
        <f>IFERROR(__xludf.DUMMYFUNCTION("""COMPUTED_VALUE"""),"Junho")</f>
        <v>Junho</v>
      </c>
      <c r="J35" s="125" t="str">
        <f>IFERROR(__xludf.DUMMYFUNCTION("""COMPUTED_VALUE"""),"10 a 14")</f>
        <v>10 a 14</v>
      </c>
      <c r="K35" s="388">
        <f>IFERROR(__xludf.DUMMYFUNCTION("""COMPUTED_VALUE"""),45453.0)</f>
        <v>45453</v>
      </c>
      <c r="L35" s="195">
        <f>IFERROR(__xludf.DUMMYFUNCTION("""COMPUTED_VALUE"""),45457.0)</f>
        <v>45457</v>
      </c>
      <c r="M35" s="125" t="str">
        <f>IFERROR(__xludf.DUMMYFUNCTION("""COMPUTED_VALUE"""),"Curso de Vigilância das Doenças e Agravos Relacionados ao Trabalho")</f>
        <v>Curso de Vigilância das Doenças e Agravos Relacionados ao Trabalho</v>
      </c>
      <c r="N35" s="126">
        <f>IFERROR(__xludf.DUMMYFUNCTION("""COMPUTED_VALUE"""),40.0)</f>
        <v>40</v>
      </c>
      <c r="P35" s="385"/>
      <c r="Q35" s="385"/>
      <c r="R35" s="385"/>
      <c r="S35" s="385"/>
      <c r="T35" s="385"/>
      <c r="U35" s="385"/>
      <c r="V35" s="385"/>
      <c r="W35" s="210"/>
      <c r="X35" s="210"/>
      <c r="Y35" s="386"/>
      <c r="Z35" s="386"/>
    </row>
    <row r="36">
      <c r="A36" s="135" t="str">
        <f>IFERROR(__xludf.DUMMYFUNCTION("""COMPUTED_VALUE"""),"Qualificação em Vigilância Sanitária")</f>
        <v>Qualificação em Vigilância Sanitária</v>
      </c>
      <c r="B36" s="124" t="str">
        <f>IFERROR(__xludf.DUMMYFUNCTION("""COMPUTED_VALUE"""),"Curso de Atualização em Vigilância Sanitária de Produtos e de Serviços de Saúde")</f>
        <v>Curso de Atualização em Vigilância Sanitária de Produtos e de Serviços de Saúde</v>
      </c>
      <c r="C36" s="125" t="str">
        <f>IFERROR(__xludf.DUMMYFUNCTION("""COMPUTED_VALUE"""),"Atualização (80h-179h)")</f>
        <v>Atualização (80h-179h)</v>
      </c>
      <c r="D36" s="126">
        <f>IFERROR(__xludf.DUMMYFUNCTION("""COMPUTED_VALUE"""),80.0)</f>
        <v>80</v>
      </c>
      <c r="E36" s="126" t="str">
        <f>IFERROR(__xludf.DUMMYFUNCTION("""COMPUTED_VALUE"""),"Turma 1")</f>
        <v>Turma 1</v>
      </c>
      <c r="F36" s="125" t="str">
        <f>IFERROR(__xludf.DUMMYFUNCTION("""COMPUTED_VALUE"""),"Fortaleza")</f>
        <v>Fortaleza</v>
      </c>
      <c r="G36" s="125" t="str">
        <f>IFERROR(__xludf.DUMMYFUNCTION("""COMPUTED_VALUE"""),"SR Cariri, SR Litoral Leste/Jaguaribe, SR Sertão Central")</f>
        <v>SR Cariri, SR Litoral Leste/Jaguaribe, SR Sertão Central</v>
      </c>
      <c r="H36" s="125" t="str">
        <f>IFERROR(__xludf.DUMMYFUNCTION("""COMPUTED_VALUE"""),"Presencial (máximo 20% EaD)")</f>
        <v>Presencial (máximo 20% EaD)</v>
      </c>
      <c r="I36" s="125" t="str">
        <f>IFERROR(__xludf.DUMMYFUNCTION("""COMPUTED_VALUE"""),"Junho e Julho")</f>
        <v>Junho e Julho</v>
      </c>
      <c r="J36" s="125" t="str">
        <f>IFERROR(__xludf.DUMMYFUNCTION("""COMPUTED_VALUE"""),"17/06 a 21/06 e 22/07 - 26/07")</f>
        <v>17/06 a 21/06 e 22/07 - 26/07</v>
      </c>
      <c r="K36" s="388">
        <f>IFERROR(__xludf.DUMMYFUNCTION("""COMPUTED_VALUE"""),45460.0)</f>
        <v>45460</v>
      </c>
      <c r="L36" s="195">
        <f>IFERROR(__xludf.DUMMYFUNCTION("""COMPUTED_VALUE"""),45464.0)</f>
        <v>45464</v>
      </c>
      <c r="M36" s="125" t="str">
        <f>IFERROR(__xludf.DUMMYFUNCTION("""COMPUTED_VALUE"""),"Curso de Atualização em Vigilância Sanitária, Produtos e Serviços de Saúde")</f>
        <v>Curso de Atualização em Vigilância Sanitária, Produtos e Serviços de Saúde</v>
      </c>
      <c r="N36" s="126">
        <f>IFERROR(__xludf.DUMMYFUNCTION("""COMPUTED_VALUE"""),40.0)</f>
        <v>40</v>
      </c>
      <c r="O36" s="385"/>
      <c r="P36" s="385"/>
      <c r="Q36" s="385"/>
      <c r="R36" s="385"/>
      <c r="S36" s="385"/>
      <c r="T36" s="385"/>
      <c r="U36" s="385"/>
      <c r="V36" s="385"/>
      <c r="W36" s="210"/>
      <c r="X36" s="210"/>
      <c r="Y36" s="386"/>
      <c r="Z36" s="386"/>
    </row>
    <row r="37">
      <c r="A37" s="135" t="str">
        <f>IFERROR(__xludf.DUMMYFUNCTION("""COMPUTED_VALUE"""),"Qualificação em Vigilância Sanitária")</f>
        <v>Qualificação em Vigilância Sanitária</v>
      </c>
      <c r="B37" s="124" t="str">
        <f>IFERROR(__xludf.DUMMYFUNCTION("""COMPUTED_VALUE"""),"Curso de Atualização em Vigilância Sanitária de Produtos e de Serviços de Saúde")</f>
        <v>Curso de Atualização em Vigilância Sanitária de Produtos e de Serviços de Saúde</v>
      </c>
      <c r="C37" s="125" t="str">
        <f>IFERROR(__xludf.DUMMYFUNCTION("""COMPUTED_VALUE"""),"Atualização (80h-179h)")</f>
        <v>Atualização (80h-179h)</v>
      </c>
      <c r="D37" s="126">
        <f>IFERROR(__xludf.DUMMYFUNCTION("""COMPUTED_VALUE"""),80.0)</f>
        <v>80</v>
      </c>
      <c r="E37" s="126" t="str">
        <f>IFERROR(__xludf.DUMMYFUNCTION("""COMPUTED_VALUE"""),"Turma 2")</f>
        <v>Turma 2</v>
      </c>
      <c r="F37" s="125" t="str">
        <f>IFERROR(__xludf.DUMMYFUNCTION("""COMPUTED_VALUE"""),"Fortaleza")</f>
        <v>Fortaleza</v>
      </c>
      <c r="G37" s="125" t="str">
        <f>IFERROR(__xludf.DUMMYFUNCTION("""COMPUTED_VALUE"""),"SR Norte, SR Fortaleza")</f>
        <v>SR Norte, SR Fortaleza</v>
      </c>
      <c r="H37" s="126" t="str">
        <f>IFERROR(__xludf.DUMMYFUNCTION("""COMPUTED_VALUE"""),"Presencial (máximo 20% EaD)")</f>
        <v>Presencial (máximo 20% EaD)</v>
      </c>
      <c r="I37" s="125" t="str">
        <f>IFERROR(__xludf.DUMMYFUNCTION("""COMPUTED_VALUE"""),"Agosto e Setembro")</f>
        <v>Agosto e Setembro</v>
      </c>
      <c r="J37" s="125" t="str">
        <f>IFERROR(__xludf.DUMMYFUNCTION("""COMPUTED_VALUE"""),"19/08 a 23/08 e 23/09 a 27/09")</f>
        <v>19/08 a 23/08 e 23/09 a 27/09</v>
      </c>
      <c r="K37" s="388">
        <f>IFERROR(__xludf.DUMMYFUNCTION("""COMPUTED_VALUE"""),45523.0)</f>
        <v>45523</v>
      </c>
      <c r="L37" s="195">
        <f>IFERROR(__xludf.DUMMYFUNCTION("""COMPUTED_VALUE"""),45527.0)</f>
        <v>45527</v>
      </c>
      <c r="M37" s="125" t="str">
        <f>IFERROR(__xludf.DUMMYFUNCTION("""COMPUTED_VALUE"""),"Curso de Atualização em Vigilância Sanitária, Produtos e Serviços de Saúde")</f>
        <v>Curso de Atualização em Vigilância Sanitária, Produtos e Serviços de Saúde</v>
      </c>
      <c r="N37" s="126">
        <f>IFERROR(__xludf.DUMMYFUNCTION("""COMPUTED_VALUE"""),40.0)</f>
        <v>40</v>
      </c>
      <c r="P37" s="385"/>
      <c r="Q37" s="385"/>
      <c r="R37" s="385"/>
      <c r="S37" s="385"/>
      <c r="T37" s="385"/>
      <c r="U37" s="385"/>
      <c r="V37" s="385"/>
      <c r="W37" s="210"/>
      <c r="X37" s="210"/>
      <c r="Y37" s="386"/>
      <c r="Z37" s="386"/>
    </row>
    <row r="38">
      <c r="A38" s="135" t="str">
        <f>IFERROR(__xludf.DUMMYFUNCTION("""COMPUTED_VALUE"""),"Transplante")</f>
        <v>Transplante</v>
      </c>
      <c r="B38" s="124" t="str">
        <f>IFERROR(__xludf.DUMMYFUNCTION("""COMPUTED_VALUE"""),"Curso sobre o Financiamento do Processo de Doação e Transplante")</f>
        <v>Curso sobre o Financiamento do Processo de Doação e Transplante</v>
      </c>
      <c r="C38" s="125" t="str">
        <f>IFERROR(__xludf.DUMMYFUNCTION("""COMPUTED_VALUE"""),"Básico (Até 79h)")</f>
        <v>Básico (Até 79h)</v>
      </c>
      <c r="D38" s="126">
        <f>IFERROR(__xludf.DUMMYFUNCTION("""COMPUTED_VALUE"""),40.0)</f>
        <v>40</v>
      </c>
      <c r="E38" s="126" t="str">
        <f>IFERROR(__xludf.DUMMYFUNCTION("""COMPUTED_VALUE"""),"Turma 7")</f>
        <v>Turma 7</v>
      </c>
      <c r="F38" s="125" t="str">
        <f>IFERROR(__xludf.DUMMYFUNCTION("""COMPUTED_VALUE"""),"Fortaleza")</f>
        <v>Fortaleza</v>
      </c>
      <c r="G38" s="125" t="str">
        <f>IFERROR(__xludf.DUMMYFUNCTION("""COMPUTED_VALUE"""),"SR Fortaleza, SR Certão Cental, SR Litoral Leste, SR Norte, SR Cariri")</f>
        <v>SR Fortaleza, SR Certão Cental, SR Litoral Leste, SR Norte, SR Cariri</v>
      </c>
      <c r="H38" s="126" t="str">
        <f>IFERROR(__xludf.DUMMYFUNCTION("""COMPUTED_VALUE"""),"Presencial (máximo 20% EaD)")</f>
        <v>Presencial (máximo 20% EaD)</v>
      </c>
      <c r="I38" s="125" t="str">
        <f>IFERROR(__xludf.DUMMYFUNCTION("""COMPUTED_VALUE"""),"Maio e Junho")</f>
        <v>Maio e Junho</v>
      </c>
      <c r="J38" s="125" t="str">
        <f>IFERROR(__xludf.DUMMYFUNCTION("""COMPUTED_VALUE"""),"21 e 22/05 e 11/06")</f>
        <v>21 e 22/05 e 11/06</v>
      </c>
      <c r="K38" s="153"/>
      <c r="L38" s="125"/>
      <c r="M38" s="125" t="str">
        <f>IFERROR(__xludf.DUMMYFUNCTION("""COMPUTED_VALUE"""),"Curso sobre Financiamento do Processo de Doação e Transplante")</f>
        <v>Curso sobre Financiamento do Processo de Doação e Transplante</v>
      </c>
      <c r="N38" s="126">
        <f>IFERROR(__xludf.DUMMYFUNCTION("""COMPUTED_VALUE"""),20.0)</f>
        <v>20</v>
      </c>
      <c r="P38" s="385"/>
      <c r="Q38" s="385"/>
      <c r="R38" s="385"/>
      <c r="S38" s="385"/>
      <c r="T38" s="385"/>
      <c r="U38" s="385"/>
      <c r="V38" s="385"/>
      <c r="W38" s="210"/>
      <c r="X38" s="210"/>
      <c r="Y38" s="386"/>
      <c r="Z38" s="386"/>
    </row>
    <row r="39">
      <c r="A39" s="135" t="str">
        <f>IFERROR(__xludf.DUMMYFUNCTION("""COMPUTED_VALUE"""),"Transplante")</f>
        <v>Transplante</v>
      </c>
      <c r="B39" s="124" t="str">
        <f>IFERROR(__xludf.DUMMYFUNCTION("""COMPUTED_VALUE"""),"Curso sobre o Financiamento do Processo de Doação e Transplante")</f>
        <v>Curso sobre o Financiamento do Processo de Doação e Transplante</v>
      </c>
      <c r="C39" s="125" t="str">
        <f>IFERROR(__xludf.DUMMYFUNCTION("""COMPUTED_VALUE"""),"Básico (Até 79h)")</f>
        <v>Básico (Até 79h)</v>
      </c>
      <c r="D39" s="126">
        <f>IFERROR(__xludf.DUMMYFUNCTION("""COMPUTED_VALUE"""),40.0)</f>
        <v>40</v>
      </c>
      <c r="E39" s="126" t="str">
        <f>IFERROR(__xludf.DUMMYFUNCTION("""COMPUTED_VALUE"""),"Turma 8")</f>
        <v>Turma 8</v>
      </c>
      <c r="F39" s="125" t="str">
        <f>IFERROR(__xludf.DUMMYFUNCTION("""COMPUTED_VALUE"""),"Fortaleza")</f>
        <v>Fortaleza</v>
      </c>
      <c r="G39" s="126" t="str">
        <f>IFERROR(__xludf.DUMMYFUNCTION("""COMPUTED_VALUE"""),"SR Fortaleza, SR Certão Cental, SR Litoral Leste, SR Norte, SR Cariri")</f>
        <v>SR Fortaleza, SR Certão Cental, SR Litoral Leste, SR Norte, SR Cariri</v>
      </c>
      <c r="H39" s="125" t="str">
        <f>IFERROR(__xludf.DUMMYFUNCTION("""COMPUTED_VALUE"""),"Presencial (máximo 20% EaD)")</f>
        <v>Presencial (máximo 20% EaD)</v>
      </c>
      <c r="I39" s="138" t="str">
        <f>IFERROR(__xludf.DUMMYFUNCTION("""COMPUTED_VALUE"""),"Outubro")</f>
        <v>Outubro</v>
      </c>
      <c r="J39" s="125" t="str">
        <f>IFERROR(__xludf.DUMMYFUNCTION("""COMPUTED_VALUE"""),"10, 11 e 18/10/2024")</f>
        <v>10, 11 e 18/10/2024</v>
      </c>
      <c r="K39" s="153"/>
      <c r="L39" s="125"/>
      <c r="M39" s="125"/>
      <c r="N39" s="126">
        <f>IFERROR(__xludf.DUMMYFUNCTION("""COMPUTED_VALUE"""),20.0)</f>
        <v>20</v>
      </c>
      <c r="P39" s="385"/>
      <c r="Q39" s="385"/>
      <c r="R39" s="385"/>
      <c r="S39" s="385"/>
      <c r="T39" s="385"/>
      <c r="U39" s="385"/>
      <c r="V39" s="385"/>
      <c r="W39" s="210"/>
      <c r="X39" s="210"/>
      <c r="Y39" s="386"/>
      <c r="Z39" s="386"/>
    </row>
    <row r="40">
      <c r="A40" s="135" t="str">
        <f>IFERROR(__xludf.DUMMYFUNCTION("""COMPUTED_VALUE"""),"Transplante")</f>
        <v>Transplante</v>
      </c>
      <c r="B40" s="124" t="str">
        <f>IFERROR(__xludf.DUMMYFUNCTION("""COMPUTED_VALUE"""),"Curso de Capacitação para Determinação de Morte Encefálica")</f>
        <v>Curso de Capacitação para Determinação de Morte Encefálica</v>
      </c>
      <c r="C40" s="125" t="str">
        <f>IFERROR(__xludf.DUMMYFUNCTION("""COMPUTED_VALUE"""),"Básico (Até 79h)")</f>
        <v>Básico (Até 79h)</v>
      </c>
      <c r="D40" s="126">
        <f>IFERROR(__xludf.DUMMYFUNCTION("""COMPUTED_VALUE"""),8.0)</f>
        <v>8</v>
      </c>
      <c r="E40" s="126" t="str">
        <f>IFERROR(__xludf.DUMMYFUNCTION("""COMPUTED_VALUE"""),"Turma 18")</f>
        <v>Turma 18</v>
      </c>
      <c r="F40" s="125" t="str">
        <f>IFERROR(__xludf.DUMMYFUNCTION("""COMPUTED_VALUE"""),"Fortaleza")</f>
        <v>Fortaleza</v>
      </c>
      <c r="G40" s="126" t="str">
        <f>IFERROR(__xludf.DUMMYFUNCTION("""COMPUTED_VALUE"""),"SR Fortaleza, SR Certão Cental, SR Litoral Leste, SR Norte, SR Cariri")</f>
        <v>SR Fortaleza, SR Certão Cental, SR Litoral Leste, SR Norte, SR Cariri</v>
      </c>
      <c r="H40" s="125" t="str">
        <f>IFERROR(__xludf.DUMMYFUNCTION("""COMPUTED_VALUE"""),"Presencial (máximo 20% EaD)")</f>
        <v>Presencial (máximo 20% EaD)</v>
      </c>
      <c r="I40" s="138" t="str">
        <f>IFERROR(__xludf.DUMMYFUNCTION("""COMPUTED_VALUE"""),"Maio")</f>
        <v>Maio</v>
      </c>
      <c r="J40" s="189">
        <f>IFERROR(__xludf.DUMMYFUNCTION("""COMPUTED_VALUE"""),45429.0)</f>
        <v>45429</v>
      </c>
      <c r="K40" s="388">
        <f>IFERROR(__xludf.DUMMYFUNCTION("""COMPUTED_VALUE"""),45429.0)</f>
        <v>45429</v>
      </c>
      <c r="L40" s="195">
        <f>IFERROR(__xludf.DUMMYFUNCTION("""COMPUTED_VALUE"""),45429.0)</f>
        <v>45429</v>
      </c>
      <c r="M40" s="125" t="str">
        <f>IFERROR(__xludf.DUMMYFUNCTION("""COMPUTED_VALUE"""),"Curso de Capacitação para Determinação de Morte Encefálica")</f>
        <v>Curso de Capacitação para Determinação de Morte Encefálica</v>
      </c>
      <c r="N40" s="126">
        <f>IFERROR(__xludf.DUMMYFUNCTION("""COMPUTED_VALUE"""),32.0)</f>
        <v>32</v>
      </c>
      <c r="P40" s="385"/>
      <c r="Q40" s="385"/>
      <c r="R40" s="385"/>
      <c r="S40" s="385"/>
      <c r="T40" s="385"/>
      <c r="U40" s="385"/>
      <c r="V40" s="385"/>
      <c r="W40" s="210"/>
      <c r="X40" s="210"/>
      <c r="Y40" s="386"/>
      <c r="Z40" s="386"/>
    </row>
    <row r="41">
      <c r="A41" s="135" t="str">
        <f>IFERROR(__xludf.DUMMYFUNCTION("""COMPUTED_VALUE"""),"Transplante")</f>
        <v>Transplante</v>
      </c>
      <c r="B41" s="124" t="str">
        <f>IFERROR(__xludf.DUMMYFUNCTION("""COMPUTED_VALUE"""),"Curso de Capacitação para Determinação de Morte Encefálica")</f>
        <v>Curso de Capacitação para Determinação de Morte Encefálica</v>
      </c>
      <c r="C41" s="125" t="str">
        <f>IFERROR(__xludf.DUMMYFUNCTION("""COMPUTED_VALUE"""),"Básico (Até 79h)")</f>
        <v>Básico (Até 79h)</v>
      </c>
      <c r="D41" s="126">
        <f>IFERROR(__xludf.DUMMYFUNCTION("""COMPUTED_VALUE"""),8.0)</f>
        <v>8</v>
      </c>
      <c r="E41" s="126" t="str">
        <f>IFERROR(__xludf.DUMMYFUNCTION("""COMPUTED_VALUE"""),"Turma 1")</f>
        <v>Turma 1</v>
      </c>
      <c r="F41" s="125" t="str">
        <f>IFERROR(__xludf.DUMMYFUNCTION("""COMPUTED_VALUE"""),"Fortaleza")</f>
        <v>Fortaleza</v>
      </c>
      <c r="G41" s="126" t="str">
        <f>IFERROR(__xludf.DUMMYFUNCTION("""COMPUTED_VALUE"""),"SR Fortaleza, SR Certão Cental, SR Litoral Leste, SR Norte, SR Cariri")</f>
        <v>SR Fortaleza, SR Certão Cental, SR Litoral Leste, SR Norte, SR Cariri</v>
      </c>
      <c r="H41" s="125" t="str">
        <f>IFERROR(__xludf.DUMMYFUNCTION("""COMPUTED_VALUE"""),"Presencial (máximo 20% EaD)")</f>
        <v>Presencial (máximo 20% EaD)</v>
      </c>
      <c r="I41" s="138" t="str">
        <f>IFERROR(__xludf.DUMMYFUNCTION("""COMPUTED_VALUE"""),"Junho")</f>
        <v>Junho</v>
      </c>
      <c r="J41" s="189">
        <f>IFERROR(__xludf.DUMMYFUNCTION("""COMPUTED_VALUE"""),45471.0)</f>
        <v>45471</v>
      </c>
      <c r="K41" s="388">
        <f>IFERROR(__xludf.DUMMYFUNCTION("""COMPUTED_VALUE"""),45471.0)</f>
        <v>45471</v>
      </c>
      <c r="L41" s="195">
        <f>IFERROR(__xludf.DUMMYFUNCTION("""COMPUTED_VALUE"""),45471.0)</f>
        <v>45471</v>
      </c>
      <c r="M41" s="125" t="str">
        <f>IFERROR(__xludf.DUMMYFUNCTION("""COMPUTED_VALUE"""),"Curso de Capacitação para Determinação de Morte Encefálica")</f>
        <v>Curso de Capacitação para Determinação de Morte Encefálica</v>
      </c>
      <c r="N41" s="126">
        <f>IFERROR(__xludf.DUMMYFUNCTION("""COMPUTED_VALUE"""),32.0)</f>
        <v>32</v>
      </c>
      <c r="P41" s="385"/>
      <c r="Q41" s="385"/>
      <c r="R41" s="385"/>
      <c r="S41" s="385"/>
      <c r="T41" s="385"/>
      <c r="U41" s="385"/>
      <c r="V41" s="385"/>
      <c r="W41" s="210"/>
      <c r="X41" s="210"/>
      <c r="Y41" s="386"/>
      <c r="Z41" s="386"/>
    </row>
    <row r="42">
      <c r="A42" s="135" t="str">
        <f>IFERROR(__xludf.DUMMYFUNCTION("""COMPUTED_VALUE"""),"Transplante")</f>
        <v>Transplante</v>
      </c>
      <c r="B42" s="124" t="str">
        <f>IFERROR(__xludf.DUMMYFUNCTION("""COMPUTED_VALUE"""),"Curso de Capacitação para Determinação de Morte Encefálica")</f>
        <v>Curso de Capacitação para Determinação de Morte Encefálica</v>
      </c>
      <c r="C42" s="125" t="str">
        <f>IFERROR(__xludf.DUMMYFUNCTION("""COMPUTED_VALUE"""),"Básico (Até 79h)")</f>
        <v>Básico (Até 79h)</v>
      </c>
      <c r="D42" s="126">
        <f>IFERROR(__xludf.DUMMYFUNCTION("""COMPUTED_VALUE"""),8.0)</f>
        <v>8</v>
      </c>
      <c r="E42" s="126" t="str">
        <f>IFERROR(__xludf.DUMMYFUNCTION("""COMPUTED_VALUE"""),"Turma 2")</f>
        <v>Turma 2</v>
      </c>
      <c r="F42" s="125" t="str">
        <f>IFERROR(__xludf.DUMMYFUNCTION("""COMPUTED_VALUE"""),"Fortaleza")</f>
        <v>Fortaleza</v>
      </c>
      <c r="G42" s="125" t="str">
        <f>IFERROR(__xludf.DUMMYFUNCTION("""COMPUTED_VALUE"""),"SR Fortaleza, SR Certão Cental, SR Litoral Leste, SR Norte, SR Cariri")</f>
        <v>SR Fortaleza, SR Certão Cental, SR Litoral Leste, SR Norte, SR Cariri</v>
      </c>
      <c r="H42" s="126" t="str">
        <f>IFERROR(__xludf.DUMMYFUNCTION("""COMPUTED_VALUE"""),"Presencial (máximo 20% EaD)")</f>
        <v>Presencial (máximo 20% EaD)</v>
      </c>
      <c r="I42" s="125" t="str">
        <f>IFERROR(__xludf.DUMMYFUNCTION("""COMPUTED_VALUE"""),"Setembro")</f>
        <v>Setembro</v>
      </c>
      <c r="J42" s="195">
        <f>IFERROR(__xludf.DUMMYFUNCTION("""COMPUTED_VALUE"""),45548.0)</f>
        <v>45548</v>
      </c>
      <c r="K42" s="153"/>
      <c r="L42" s="126"/>
      <c r="M42" s="126"/>
      <c r="N42" s="126">
        <f>IFERROR(__xludf.DUMMYFUNCTION("""COMPUTED_VALUE"""),32.0)</f>
        <v>32</v>
      </c>
      <c r="P42" s="385"/>
      <c r="Q42" s="385"/>
      <c r="R42" s="385"/>
      <c r="S42" s="385"/>
      <c r="T42" s="385"/>
      <c r="U42" s="385"/>
      <c r="V42" s="385"/>
      <c r="W42" s="210"/>
      <c r="X42" s="210"/>
      <c r="Y42" s="386"/>
      <c r="Z42" s="386"/>
    </row>
    <row r="43">
      <c r="A43" s="135" t="str">
        <f>IFERROR(__xludf.DUMMYFUNCTION("""COMPUTED_VALUE"""),"Transplante")</f>
        <v>Transplante</v>
      </c>
      <c r="B43" s="124" t="str">
        <f>IFERROR(__xludf.DUMMYFUNCTION("""COMPUTED_VALUE"""),"Curso de Capacitação em Preservação e Perfusão de Órgãos Removidos para Transplantes")</f>
        <v>Curso de Capacitação em Preservação e Perfusão de Órgãos Removidos para Transplantes</v>
      </c>
      <c r="C43" s="125" t="str">
        <f>IFERROR(__xludf.DUMMYFUNCTION("""COMPUTED_VALUE"""),"Básico (Até 79h)")</f>
        <v>Básico (Até 79h)</v>
      </c>
      <c r="D43" s="126">
        <f>IFERROR(__xludf.DUMMYFUNCTION("""COMPUTED_VALUE"""),40.0)</f>
        <v>40</v>
      </c>
      <c r="E43" s="126" t="str">
        <f>IFERROR(__xludf.DUMMYFUNCTION("""COMPUTED_VALUE"""),"Turma 1")</f>
        <v>Turma 1</v>
      </c>
      <c r="F43" s="125" t="str">
        <f>IFERROR(__xludf.DUMMYFUNCTION("""COMPUTED_VALUE"""),"Fortaleza")</f>
        <v>Fortaleza</v>
      </c>
      <c r="G43" s="125" t="str">
        <f>IFERROR(__xludf.DUMMYFUNCTION("""COMPUTED_VALUE"""),"SR Fortaleza, SR Certão Cental, SR Litoral Leste, SR Norte, SR Cariri")</f>
        <v>SR Fortaleza, SR Certão Cental, SR Litoral Leste, SR Norte, SR Cariri</v>
      </c>
      <c r="H43" s="126" t="str">
        <f>IFERROR(__xludf.DUMMYFUNCTION("""COMPUTED_VALUE"""),"Presencial (máximo 20% EaD)")</f>
        <v>Presencial (máximo 20% EaD)</v>
      </c>
      <c r="I43" s="125" t="str">
        <f>IFERROR(__xludf.DUMMYFUNCTION("""COMPUTED_VALUE"""),"Setembro")</f>
        <v>Setembro</v>
      </c>
      <c r="J43" s="125" t="str">
        <f>IFERROR(__xludf.DUMMYFUNCTION("""COMPUTED_VALUE"""),"25 a 29/09/2024")</f>
        <v>25 a 29/09/2024</v>
      </c>
      <c r="K43" s="153"/>
      <c r="L43" s="126"/>
      <c r="M43" s="126"/>
      <c r="N43" s="126">
        <f>IFERROR(__xludf.DUMMYFUNCTION("""COMPUTED_VALUE"""),10.0)</f>
        <v>10</v>
      </c>
      <c r="P43" s="385"/>
      <c r="Q43" s="385"/>
      <c r="R43" s="385"/>
      <c r="S43" s="385"/>
      <c r="T43" s="385"/>
      <c r="U43" s="385"/>
      <c r="V43" s="385"/>
      <c r="W43" s="210"/>
      <c r="X43" s="210"/>
      <c r="Y43" s="386"/>
      <c r="Z43" s="386"/>
    </row>
    <row r="44">
      <c r="A44" s="135" t="str">
        <f>IFERROR(__xludf.DUMMYFUNCTION("""COMPUTED_VALUE"""),"Transplante")</f>
        <v>Transplante</v>
      </c>
      <c r="B44" s="124" t="str">
        <f>IFERROR(__xludf.DUMMYFUNCTION("""COMPUTED_VALUE"""),"Curso de Capacitação em Preservação e Perfusão de Órgãos Removidos para Transplantes")</f>
        <v>Curso de Capacitação em Preservação e Perfusão de Órgãos Removidos para Transplantes</v>
      </c>
      <c r="C44" s="125" t="str">
        <f>IFERROR(__xludf.DUMMYFUNCTION("""COMPUTED_VALUE"""),"Básico (Até 79h)")</f>
        <v>Básico (Até 79h)</v>
      </c>
      <c r="D44" s="126">
        <f>IFERROR(__xludf.DUMMYFUNCTION("""COMPUTED_VALUE"""),40.0)</f>
        <v>40</v>
      </c>
      <c r="E44" s="126" t="str">
        <f>IFERROR(__xludf.DUMMYFUNCTION("""COMPUTED_VALUE"""),"Turma 2")</f>
        <v>Turma 2</v>
      </c>
      <c r="F44" s="125" t="str">
        <f>IFERROR(__xludf.DUMMYFUNCTION("""COMPUTED_VALUE"""),"Fortaleza")</f>
        <v>Fortaleza</v>
      </c>
      <c r="G44" s="125" t="str">
        <f>IFERROR(__xludf.DUMMYFUNCTION("""COMPUTED_VALUE"""),"SR Fortaleza, SR Certão Cental, SR Litoral Leste, SR Norte, SR Cariri")</f>
        <v>SR Fortaleza, SR Certão Cental, SR Litoral Leste, SR Norte, SR Cariri</v>
      </c>
      <c r="H44" s="126" t="str">
        <f>IFERROR(__xludf.DUMMYFUNCTION("""COMPUTED_VALUE"""),"Presencial (máximo 20% EaD)")</f>
        <v>Presencial (máximo 20% EaD)</v>
      </c>
      <c r="I44" s="125"/>
      <c r="J44" s="125"/>
      <c r="K44" s="126"/>
      <c r="L44" s="126"/>
      <c r="M44" s="126"/>
      <c r="N44" s="126">
        <f>IFERROR(__xludf.DUMMYFUNCTION("""COMPUTED_VALUE"""),0.0)</f>
        <v>0</v>
      </c>
      <c r="P44" s="385"/>
      <c r="Q44" s="385"/>
      <c r="R44" s="385"/>
      <c r="S44" s="385"/>
      <c r="T44" s="385"/>
      <c r="U44" s="385"/>
      <c r="V44" s="385"/>
      <c r="W44" s="124"/>
      <c r="X44" s="124"/>
      <c r="Y44" s="386"/>
      <c r="Z44" s="386"/>
    </row>
    <row r="45">
      <c r="A45" s="135" t="str">
        <f>IFERROR(__xludf.DUMMYFUNCTION("""COMPUTED_VALUE"""),"Transplante")</f>
        <v>Transplante</v>
      </c>
      <c r="B45" s="124" t="str">
        <f>IFERROR(__xludf.DUMMYFUNCTION("""COMPUTED_VALUE"""),"Curso de Reestruturação da Rede de Procura de órgãos do Estado do Ceará")</f>
        <v>Curso de Reestruturação da Rede de Procura de órgãos do Estado do Ceará</v>
      </c>
      <c r="C45" s="125" t="str">
        <f>IFERROR(__xludf.DUMMYFUNCTION("""COMPUTED_VALUE"""),"Básico (Até 79h)")</f>
        <v>Básico (Até 79h)</v>
      </c>
      <c r="D45" s="126">
        <f>IFERROR(__xludf.DUMMYFUNCTION("""COMPUTED_VALUE"""),8.0)</f>
        <v>8</v>
      </c>
      <c r="E45" s="126" t="str">
        <f>IFERROR(__xludf.DUMMYFUNCTION("""COMPUTED_VALUE"""),"Turma 1")</f>
        <v>Turma 1</v>
      </c>
      <c r="F45" s="125" t="str">
        <f>IFERROR(__xludf.DUMMYFUNCTION("""COMPUTED_VALUE"""),"Fortaleza")</f>
        <v>Fortaleza</v>
      </c>
      <c r="G45" s="125" t="str">
        <f>IFERROR(__xludf.DUMMYFUNCTION("""COMPUTED_VALUE"""),"SR Fortaleza - Hospital Saõ Carlos")</f>
        <v>SR Fortaleza - Hospital Saõ Carlos</v>
      </c>
      <c r="H45" s="126" t="str">
        <f>IFERROR(__xludf.DUMMYFUNCTION("""COMPUTED_VALUE"""),"Presencial (máximo 20% EaD)")</f>
        <v>Presencial (máximo 20% EaD)</v>
      </c>
      <c r="I45" s="125" t="str">
        <f>IFERROR(__xludf.DUMMYFUNCTION("""COMPUTED_VALUE"""),"Maio")</f>
        <v>Maio</v>
      </c>
      <c r="J45" s="189">
        <f>IFERROR(__xludf.DUMMYFUNCTION("""COMPUTED_VALUE"""),45441.0)</f>
        <v>45441</v>
      </c>
      <c r="K45" s="126"/>
      <c r="L45" s="126"/>
      <c r="M45" s="126"/>
      <c r="N45" s="126">
        <f>IFERROR(__xludf.DUMMYFUNCTION("""COMPUTED_VALUE"""),10.0)</f>
        <v>10</v>
      </c>
      <c r="O45" s="385"/>
      <c r="P45" s="385"/>
      <c r="Q45" s="385"/>
      <c r="R45" s="385"/>
      <c r="S45" s="385"/>
      <c r="T45" s="385"/>
      <c r="U45" s="385"/>
      <c r="V45" s="385"/>
      <c r="W45" s="124"/>
      <c r="X45" s="124"/>
      <c r="Y45" s="386"/>
      <c r="Z45" s="386"/>
    </row>
    <row r="46">
      <c r="A46" s="135" t="str">
        <f>IFERROR(__xludf.DUMMYFUNCTION("""COMPUTED_VALUE"""),"Transplante")</f>
        <v>Transplante</v>
      </c>
      <c r="B46" s="124" t="str">
        <f>IFERROR(__xludf.DUMMYFUNCTION("""COMPUTED_VALUE"""),"Curso de Reestruturação da Rede de Procura de órgãos do Estado do Ceará")</f>
        <v>Curso de Reestruturação da Rede de Procura de órgãos do Estado do Ceará</v>
      </c>
      <c r="C46" s="125" t="str">
        <f>IFERROR(__xludf.DUMMYFUNCTION("""COMPUTED_VALUE"""),"Básico (Até 79h)")</f>
        <v>Básico (Até 79h)</v>
      </c>
      <c r="D46" s="126">
        <f>IFERROR(__xludf.DUMMYFUNCTION("""COMPUTED_VALUE"""),8.0)</f>
        <v>8</v>
      </c>
      <c r="E46" s="126" t="str">
        <f>IFERROR(__xludf.DUMMYFUNCTION("""COMPUTED_VALUE"""),"Turma 2")</f>
        <v>Turma 2</v>
      </c>
      <c r="F46" s="125" t="str">
        <f>IFERROR(__xludf.DUMMYFUNCTION("""COMPUTED_VALUE"""),"Fortaleza")</f>
        <v>Fortaleza</v>
      </c>
      <c r="G46" s="125" t="str">
        <f>IFERROR(__xludf.DUMMYFUNCTION("""COMPUTED_VALUE"""),"SR Fortaleza - HGF")</f>
        <v>SR Fortaleza - HGF</v>
      </c>
      <c r="H46" s="126" t="str">
        <f>IFERROR(__xludf.DUMMYFUNCTION("""COMPUTED_VALUE"""),"Presencial (máximo 20% EaD)")</f>
        <v>Presencial (máximo 20% EaD)</v>
      </c>
      <c r="I46" s="125" t="str">
        <f>IFERROR(__xludf.DUMMYFUNCTION("""COMPUTED_VALUE"""),"Junho")</f>
        <v>Junho</v>
      </c>
      <c r="J46" s="189">
        <f>IFERROR(__xludf.DUMMYFUNCTION("""COMPUTED_VALUE"""),45461.0)</f>
        <v>45461</v>
      </c>
      <c r="K46" s="126"/>
      <c r="L46" s="126"/>
      <c r="M46" s="389" t="str">
        <f>IFERROR(__xludf.DUMMYFUNCTION("""COMPUTED_VALUE"""),"https://calendar.google.com/calendar/u/1/r/month/2024/6/18")</f>
        <v>https://calendar.google.com/calendar/u/1/r/month/2024/6/18</v>
      </c>
      <c r="N46" s="126">
        <f>IFERROR(__xludf.DUMMYFUNCTION("""COMPUTED_VALUE"""),10.0)</f>
        <v>10</v>
      </c>
      <c r="P46" s="385"/>
      <c r="Q46" s="385"/>
      <c r="R46" s="385"/>
      <c r="S46" s="385"/>
      <c r="T46" s="385"/>
      <c r="U46" s="385"/>
      <c r="V46" s="385"/>
      <c r="W46" s="390"/>
      <c r="X46" s="390"/>
      <c r="Y46" s="391"/>
      <c r="Z46" s="391"/>
    </row>
    <row r="47">
      <c r="A47" s="135" t="str">
        <f>IFERROR(__xludf.DUMMYFUNCTION("""COMPUTED_VALUE"""),"Transplante")</f>
        <v>Transplante</v>
      </c>
      <c r="B47" s="124" t="str">
        <f>IFERROR(__xludf.DUMMYFUNCTION("""COMPUTED_VALUE"""),"Curso de Reestruturação da Rede de Procura de órgãos do Estado do Ceará")</f>
        <v>Curso de Reestruturação da Rede de Procura de órgãos do Estado do Ceará</v>
      </c>
      <c r="C47" s="125" t="str">
        <f>IFERROR(__xludf.DUMMYFUNCTION("""COMPUTED_VALUE"""),"Básico (Até 79h)")</f>
        <v>Básico (Até 79h)</v>
      </c>
      <c r="D47" s="126">
        <f>IFERROR(__xludf.DUMMYFUNCTION("""COMPUTED_VALUE"""),8.0)</f>
        <v>8</v>
      </c>
      <c r="E47" s="126" t="str">
        <f>IFERROR(__xludf.DUMMYFUNCTION("""COMPUTED_VALUE"""),"Turma 3")</f>
        <v>Turma 3</v>
      </c>
      <c r="F47" s="125" t="str">
        <f>IFERROR(__xludf.DUMMYFUNCTION("""COMPUTED_VALUE"""),"Fortaleza")</f>
        <v>Fortaleza</v>
      </c>
      <c r="G47" s="125" t="str">
        <f>IFERROR(__xludf.DUMMYFUNCTION("""COMPUTED_VALUE"""),"SR Fortaleza - IJF")</f>
        <v>SR Fortaleza - IJF</v>
      </c>
      <c r="H47" s="126" t="str">
        <f>IFERROR(__xludf.DUMMYFUNCTION("""COMPUTED_VALUE"""),"Presencial (máximo 20% EaD)")</f>
        <v>Presencial (máximo 20% EaD)</v>
      </c>
      <c r="I47" s="125" t="str">
        <f>IFERROR(__xludf.DUMMYFUNCTION("""COMPUTED_VALUE"""),"Junho")</f>
        <v>Junho</v>
      </c>
      <c r="J47" s="189">
        <f>IFERROR(__xludf.DUMMYFUNCTION("""COMPUTED_VALUE"""),45468.0)</f>
        <v>45468</v>
      </c>
      <c r="K47" s="126"/>
      <c r="L47" s="126"/>
      <c r="M47" s="126"/>
      <c r="N47" s="126">
        <f>IFERROR(__xludf.DUMMYFUNCTION("""COMPUTED_VALUE"""),10.0)</f>
        <v>10</v>
      </c>
      <c r="P47" s="385"/>
      <c r="Q47" s="385"/>
      <c r="R47" s="385"/>
      <c r="S47" s="385"/>
      <c r="T47" s="385"/>
      <c r="U47" s="385"/>
      <c r="V47" s="385"/>
      <c r="W47" s="392"/>
      <c r="X47" s="392"/>
      <c r="Y47" s="386"/>
      <c r="Z47" s="386"/>
    </row>
    <row r="48">
      <c r="A48" s="135" t="str">
        <f>IFERROR(__xludf.DUMMYFUNCTION("""COMPUTED_VALUE"""),"Transplante")</f>
        <v>Transplante</v>
      </c>
      <c r="B48" s="124" t="str">
        <f>IFERROR(__xludf.DUMMYFUNCTION("""COMPUTED_VALUE"""),"Curso de Reestruturação da Rede de Procura de órgãos do Estado do Ceará")</f>
        <v>Curso de Reestruturação da Rede de Procura de órgãos do Estado do Ceará</v>
      </c>
      <c r="C48" s="125" t="str">
        <f>IFERROR(__xludf.DUMMYFUNCTION("""COMPUTED_VALUE"""),"Básico (Até 79h)")</f>
        <v>Básico (Até 79h)</v>
      </c>
      <c r="D48" s="126">
        <f>IFERROR(__xludf.DUMMYFUNCTION("""COMPUTED_VALUE"""),8.0)</f>
        <v>8</v>
      </c>
      <c r="E48" s="126" t="str">
        <f>IFERROR(__xludf.DUMMYFUNCTION("""COMPUTED_VALUE"""),"Turma 4")</f>
        <v>Turma 4</v>
      </c>
      <c r="F48" s="125" t="str">
        <f>IFERROR(__xludf.DUMMYFUNCTION("""COMPUTED_VALUE"""),"Fortaleza")</f>
        <v>Fortaleza</v>
      </c>
      <c r="G48" s="125" t="str">
        <f>IFERROR(__xludf.DUMMYFUNCTION("""COMPUTED_VALUE"""),"SR Fortaleza - HIAS")</f>
        <v>SR Fortaleza - HIAS</v>
      </c>
      <c r="H48" s="126" t="str">
        <f>IFERROR(__xludf.DUMMYFUNCTION("""COMPUTED_VALUE"""),"Presencial (máximo 20% EaD)")</f>
        <v>Presencial (máximo 20% EaD)</v>
      </c>
      <c r="I48" s="125" t="str">
        <f>IFERROR(__xludf.DUMMYFUNCTION("""COMPUTED_VALUE"""),"Junho")</f>
        <v>Junho</v>
      </c>
      <c r="J48" s="189">
        <f>IFERROR(__xludf.DUMMYFUNCTION("""COMPUTED_VALUE"""),45469.0)</f>
        <v>45469</v>
      </c>
      <c r="K48" s="126"/>
      <c r="L48" s="126"/>
      <c r="M48" s="126"/>
      <c r="N48" s="126">
        <f>IFERROR(__xludf.DUMMYFUNCTION("""COMPUTED_VALUE"""),10.0)</f>
        <v>10</v>
      </c>
      <c r="P48" s="385"/>
      <c r="Q48" s="385"/>
      <c r="R48" s="385"/>
      <c r="S48" s="385"/>
      <c r="T48" s="385"/>
      <c r="U48" s="385"/>
      <c r="V48" s="385"/>
      <c r="W48" s="392"/>
      <c r="X48" s="392"/>
      <c r="Y48" s="386"/>
      <c r="Z48" s="386"/>
    </row>
    <row r="49">
      <c r="A49" s="135" t="str">
        <f>IFERROR(__xludf.DUMMYFUNCTION("""COMPUTED_VALUE"""),"Transplante")</f>
        <v>Transplante</v>
      </c>
      <c r="B49" s="124" t="str">
        <f>IFERROR(__xludf.DUMMYFUNCTION("""COMPUTED_VALUE"""),"Curso de Reestruturação da Rede de Procura de órgãos do Estado do Ceará")</f>
        <v>Curso de Reestruturação da Rede de Procura de órgãos do Estado do Ceará</v>
      </c>
      <c r="C49" s="125" t="str">
        <f>IFERROR(__xludf.DUMMYFUNCTION("""COMPUTED_VALUE"""),"Básico (Até 79h)")</f>
        <v>Básico (Até 79h)</v>
      </c>
      <c r="D49" s="126">
        <f>IFERROR(__xludf.DUMMYFUNCTION("""COMPUTED_VALUE"""),8.0)</f>
        <v>8</v>
      </c>
      <c r="E49" s="126" t="str">
        <f>IFERROR(__xludf.DUMMYFUNCTION("""COMPUTED_VALUE"""),"Turma 5")</f>
        <v>Turma 5</v>
      </c>
      <c r="F49" s="125" t="str">
        <f>IFERROR(__xludf.DUMMYFUNCTION("""COMPUTED_VALUE"""),"Sobral")</f>
        <v>Sobral</v>
      </c>
      <c r="G49" s="125" t="str">
        <f>IFERROR(__xludf.DUMMYFUNCTION("""COMPUTED_VALUE"""),"SR norte- Hospital Santa Casa de Sobral")</f>
        <v>SR norte- Hospital Santa Casa de Sobral</v>
      </c>
      <c r="H49" s="126" t="str">
        <f>IFERROR(__xludf.DUMMYFUNCTION("""COMPUTED_VALUE"""),"Presencial (máximo 20% EaD)")</f>
        <v>Presencial (máximo 20% EaD)</v>
      </c>
      <c r="I49" s="125" t="str">
        <f>IFERROR(__xludf.DUMMYFUNCTION("""COMPUTED_VALUE"""),"outubro")</f>
        <v>outubro</v>
      </c>
      <c r="J49" s="195">
        <f>IFERROR(__xludf.DUMMYFUNCTION("""COMPUTED_VALUE"""),45568.0)</f>
        <v>45568</v>
      </c>
      <c r="K49" s="126"/>
      <c r="L49" s="126"/>
      <c r="M49" s="126"/>
      <c r="N49" s="126">
        <f>IFERROR(__xludf.DUMMYFUNCTION("""COMPUTED_VALUE"""),10.0)</f>
        <v>10</v>
      </c>
      <c r="P49" s="385"/>
      <c r="Q49" s="385"/>
      <c r="R49" s="385"/>
      <c r="S49" s="385"/>
      <c r="T49" s="385"/>
      <c r="U49" s="385"/>
      <c r="V49" s="385"/>
      <c r="W49" s="392"/>
      <c r="X49" s="392"/>
      <c r="Y49" s="386"/>
      <c r="Z49" s="386"/>
    </row>
    <row r="50">
      <c r="A50" s="135" t="str">
        <f>IFERROR(__xludf.DUMMYFUNCTION("""COMPUTED_VALUE"""),"Transplante")</f>
        <v>Transplante</v>
      </c>
      <c r="B50" s="124" t="str">
        <f>IFERROR(__xludf.DUMMYFUNCTION("""COMPUTED_VALUE"""),"Curso de Reestruturação da Rede de Procura de órgãos do Estado do Ceará")</f>
        <v>Curso de Reestruturação da Rede de Procura de órgãos do Estado do Ceará</v>
      </c>
      <c r="C50" s="125" t="str">
        <f>IFERROR(__xludf.DUMMYFUNCTION("""COMPUTED_VALUE"""),"Básico (Até 79h)")</f>
        <v>Básico (Até 79h)</v>
      </c>
      <c r="D50" s="126">
        <f>IFERROR(__xludf.DUMMYFUNCTION("""COMPUTED_VALUE"""),8.0)</f>
        <v>8</v>
      </c>
      <c r="E50" s="126" t="str">
        <f>IFERROR(__xludf.DUMMYFUNCTION("""COMPUTED_VALUE"""),"Turma 6")</f>
        <v>Turma 6</v>
      </c>
      <c r="F50" s="125" t="str">
        <f>IFERROR(__xludf.DUMMYFUNCTION("""COMPUTED_VALUE"""),"Fortaleza")</f>
        <v>Fortaleza</v>
      </c>
      <c r="G50" s="125" t="str">
        <f>IFERROR(__xludf.DUMMYFUNCTION("""COMPUTED_VALUE"""),"SR Fortaleza - Unimed Sul")</f>
        <v>SR Fortaleza - Unimed Sul</v>
      </c>
      <c r="H50" s="125" t="str">
        <f>IFERROR(__xludf.DUMMYFUNCTION("""COMPUTED_VALUE"""),"Presencial (máximo 20% EaD)")</f>
        <v>Presencial (máximo 20% EaD)</v>
      </c>
      <c r="I50" s="125" t="str">
        <f>IFERROR(__xludf.DUMMYFUNCTION("""COMPUTED_VALUE"""),"outubro")</f>
        <v>outubro</v>
      </c>
      <c r="J50" s="195">
        <f>IFERROR(__xludf.DUMMYFUNCTION("""COMPUTED_VALUE"""),45574.0)</f>
        <v>45574</v>
      </c>
      <c r="K50" s="126"/>
      <c r="L50" s="126"/>
      <c r="M50" s="126"/>
      <c r="N50" s="126">
        <f>IFERROR(__xludf.DUMMYFUNCTION("""COMPUTED_VALUE"""),10.0)</f>
        <v>10</v>
      </c>
      <c r="O50" s="385"/>
      <c r="P50" s="385"/>
      <c r="Q50" s="385"/>
      <c r="R50" s="385"/>
      <c r="S50" s="385"/>
      <c r="T50" s="385"/>
      <c r="U50" s="385"/>
      <c r="V50" s="385"/>
      <c r="W50" s="392"/>
      <c r="X50" s="392"/>
      <c r="Y50" s="386"/>
      <c r="Z50" s="386"/>
    </row>
    <row r="51">
      <c r="A51" s="135" t="str">
        <f>IFERROR(__xludf.DUMMYFUNCTION("""COMPUTED_VALUE"""),"Transplante")</f>
        <v>Transplante</v>
      </c>
      <c r="B51" s="124" t="str">
        <f>IFERROR(__xludf.DUMMYFUNCTION("""COMPUTED_VALUE"""),"Curso de Reestruturação da Rede de Procura de órgãos do Estado do Ceará")</f>
        <v>Curso de Reestruturação da Rede de Procura de órgãos do Estado do Ceará</v>
      </c>
      <c r="C51" s="125" t="str">
        <f>IFERROR(__xludf.DUMMYFUNCTION("""COMPUTED_VALUE"""),"Básico (Até 79h)")</f>
        <v>Básico (Até 79h)</v>
      </c>
      <c r="D51" s="126">
        <f>IFERROR(__xludf.DUMMYFUNCTION("""COMPUTED_VALUE"""),8.0)</f>
        <v>8</v>
      </c>
      <c r="E51" s="126" t="str">
        <f>IFERROR(__xludf.DUMMYFUNCTION("""COMPUTED_VALUE"""),"Turma 7")</f>
        <v>Turma 7</v>
      </c>
      <c r="F51" s="125" t="str">
        <f>IFERROR(__xludf.DUMMYFUNCTION("""COMPUTED_VALUE"""),"Juazeiro do Norte")</f>
        <v>Juazeiro do Norte</v>
      </c>
      <c r="G51" s="125" t="str">
        <f>IFERROR(__xludf.DUMMYFUNCTION("""COMPUTED_VALUE"""),"SR Cariri - Hospital Regional do Cariri")</f>
        <v>SR Cariri - Hospital Regional do Cariri</v>
      </c>
      <c r="H51" s="125" t="str">
        <f>IFERROR(__xludf.DUMMYFUNCTION("""COMPUTED_VALUE"""),"Presencial (máximo 20% EaD)")</f>
        <v>Presencial (máximo 20% EaD)</v>
      </c>
      <c r="I51" s="125" t="str">
        <f>IFERROR(__xludf.DUMMYFUNCTION("""COMPUTED_VALUE"""),"outubro")</f>
        <v>outubro</v>
      </c>
      <c r="J51" s="189">
        <f>IFERROR(__xludf.DUMMYFUNCTION("""COMPUTED_VALUE"""),45582.0)</f>
        <v>45582</v>
      </c>
      <c r="K51" s="126"/>
      <c r="L51" s="126"/>
      <c r="M51" s="126"/>
      <c r="N51" s="126">
        <f>IFERROR(__xludf.DUMMYFUNCTION("""COMPUTED_VALUE"""),10.0)</f>
        <v>10</v>
      </c>
      <c r="P51" s="385"/>
      <c r="Q51" s="385"/>
      <c r="R51" s="385"/>
      <c r="S51" s="385"/>
      <c r="T51" s="385"/>
      <c r="U51" s="385"/>
      <c r="V51" s="385"/>
      <c r="W51" s="392"/>
      <c r="X51" s="392"/>
      <c r="Y51" s="386"/>
      <c r="Z51" s="386"/>
    </row>
    <row r="52">
      <c r="A52" s="135" t="str">
        <f>IFERROR(__xludf.DUMMYFUNCTION("""COMPUTED_VALUE"""),"Transplante")</f>
        <v>Transplante</v>
      </c>
      <c r="B52" s="124" t="str">
        <f>IFERROR(__xludf.DUMMYFUNCTION("""COMPUTED_VALUE"""),"Curso de Reestruturação da Rede de Procura de órgãos do Estado do Ceará")</f>
        <v>Curso de Reestruturação da Rede de Procura de órgãos do Estado do Ceará</v>
      </c>
      <c r="C52" s="125" t="str">
        <f>IFERROR(__xludf.DUMMYFUNCTION("""COMPUTED_VALUE"""),"Básico (Até 79h)")</f>
        <v>Básico (Até 79h)</v>
      </c>
      <c r="D52" s="126">
        <f>IFERROR(__xludf.DUMMYFUNCTION("""COMPUTED_VALUE"""),8.0)</f>
        <v>8</v>
      </c>
      <c r="E52" s="126" t="str">
        <f>IFERROR(__xludf.DUMMYFUNCTION("""COMPUTED_VALUE"""),"Turma 8")</f>
        <v>Turma 8</v>
      </c>
      <c r="F52" s="125" t="str">
        <f>IFERROR(__xludf.DUMMYFUNCTION("""COMPUTED_VALUE"""),"A definir")</f>
        <v>A definir</v>
      </c>
      <c r="G52" s="125" t="str">
        <f>IFERROR(__xludf.DUMMYFUNCTION("""COMPUTED_VALUE"""),"SR Sertão Central")</f>
        <v>SR Sertão Central</v>
      </c>
      <c r="H52" s="126" t="str">
        <f>IFERROR(__xludf.DUMMYFUNCTION("""COMPUTED_VALUE"""),"Presencial (máximo 20% EaD)")</f>
        <v>Presencial (máximo 20% EaD)</v>
      </c>
      <c r="I52" s="125" t="str">
        <f>IFERROR(__xludf.DUMMYFUNCTION("""COMPUTED_VALUE"""),"Novembro")</f>
        <v>Novembro</v>
      </c>
      <c r="J52" s="189">
        <f>IFERROR(__xludf.DUMMYFUNCTION("""COMPUTED_VALUE"""),45622.0)</f>
        <v>45622</v>
      </c>
      <c r="K52" s="126"/>
      <c r="L52" s="126"/>
      <c r="M52" s="126"/>
      <c r="N52" s="126">
        <f>IFERROR(__xludf.DUMMYFUNCTION("""COMPUTED_VALUE"""),10.0)</f>
        <v>10</v>
      </c>
      <c r="P52" s="385"/>
      <c r="Q52" s="385"/>
      <c r="R52" s="385"/>
      <c r="S52" s="385"/>
      <c r="T52" s="385"/>
      <c r="U52" s="385"/>
      <c r="V52" s="385"/>
      <c r="W52" s="392"/>
      <c r="X52" s="392"/>
      <c r="Y52" s="386"/>
      <c r="Z52" s="386"/>
    </row>
    <row r="53">
      <c r="A53" s="135" t="str">
        <f>IFERROR(__xludf.DUMMYFUNCTION("""COMPUTED_VALUE"""),"Transplante")</f>
        <v>Transplante</v>
      </c>
      <c r="B53" s="124" t="str">
        <f>IFERROR(__xludf.DUMMYFUNCTION("""COMPUTED_VALUE"""),"Curso de Reestruturação da Rede de Procura de órgãos do Estado do Ceará")</f>
        <v>Curso de Reestruturação da Rede de Procura de órgãos do Estado do Ceará</v>
      </c>
      <c r="C53" s="125" t="str">
        <f>IFERROR(__xludf.DUMMYFUNCTION("""COMPUTED_VALUE"""),"Básico (Até 79h)")</f>
        <v>Básico (Até 79h)</v>
      </c>
      <c r="D53" s="126">
        <f>IFERROR(__xludf.DUMMYFUNCTION("""COMPUTED_VALUE"""),8.0)</f>
        <v>8</v>
      </c>
      <c r="E53" s="126" t="str">
        <f>IFERROR(__xludf.DUMMYFUNCTION("""COMPUTED_VALUE"""),"Turma 9")</f>
        <v>Turma 9</v>
      </c>
      <c r="F53" s="125" t="str">
        <f>IFERROR(__xludf.DUMMYFUNCTION("""COMPUTED_VALUE"""),"A definir")</f>
        <v>A definir</v>
      </c>
      <c r="G53" s="125" t="str">
        <f>IFERROR(__xludf.DUMMYFUNCTION("""COMPUTED_VALUE"""),"SR Litoral Leste")</f>
        <v>SR Litoral Leste</v>
      </c>
      <c r="H53" s="126" t="str">
        <f>IFERROR(__xludf.DUMMYFUNCTION("""COMPUTED_VALUE"""),"Presencial (máximo 20% EaD)")</f>
        <v>Presencial (máximo 20% EaD)</v>
      </c>
      <c r="I53" s="138" t="str">
        <f>IFERROR(__xludf.DUMMYFUNCTION("""COMPUTED_VALUE"""),"Outubro")</f>
        <v>Outubro</v>
      </c>
      <c r="J53" s="125" t="str">
        <f>IFERROR(__xludf.DUMMYFUNCTION("""COMPUTED_VALUE"""),"A confirmar")</f>
        <v>A confirmar</v>
      </c>
      <c r="K53" s="126"/>
      <c r="L53" s="126"/>
      <c r="M53" s="126"/>
      <c r="N53" s="126">
        <f>IFERROR(__xludf.DUMMYFUNCTION("""COMPUTED_VALUE"""),0.0)</f>
        <v>0</v>
      </c>
      <c r="P53" s="385"/>
      <c r="Q53" s="385"/>
      <c r="R53" s="385"/>
      <c r="S53" s="385"/>
      <c r="T53" s="385"/>
      <c r="U53" s="385"/>
      <c r="V53" s="385"/>
      <c r="W53" s="392"/>
      <c r="X53" s="392"/>
      <c r="Y53" s="386"/>
      <c r="Z53" s="386"/>
    </row>
    <row r="54">
      <c r="A54" s="135" t="str">
        <f>IFERROR(__xludf.DUMMYFUNCTION("""COMPUTED_VALUE"""),"Transplante")</f>
        <v>Transplante</v>
      </c>
      <c r="B54" s="124" t="str">
        <f>IFERROR(__xludf.DUMMYFUNCTION("""COMPUTED_VALUE"""),"Curso de Reestruturação da Rede de Procura de órgãos do Estado do Ceará")</f>
        <v>Curso de Reestruturação da Rede de Procura de órgãos do Estado do Ceará</v>
      </c>
      <c r="C54" s="125" t="str">
        <f>IFERROR(__xludf.DUMMYFUNCTION("""COMPUTED_VALUE"""),"Básico (Até 79h)")</f>
        <v>Básico (Até 79h)</v>
      </c>
      <c r="D54" s="126">
        <f>IFERROR(__xludf.DUMMYFUNCTION("""COMPUTED_VALUE"""),8.0)</f>
        <v>8</v>
      </c>
      <c r="E54" s="126" t="str">
        <f>IFERROR(__xludf.DUMMYFUNCTION("""COMPUTED_VALUE"""),"Turma 10")</f>
        <v>Turma 10</v>
      </c>
      <c r="F54" s="125" t="str">
        <f>IFERROR(__xludf.DUMMYFUNCTION("""COMPUTED_VALUE"""),"A definir")</f>
        <v>A definir</v>
      </c>
      <c r="G54" s="125" t="str">
        <f>IFERROR(__xludf.DUMMYFUNCTION("""COMPUTED_VALUE"""),"SR Norte")</f>
        <v>SR Norte</v>
      </c>
      <c r="H54" s="126" t="str">
        <f>IFERROR(__xludf.DUMMYFUNCTION("""COMPUTED_VALUE"""),"Presencial (máximo 20% EaD)")</f>
        <v>Presencial (máximo 20% EaD)</v>
      </c>
      <c r="I54" s="125" t="str">
        <f>IFERROR(__xludf.DUMMYFUNCTION("""COMPUTED_VALUE"""),"Outubro")</f>
        <v>Outubro</v>
      </c>
      <c r="J54" s="125" t="str">
        <f>IFERROR(__xludf.DUMMYFUNCTION("""COMPUTED_VALUE"""),"A confirmar")</f>
        <v>A confirmar</v>
      </c>
      <c r="K54" s="126"/>
      <c r="L54" s="126"/>
      <c r="M54" s="126"/>
      <c r="N54" s="126">
        <f>IFERROR(__xludf.DUMMYFUNCTION("""COMPUTED_VALUE"""),0.0)</f>
        <v>0</v>
      </c>
      <c r="P54" s="385"/>
      <c r="Q54" s="385"/>
      <c r="R54" s="385"/>
      <c r="S54" s="385"/>
      <c r="T54" s="385"/>
      <c r="U54" s="385"/>
      <c r="V54" s="385"/>
      <c r="W54" s="392"/>
      <c r="X54" s="392"/>
      <c r="Y54" s="386"/>
      <c r="Z54" s="386"/>
    </row>
    <row r="55">
      <c r="A55" s="135" t="str">
        <f>IFERROR(__xludf.DUMMYFUNCTION("""COMPUTED_VALUE"""),"Transplante")</f>
        <v>Transplante</v>
      </c>
      <c r="B55" s="124" t="str">
        <f>IFERROR(__xludf.DUMMYFUNCTION("""COMPUTED_VALUE"""),"Curso de Reestruturação da Rede de Procura de órgãos do Estado do Ceará")</f>
        <v>Curso de Reestruturação da Rede de Procura de órgãos do Estado do Ceará</v>
      </c>
      <c r="C55" s="125" t="str">
        <f>IFERROR(__xludf.DUMMYFUNCTION("""COMPUTED_VALUE"""),"Básico (Até 79h)")</f>
        <v>Básico (Até 79h)</v>
      </c>
      <c r="D55" s="126">
        <f>IFERROR(__xludf.DUMMYFUNCTION("""COMPUTED_VALUE"""),8.0)</f>
        <v>8</v>
      </c>
      <c r="E55" s="126" t="str">
        <f>IFERROR(__xludf.DUMMYFUNCTION("""COMPUTED_VALUE"""),"Turma 11")</f>
        <v>Turma 11</v>
      </c>
      <c r="F55" s="125" t="str">
        <f>IFERROR(__xludf.DUMMYFUNCTION("""COMPUTED_VALUE"""),"A definir")</f>
        <v>A definir</v>
      </c>
      <c r="G55" s="125" t="str">
        <f>IFERROR(__xludf.DUMMYFUNCTION("""COMPUTED_VALUE"""),"A definir")</f>
        <v>A definir</v>
      </c>
      <c r="H55" s="126" t="str">
        <f>IFERROR(__xludf.DUMMYFUNCTION("""COMPUTED_VALUE"""),"Presencial (máximo 20% EaD)")</f>
        <v>Presencial (máximo 20% EaD)</v>
      </c>
      <c r="I55" s="125" t="str">
        <f>IFERROR(__xludf.DUMMYFUNCTION("""COMPUTED_VALUE"""),"Novembro")</f>
        <v>Novembro</v>
      </c>
      <c r="J55" s="125" t="str">
        <f>IFERROR(__xludf.DUMMYFUNCTION("""COMPUTED_VALUE"""),"A confirmar")</f>
        <v>A confirmar</v>
      </c>
      <c r="K55" s="126"/>
      <c r="L55" s="126"/>
      <c r="M55" s="126"/>
      <c r="N55" s="126">
        <f>IFERROR(__xludf.DUMMYFUNCTION("""COMPUTED_VALUE"""),0.0)</f>
        <v>0</v>
      </c>
      <c r="P55" s="385"/>
      <c r="Q55" s="385"/>
      <c r="R55" s="385"/>
      <c r="S55" s="385"/>
      <c r="T55" s="385"/>
      <c r="U55" s="385"/>
      <c r="V55" s="385"/>
      <c r="W55" s="392"/>
      <c r="X55" s="392"/>
      <c r="Y55" s="386"/>
      <c r="Z55" s="386"/>
    </row>
    <row r="56">
      <c r="A56" s="135" t="str">
        <f>IFERROR(__xludf.DUMMYFUNCTION("""COMPUTED_VALUE"""),"Transplante")</f>
        <v>Transplante</v>
      </c>
      <c r="B56" s="124" t="str">
        <f>IFERROR(__xludf.DUMMYFUNCTION("""COMPUTED_VALUE"""),"Curso de Reestruturação da Rede de Procura de órgãos do Estado do Ceará")</f>
        <v>Curso de Reestruturação da Rede de Procura de órgãos do Estado do Ceará</v>
      </c>
      <c r="C56" s="125" t="str">
        <f>IFERROR(__xludf.DUMMYFUNCTION("""COMPUTED_VALUE"""),"Básico (Até 79h)")</f>
        <v>Básico (Até 79h)</v>
      </c>
      <c r="D56" s="126">
        <f>IFERROR(__xludf.DUMMYFUNCTION("""COMPUTED_VALUE"""),8.0)</f>
        <v>8</v>
      </c>
      <c r="E56" s="125" t="str">
        <f>IFERROR(__xludf.DUMMYFUNCTION("""COMPUTED_VALUE"""),"Turma 12")</f>
        <v>Turma 12</v>
      </c>
      <c r="F56" s="125" t="str">
        <f>IFERROR(__xludf.DUMMYFUNCTION("""COMPUTED_VALUE"""),"A definir")</f>
        <v>A definir</v>
      </c>
      <c r="G56" s="125" t="str">
        <f>IFERROR(__xludf.DUMMYFUNCTION("""COMPUTED_VALUE"""),"A definir")</f>
        <v>A definir</v>
      </c>
      <c r="H56" s="126" t="str">
        <f>IFERROR(__xludf.DUMMYFUNCTION("""COMPUTED_VALUE"""),"Presencial (máximo 20% EaD)")</f>
        <v>Presencial (máximo 20% EaD)</v>
      </c>
      <c r="I56" s="125" t="str">
        <f>IFERROR(__xludf.DUMMYFUNCTION("""COMPUTED_VALUE"""),"Novembro")</f>
        <v>Novembro</v>
      </c>
      <c r="J56" s="125" t="str">
        <f>IFERROR(__xludf.DUMMYFUNCTION("""COMPUTED_VALUE"""),"A confirmar")</f>
        <v>A confirmar</v>
      </c>
      <c r="K56" s="126"/>
      <c r="L56" s="126"/>
      <c r="M56" s="126"/>
      <c r="N56" s="126">
        <f>IFERROR(__xludf.DUMMYFUNCTION("""COMPUTED_VALUE"""),0.0)</f>
        <v>0</v>
      </c>
      <c r="P56" s="385"/>
      <c r="Q56" s="385"/>
      <c r="R56" s="385"/>
      <c r="S56" s="385"/>
      <c r="T56" s="385"/>
      <c r="U56" s="385"/>
      <c r="V56" s="385"/>
      <c r="W56" s="124"/>
      <c r="X56" s="124"/>
      <c r="Y56" s="386"/>
      <c r="Z56" s="386"/>
    </row>
    <row r="57">
      <c r="A57" s="135" t="str">
        <f>IFERROR(__xludf.DUMMYFUNCTION("""COMPUTED_VALUE"""),"Transplante")</f>
        <v>Transplante</v>
      </c>
      <c r="B57" s="124" t="str">
        <f>IFERROR(__xludf.DUMMYFUNCTION("""COMPUTED_VALUE"""),"Curso de Reestruturação da Rede de Procura de órgãos do Estado do Ceará")</f>
        <v>Curso de Reestruturação da Rede de Procura de órgãos do Estado do Ceará</v>
      </c>
      <c r="C57" s="125" t="str">
        <f>IFERROR(__xludf.DUMMYFUNCTION("""COMPUTED_VALUE"""),"Básico (Até 79h)")</f>
        <v>Básico (Até 79h)</v>
      </c>
      <c r="D57" s="126">
        <f>IFERROR(__xludf.DUMMYFUNCTION("""COMPUTED_VALUE"""),8.0)</f>
        <v>8</v>
      </c>
      <c r="E57" s="125" t="str">
        <f>IFERROR(__xludf.DUMMYFUNCTION("""COMPUTED_VALUE"""),"Turma 13")</f>
        <v>Turma 13</v>
      </c>
      <c r="F57" s="125" t="str">
        <f>IFERROR(__xludf.DUMMYFUNCTION("""COMPUTED_VALUE"""),"A definir")</f>
        <v>A definir</v>
      </c>
      <c r="G57" s="125" t="str">
        <f>IFERROR(__xludf.DUMMYFUNCTION("""COMPUTED_VALUE"""),"A definir")</f>
        <v>A definir</v>
      </c>
      <c r="H57" s="126" t="str">
        <f>IFERROR(__xludf.DUMMYFUNCTION("""COMPUTED_VALUE"""),"Presencial (máximo 20% EaD)")</f>
        <v>Presencial (máximo 20% EaD)</v>
      </c>
      <c r="I57" s="125" t="str">
        <f>IFERROR(__xludf.DUMMYFUNCTION("""COMPUTED_VALUE"""),"A definir")</f>
        <v>A definir</v>
      </c>
      <c r="J57" s="125" t="str">
        <f>IFERROR(__xludf.DUMMYFUNCTION("""COMPUTED_VALUE"""),"A confirmar")</f>
        <v>A confirmar</v>
      </c>
      <c r="K57" s="126"/>
      <c r="L57" s="125"/>
      <c r="M57" s="126"/>
      <c r="N57" s="126">
        <f>IFERROR(__xludf.DUMMYFUNCTION("""COMPUTED_VALUE"""),0.0)</f>
        <v>0</v>
      </c>
      <c r="P57" s="385"/>
      <c r="Q57" s="385"/>
      <c r="R57" s="385"/>
      <c r="S57" s="385"/>
      <c r="T57" s="385"/>
      <c r="U57" s="385"/>
      <c r="V57" s="385"/>
      <c r="W57" s="124"/>
      <c r="X57" s="124"/>
      <c r="Y57" s="386"/>
      <c r="Z57" s="386"/>
    </row>
    <row r="58">
      <c r="A58" s="135" t="str">
        <f>IFERROR(__xludf.DUMMYFUNCTION("""COMPUTED_VALUE"""),"Transplante")</f>
        <v>Transplante</v>
      </c>
      <c r="B58" s="124" t="str">
        <f>IFERROR(__xludf.DUMMYFUNCTION("""COMPUTED_VALUE"""),"Curso de Reestruturação da Rede de Procura de órgãos do Estado do Ceará")</f>
        <v>Curso de Reestruturação da Rede de Procura de órgãos do Estado do Ceará</v>
      </c>
      <c r="C58" s="125" t="str">
        <f>IFERROR(__xludf.DUMMYFUNCTION("""COMPUTED_VALUE"""),"Básico (Até 79h)")</f>
        <v>Básico (Até 79h)</v>
      </c>
      <c r="D58" s="126">
        <f>IFERROR(__xludf.DUMMYFUNCTION("""COMPUTED_VALUE"""),8.0)</f>
        <v>8</v>
      </c>
      <c r="E58" s="125" t="str">
        <f>IFERROR(__xludf.DUMMYFUNCTION("""COMPUTED_VALUE"""),"Turma 14")</f>
        <v>Turma 14</v>
      </c>
      <c r="F58" s="125" t="str">
        <f>IFERROR(__xludf.DUMMYFUNCTION("""COMPUTED_VALUE"""),"A definir")</f>
        <v>A definir</v>
      </c>
      <c r="G58" s="125" t="str">
        <f>IFERROR(__xludf.DUMMYFUNCTION("""COMPUTED_VALUE"""),"A definir")</f>
        <v>A definir</v>
      </c>
      <c r="H58" s="126" t="str">
        <f>IFERROR(__xludf.DUMMYFUNCTION("""COMPUTED_VALUE"""),"Presencial (máximo 20% EaD)")</f>
        <v>Presencial (máximo 20% EaD)</v>
      </c>
      <c r="I58" s="125" t="str">
        <f>IFERROR(__xludf.DUMMYFUNCTION("""COMPUTED_VALUE"""),"A definir")</f>
        <v>A definir</v>
      </c>
      <c r="J58" s="125" t="str">
        <f>IFERROR(__xludf.DUMMYFUNCTION("""COMPUTED_VALUE"""),"A confirmar")</f>
        <v>A confirmar</v>
      </c>
      <c r="K58" s="126"/>
      <c r="L58" s="125"/>
      <c r="M58" s="126"/>
      <c r="N58" s="126">
        <f>IFERROR(__xludf.DUMMYFUNCTION("""COMPUTED_VALUE"""),0.0)</f>
        <v>0</v>
      </c>
      <c r="O58" s="385"/>
      <c r="P58" s="385"/>
      <c r="Q58" s="385"/>
      <c r="R58" s="385"/>
      <c r="S58" s="385"/>
      <c r="T58" s="385"/>
      <c r="U58" s="385"/>
      <c r="V58" s="385"/>
      <c r="W58" s="124"/>
      <c r="X58" s="124"/>
      <c r="Y58" s="386"/>
      <c r="Z58" s="386"/>
    </row>
    <row r="59">
      <c r="A59" s="135" t="str">
        <f>IFERROR(__xludf.DUMMYFUNCTION("""COMPUTED_VALUE"""),"Transplante")</f>
        <v>Transplante</v>
      </c>
      <c r="B59" s="124" t="str">
        <f>IFERROR(__xludf.DUMMYFUNCTION("""COMPUTED_VALUE"""),"V ENCIHDOTT DO CEARÁ")</f>
        <v>V ENCIHDOTT DO CEARÁ</v>
      </c>
      <c r="C59" s="125" t="str">
        <f>IFERROR(__xludf.DUMMYFUNCTION("""COMPUTED_VALUE"""),"Básico (Até 79h)")</f>
        <v>Básico (Até 79h)</v>
      </c>
      <c r="D59" s="126">
        <f>IFERROR(__xludf.DUMMYFUNCTION("""COMPUTED_VALUE"""),8.0)</f>
        <v>8</v>
      </c>
      <c r="E59" s="125" t="str">
        <f>IFERROR(__xludf.DUMMYFUNCTION("""COMPUTED_VALUE"""),"Turma 1")</f>
        <v>Turma 1</v>
      </c>
      <c r="F59" s="125" t="str">
        <f>IFERROR(__xludf.DUMMYFUNCTION("""COMPUTED_VALUE"""),"Fortaleza")</f>
        <v>Fortaleza</v>
      </c>
      <c r="G59" s="125" t="str">
        <f>IFERROR(__xludf.DUMMYFUNCTION("""COMPUTED_VALUE"""),"SR Fortaleza, SR Certão Cental, SR Litoral Leste, SR Norte, SR Cariri")</f>
        <v>SR Fortaleza, SR Certão Cental, SR Litoral Leste, SR Norte, SR Cariri</v>
      </c>
      <c r="H59" s="126" t="str">
        <f>IFERROR(__xludf.DUMMYFUNCTION("""COMPUTED_VALUE"""),"Presencial (máximo 20% EaD)")</f>
        <v>Presencial (máximo 20% EaD)</v>
      </c>
      <c r="I59" s="125" t="str">
        <f>IFERROR(__xludf.DUMMYFUNCTION("""COMPUTED_VALUE"""),"Novembro")</f>
        <v>Novembro</v>
      </c>
      <c r="J59" s="189">
        <f>IFERROR(__xludf.DUMMYFUNCTION("""COMPUTED_VALUE"""),45608.0)</f>
        <v>45608</v>
      </c>
      <c r="K59" s="126"/>
      <c r="L59" s="125"/>
      <c r="M59" s="126"/>
      <c r="N59" s="126">
        <f>IFERROR(__xludf.DUMMYFUNCTION("""COMPUTED_VALUE"""),60.0)</f>
        <v>60</v>
      </c>
      <c r="P59" s="385"/>
      <c r="Q59" s="385"/>
      <c r="R59" s="385"/>
      <c r="S59" s="385"/>
      <c r="T59" s="385"/>
      <c r="U59" s="385"/>
      <c r="V59" s="385"/>
      <c r="W59" s="124"/>
      <c r="X59" s="124"/>
      <c r="Y59" s="386"/>
      <c r="Z59" s="386"/>
    </row>
    <row r="60" ht="24.75" customHeight="1">
      <c r="A60" s="135" t="str">
        <f>IFERROR(__xludf.DUMMYFUNCTION("""COMPUTED_VALUE"""),"Transplante")</f>
        <v>Transplante</v>
      </c>
      <c r="B60" s="124" t="str">
        <f>IFERROR(__xludf.DUMMYFUNCTION("""COMPUTED_VALUE"""),"Curso de Desafios na Entrevista Familiar")</f>
        <v>Curso de Desafios na Entrevista Familiar</v>
      </c>
      <c r="C60" s="125" t="str">
        <f>IFERROR(__xludf.DUMMYFUNCTION("""COMPUTED_VALUE"""),"Básico (Até 79h)")</f>
        <v>Básico (Até 79h)</v>
      </c>
      <c r="D60" s="126">
        <f>IFERROR(__xludf.DUMMYFUNCTION("""COMPUTED_VALUE"""),8.0)</f>
        <v>8</v>
      </c>
      <c r="E60" s="125" t="str">
        <f>IFERROR(__xludf.DUMMYFUNCTION("""COMPUTED_VALUE"""),"Turma 6")</f>
        <v>Turma 6</v>
      </c>
      <c r="F60" s="125" t="str">
        <f>IFERROR(__xludf.DUMMYFUNCTION("""COMPUTED_VALUE"""),"Fortaleza")</f>
        <v>Fortaleza</v>
      </c>
      <c r="G60" s="125" t="str">
        <f>IFERROR(__xludf.DUMMYFUNCTION("""COMPUTED_VALUE"""),"SR Fortaleza")</f>
        <v>SR Fortaleza</v>
      </c>
      <c r="H60" s="126" t="str">
        <f>IFERROR(__xludf.DUMMYFUNCTION("""COMPUTED_VALUE"""),"Presencial (máximo 20% EaD)")</f>
        <v>Presencial (máximo 20% EaD)</v>
      </c>
      <c r="I60" s="125" t="str">
        <f>IFERROR(__xludf.DUMMYFUNCTION("""COMPUTED_VALUE"""),"Novembo")</f>
        <v>Novembo</v>
      </c>
      <c r="J60" s="189">
        <f>IFERROR(__xludf.DUMMYFUNCTION("""COMPUTED_VALUE"""),-611820.0)</f>
        <v>-611820</v>
      </c>
      <c r="K60" s="126"/>
      <c r="L60" s="125"/>
      <c r="M60" s="126"/>
      <c r="N60" s="126">
        <f>IFERROR(__xludf.DUMMYFUNCTION("""COMPUTED_VALUE"""),20.0)</f>
        <v>20</v>
      </c>
      <c r="P60" s="385"/>
      <c r="Q60" s="385"/>
      <c r="R60" s="385"/>
      <c r="S60" s="385"/>
      <c r="T60" s="385"/>
      <c r="U60" s="385"/>
      <c r="V60" s="385"/>
      <c r="W60" s="124"/>
      <c r="X60" s="124"/>
      <c r="Y60" s="386"/>
      <c r="Z60" s="386"/>
    </row>
    <row r="61">
      <c r="A61" s="135" t="str">
        <f>IFERROR(__xludf.DUMMYFUNCTION("""COMPUTED_VALUE"""),"Transplante")</f>
        <v>Transplante</v>
      </c>
      <c r="B61" s="124" t="str">
        <f>IFERROR(__xludf.DUMMYFUNCTION("""COMPUTED_VALUE"""),"Curso de Desafios na Entrevista Familiar")</f>
        <v>Curso de Desafios na Entrevista Familiar</v>
      </c>
      <c r="C61" s="125" t="str">
        <f>IFERROR(__xludf.DUMMYFUNCTION("""COMPUTED_VALUE"""),"Básico (Até 79h)")</f>
        <v>Básico (Até 79h)</v>
      </c>
      <c r="D61" s="126">
        <f>IFERROR(__xludf.DUMMYFUNCTION("""COMPUTED_VALUE"""),8.0)</f>
        <v>8</v>
      </c>
      <c r="E61" s="125" t="str">
        <f>IFERROR(__xludf.DUMMYFUNCTION("""COMPUTED_VALUE"""),"Turma 7")</f>
        <v>Turma 7</v>
      </c>
      <c r="F61" s="125" t="str">
        <f>IFERROR(__xludf.DUMMYFUNCTION("""COMPUTED_VALUE"""),"Cariri")</f>
        <v>Cariri</v>
      </c>
      <c r="G61" s="125" t="str">
        <f>IFERROR(__xludf.DUMMYFUNCTION("""COMPUTED_VALUE"""),"SR Cariri")</f>
        <v>SR Cariri</v>
      </c>
      <c r="H61" s="126" t="str">
        <f>IFERROR(__xludf.DUMMYFUNCTION("""COMPUTED_VALUE"""),"Presencial (máximo 20% EaD)")</f>
        <v>Presencial (máximo 20% EaD)</v>
      </c>
      <c r="I61" s="125" t="str">
        <f>IFERROR(__xludf.DUMMYFUNCTION("""COMPUTED_VALUE"""),"OUTUBRO")</f>
        <v>OUTUBRO</v>
      </c>
      <c r="J61" s="393">
        <f>IFERROR(__xludf.DUMMYFUNCTION("""COMPUTED_VALUE"""),45583.0)</f>
        <v>45583</v>
      </c>
      <c r="K61" s="126"/>
      <c r="L61" s="125"/>
      <c r="M61" s="126"/>
      <c r="N61" s="126">
        <f>IFERROR(__xludf.DUMMYFUNCTION("""COMPUTED_VALUE"""),20.0)</f>
        <v>20</v>
      </c>
      <c r="P61" s="385"/>
      <c r="Q61" s="385"/>
      <c r="R61" s="385"/>
      <c r="S61" s="385"/>
      <c r="T61" s="385"/>
      <c r="U61" s="385"/>
      <c r="V61" s="385"/>
      <c r="W61" s="210"/>
      <c r="X61" s="210"/>
      <c r="Y61" s="386"/>
      <c r="Z61" s="386"/>
    </row>
    <row r="62">
      <c r="A62" s="135" t="str">
        <f>IFERROR(__xludf.DUMMYFUNCTION("""COMPUTED_VALUE"""),"Transplante")</f>
        <v>Transplante</v>
      </c>
      <c r="B62" s="124" t="str">
        <f>IFERROR(__xludf.DUMMYFUNCTION("""COMPUTED_VALUE"""),"Curso de Coordenador Educacional de Transplante")</f>
        <v>Curso de Coordenador Educacional de Transplante</v>
      </c>
      <c r="C62" s="125" t="str">
        <f>IFERROR(__xludf.DUMMYFUNCTION("""COMPUTED_VALUE"""),"Básico (Até 79h)")</f>
        <v>Básico (Até 79h)</v>
      </c>
      <c r="D62" s="126">
        <f>IFERROR(__xludf.DUMMYFUNCTION("""COMPUTED_VALUE"""),8.0)</f>
        <v>8</v>
      </c>
      <c r="E62" s="126" t="str">
        <f>IFERROR(__xludf.DUMMYFUNCTION("""COMPUTED_VALUE"""),"Turma 3")</f>
        <v>Turma 3</v>
      </c>
      <c r="F62" s="125" t="str">
        <f>IFERROR(__xludf.DUMMYFUNCTION("""COMPUTED_VALUE"""),"Fortaleza")</f>
        <v>Fortaleza</v>
      </c>
      <c r="G62" s="125" t="str">
        <f>IFERROR(__xludf.DUMMYFUNCTION("""COMPUTED_VALUE"""),"SR Fortaleza, SR Certão Cental, SR Litoral Leste, SR Norte, SR Cariri")</f>
        <v>SR Fortaleza, SR Certão Cental, SR Litoral Leste, SR Norte, SR Cariri</v>
      </c>
      <c r="H62" s="126" t="str">
        <f>IFERROR(__xludf.DUMMYFUNCTION("""COMPUTED_VALUE"""),"Presencial (máximo 20% EaD)")</f>
        <v>Presencial (máximo 20% EaD)</v>
      </c>
      <c r="I62" s="125" t="str">
        <f>IFERROR(__xludf.DUMMYFUNCTION("""COMPUTED_VALUE"""),"Novembro")</f>
        <v>Novembro</v>
      </c>
      <c r="J62" s="189">
        <f>IFERROR(__xludf.DUMMYFUNCTION("""COMPUTED_VALUE"""),45609.0)</f>
        <v>45609</v>
      </c>
      <c r="K62" s="161">
        <f>IFERROR(__xludf.DUMMYFUNCTION("""COMPUTED_VALUE"""),45618.0)</f>
        <v>45618</v>
      </c>
      <c r="L62" s="189">
        <f>IFERROR(__xludf.DUMMYFUNCTION("""COMPUTED_VALUE"""),45618.0)</f>
        <v>45618</v>
      </c>
      <c r="M62" s="125"/>
      <c r="N62" s="126">
        <f>IFERROR(__xludf.DUMMYFUNCTION("""COMPUTED_VALUE"""),40.0)</f>
        <v>40</v>
      </c>
      <c r="P62" s="385"/>
      <c r="Q62" s="385"/>
      <c r="R62" s="385"/>
      <c r="S62" s="385"/>
      <c r="T62" s="385"/>
      <c r="U62" s="385"/>
      <c r="V62" s="385"/>
      <c r="W62" s="210"/>
      <c r="X62" s="210"/>
      <c r="Y62" s="386"/>
      <c r="Z62" s="386"/>
    </row>
    <row r="63">
      <c r="A63" s="135" t="str">
        <f>IFERROR(__xludf.DUMMYFUNCTION("""COMPUTED_VALUE"""),"Transplante")</f>
        <v>Transplante</v>
      </c>
      <c r="B63" s="124" t="str">
        <f>IFERROR(__xludf.DUMMYFUNCTION("""COMPUTED_VALUE"""),"Curso de Comunicação em Situação Crítica")</f>
        <v>Curso de Comunicação em Situação Crítica</v>
      </c>
      <c r="C63" s="125" t="str">
        <f>IFERROR(__xludf.DUMMYFUNCTION("""COMPUTED_VALUE"""),"Básico (Até 79h)")</f>
        <v>Básico (Até 79h)</v>
      </c>
      <c r="D63" s="126">
        <f>IFERROR(__xludf.DUMMYFUNCTION("""COMPUTED_VALUE"""),8.0)</f>
        <v>8</v>
      </c>
      <c r="E63" s="126" t="str">
        <f>IFERROR(__xludf.DUMMYFUNCTION("""COMPUTED_VALUE"""),"Turma 1")</f>
        <v>Turma 1</v>
      </c>
      <c r="F63" s="125" t="str">
        <f>IFERROR(__xludf.DUMMYFUNCTION("""COMPUTED_VALUE"""),"Fortaleza")</f>
        <v>Fortaleza</v>
      </c>
      <c r="G63" s="125" t="str">
        <f>IFERROR(__xludf.DUMMYFUNCTION("""COMPUTED_VALUE"""),"SR Fortaleza, SR Certão Cental, SR Litoral Leste, SR Norte, SR Cariri")</f>
        <v>SR Fortaleza, SR Certão Cental, SR Litoral Leste, SR Norte, SR Cariri</v>
      </c>
      <c r="H63" s="126" t="str">
        <f>IFERROR(__xludf.DUMMYFUNCTION("""COMPUTED_VALUE"""),"Presencial (máximo 20% EaD)")</f>
        <v>Presencial (máximo 20% EaD)</v>
      </c>
      <c r="I63" s="125" t="str">
        <f>IFERROR(__xludf.DUMMYFUNCTION("""COMPUTED_VALUE"""),"dezembro")</f>
        <v>dezembro</v>
      </c>
      <c r="J63" s="189">
        <f>IFERROR(__xludf.DUMMYFUNCTION("""COMPUTED_VALUE"""),45520.0)</f>
        <v>45520</v>
      </c>
      <c r="K63" s="126"/>
      <c r="L63" s="126"/>
      <c r="M63" s="126" t="str">
        <f>IFERROR(__xludf.DUMMYFUNCTION("""COMPUTED_VALUE"""),"-")</f>
        <v>-</v>
      </c>
      <c r="N63" s="126">
        <f>IFERROR(__xludf.DUMMYFUNCTION("""COMPUTED_VALUE"""),0.0)</f>
        <v>0</v>
      </c>
      <c r="O63" s="385"/>
      <c r="P63" s="385"/>
      <c r="Q63" s="385"/>
      <c r="R63" s="385"/>
      <c r="S63" s="385"/>
      <c r="T63" s="385"/>
      <c r="U63" s="385"/>
      <c r="V63" s="385"/>
      <c r="W63" s="210"/>
      <c r="X63" s="210"/>
      <c r="Y63" s="386"/>
      <c r="Z63" s="386"/>
    </row>
    <row r="64">
      <c r="A64" s="135" t="str">
        <f>IFERROR(__xludf.DUMMYFUNCTION("""COMPUTED_VALUE"""),"Transplante")</f>
        <v>Transplante</v>
      </c>
      <c r="B64" s="124" t="str">
        <f>IFERROR(__xludf.DUMMYFUNCTION("""COMPUTED_VALUE"""),"Curso de Comunicação em Situação Crítica")</f>
        <v>Curso de Comunicação em Situação Crítica</v>
      </c>
      <c r="C64" s="125" t="str">
        <f>IFERROR(__xludf.DUMMYFUNCTION("""COMPUTED_VALUE"""),"Básico (Até 79h)")</f>
        <v>Básico (Até 79h)</v>
      </c>
      <c r="D64" s="126">
        <f>IFERROR(__xludf.DUMMYFUNCTION("""COMPUTED_VALUE"""),8.0)</f>
        <v>8</v>
      </c>
      <c r="E64" s="126" t="str">
        <f>IFERROR(__xludf.DUMMYFUNCTION("""COMPUTED_VALUE"""),"Turma 2")</f>
        <v>Turma 2</v>
      </c>
      <c r="F64" s="125" t="str">
        <f>IFERROR(__xludf.DUMMYFUNCTION("""COMPUTED_VALUE"""),"Fortaleza")</f>
        <v>Fortaleza</v>
      </c>
      <c r="G64" s="125" t="str">
        <f>IFERROR(__xludf.DUMMYFUNCTION("""COMPUTED_VALUE"""),"SR Fortaleza, SR Certão Cental, SR Litoral Leste, SR Norte, SR Cariri")</f>
        <v>SR Fortaleza, SR Certão Cental, SR Litoral Leste, SR Norte, SR Cariri</v>
      </c>
      <c r="H64" s="126" t="str">
        <f>IFERROR(__xludf.DUMMYFUNCTION("""COMPUTED_VALUE"""),"Presencial (máximo 20% EaD)")</f>
        <v>Presencial (máximo 20% EaD)</v>
      </c>
      <c r="I64" s="125" t="str">
        <f>IFERROR(__xludf.DUMMYFUNCTION("""COMPUTED_VALUE"""),"janeiro")</f>
        <v>janeiro</v>
      </c>
      <c r="J64" s="394">
        <f>IFERROR(__xludf.DUMMYFUNCTION("""COMPUTED_VALUE"""),45520.0)</f>
        <v>45520</v>
      </c>
      <c r="K64" s="126"/>
      <c r="L64" s="125"/>
      <c r="M64" s="125" t="str">
        <f>IFERROR(__xludf.DUMMYFUNCTION("""COMPUTED_VALUE"""),"-")</f>
        <v>-</v>
      </c>
      <c r="N64" s="126">
        <f>IFERROR(__xludf.DUMMYFUNCTION("""COMPUTED_VALUE"""),0.0)</f>
        <v>0</v>
      </c>
      <c r="O64" s="385"/>
      <c r="P64" s="385"/>
      <c r="Q64" s="385"/>
      <c r="R64" s="385"/>
      <c r="S64" s="385"/>
      <c r="T64" s="385"/>
      <c r="U64" s="385"/>
      <c r="V64" s="385"/>
      <c r="W64" s="210"/>
      <c r="X64" s="210"/>
      <c r="Y64" s="386"/>
      <c r="Z64" s="386"/>
    </row>
    <row r="65">
      <c r="A65" s="135" t="str">
        <f>IFERROR(__xludf.DUMMYFUNCTION("""COMPUTED_VALUE"""),"Transplante")</f>
        <v>Transplante</v>
      </c>
      <c r="B65" s="124" t="str">
        <f>IFERROR(__xludf.DUMMYFUNCTION("""COMPUTED_VALUE"""),"Curso de Comunicação em Situação Crítica")</f>
        <v>Curso de Comunicação em Situação Crítica</v>
      </c>
      <c r="C65" s="125" t="str">
        <f>IFERROR(__xludf.DUMMYFUNCTION("""COMPUTED_VALUE"""),"Básico (Até 79h)")</f>
        <v>Básico (Até 79h)</v>
      </c>
      <c r="D65" s="126">
        <f>IFERROR(__xludf.DUMMYFUNCTION("""COMPUTED_VALUE"""),8.0)</f>
        <v>8</v>
      </c>
      <c r="E65" s="126" t="str">
        <f>IFERROR(__xludf.DUMMYFUNCTION("""COMPUTED_VALUE"""),"Turma 13")</f>
        <v>Turma 13</v>
      </c>
      <c r="F65" s="125" t="str">
        <f>IFERROR(__xludf.DUMMYFUNCTION("""COMPUTED_VALUE"""),"Fortaleza")</f>
        <v>Fortaleza</v>
      </c>
      <c r="G65" s="125" t="str">
        <f>IFERROR(__xludf.DUMMYFUNCTION("""COMPUTED_VALUE"""),"SR Fortaleza, SR Certão Cental, SR Litoral Leste, SR Norte, SR Cariri")</f>
        <v>SR Fortaleza, SR Certão Cental, SR Litoral Leste, SR Norte, SR Cariri</v>
      </c>
      <c r="H65" s="126" t="str">
        <f>IFERROR(__xludf.DUMMYFUNCTION("""COMPUTED_VALUE"""),"Presencial (máximo 20% EaD)")</f>
        <v>Presencial (máximo 20% EaD)</v>
      </c>
      <c r="I65" s="125" t="str">
        <f>IFERROR(__xludf.DUMMYFUNCTION("""COMPUTED_VALUE"""),"fevereiro")</f>
        <v>fevereiro</v>
      </c>
      <c r="J65" s="189">
        <f>IFERROR(__xludf.DUMMYFUNCTION("""COMPUTED_VALUE"""),45521.0)</f>
        <v>45521</v>
      </c>
      <c r="K65" s="126"/>
      <c r="L65" s="126"/>
      <c r="M65" s="126" t="str">
        <f>IFERROR(__xludf.DUMMYFUNCTION("""COMPUTED_VALUE"""),"-")</f>
        <v>-</v>
      </c>
      <c r="N65" s="126">
        <f>IFERROR(__xludf.DUMMYFUNCTION("""COMPUTED_VALUE"""),0.0)</f>
        <v>0</v>
      </c>
      <c r="O65" s="385"/>
      <c r="P65" s="385"/>
      <c r="Q65" s="385"/>
      <c r="R65" s="385"/>
      <c r="S65" s="385"/>
      <c r="T65" s="385"/>
      <c r="U65" s="385"/>
      <c r="V65" s="385"/>
      <c r="W65" s="392"/>
      <c r="X65" s="392"/>
      <c r="Y65" s="386"/>
      <c r="Z65" s="386"/>
    </row>
    <row r="66">
      <c r="A66" s="135" t="str">
        <f>IFERROR(__xludf.DUMMYFUNCTION("""COMPUTED_VALUE"""),"Transplante")</f>
        <v>Transplante</v>
      </c>
      <c r="B66" s="124" t="str">
        <f>IFERROR(__xludf.DUMMYFUNCTION("""COMPUTED_VALUE"""),"Curso de Comunicação em Situação Crítica")</f>
        <v>Curso de Comunicação em Situação Crítica</v>
      </c>
      <c r="C66" s="125" t="str">
        <f>IFERROR(__xludf.DUMMYFUNCTION("""COMPUTED_VALUE"""),"Básico (Até 79h)")</f>
        <v>Básico (Até 79h)</v>
      </c>
      <c r="D66" s="126">
        <f>IFERROR(__xludf.DUMMYFUNCTION("""COMPUTED_VALUE"""),8.0)</f>
        <v>8</v>
      </c>
      <c r="E66" s="126" t="str">
        <f>IFERROR(__xludf.DUMMYFUNCTION("""COMPUTED_VALUE"""),"Turma 4")</f>
        <v>Turma 4</v>
      </c>
      <c r="F66" s="125" t="str">
        <f>IFERROR(__xludf.DUMMYFUNCTION("""COMPUTED_VALUE"""),"Fortaleza")</f>
        <v>Fortaleza</v>
      </c>
      <c r="G66" s="125" t="str">
        <f>IFERROR(__xludf.DUMMYFUNCTION("""COMPUTED_VALUE"""),"SR Fortaleza, SR Certão Cental, SR Litoral Leste, SR Norte, SR Cariri")</f>
        <v>SR Fortaleza, SR Certão Cental, SR Litoral Leste, SR Norte, SR Cariri</v>
      </c>
      <c r="H66" s="126" t="str">
        <f>IFERROR(__xludf.DUMMYFUNCTION("""COMPUTED_VALUE"""),"Presencial (máximo 20% EaD)")</f>
        <v>Presencial (máximo 20% EaD)</v>
      </c>
      <c r="I66" s="125" t="str">
        <f>IFERROR(__xludf.DUMMYFUNCTION("""COMPUTED_VALUE"""),"março")</f>
        <v>março</v>
      </c>
      <c r="J66" s="195">
        <f>IFERROR(__xludf.DUMMYFUNCTION("""COMPUTED_VALUE"""),45521.0)</f>
        <v>45521</v>
      </c>
      <c r="K66" s="126"/>
      <c r="L66" s="126"/>
      <c r="M66" s="126" t="str">
        <f>IFERROR(__xludf.DUMMYFUNCTION("""COMPUTED_VALUE"""),"-")</f>
        <v>-</v>
      </c>
      <c r="N66" s="126">
        <f>IFERROR(__xludf.DUMMYFUNCTION("""COMPUTED_VALUE"""),0.0)</f>
        <v>0</v>
      </c>
      <c r="P66" s="385"/>
      <c r="Q66" s="385"/>
      <c r="R66" s="385"/>
      <c r="S66" s="385"/>
      <c r="T66" s="385"/>
      <c r="U66" s="385"/>
      <c r="V66" s="385"/>
      <c r="W66" s="392"/>
      <c r="X66" s="392"/>
      <c r="Y66" s="386"/>
      <c r="Z66" s="386"/>
    </row>
    <row r="67">
      <c r="A67" s="135" t="str">
        <f>IFERROR(__xludf.DUMMYFUNCTION("""COMPUTED_VALUE"""),"Transplante")</f>
        <v>Transplante</v>
      </c>
      <c r="B67" s="124" t="str">
        <f>IFERROR(__xludf.DUMMYFUNCTION("""COMPUTED_VALUE"""),"Curso de Atualização da Política Estadual de Doação e Transplante do Ceará")</f>
        <v>Curso de Atualização da Política Estadual de Doação e Transplante do Ceará</v>
      </c>
      <c r="C67" s="125" t="str">
        <f>IFERROR(__xludf.DUMMYFUNCTION("""COMPUTED_VALUE"""),"Básico (Até 79h)")</f>
        <v>Básico (Até 79h)</v>
      </c>
      <c r="D67" s="126">
        <f>IFERROR(__xludf.DUMMYFUNCTION("""COMPUTED_VALUE"""),8.0)</f>
        <v>8</v>
      </c>
      <c r="E67" s="126" t="str">
        <f>IFERROR(__xludf.DUMMYFUNCTION("""COMPUTED_VALUE"""),"Turma 1")</f>
        <v>Turma 1</v>
      </c>
      <c r="F67" s="125" t="str">
        <f>IFERROR(__xludf.DUMMYFUNCTION("""COMPUTED_VALUE"""),"Fortaleza")</f>
        <v>Fortaleza</v>
      </c>
      <c r="G67" s="125" t="str">
        <f>IFERROR(__xludf.DUMMYFUNCTION("""COMPUTED_VALUE"""),"SR Fortaleza, SR Certão Cental, SR Litoral Leste, SR Norte, SR Cariri")</f>
        <v>SR Fortaleza, SR Certão Cental, SR Litoral Leste, SR Norte, SR Cariri</v>
      </c>
      <c r="H67" s="126" t="str">
        <f>IFERROR(__xludf.DUMMYFUNCTION("""COMPUTED_VALUE"""),"Presencial (máximo 20% EaD)")</f>
        <v>Presencial (máximo 20% EaD)</v>
      </c>
      <c r="I67" s="125" t="str">
        <f>IFERROR(__xludf.DUMMYFUNCTION("""COMPUTED_VALUE"""),"Novembro")</f>
        <v>Novembro</v>
      </c>
      <c r="J67" s="189">
        <f>IFERROR(__xludf.DUMMYFUNCTION("""COMPUTED_VALUE"""),45625.0)</f>
        <v>45625</v>
      </c>
      <c r="K67" s="129">
        <f>IFERROR(__xludf.DUMMYFUNCTION("""COMPUTED_VALUE"""),45632.0)</f>
        <v>45632</v>
      </c>
      <c r="L67" s="129">
        <f>IFERROR(__xludf.DUMMYFUNCTION("""COMPUTED_VALUE"""),45632.0)</f>
        <v>45632</v>
      </c>
      <c r="M67" s="126"/>
      <c r="N67" s="126">
        <f>IFERROR(__xludf.DUMMYFUNCTION("""COMPUTED_VALUE"""),20.0)</f>
        <v>20</v>
      </c>
      <c r="O67" s="385"/>
      <c r="P67" s="385"/>
      <c r="Q67" s="385"/>
      <c r="R67" s="385"/>
      <c r="S67" s="385"/>
      <c r="T67" s="385"/>
      <c r="U67" s="385"/>
      <c r="V67" s="385"/>
      <c r="W67" s="392"/>
      <c r="X67" s="392"/>
      <c r="Y67" s="386"/>
      <c r="Z67" s="386"/>
    </row>
    <row r="68">
      <c r="A68" s="135" t="str">
        <f>IFERROR(__xludf.DUMMYFUNCTION("""COMPUTED_VALUE"""),"Transplante")</f>
        <v>Transplante</v>
      </c>
      <c r="B68" s="124" t="str">
        <f>IFERROR(__xludf.DUMMYFUNCTION("""COMPUTED_VALUE"""),"Curso de Coordenador Hospitalar de Transplantes")</f>
        <v>Curso de Coordenador Hospitalar de Transplantes</v>
      </c>
      <c r="C68" s="125" t="str">
        <f>IFERROR(__xludf.DUMMYFUNCTION("""COMPUTED_VALUE"""),"Básico (Até 79h)")</f>
        <v>Básico (Até 79h)</v>
      </c>
      <c r="D68" s="126">
        <f>IFERROR(__xludf.DUMMYFUNCTION("""COMPUTED_VALUE"""),40.0)</f>
        <v>40</v>
      </c>
      <c r="E68" s="126" t="str">
        <f>IFERROR(__xludf.DUMMYFUNCTION("""COMPUTED_VALUE"""),"Turma 1")</f>
        <v>Turma 1</v>
      </c>
      <c r="F68" s="125" t="str">
        <f>IFERROR(__xludf.DUMMYFUNCTION("""COMPUTED_VALUE"""),"Fortaleza")</f>
        <v>Fortaleza</v>
      </c>
      <c r="G68" s="125" t="str">
        <f>IFERROR(__xludf.DUMMYFUNCTION("""COMPUTED_VALUE"""),"SR Fortaleza, SR Certão Cental, SR Litoral Leste, SR Norte, SR Cariri")</f>
        <v>SR Fortaleza, SR Certão Cental, SR Litoral Leste, SR Norte, SR Cariri</v>
      </c>
      <c r="H68" s="126" t="str">
        <f>IFERROR(__xludf.DUMMYFUNCTION("""COMPUTED_VALUE"""),"Presencial (máximo 20% EaD)")</f>
        <v>Presencial (máximo 20% EaD)</v>
      </c>
      <c r="I68" s="125" t="str">
        <f>IFERROR(__xludf.DUMMYFUNCTION("""COMPUTED_VALUE"""),"Agosto e Setembro")</f>
        <v>Agosto e Setembro</v>
      </c>
      <c r="J68" s="189" t="str">
        <f>IFERROR(__xludf.DUMMYFUNCTION("""COMPUTED_VALUE"""),"29 , 30/08 e 06/09/2024")</f>
        <v>29 , 30/08 e 06/09/2024</v>
      </c>
      <c r="K68" s="126"/>
      <c r="L68" s="126"/>
      <c r="M68" s="126"/>
      <c r="N68" s="126">
        <f>IFERROR(__xludf.DUMMYFUNCTION("""COMPUTED_VALUE"""),50.0)</f>
        <v>50</v>
      </c>
      <c r="O68" s="385"/>
      <c r="P68" s="385"/>
      <c r="Q68" s="385"/>
      <c r="R68" s="385"/>
      <c r="S68" s="385"/>
      <c r="T68" s="385"/>
      <c r="U68" s="385"/>
      <c r="V68" s="385"/>
      <c r="W68" s="392"/>
      <c r="X68" s="392"/>
      <c r="Y68" s="386"/>
      <c r="Z68" s="386"/>
    </row>
    <row r="69">
      <c r="A69" s="135" t="str">
        <f>IFERROR(__xludf.DUMMYFUNCTION("""COMPUTED_VALUE"""),"RESE - Projeto de Apoio à Implementação da Educação Permanente em Saúde no Ceará")</f>
        <v>RESE - Projeto de Apoio à Implementação da Educação Permanente em Saúde no Ceará</v>
      </c>
      <c r="B69" s="124" t="str">
        <f>IFERROR(__xludf.DUMMYFUNCTION("""COMPUTED_VALUE"""),"Curso Apoiador Institucional em EPS")</f>
        <v>Curso Apoiador Institucional em EPS</v>
      </c>
      <c r="C69" s="125" t="str">
        <f>IFERROR(__xludf.DUMMYFUNCTION("""COMPUTED_VALUE"""),"Básico (Até 79h)")</f>
        <v>Básico (Até 79h)</v>
      </c>
      <c r="D69" s="126">
        <f>IFERROR(__xludf.DUMMYFUNCTION("""COMPUTED_VALUE"""),40.0)</f>
        <v>40</v>
      </c>
      <c r="E69" s="126" t="str">
        <f>IFERROR(__xludf.DUMMYFUNCTION("""COMPUTED_VALUE"""),"Turma 1")</f>
        <v>Turma 1</v>
      </c>
      <c r="F69" s="125" t="str">
        <f>IFERROR(__xludf.DUMMYFUNCTION("""COMPUTED_VALUE"""),"Fortaleza")</f>
        <v>Fortaleza</v>
      </c>
      <c r="G69" s="125" t="str">
        <f>IFERROR(__xludf.DUMMYFUNCTION("""COMPUTED_VALUE"""),"SRFOR")</f>
        <v>SRFOR</v>
      </c>
      <c r="H69" s="126" t="str">
        <f>IFERROR(__xludf.DUMMYFUNCTION("""COMPUTED_VALUE"""),"Presencial (máximo 20% EaD)")</f>
        <v>Presencial (máximo 20% EaD)</v>
      </c>
      <c r="I69" s="125" t="str">
        <f>IFERROR(__xludf.DUMMYFUNCTION("""COMPUTED_VALUE"""),"Maio")</f>
        <v>Maio</v>
      </c>
      <c r="J69" s="206" t="str">
        <f>IFERROR(__xludf.DUMMYFUNCTION("""COMPUTED_VALUE"""),"13 a 17")</f>
        <v>13 a 17</v>
      </c>
      <c r="K69" s="129">
        <f>IFERROR(__xludf.DUMMYFUNCTION("""COMPUTED_VALUE"""),45425.0)</f>
        <v>45425</v>
      </c>
      <c r="L69" s="129">
        <f>IFERROR(__xludf.DUMMYFUNCTION("""COMPUTED_VALUE"""),45429.0)</f>
        <v>45429</v>
      </c>
      <c r="M69" s="126" t="str">
        <f>IFERROR(__xludf.DUMMYFUNCTION("""COMPUTED_VALUE"""),"Curso Apoiador Institucional em EPS")</f>
        <v>Curso Apoiador Institucional em EPS</v>
      </c>
      <c r="N69" s="126">
        <f>IFERROR(__xludf.DUMMYFUNCTION("""COMPUTED_VALUE"""),15.0)</f>
        <v>15</v>
      </c>
      <c r="O69" s="385"/>
      <c r="P69" s="385"/>
      <c r="Q69" s="385"/>
      <c r="R69" s="385"/>
      <c r="S69" s="385"/>
      <c r="T69" s="385"/>
      <c r="U69" s="385"/>
      <c r="V69" s="385"/>
      <c r="W69" s="392"/>
      <c r="X69" s="392"/>
      <c r="Y69" s="386"/>
      <c r="Z69" s="386"/>
    </row>
    <row r="70">
      <c r="A70" s="135" t="str">
        <f>IFERROR(__xludf.DUMMYFUNCTION("""COMPUTED_VALUE"""),"RESE - Projeto de Apoio à Implementação da Educação Permanente em Saúde no Ceará")</f>
        <v>RESE - Projeto de Apoio à Implementação da Educação Permanente em Saúde no Ceará</v>
      </c>
      <c r="B70" s="395" t="str">
        <f>IFERROR(__xludf.DUMMYFUNCTION("""COMPUTED_VALUE"""),"Curso Apoiador Institucional em EPS")</f>
        <v>Curso Apoiador Institucional em EPS</v>
      </c>
      <c r="C70" s="125" t="str">
        <f>IFERROR(__xludf.DUMMYFUNCTION("""COMPUTED_VALUE"""),"Básico (Até 79h)")</f>
        <v>Básico (Até 79h)</v>
      </c>
      <c r="D70" s="126">
        <f>IFERROR(__xludf.DUMMYFUNCTION("""COMPUTED_VALUE"""),40.0)</f>
        <v>40</v>
      </c>
      <c r="E70" s="126" t="str">
        <f>IFERROR(__xludf.DUMMYFUNCTION("""COMPUTED_VALUE"""),"Turma 2")</f>
        <v>Turma 2</v>
      </c>
      <c r="F70" s="125" t="str">
        <f>IFERROR(__xludf.DUMMYFUNCTION("""COMPUTED_VALUE"""),"Fortaleza")</f>
        <v>Fortaleza</v>
      </c>
      <c r="G70" s="125" t="str">
        <f>IFERROR(__xludf.DUMMYFUNCTION("""COMPUTED_VALUE"""),"SRFOR")</f>
        <v>SRFOR</v>
      </c>
      <c r="H70" s="126" t="str">
        <f>IFERROR(__xludf.DUMMYFUNCTION("""COMPUTED_VALUE"""),"Presencial (máximo 20% EaD)")</f>
        <v>Presencial (máximo 20% EaD)</v>
      </c>
      <c r="I70" s="125" t="str">
        <f>IFERROR(__xludf.DUMMYFUNCTION("""COMPUTED_VALUE"""),"outubro/dezembro")</f>
        <v>outubro/dezembro</v>
      </c>
      <c r="J70" s="125"/>
      <c r="K70" s="126"/>
      <c r="L70" s="126"/>
      <c r="M70" s="126"/>
      <c r="N70" s="126">
        <f>IFERROR(__xludf.DUMMYFUNCTION("""COMPUTED_VALUE"""),0.0)</f>
        <v>0</v>
      </c>
      <c r="O70" s="385"/>
      <c r="P70" s="385"/>
      <c r="Q70" s="385"/>
      <c r="R70" s="385"/>
      <c r="S70" s="385"/>
      <c r="T70" s="385"/>
      <c r="U70" s="385"/>
      <c r="V70" s="385"/>
      <c r="W70" s="392"/>
      <c r="X70" s="392"/>
      <c r="Y70" s="386"/>
      <c r="Z70" s="386"/>
    </row>
    <row r="71">
      <c r="A71" s="135" t="str">
        <f>IFERROR(__xludf.DUMMYFUNCTION("""COMPUTED_VALUE"""),"RESE - Projeto de Apoio à Implementação da Educação Permanente em Saúde no Ceará")</f>
        <v>RESE - Projeto de Apoio à Implementação da Educação Permanente em Saúde no Ceará</v>
      </c>
      <c r="B71" s="124" t="str">
        <f>IFERROR(__xludf.DUMMYFUNCTION("""COMPUTED_VALUE"""),"Curso de EPS para Unidades da Rede SESA")</f>
        <v>Curso de EPS para Unidades da Rede SESA</v>
      </c>
      <c r="C71" s="125" t="str">
        <f>IFERROR(__xludf.DUMMYFUNCTION("""COMPUTED_VALUE"""),"Atualização (80h-179h)")</f>
        <v>Atualização (80h-179h)</v>
      </c>
      <c r="D71" s="126">
        <f>IFERROR(__xludf.DUMMYFUNCTION("""COMPUTED_VALUE"""),80.0)</f>
        <v>80</v>
      </c>
      <c r="E71" s="126" t="str">
        <f>IFERROR(__xludf.DUMMYFUNCTION("""COMPUTED_VALUE"""),"Turma Unificado (6 subsdivisões)")</f>
        <v>Turma Unificado (6 subsdivisões)</v>
      </c>
      <c r="F71" s="125" t="str">
        <f>IFERROR(__xludf.DUMMYFUNCTION("""COMPUTED_VALUE"""),"Fortaleza")</f>
        <v>Fortaleza</v>
      </c>
      <c r="G71" s="125" t="str">
        <f>IFERROR(__xludf.DUMMYFUNCTION("""COMPUTED_VALUE"""),"SRFOR")</f>
        <v>SRFOR</v>
      </c>
      <c r="H71" s="126" t="str">
        <f>IFERROR(__xludf.DUMMYFUNCTION("""COMPUTED_VALUE"""),"Híbrido (Presencial/EaD)")</f>
        <v>Híbrido (Presencial/EaD)</v>
      </c>
      <c r="I71" s="125" t="str">
        <f>IFERROR(__xludf.DUMMYFUNCTION("""COMPUTED_VALUE"""),"Agosto-Novembro")</f>
        <v>Agosto-Novembro</v>
      </c>
      <c r="J71" s="125" t="str">
        <f>IFERROR(__xludf.DUMMYFUNCTION("""COMPUTED_VALUE"""),"Previsão de inicio: Agosto. Previsão de término: Novembro.")</f>
        <v>Previsão de inicio: Agosto. Previsão de término: Novembro.</v>
      </c>
      <c r="K71" s="126"/>
      <c r="L71" s="126"/>
      <c r="M71" s="126"/>
      <c r="N71" s="126">
        <f>IFERROR(__xludf.DUMMYFUNCTION("""COMPUTED_VALUE"""),180.0)</f>
        <v>180</v>
      </c>
      <c r="O71" s="385"/>
      <c r="P71" s="385"/>
      <c r="Q71" s="385"/>
      <c r="R71" s="385"/>
      <c r="S71" s="385"/>
      <c r="T71" s="385"/>
      <c r="U71" s="385"/>
      <c r="V71" s="385"/>
      <c r="W71" s="392"/>
      <c r="X71" s="392"/>
      <c r="Y71" s="386"/>
      <c r="Z71" s="386"/>
    </row>
    <row r="72">
      <c r="A72" s="135" t="str">
        <f>IFERROR(__xludf.DUMMYFUNCTION("""COMPUTED_VALUE"""),"RESE - Projeto de Apoio à Implementação da Educação Permanente em Saúde no Ceará")</f>
        <v>RESE - Projeto de Apoio à Implementação da Educação Permanente em Saúde no Ceará</v>
      </c>
      <c r="B72" s="124" t="str">
        <f>IFERROR(__xludf.DUMMYFUNCTION("""COMPUTED_VALUE"""),"IV Encontro RESE / IV Mostra em EPS / II Seminário da Gestão do Trabalho")</f>
        <v>IV Encontro RESE / IV Mostra em EPS / II Seminário da Gestão do Trabalho</v>
      </c>
      <c r="C72" s="125" t="str">
        <f>IFERROR(__xludf.DUMMYFUNCTION("""COMPUTED_VALUE"""),"Básico (Até 79h)")</f>
        <v>Básico (Até 79h)</v>
      </c>
      <c r="D72" s="126">
        <f>IFERROR(__xludf.DUMMYFUNCTION("""COMPUTED_VALUE"""),24.0)</f>
        <v>24</v>
      </c>
      <c r="E72" s="126" t="str">
        <f>IFERROR(__xludf.DUMMYFUNCTION("""COMPUTED_VALUE"""),"Turma 1")</f>
        <v>Turma 1</v>
      </c>
      <c r="F72" s="125" t="str">
        <f>IFERROR(__xludf.DUMMYFUNCTION("""COMPUTED_VALUE"""),"Fortaleza")</f>
        <v>Fortaleza</v>
      </c>
      <c r="G72" s="125" t="str">
        <f>IFERROR(__xludf.DUMMYFUNCTION("""COMPUTED_VALUE"""),"SRFOR")</f>
        <v>SRFOR</v>
      </c>
      <c r="H72" s="126" t="str">
        <f>IFERROR(__xludf.DUMMYFUNCTION("""COMPUTED_VALUE"""),"Híbrido (Presencial/EaD)")</f>
        <v>Híbrido (Presencial/EaD)</v>
      </c>
      <c r="I72" s="125" t="str">
        <f>IFERROR(__xludf.DUMMYFUNCTION("""COMPUTED_VALUE"""),"Dezembro")</f>
        <v>Dezembro</v>
      </c>
      <c r="J72" s="125" t="str">
        <f>IFERROR(__xludf.DUMMYFUNCTION("""COMPUTED_VALUE"""),"18 a 20")</f>
        <v>18 a 20</v>
      </c>
      <c r="K72" s="126"/>
      <c r="L72" s="126"/>
      <c r="M72" s="126"/>
      <c r="N72" s="126">
        <f>IFERROR(__xludf.DUMMYFUNCTION("""COMPUTED_VALUE"""),0.0)</f>
        <v>0</v>
      </c>
      <c r="O72" s="385"/>
      <c r="P72" s="385"/>
      <c r="Q72" s="385"/>
      <c r="R72" s="385"/>
      <c r="S72" s="385"/>
      <c r="T72" s="385"/>
      <c r="U72" s="385"/>
      <c r="V72" s="385"/>
      <c r="W72" s="392"/>
      <c r="X72" s="392"/>
      <c r="Y72" s="386"/>
      <c r="Z72" s="386"/>
    </row>
    <row r="73">
      <c r="A73" s="135" t="str">
        <f>IFERROR(__xludf.DUMMYFUNCTION("""COMPUTED_VALUE"""),"PERFORSM - Percursos Formativos no Campo da Saúde Mental")</f>
        <v>PERFORSM - Percursos Formativos no Campo da Saúde Mental</v>
      </c>
      <c r="B73" s="124" t="str">
        <f>IFERROR(__xludf.DUMMYFUNCTION("""COMPUTED_VALUE"""),"Curso de Manejo da Autolesão, Prevenção e Posvenção ao Suicídio")</f>
        <v>Curso de Manejo da Autolesão, Prevenção e Posvenção ao Suicídio</v>
      </c>
      <c r="C73" s="125" t="str">
        <f>IFERROR(__xludf.DUMMYFUNCTION("""COMPUTED_VALUE"""),"Básico (Até 79h)")</f>
        <v>Básico (Até 79h)</v>
      </c>
      <c r="D73" s="126">
        <f>IFERROR(__xludf.DUMMYFUNCTION("""COMPUTED_VALUE"""),60.0)</f>
        <v>60</v>
      </c>
      <c r="E73" s="126" t="str">
        <f>IFERROR(__xludf.DUMMYFUNCTION("""COMPUTED_VALUE"""),"SRFOR TURMA - ADS CAUCAIA")</f>
        <v>SRFOR TURMA - ADS CAUCAIA</v>
      </c>
      <c r="F73" s="125" t="str">
        <f>IFERROR(__xludf.DUMMYFUNCTION("""COMPUTED_VALUE"""),"Caucaia")</f>
        <v>Caucaia</v>
      </c>
      <c r="G73" s="125" t="str">
        <f>IFERROR(__xludf.DUMMYFUNCTION("""COMPUTED_VALUE"""),"SR Fortaleza")</f>
        <v>SR Fortaleza</v>
      </c>
      <c r="H73" s="126" t="str">
        <f>IFERROR(__xludf.DUMMYFUNCTION("""COMPUTED_VALUE"""),"Híbrido (Presencial/EaD)")</f>
        <v>Híbrido (Presencial/EaD)</v>
      </c>
      <c r="I73" s="125" t="str">
        <f>IFERROR(__xludf.DUMMYFUNCTION("""COMPUTED_VALUE"""),"Setembro")</f>
        <v>Setembro</v>
      </c>
      <c r="J73" s="125" t="str">
        <f>IFERROR(__xludf.DUMMYFUNCTION("""COMPUTED_VALUE"""),"11,18 e 25")</f>
        <v>11,18 e 25</v>
      </c>
      <c r="K73" s="126"/>
      <c r="L73" s="126"/>
      <c r="M73" s="126"/>
      <c r="N73" s="126">
        <f>IFERROR(__xludf.DUMMYFUNCTION("""COMPUTED_VALUE"""),50.0)</f>
        <v>50</v>
      </c>
      <c r="O73" s="385"/>
      <c r="P73" s="385"/>
      <c r="Q73" s="385"/>
      <c r="R73" s="385"/>
      <c r="S73" s="385"/>
      <c r="T73" s="385"/>
      <c r="U73" s="385"/>
      <c r="V73" s="385"/>
      <c r="W73" s="392"/>
      <c r="X73" s="392"/>
      <c r="Y73" s="386"/>
      <c r="Z73" s="386"/>
    </row>
    <row r="74">
      <c r="A74" s="135" t="str">
        <f>IFERROR(__xludf.DUMMYFUNCTION("""COMPUTED_VALUE"""),"PERFORSM - Percursos Formativos no Campo da Saúde Mental")</f>
        <v>PERFORSM - Percursos Formativos no Campo da Saúde Mental</v>
      </c>
      <c r="B74" s="124" t="str">
        <f>IFERROR(__xludf.DUMMYFUNCTION("""COMPUTED_VALUE"""),"Curso de Manejo da Autolesão, Prevenção e Posvenção ao Suicídio")</f>
        <v>Curso de Manejo da Autolesão, Prevenção e Posvenção ao Suicídio</v>
      </c>
      <c r="C74" s="125" t="str">
        <f>IFERROR(__xludf.DUMMYFUNCTION("""COMPUTED_VALUE"""),"Básico (Até 79h)")</f>
        <v>Básico (Até 79h)</v>
      </c>
      <c r="D74" s="126">
        <f>IFERROR(__xludf.DUMMYFUNCTION("""COMPUTED_VALUE"""),60.0)</f>
        <v>60</v>
      </c>
      <c r="E74" s="126" t="str">
        <f>IFERROR(__xludf.DUMMYFUNCTION("""COMPUTED_VALUE"""),"SRFOR TURMA - ADS FORTALEZA")</f>
        <v>SRFOR TURMA - ADS FORTALEZA</v>
      </c>
      <c r="F74" s="125" t="str">
        <f>IFERROR(__xludf.DUMMYFUNCTION("""COMPUTED_VALUE"""),"Fortaleza")</f>
        <v>Fortaleza</v>
      </c>
      <c r="G74" s="125" t="str">
        <f>IFERROR(__xludf.DUMMYFUNCTION("""COMPUTED_VALUE"""),"SR Fortaleza")</f>
        <v>SR Fortaleza</v>
      </c>
      <c r="H74" s="126" t="str">
        <f>IFERROR(__xludf.DUMMYFUNCTION("""COMPUTED_VALUE"""),"Híbrido (Presencial/EaD)")</f>
        <v>Híbrido (Presencial/EaD)</v>
      </c>
      <c r="I74" s="125" t="str">
        <f>IFERROR(__xludf.DUMMYFUNCTION("""COMPUTED_VALUE"""),"Novembro")</f>
        <v>Novembro</v>
      </c>
      <c r="J74" s="125" t="str">
        <f>IFERROR(__xludf.DUMMYFUNCTION("""COMPUTED_VALUE"""),"05,12 e 19")</f>
        <v>05,12 e 19</v>
      </c>
      <c r="K74" s="126"/>
      <c r="L74" s="126"/>
      <c r="M74" s="126"/>
      <c r="N74" s="126">
        <f>IFERROR(__xludf.DUMMYFUNCTION("""COMPUTED_VALUE"""),50.0)</f>
        <v>50</v>
      </c>
      <c r="O74" s="385"/>
      <c r="P74" s="385"/>
      <c r="Q74" s="385"/>
      <c r="R74" s="385"/>
      <c r="S74" s="385"/>
      <c r="T74" s="385"/>
      <c r="U74" s="385"/>
      <c r="V74" s="385"/>
      <c r="W74" s="392"/>
      <c r="X74" s="392"/>
      <c r="Y74" s="386"/>
      <c r="Z74" s="386"/>
    </row>
    <row r="75">
      <c r="A75" s="135" t="str">
        <f>IFERROR(__xludf.DUMMYFUNCTION("""COMPUTED_VALUE"""),"PERFORSM - Percursos Formativos no Campo da Saúde Mental")</f>
        <v>PERFORSM - Percursos Formativos no Campo da Saúde Mental</v>
      </c>
      <c r="B75" s="124" t="str">
        <f>IFERROR(__xludf.DUMMYFUNCTION("""COMPUTED_VALUE"""),"Curso de Manejo da Autolesão, Prevenção e Posvenção ao Suicídio")</f>
        <v>Curso de Manejo da Autolesão, Prevenção e Posvenção ao Suicídio</v>
      </c>
      <c r="C75" s="125" t="str">
        <f>IFERROR(__xludf.DUMMYFUNCTION("""COMPUTED_VALUE"""),"Básico (Até 79h)")</f>
        <v>Básico (Até 79h)</v>
      </c>
      <c r="D75" s="126">
        <f>IFERROR(__xludf.DUMMYFUNCTION("""COMPUTED_VALUE"""),60.0)</f>
        <v>60</v>
      </c>
      <c r="E75" s="126" t="str">
        <f>IFERROR(__xludf.DUMMYFUNCTION("""COMPUTED_VALUE"""),"SRSUL TURMA - ADS BREJO SANTO")</f>
        <v>SRSUL TURMA - ADS BREJO SANTO</v>
      </c>
      <c r="F75" s="125" t="str">
        <f>IFERROR(__xludf.DUMMYFUNCTION("""COMPUTED_VALUE"""),"Brejo Santo")</f>
        <v>Brejo Santo</v>
      </c>
      <c r="G75" s="125" t="str">
        <f>IFERROR(__xludf.DUMMYFUNCTION("""COMPUTED_VALUE"""),"SR Cariri")</f>
        <v>SR Cariri</v>
      </c>
      <c r="H75" s="126" t="str">
        <f>IFERROR(__xludf.DUMMYFUNCTION("""COMPUTED_VALUE"""),"Híbrido (Presencial/EaD)")</f>
        <v>Híbrido (Presencial/EaD)</v>
      </c>
      <c r="I75" s="125" t="str">
        <f>IFERROR(__xludf.DUMMYFUNCTION("""COMPUTED_VALUE"""),"Setembro/Outubro")</f>
        <v>Setembro/Outubro</v>
      </c>
      <c r="J75" s="125" t="str">
        <f>IFERROR(__xludf.DUMMYFUNCTION("""COMPUTED_VALUE"""),"25/09
e
09 e 16/10")</f>
        <v>25/09
e
09 e 16/10</v>
      </c>
      <c r="K75" s="126"/>
      <c r="L75" s="126"/>
      <c r="M75" s="126"/>
      <c r="N75" s="126">
        <f>IFERROR(__xludf.DUMMYFUNCTION("""COMPUTED_VALUE"""),50.0)</f>
        <v>50</v>
      </c>
      <c r="O75" s="385"/>
      <c r="P75" s="385"/>
      <c r="Q75" s="385"/>
      <c r="R75" s="385"/>
      <c r="S75" s="385"/>
      <c r="T75" s="385"/>
      <c r="U75" s="385"/>
      <c r="V75" s="385"/>
      <c r="W75" s="392"/>
      <c r="X75" s="392"/>
      <c r="Y75" s="386"/>
      <c r="Z75" s="386"/>
    </row>
    <row r="76">
      <c r="A76" s="135" t="str">
        <f>IFERROR(__xludf.DUMMYFUNCTION("""COMPUTED_VALUE"""),"PERFORSM - Percursos Formativos no Campo da Saúde Mental")</f>
        <v>PERFORSM - Percursos Formativos no Campo da Saúde Mental</v>
      </c>
      <c r="B76" s="124" t="str">
        <f>IFERROR(__xludf.DUMMYFUNCTION("""COMPUTED_VALUE"""),"Curso de Manejo da Autolesão, Prevenção e Posvenção ao Suicídio")</f>
        <v>Curso de Manejo da Autolesão, Prevenção e Posvenção ao Suicídio</v>
      </c>
      <c r="C76" s="125" t="str">
        <f>IFERROR(__xludf.DUMMYFUNCTION("""COMPUTED_VALUE"""),"Básico (Até 79h)")</f>
        <v>Básico (Até 79h)</v>
      </c>
      <c r="D76" s="153">
        <f>IFERROR(__xludf.DUMMYFUNCTION("""COMPUTED_VALUE"""),60.0)</f>
        <v>60</v>
      </c>
      <c r="E76" s="153" t="str">
        <f>IFERROR(__xludf.DUMMYFUNCTION("""COMPUTED_VALUE"""),"SRSUL TURMA - ADS ICÓ")</f>
        <v>SRSUL TURMA - ADS ICÓ</v>
      </c>
      <c r="F76" s="206" t="str">
        <f>IFERROR(__xludf.DUMMYFUNCTION("""COMPUTED_VALUE"""),"Icó")</f>
        <v>Icó</v>
      </c>
      <c r="G76" s="206" t="str">
        <f>IFERROR(__xludf.DUMMYFUNCTION("""COMPUTED_VALUE"""),"SR Cariri")</f>
        <v>SR Cariri</v>
      </c>
      <c r="H76" s="153" t="str">
        <f>IFERROR(__xludf.DUMMYFUNCTION("""COMPUTED_VALUE"""),"Híbrido (Presencial/EaD)")</f>
        <v>Híbrido (Presencial/EaD)</v>
      </c>
      <c r="I76" s="206" t="str">
        <f>IFERROR(__xludf.DUMMYFUNCTION("""COMPUTED_VALUE"""),"Outubro")</f>
        <v>Outubro</v>
      </c>
      <c r="J76" s="206" t="str">
        <f>IFERROR(__xludf.DUMMYFUNCTION("""COMPUTED_VALUE"""),"16, 23 e 30/10")</f>
        <v>16, 23 e 30/10</v>
      </c>
      <c r="K76" s="153"/>
      <c r="L76" s="153"/>
      <c r="M76" s="153"/>
      <c r="N76" s="126">
        <f>IFERROR(__xludf.DUMMYFUNCTION("""COMPUTED_VALUE"""),0.0)</f>
        <v>0</v>
      </c>
      <c r="O76" s="385"/>
      <c r="P76" s="385"/>
      <c r="Q76" s="385"/>
      <c r="R76" s="385"/>
      <c r="S76" s="385"/>
      <c r="T76" s="385"/>
      <c r="U76" s="385"/>
      <c r="V76" s="385"/>
      <c r="W76" s="392"/>
      <c r="X76" s="392"/>
      <c r="Y76" s="386"/>
      <c r="Z76" s="386"/>
    </row>
    <row r="77">
      <c r="A77" s="135" t="str">
        <f>IFERROR(__xludf.DUMMYFUNCTION("""COMPUTED_VALUE"""),"PERFORSM - Percursos Formativos no Campo da Saúde Mental")</f>
        <v>PERFORSM - Percursos Formativos no Campo da Saúde Mental</v>
      </c>
      <c r="B77" s="124" t="str">
        <f>IFERROR(__xludf.DUMMYFUNCTION("""COMPUTED_VALUE"""),"Curso de Manejo da Autolesão, Prevenção e Posvenção ao Suicídio")</f>
        <v>Curso de Manejo da Autolesão, Prevenção e Posvenção ao Suicídio</v>
      </c>
      <c r="C77" s="125" t="str">
        <f>IFERROR(__xludf.DUMMYFUNCTION("""COMPUTED_VALUE"""),"Básico (Até 79h)")</f>
        <v>Básico (Até 79h)</v>
      </c>
      <c r="D77" s="153">
        <f>IFERROR(__xludf.DUMMYFUNCTION("""COMPUTED_VALUE"""),60.0)</f>
        <v>60</v>
      </c>
      <c r="E77" s="153" t="str">
        <f>IFERROR(__xludf.DUMMYFUNCTION("""COMPUTED_VALUE"""),"SRSUL TURMA - ADS CRATO")</f>
        <v>SRSUL TURMA - ADS CRATO</v>
      </c>
      <c r="F77" s="206" t="str">
        <f>IFERROR(__xludf.DUMMYFUNCTION("""COMPUTED_VALUE"""),"Crato")</f>
        <v>Crato</v>
      </c>
      <c r="G77" s="206" t="str">
        <f>IFERROR(__xludf.DUMMYFUNCTION("""COMPUTED_VALUE"""),"SR Cariri")</f>
        <v>SR Cariri</v>
      </c>
      <c r="H77" s="153" t="str">
        <f>IFERROR(__xludf.DUMMYFUNCTION("""COMPUTED_VALUE"""),"Híbrido (Presencial/EaD)")</f>
        <v>Híbrido (Presencial/EaD)</v>
      </c>
      <c r="I77" s="206" t="str">
        <f>IFERROR(__xludf.DUMMYFUNCTION("""COMPUTED_VALUE"""),"Novembro")</f>
        <v>Novembro</v>
      </c>
      <c r="J77" s="206" t="str">
        <f>IFERROR(__xludf.DUMMYFUNCTION("""COMPUTED_VALUE"""),"11, 18 e 25/11")</f>
        <v>11, 18 e 25/11</v>
      </c>
      <c r="K77" s="153"/>
      <c r="L77" s="153"/>
      <c r="M77" s="153"/>
      <c r="N77" s="126">
        <f>IFERROR(__xludf.DUMMYFUNCTION("""COMPUTED_VALUE"""),0.0)</f>
        <v>0</v>
      </c>
      <c r="O77" s="385"/>
      <c r="P77" s="385"/>
      <c r="Q77" s="385"/>
      <c r="R77" s="385"/>
      <c r="S77" s="385"/>
      <c r="T77" s="385"/>
      <c r="U77" s="385"/>
      <c r="V77" s="385"/>
      <c r="W77" s="392"/>
      <c r="X77" s="392"/>
      <c r="Y77" s="386"/>
      <c r="Z77" s="386"/>
    </row>
    <row r="78">
      <c r="A78" s="135" t="str">
        <f>IFERROR(__xludf.DUMMYFUNCTION("""COMPUTED_VALUE"""),"PERFORSM - Percursos Formativos no Campo da Saúde Mental")</f>
        <v>PERFORSM - Percursos Formativos no Campo da Saúde Mental</v>
      </c>
      <c r="B78" s="124" t="str">
        <f>IFERROR(__xludf.DUMMYFUNCTION("""COMPUTED_VALUE"""),"Curso de Manejo da Autolesão, Prevenção e Posvenção ao Suicídio")</f>
        <v>Curso de Manejo da Autolesão, Prevenção e Posvenção ao Suicídio</v>
      </c>
      <c r="C78" s="125" t="str">
        <f>IFERROR(__xludf.DUMMYFUNCTION("""COMPUTED_VALUE"""),"Básico (Até 79h)")</f>
        <v>Básico (Até 79h)</v>
      </c>
      <c r="D78" s="126">
        <f>IFERROR(__xludf.DUMMYFUNCTION("""COMPUTED_VALUE"""),60.0)</f>
        <v>60</v>
      </c>
      <c r="E78" s="153" t="str">
        <f>IFERROR(__xludf.DUMMYFUNCTION("""COMPUTED_VALUE"""),"SRSUL TURMA - ADS JUAZEIRO DO NORTE")</f>
        <v>SRSUL TURMA - ADS JUAZEIRO DO NORTE</v>
      </c>
      <c r="F78" s="206" t="str">
        <f>IFERROR(__xludf.DUMMYFUNCTION("""COMPUTED_VALUE"""),"Juazeiro do Norte")</f>
        <v>Juazeiro do Norte</v>
      </c>
      <c r="G78" s="206" t="str">
        <f>IFERROR(__xludf.DUMMYFUNCTION("""COMPUTED_VALUE"""),"SR Cariri")</f>
        <v>SR Cariri</v>
      </c>
      <c r="H78" s="153" t="str">
        <f>IFERROR(__xludf.DUMMYFUNCTION("""COMPUTED_VALUE"""),"Híbrido (Presencial/EaD)")</f>
        <v>Híbrido (Presencial/EaD)</v>
      </c>
      <c r="I78" s="206" t="str">
        <f>IFERROR(__xludf.DUMMYFUNCTION("""COMPUTED_VALUE"""),"Novembro")</f>
        <v>Novembro</v>
      </c>
      <c r="J78" s="206" t="str">
        <f>IFERROR(__xludf.DUMMYFUNCTION("""COMPUTED_VALUE"""),"12, 19 e 26/11")</f>
        <v>12, 19 e 26/11</v>
      </c>
      <c r="K78" s="153"/>
      <c r="L78" s="153"/>
      <c r="M78" s="153"/>
      <c r="N78" s="126">
        <f>IFERROR(__xludf.DUMMYFUNCTION("""COMPUTED_VALUE"""),0.0)</f>
        <v>0</v>
      </c>
      <c r="O78" s="385"/>
      <c r="P78" s="385"/>
      <c r="Q78" s="385"/>
      <c r="R78" s="385"/>
      <c r="S78" s="385"/>
      <c r="T78" s="385"/>
      <c r="U78" s="385"/>
      <c r="V78" s="385"/>
      <c r="W78" s="392"/>
      <c r="X78" s="392"/>
      <c r="Y78" s="386"/>
      <c r="Z78" s="386"/>
    </row>
    <row r="79">
      <c r="A79" s="135" t="str">
        <f>IFERROR(__xludf.DUMMYFUNCTION("""COMPUTED_VALUE"""),"PERFORSM - Percursos Formativos no Campo da Saúde Mental")</f>
        <v>PERFORSM - Percursos Formativos no Campo da Saúde Mental</v>
      </c>
      <c r="B79" s="124" t="str">
        <f>IFERROR(__xludf.DUMMYFUNCTION("""COMPUTED_VALUE"""),"Curso de Manejo da Autolesão, Prevenção e Posvenção ao Suicídio")</f>
        <v>Curso de Manejo da Autolesão, Prevenção e Posvenção ao Suicídio</v>
      </c>
      <c r="C79" s="125" t="str">
        <f>IFERROR(__xludf.DUMMYFUNCTION("""COMPUTED_VALUE"""),"Básico (Até 79h)")</f>
        <v>Básico (Até 79h)</v>
      </c>
      <c r="D79" s="153">
        <f>IFERROR(__xludf.DUMMYFUNCTION("""COMPUTED_VALUE"""),60.0)</f>
        <v>60</v>
      </c>
      <c r="E79" s="153" t="str">
        <f>IFERROR(__xludf.DUMMYFUNCTION("""COMPUTED_VALUE"""),"SRSUL TURMA - ADS IGUATU")</f>
        <v>SRSUL TURMA - ADS IGUATU</v>
      </c>
      <c r="F79" s="206" t="str">
        <f>IFERROR(__xludf.DUMMYFUNCTION("""COMPUTED_VALUE"""),"Iguatu")</f>
        <v>Iguatu</v>
      </c>
      <c r="G79" s="206" t="str">
        <f>IFERROR(__xludf.DUMMYFUNCTION("""COMPUTED_VALUE"""),"SR Cariri")</f>
        <v>SR Cariri</v>
      </c>
      <c r="H79" s="153" t="str">
        <f>IFERROR(__xludf.DUMMYFUNCTION("""COMPUTED_VALUE"""),"Híbrido (Presencial/EaD)")</f>
        <v>Híbrido (Presencial/EaD)</v>
      </c>
      <c r="I79" s="206" t="str">
        <f>IFERROR(__xludf.DUMMYFUNCTION("""COMPUTED_VALUE"""),"Novembro")</f>
        <v>Novembro</v>
      </c>
      <c r="J79" s="206" t="str">
        <f>IFERROR(__xludf.DUMMYFUNCTION("""COMPUTED_VALUE"""),"04,11 e 18/11")</f>
        <v>04,11 e 18/11</v>
      </c>
      <c r="K79" s="153"/>
      <c r="L79" s="153"/>
      <c r="M79" s="153"/>
      <c r="N79" s="126">
        <f>IFERROR(__xludf.DUMMYFUNCTION("""COMPUTED_VALUE"""),0.0)</f>
        <v>0</v>
      </c>
      <c r="O79" s="385"/>
      <c r="P79" s="385"/>
      <c r="Q79" s="385"/>
      <c r="R79" s="385"/>
      <c r="S79" s="385"/>
      <c r="T79" s="385"/>
      <c r="U79" s="385"/>
      <c r="V79" s="385"/>
      <c r="W79" s="392"/>
      <c r="X79" s="392"/>
      <c r="Y79" s="386"/>
      <c r="Z79" s="386"/>
    </row>
    <row r="80">
      <c r="A80" s="135" t="str">
        <f>IFERROR(__xludf.DUMMYFUNCTION("""COMPUTED_VALUE"""),"PERFORSM - Percursos Formativos no Campo da Saúde Mental")</f>
        <v>PERFORSM - Percursos Formativos no Campo da Saúde Mental</v>
      </c>
      <c r="B80" s="124" t="str">
        <f>IFERROR(__xludf.DUMMYFUNCTION("""COMPUTED_VALUE"""),"Curso de Manejo da Autolesão, Prevenção e Posvenção ao Suicídio")</f>
        <v>Curso de Manejo da Autolesão, Prevenção e Posvenção ao Suicídio</v>
      </c>
      <c r="C80" s="125" t="str">
        <f>IFERROR(__xludf.DUMMYFUNCTION("""COMPUTED_VALUE"""),"Básico (Até 79h)")</f>
        <v>Básico (Até 79h)</v>
      </c>
      <c r="D80" s="153">
        <f>IFERROR(__xludf.DUMMYFUNCTION("""COMPUTED_VALUE"""),60.0)</f>
        <v>60</v>
      </c>
      <c r="E80" s="153" t="str">
        <f>IFERROR(__xludf.DUMMYFUNCTION("""COMPUTED_VALUE"""),"SRCEN TURMA - ADS QUIXADÁ")</f>
        <v>SRCEN TURMA - ADS QUIXADÁ</v>
      </c>
      <c r="F80" s="206" t="str">
        <f>IFERROR(__xludf.DUMMYFUNCTION("""COMPUTED_VALUE"""),"Quixadá")</f>
        <v>Quixadá</v>
      </c>
      <c r="G80" s="206" t="str">
        <f>IFERROR(__xludf.DUMMYFUNCTION("""COMPUTED_VALUE"""),"SR Sertão Central")</f>
        <v>SR Sertão Central</v>
      </c>
      <c r="H80" s="153" t="str">
        <f>IFERROR(__xludf.DUMMYFUNCTION("""COMPUTED_VALUE"""),"Híbrido (Presencial/EaD)")</f>
        <v>Híbrido (Presencial/EaD)</v>
      </c>
      <c r="I80" s="206" t="str">
        <f>IFERROR(__xludf.DUMMYFUNCTION("""COMPUTED_VALUE"""),"Outubro")</f>
        <v>Outubro</v>
      </c>
      <c r="J80" s="206" t="str">
        <f>IFERROR(__xludf.DUMMYFUNCTION("""COMPUTED_VALUE"""),"08, 15 e 22/10")</f>
        <v>08, 15 e 22/10</v>
      </c>
      <c r="K80" s="153"/>
      <c r="L80" s="153"/>
      <c r="M80" s="153"/>
      <c r="N80" s="126">
        <f>IFERROR(__xludf.DUMMYFUNCTION("""COMPUTED_VALUE"""),50.0)</f>
        <v>50</v>
      </c>
      <c r="O80" s="385"/>
      <c r="P80" s="385"/>
      <c r="Q80" s="385"/>
      <c r="R80" s="385"/>
      <c r="S80" s="385"/>
      <c r="T80" s="385"/>
      <c r="U80" s="385"/>
      <c r="V80" s="385"/>
      <c r="W80" s="392"/>
      <c r="X80" s="392"/>
      <c r="Y80" s="386"/>
      <c r="Z80" s="386"/>
    </row>
    <row r="81">
      <c r="A81" s="135" t="str">
        <f>IFERROR(__xludf.DUMMYFUNCTION("""COMPUTED_VALUE"""),"PERFORSM - Percursos Formativos no Campo da Saúde Mental")</f>
        <v>PERFORSM - Percursos Formativos no Campo da Saúde Mental</v>
      </c>
      <c r="B81" s="124" t="str">
        <f>IFERROR(__xludf.DUMMYFUNCTION("""COMPUTED_VALUE"""),"Curso de Manejo da Autolesão, Prevenção e Posvenção ao Suicídio")</f>
        <v>Curso de Manejo da Autolesão, Prevenção e Posvenção ao Suicídio</v>
      </c>
      <c r="C81" s="125" t="str">
        <f>IFERROR(__xludf.DUMMYFUNCTION("""COMPUTED_VALUE"""),"Básico (Até 79h)")</f>
        <v>Básico (Até 79h)</v>
      </c>
      <c r="D81" s="153">
        <f>IFERROR(__xludf.DUMMYFUNCTION("""COMPUTED_VALUE"""),60.0)</f>
        <v>60</v>
      </c>
      <c r="E81" s="153" t="str">
        <f>IFERROR(__xludf.DUMMYFUNCTION("""COMPUTED_VALUE"""),"SRCEN TURMA - ADS TAUÁ")</f>
        <v>SRCEN TURMA - ADS TAUÁ</v>
      </c>
      <c r="F81" s="206" t="str">
        <f>IFERROR(__xludf.DUMMYFUNCTION("""COMPUTED_VALUE"""),"Tauá")</f>
        <v>Tauá</v>
      </c>
      <c r="G81" s="206" t="str">
        <f>IFERROR(__xludf.DUMMYFUNCTION("""COMPUTED_VALUE"""),"SR Sertão Central")</f>
        <v>SR Sertão Central</v>
      </c>
      <c r="H81" s="153" t="str">
        <f>IFERROR(__xludf.DUMMYFUNCTION("""COMPUTED_VALUE"""),"Híbrido (Presencial/EaD)")</f>
        <v>Híbrido (Presencial/EaD)</v>
      </c>
      <c r="I81" s="206" t="str">
        <f>IFERROR(__xludf.DUMMYFUNCTION("""COMPUTED_VALUE"""),"Novembro")</f>
        <v>Novembro</v>
      </c>
      <c r="J81" s="206" t="str">
        <f>IFERROR(__xludf.DUMMYFUNCTION("""COMPUTED_VALUE"""),"05, 12 e 19/11")</f>
        <v>05, 12 e 19/11</v>
      </c>
      <c r="K81" s="153"/>
      <c r="L81" s="153"/>
      <c r="M81" s="153"/>
      <c r="N81" s="126">
        <f>IFERROR(__xludf.DUMMYFUNCTION("""COMPUTED_VALUE"""),50.0)</f>
        <v>50</v>
      </c>
      <c r="O81" s="385"/>
      <c r="P81" s="385"/>
      <c r="Q81" s="385"/>
      <c r="R81" s="385"/>
      <c r="S81" s="385"/>
      <c r="T81" s="385"/>
      <c r="U81" s="385"/>
      <c r="V81" s="385"/>
      <c r="W81" s="392"/>
      <c r="X81" s="392"/>
      <c r="Y81" s="386"/>
      <c r="Z81" s="386"/>
    </row>
    <row r="82">
      <c r="A82" s="135" t="str">
        <f>IFERROR(__xludf.DUMMYFUNCTION("""COMPUTED_VALUE"""),"PERFORSM - Percursos Formativos no Campo da Saúde Mental")</f>
        <v>PERFORSM - Percursos Formativos no Campo da Saúde Mental</v>
      </c>
      <c r="B82" s="124" t="str">
        <f>IFERROR(__xludf.DUMMYFUNCTION("""COMPUTED_VALUE"""),"Curso de Manejo da Autolesão, Prevenção e Posvenção ao Suicídio")</f>
        <v>Curso de Manejo da Autolesão, Prevenção e Posvenção ao Suicídio</v>
      </c>
      <c r="C82" s="125" t="str">
        <f>IFERROR(__xludf.DUMMYFUNCTION("""COMPUTED_VALUE"""),"Básico (Até 79h)")</f>
        <v>Básico (Até 79h)</v>
      </c>
      <c r="D82" s="153">
        <f>IFERROR(__xludf.DUMMYFUNCTION("""COMPUTED_VALUE"""),60.0)</f>
        <v>60</v>
      </c>
      <c r="E82" s="153" t="str">
        <f>IFERROR(__xludf.DUMMYFUNCTION("""COMPUTED_VALUE"""),"SRNOR TURMA - ADS TIANGUÁ")</f>
        <v>SRNOR TURMA - ADS TIANGUÁ</v>
      </c>
      <c r="F82" s="206" t="str">
        <f>IFERROR(__xludf.DUMMYFUNCTION("""COMPUTED_VALUE"""),"Tianguá")</f>
        <v>Tianguá</v>
      </c>
      <c r="G82" s="206" t="str">
        <f>IFERROR(__xludf.DUMMYFUNCTION("""COMPUTED_VALUE"""),"SR Norte")</f>
        <v>SR Norte</v>
      </c>
      <c r="H82" s="153" t="str">
        <f>IFERROR(__xludf.DUMMYFUNCTION("""COMPUTED_VALUE"""),"Híbrido (Presencial/EaD)")</f>
        <v>Híbrido (Presencial/EaD)</v>
      </c>
      <c r="I82" s="206" t="str">
        <f>IFERROR(__xludf.DUMMYFUNCTION("""COMPUTED_VALUE""")," Novembro")</f>
        <v> Novembro</v>
      </c>
      <c r="J82" s="206" t="str">
        <f>IFERROR(__xludf.DUMMYFUNCTION("""COMPUTED_VALUE"""),"05, 12 e 19")</f>
        <v>05, 12 e 19</v>
      </c>
      <c r="K82" s="153"/>
      <c r="L82" s="153"/>
      <c r="M82" s="153"/>
      <c r="N82" s="126">
        <f>IFERROR(__xludf.DUMMYFUNCTION("""COMPUTED_VALUE"""),50.0)</f>
        <v>50</v>
      </c>
      <c r="O82" s="396"/>
      <c r="P82" s="396"/>
      <c r="Q82" s="396"/>
      <c r="R82" s="396"/>
      <c r="S82" s="396"/>
      <c r="T82" s="396"/>
      <c r="U82" s="396"/>
      <c r="V82" s="397"/>
      <c r="W82" s="392"/>
      <c r="X82" s="392"/>
      <c r="Y82" s="386"/>
      <c r="Z82" s="386"/>
    </row>
    <row r="83">
      <c r="A83" s="135" t="str">
        <f>IFERROR(__xludf.DUMMYFUNCTION("""COMPUTED_VALUE"""),"PERFORSM - Percursos Formativos no Campo da Saúde Mental")</f>
        <v>PERFORSM - Percursos Formativos no Campo da Saúde Mental</v>
      </c>
      <c r="B83" s="124" t="str">
        <f>IFERROR(__xludf.DUMMYFUNCTION("""COMPUTED_VALUE"""),"Curso de Manejo da Autolesão, Prevenção e Posvenção ao Suicídio")</f>
        <v>Curso de Manejo da Autolesão, Prevenção e Posvenção ao Suicídio</v>
      </c>
      <c r="C83" s="125" t="str">
        <f>IFERROR(__xludf.DUMMYFUNCTION("""COMPUTED_VALUE"""),"Básico (Até 79h)")</f>
        <v>Básico (Até 79h)</v>
      </c>
      <c r="D83" s="126">
        <f>IFERROR(__xludf.DUMMYFUNCTION("""COMPUTED_VALUE"""),60.0)</f>
        <v>60</v>
      </c>
      <c r="E83" s="153" t="str">
        <f>IFERROR(__xludf.DUMMYFUNCTION("""COMPUTED_VALUE"""),"SRNOR TURMA - ADS CRATEÚS")</f>
        <v>SRNOR TURMA - ADS CRATEÚS</v>
      </c>
      <c r="F83" s="206" t="str">
        <f>IFERROR(__xludf.DUMMYFUNCTION("""COMPUTED_VALUE"""),"Crateús")</f>
        <v>Crateús</v>
      </c>
      <c r="G83" s="206" t="str">
        <f>IFERROR(__xludf.DUMMYFUNCTION("""COMPUTED_VALUE"""),"SR Norte")</f>
        <v>SR Norte</v>
      </c>
      <c r="H83" s="153" t="str">
        <f>IFERROR(__xludf.DUMMYFUNCTION("""COMPUTED_VALUE"""),"Híbrido (Presencial/EaD)")</f>
        <v>Híbrido (Presencial/EaD)</v>
      </c>
      <c r="I83" s="206" t="str">
        <f>IFERROR(__xludf.DUMMYFUNCTION("""COMPUTED_VALUE"""),"Outubro")</f>
        <v>Outubro</v>
      </c>
      <c r="J83" s="206" t="str">
        <f>IFERROR(__xludf.DUMMYFUNCTION("""COMPUTED_VALUE"""),"17, 24 e 31")</f>
        <v>17, 24 e 31</v>
      </c>
      <c r="K83" s="153"/>
      <c r="L83" s="153"/>
      <c r="M83" s="153"/>
      <c r="N83" s="126">
        <f>IFERROR(__xludf.DUMMYFUNCTION("""COMPUTED_VALUE"""),50.0)</f>
        <v>50</v>
      </c>
      <c r="O83" s="396"/>
      <c r="P83" s="396"/>
      <c r="Q83" s="396"/>
      <c r="R83" s="396"/>
      <c r="S83" s="396"/>
      <c r="T83" s="396"/>
      <c r="U83" s="396"/>
      <c r="V83" s="397"/>
      <c r="W83" s="392"/>
      <c r="X83" s="392"/>
      <c r="Y83" s="386"/>
      <c r="Z83" s="386"/>
    </row>
    <row r="84">
      <c r="A84" s="135" t="str">
        <f>IFERROR(__xludf.DUMMYFUNCTION("""COMPUTED_VALUE"""),"PERFORSM - Percursos Formativos no Campo da Saúde Mental")</f>
        <v>PERFORSM - Percursos Formativos no Campo da Saúde Mental</v>
      </c>
      <c r="B84" s="124" t="str">
        <f>IFERROR(__xludf.DUMMYFUNCTION("""COMPUTED_VALUE"""),"Curso de Manejo da Autolesão, Prevenção e Posvenção ao Suicídio")</f>
        <v>Curso de Manejo da Autolesão, Prevenção e Posvenção ao Suicídio</v>
      </c>
      <c r="C84" s="125" t="str">
        <f>IFERROR(__xludf.DUMMYFUNCTION("""COMPUTED_VALUE"""),"Básico (Até 79h)")</f>
        <v>Básico (Até 79h)</v>
      </c>
      <c r="D84" s="126">
        <f>IFERROR(__xludf.DUMMYFUNCTION("""COMPUTED_VALUE"""),60.0)</f>
        <v>60</v>
      </c>
      <c r="E84" s="153" t="str">
        <f>IFERROR(__xludf.DUMMYFUNCTION("""COMPUTED_VALUE"""),"SRNOR TURMA - ADS ACARAÚ")</f>
        <v>SRNOR TURMA - ADS ACARAÚ</v>
      </c>
      <c r="F84" s="206" t="str">
        <f>IFERROR(__xludf.DUMMYFUNCTION("""COMPUTED_VALUE"""),"Acaraú")</f>
        <v>Acaraú</v>
      </c>
      <c r="G84" s="206" t="str">
        <f>IFERROR(__xludf.DUMMYFUNCTION("""COMPUTED_VALUE"""),"SR Norte")</f>
        <v>SR Norte</v>
      </c>
      <c r="H84" s="153" t="str">
        <f>IFERROR(__xludf.DUMMYFUNCTION("""COMPUTED_VALUE"""),"Híbrido (Presencial/EaD)")</f>
        <v>Híbrido (Presencial/EaD)</v>
      </c>
      <c r="I84" s="206" t="str">
        <f>IFERROR(__xludf.DUMMYFUNCTION("""COMPUTED_VALUE"""),"Novembro")</f>
        <v>Novembro</v>
      </c>
      <c r="J84" s="206" t="str">
        <f>IFERROR(__xludf.DUMMYFUNCTION("""COMPUTED_VALUE"""),"14, 21 e 28")</f>
        <v>14, 21 e 28</v>
      </c>
      <c r="K84" s="153"/>
      <c r="L84" s="153"/>
      <c r="M84" s="153"/>
      <c r="N84" s="126">
        <f>IFERROR(__xludf.DUMMYFUNCTION("""COMPUTED_VALUE"""),50.0)</f>
        <v>50</v>
      </c>
      <c r="O84" s="396"/>
      <c r="P84" s="396"/>
      <c r="Q84" s="396"/>
      <c r="R84" s="396"/>
      <c r="S84" s="396"/>
      <c r="T84" s="396"/>
      <c r="U84" s="396"/>
      <c r="V84" s="397"/>
      <c r="W84" s="392"/>
      <c r="X84" s="392"/>
      <c r="Y84" s="386"/>
      <c r="Z84" s="386"/>
    </row>
    <row r="85">
      <c r="A85" s="135" t="str">
        <f>IFERROR(__xludf.DUMMYFUNCTION("""COMPUTED_VALUE"""),"PERFORSM - Percursos Formativos no Campo da Saúde Mental")</f>
        <v>PERFORSM - Percursos Formativos no Campo da Saúde Mental</v>
      </c>
      <c r="B85" s="124" t="str">
        <f>IFERROR(__xludf.DUMMYFUNCTION("""COMPUTED_VALUE"""),"Curso de Manejo da Autolesão, Prevenção e Posvenção ao Suicídio")</f>
        <v>Curso de Manejo da Autolesão, Prevenção e Posvenção ao Suicídio</v>
      </c>
      <c r="C85" s="125" t="str">
        <f>IFERROR(__xludf.DUMMYFUNCTION("""COMPUTED_VALUE"""),"Básico (Até 79h)")</f>
        <v>Básico (Até 79h)</v>
      </c>
      <c r="D85" s="126">
        <f>IFERROR(__xludf.DUMMYFUNCTION("""COMPUTED_VALUE"""),60.0)</f>
        <v>60</v>
      </c>
      <c r="E85" s="153" t="str">
        <f>IFERROR(__xludf.DUMMYFUNCTION("""COMPUTED_VALUE"""),"SRNOR TURMA - ADS CAMOCIM")</f>
        <v>SRNOR TURMA - ADS CAMOCIM</v>
      </c>
      <c r="F85" s="206" t="str">
        <f>IFERROR(__xludf.DUMMYFUNCTION("""COMPUTED_VALUE"""),"Camocim")</f>
        <v>Camocim</v>
      </c>
      <c r="G85" s="206" t="str">
        <f>IFERROR(__xludf.DUMMYFUNCTION("""COMPUTED_VALUE"""),"SR Norte")</f>
        <v>SR Norte</v>
      </c>
      <c r="H85" s="153" t="str">
        <f>IFERROR(__xludf.DUMMYFUNCTION("""COMPUTED_VALUE"""),"Híbrido (Presencial/EaD)")</f>
        <v>Híbrido (Presencial/EaD)</v>
      </c>
      <c r="I85" s="206"/>
      <c r="J85" s="206"/>
      <c r="K85" s="153"/>
      <c r="L85" s="153"/>
      <c r="M85" s="153"/>
      <c r="N85" s="126">
        <f>IFERROR(__xludf.DUMMYFUNCTION("""COMPUTED_VALUE"""),50.0)</f>
        <v>50</v>
      </c>
      <c r="O85" s="396"/>
      <c r="P85" s="396"/>
      <c r="Q85" s="396"/>
      <c r="R85" s="396"/>
      <c r="S85" s="396"/>
      <c r="T85" s="396"/>
      <c r="U85" s="396"/>
      <c r="V85" s="397"/>
      <c r="W85" s="392"/>
      <c r="X85" s="392"/>
      <c r="Y85" s="386"/>
      <c r="Z85" s="386"/>
    </row>
    <row r="86">
      <c r="A86" s="135" t="str">
        <f>IFERROR(__xludf.DUMMYFUNCTION("""COMPUTED_VALUE"""),"PERFORSM - Percursos Formativos no Campo da Saúde Mental")</f>
        <v>PERFORSM - Percursos Formativos no Campo da Saúde Mental</v>
      </c>
      <c r="B86" s="124" t="str">
        <f>IFERROR(__xludf.DUMMYFUNCTION("""COMPUTED_VALUE"""),"Curso Introdutório Cuidados em Saúde Mental e Atenção Psicossocial (SMAPS)")</f>
        <v>Curso Introdutório Cuidados em Saúde Mental e Atenção Psicossocial (SMAPS)</v>
      </c>
      <c r="C86" s="125" t="str">
        <f>IFERROR(__xludf.DUMMYFUNCTION("""COMPUTED_VALUE"""),"Básico (Até 79h)")</f>
        <v>Básico (Até 79h)</v>
      </c>
      <c r="D86" s="153">
        <f>IFERROR(__xludf.DUMMYFUNCTION("""COMPUTED_VALUE"""),60.0)</f>
        <v>60</v>
      </c>
      <c r="E86" s="153" t="str">
        <f>IFERROR(__xludf.DUMMYFUNCTION("""COMPUTED_VALUE"""),"Turma Única")</f>
        <v>Turma Única</v>
      </c>
      <c r="F86" s="206" t="str">
        <f>IFERROR(__xludf.DUMMYFUNCTION("""COMPUTED_VALUE"""),"EspVirtual")</f>
        <v>EspVirtual</v>
      </c>
      <c r="G86" s="206" t="str">
        <f>IFERROR(__xludf.DUMMYFUNCTION("""COMPUTED_VALUE"""),"Todas as SR")</f>
        <v>Todas as SR</v>
      </c>
      <c r="H86" s="153" t="str">
        <f>IFERROR(__xludf.DUMMYFUNCTION("""COMPUTED_VALUE"""),"EaD (máximo 20% presencial)")</f>
        <v>EaD (máximo 20% presencial)</v>
      </c>
      <c r="I86" s="206" t="str">
        <f>IFERROR(__xludf.DUMMYFUNCTION("""COMPUTED_VALUE"""),"Junho/Novembro")</f>
        <v>Junho/Novembro</v>
      </c>
      <c r="J86" s="206" t="str">
        <f>IFERROR(__xludf.DUMMYFUNCTION("""COMPUTED_VALUE"""),"Julho/Novembro")</f>
        <v>Julho/Novembro</v>
      </c>
      <c r="K86" s="153"/>
      <c r="L86" s="153"/>
      <c r="M86" s="153"/>
      <c r="N86" s="126">
        <f>IFERROR(__xludf.DUMMYFUNCTION("""COMPUTED_VALUE"""),350.0)</f>
        <v>350</v>
      </c>
      <c r="O86" s="396"/>
      <c r="P86" s="396"/>
      <c r="Q86" s="396"/>
      <c r="R86" s="396"/>
      <c r="S86" s="396"/>
      <c r="T86" s="396"/>
      <c r="U86" s="396"/>
      <c r="V86" s="397"/>
      <c r="W86" s="392"/>
      <c r="X86" s="392"/>
      <c r="Y86" s="386"/>
      <c r="Z86" s="386"/>
    </row>
    <row r="87">
      <c r="A87" s="135" t="str">
        <f>IFERROR(__xludf.DUMMYFUNCTION("""COMPUTED_VALUE"""),"PERFORSM - Percursos Formativos no Campo da Saúde Mental")</f>
        <v>PERFORSM - Percursos Formativos no Campo da Saúde Mental</v>
      </c>
      <c r="B87" s="124" t="str">
        <f>IFERROR(__xludf.DUMMYFUNCTION("""COMPUTED_VALUE"""),"Curso Movimenta Saúde Mental na Atenção Primária")</f>
        <v>Curso Movimenta Saúde Mental na Atenção Primária</v>
      </c>
      <c r="C87" s="125" t="str">
        <f>IFERROR(__xludf.DUMMYFUNCTION("""COMPUTED_VALUE"""),"Básico (Até 79h)")</f>
        <v>Básico (Até 79h)</v>
      </c>
      <c r="D87" s="153">
        <f>IFERROR(__xludf.DUMMYFUNCTION("""COMPUTED_VALUE"""),20.0)</f>
        <v>20</v>
      </c>
      <c r="E87" s="153" t="str">
        <f>IFERROR(__xludf.DUMMYFUNCTION("""COMPUTED_VALUE"""),"Turma Aquiraz")</f>
        <v>Turma Aquiraz</v>
      </c>
      <c r="F87" s="206" t="str">
        <f>IFERROR(__xludf.DUMMYFUNCTION("""COMPUTED_VALUE"""),"Aquiraz")</f>
        <v>Aquiraz</v>
      </c>
      <c r="G87" s="206" t="str">
        <f>IFERROR(__xludf.DUMMYFUNCTION("""COMPUTED_VALUE"""),"SR Fortaleza")</f>
        <v>SR Fortaleza</v>
      </c>
      <c r="H87" s="153" t="str">
        <f>IFERROR(__xludf.DUMMYFUNCTION("""COMPUTED_VALUE"""),"Presencial (máximo 20% EaD)")</f>
        <v>Presencial (máximo 20% EaD)</v>
      </c>
      <c r="I87" s="206" t="str">
        <f>IFERROR(__xludf.DUMMYFUNCTION("""COMPUTED_VALUE"""),"julho")</f>
        <v>julho</v>
      </c>
      <c r="J87" s="206" t="str">
        <f>IFERROR(__xludf.DUMMYFUNCTION("""COMPUTED_VALUE"""),"18 e 25")</f>
        <v>18 e 25</v>
      </c>
      <c r="K87" s="153"/>
      <c r="L87" s="153"/>
      <c r="M87" s="153"/>
      <c r="N87" s="126">
        <f>IFERROR(__xludf.DUMMYFUNCTION("""COMPUTED_VALUE"""),45.0)</f>
        <v>45</v>
      </c>
      <c r="O87" s="396"/>
      <c r="P87" s="396"/>
      <c r="Q87" s="396"/>
      <c r="R87" s="396"/>
      <c r="S87" s="396"/>
      <c r="T87" s="396"/>
      <c r="U87" s="396"/>
      <c r="V87" s="397"/>
      <c r="W87" s="392"/>
      <c r="X87" s="392"/>
      <c r="Y87" s="386"/>
      <c r="Z87" s="386"/>
    </row>
    <row r="88">
      <c r="A88" s="135" t="str">
        <f>IFERROR(__xludf.DUMMYFUNCTION("""COMPUTED_VALUE"""),"PERFORSM - Percursos Formativos no Campo da Saúde Mental")</f>
        <v>PERFORSM - Percursos Formativos no Campo da Saúde Mental</v>
      </c>
      <c r="B88" s="124" t="str">
        <f>IFERROR(__xludf.DUMMYFUNCTION("""COMPUTED_VALUE"""),"Curso Movimenta Saúde Mental na Atenção Primária")</f>
        <v>Curso Movimenta Saúde Mental na Atenção Primária</v>
      </c>
      <c r="C88" s="125" t="str">
        <f>IFERROR(__xludf.DUMMYFUNCTION("""COMPUTED_VALUE"""),"Básico (Até 79h)")</f>
        <v>Básico (Até 79h)</v>
      </c>
      <c r="D88" s="153">
        <f>IFERROR(__xludf.DUMMYFUNCTION("""COMPUTED_VALUE"""),20.0)</f>
        <v>20</v>
      </c>
      <c r="E88" s="153" t="str">
        <f>IFERROR(__xludf.DUMMYFUNCTION("""COMPUTED_VALUE"""),"Turma Maracanaú")</f>
        <v>Turma Maracanaú</v>
      </c>
      <c r="F88" s="206" t="str">
        <f>IFERROR(__xludf.DUMMYFUNCTION("""COMPUTED_VALUE"""),"Maracanaú")</f>
        <v>Maracanaú</v>
      </c>
      <c r="G88" s="206" t="str">
        <f>IFERROR(__xludf.DUMMYFUNCTION("""COMPUTED_VALUE"""),"SR Fortaleza")</f>
        <v>SR Fortaleza</v>
      </c>
      <c r="H88" s="153" t="str">
        <f>IFERROR(__xludf.DUMMYFUNCTION("""COMPUTED_VALUE"""),"Presencial (máximo 20% EaD)")</f>
        <v>Presencial (máximo 20% EaD)</v>
      </c>
      <c r="I88" s="206" t="str">
        <f>IFERROR(__xludf.DUMMYFUNCTION("""COMPUTED_VALUE"""),"agosto")</f>
        <v>agosto</v>
      </c>
      <c r="J88" s="206" t="str">
        <f>IFERROR(__xludf.DUMMYFUNCTION("""COMPUTED_VALUE"""),"01 e 13")</f>
        <v>01 e 13</v>
      </c>
      <c r="K88" s="153"/>
      <c r="L88" s="153"/>
      <c r="M88" s="153"/>
      <c r="N88" s="126">
        <f>IFERROR(__xludf.DUMMYFUNCTION("""COMPUTED_VALUE"""),45.0)</f>
        <v>45</v>
      </c>
      <c r="O88" s="396"/>
      <c r="P88" s="396"/>
      <c r="Q88" s="396"/>
      <c r="R88" s="396"/>
      <c r="S88" s="396"/>
      <c r="T88" s="396"/>
      <c r="U88" s="396"/>
      <c r="V88" s="397"/>
      <c r="W88" s="392"/>
      <c r="X88" s="392"/>
      <c r="Y88" s="386"/>
      <c r="Z88" s="386"/>
    </row>
    <row r="89">
      <c r="A89" s="135" t="str">
        <f>IFERROR(__xludf.DUMMYFUNCTION("""COMPUTED_VALUE"""),"PERFORSM - Percursos Formativos no Campo da Saúde Mental")</f>
        <v>PERFORSM - Percursos Formativos no Campo da Saúde Mental</v>
      </c>
      <c r="B89" s="124" t="str">
        <f>IFERROR(__xludf.DUMMYFUNCTION("""COMPUTED_VALUE"""),"Curso Movimenta Saúde Mental na Atenção Primária")</f>
        <v>Curso Movimenta Saúde Mental na Atenção Primária</v>
      </c>
      <c r="C89" s="125" t="str">
        <f>IFERROR(__xludf.DUMMYFUNCTION("""COMPUTED_VALUE"""),"Básico (Até 79h)")</f>
        <v>Básico (Até 79h)</v>
      </c>
      <c r="D89" s="153">
        <f>IFERROR(__xludf.DUMMYFUNCTION("""COMPUTED_VALUE"""),20.0)</f>
        <v>20</v>
      </c>
      <c r="E89" s="153" t="str">
        <f>IFERROR(__xludf.DUMMYFUNCTION("""COMPUTED_VALUE"""),"Turma Beberibe")</f>
        <v>Turma Beberibe</v>
      </c>
      <c r="F89" s="206" t="str">
        <f>IFERROR(__xludf.DUMMYFUNCTION("""COMPUTED_VALUE"""),"Beberibe")</f>
        <v>Beberibe</v>
      </c>
      <c r="G89" s="206" t="str">
        <f>IFERROR(__xludf.DUMMYFUNCTION("""COMPUTED_VALUE"""),"SR Fortaleza")</f>
        <v>SR Fortaleza</v>
      </c>
      <c r="H89" s="153" t="str">
        <f>IFERROR(__xludf.DUMMYFUNCTION("""COMPUTED_VALUE"""),"Presencial (máximo 20% EaD)")</f>
        <v>Presencial (máximo 20% EaD)</v>
      </c>
      <c r="I89" s="206" t="str">
        <f>IFERROR(__xludf.DUMMYFUNCTION("""COMPUTED_VALUE"""),"agosto")</f>
        <v>agosto</v>
      </c>
      <c r="J89" s="206" t="str">
        <f>IFERROR(__xludf.DUMMYFUNCTION("""COMPUTED_VALUE"""),"08 e 22")</f>
        <v>08 e 22</v>
      </c>
      <c r="K89" s="153"/>
      <c r="L89" s="153"/>
      <c r="M89" s="153"/>
      <c r="N89" s="126">
        <f>IFERROR(__xludf.DUMMYFUNCTION("""COMPUTED_VALUE"""),45.0)</f>
        <v>45</v>
      </c>
      <c r="O89" s="396"/>
      <c r="P89" s="396"/>
      <c r="Q89" s="396"/>
      <c r="R89" s="396"/>
      <c r="S89" s="396"/>
      <c r="T89" s="396"/>
      <c r="U89" s="396"/>
      <c r="V89" s="397"/>
      <c r="W89" s="392"/>
      <c r="X89" s="392"/>
      <c r="Y89" s="386"/>
      <c r="Z89" s="386"/>
    </row>
    <row r="90">
      <c r="A90" s="135" t="str">
        <f>IFERROR(__xludf.DUMMYFUNCTION("""COMPUTED_VALUE"""),"PERFORSM - Percursos Formativos no Campo da Saúde Mental")</f>
        <v>PERFORSM - Percursos Formativos no Campo da Saúde Mental</v>
      </c>
      <c r="B90" s="124" t="str">
        <f>IFERROR(__xludf.DUMMYFUNCTION("""COMPUTED_VALUE"""),"Curso Movimenta Saúde Mental na Atenção Primária")</f>
        <v>Curso Movimenta Saúde Mental na Atenção Primária</v>
      </c>
      <c r="C90" s="125" t="str">
        <f>IFERROR(__xludf.DUMMYFUNCTION("""COMPUTED_VALUE"""),"Básico (Até 79h)")</f>
        <v>Básico (Até 79h)</v>
      </c>
      <c r="D90" s="153">
        <f>IFERROR(__xludf.DUMMYFUNCTION("""COMPUTED_VALUE"""),20.0)</f>
        <v>20</v>
      </c>
      <c r="E90" s="153" t="str">
        <f>IFERROR(__xludf.DUMMYFUNCTION("""COMPUTED_VALUE"""),"Turma Palmácia")</f>
        <v>Turma Palmácia</v>
      </c>
      <c r="F90" s="206" t="str">
        <f>IFERROR(__xludf.DUMMYFUNCTION("""COMPUTED_VALUE"""),"Palmácia")</f>
        <v>Palmácia</v>
      </c>
      <c r="G90" s="206" t="str">
        <f>IFERROR(__xludf.DUMMYFUNCTION("""COMPUTED_VALUE"""),"SR Fortaleza")</f>
        <v>SR Fortaleza</v>
      </c>
      <c r="H90" s="153" t="str">
        <f>IFERROR(__xludf.DUMMYFUNCTION("""COMPUTED_VALUE"""),"Presencial (máximo 20% EaD)")</f>
        <v>Presencial (máximo 20% EaD)</v>
      </c>
      <c r="I90" s="206" t="str">
        <f>IFERROR(__xludf.DUMMYFUNCTION("""COMPUTED_VALUE"""),"cancelada agosto/setembro")</f>
        <v>cancelada agosto/setembro</v>
      </c>
      <c r="J90" s="206" t="str">
        <f>IFERROR(__xludf.DUMMYFUNCTION("""COMPUTED_VALUE"""),"29/08 e 12/09")</f>
        <v>29/08 e 12/09</v>
      </c>
      <c r="K90" s="153"/>
      <c r="L90" s="153"/>
      <c r="M90" s="153"/>
      <c r="N90" s="126">
        <f>IFERROR(__xludf.DUMMYFUNCTION("""COMPUTED_VALUE"""),0.0)</f>
        <v>0</v>
      </c>
      <c r="O90" s="396"/>
      <c r="P90" s="396"/>
      <c r="Q90" s="396"/>
      <c r="R90" s="396"/>
      <c r="S90" s="396"/>
      <c r="T90" s="396"/>
      <c r="U90" s="396"/>
      <c r="V90" s="397"/>
      <c r="W90" s="392"/>
      <c r="X90" s="392"/>
      <c r="Y90" s="386"/>
      <c r="Z90" s="386"/>
    </row>
    <row r="91">
      <c r="A91" s="135" t="str">
        <f>IFERROR(__xludf.DUMMYFUNCTION("""COMPUTED_VALUE"""),"PERFORSM - Percursos Formativos no Campo da Saúde Mental")</f>
        <v>PERFORSM - Percursos Formativos no Campo da Saúde Mental</v>
      </c>
      <c r="B91" s="124" t="str">
        <f>IFERROR(__xludf.DUMMYFUNCTION("""COMPUTED_VALUE"""),"Curso Movimenta Saúde Mental na Atenção Primária")</f>
        <v>Curso Movimenta Saúde Mental na Atenção Primária</v>
      </c>
      <c r="C91" s="125" t="str">
        <f>IFERROR(__xludf.DUMMYFUNCTION("""COMPUTED_VALUE"""),"Básico (Até 79h)")</f>
        <v>Básico (Até 79h)</v>
      </c>
      <c r="D91" s="153">
        <f>IFERROR(__xludf.DUMMYFUNCTION("""COMPUTED_VALUE"""),20.0)</f>
        <v>20</v>
      </c>
      <c r="E91" s="153" t="str">
        <f>IFERROR(__xludf.DUMMYFUNCTION("""COMPUTED_VALUE"""),"Turma Horizonte")</f>
        <v>Turma Horizonte</v>
      </c>
      <c r="F91" s="206" t="str">
        <f>IFERROR(__xludf.DUMMYFUNCTION("""COMPUTED_VALUE"""),"Horizonte")</f>
        <v>Horizonte</v>
      </c>
      <c r="G91" s="206" t="str">
        <f>IFERROR(__xludf.DUMMYFUNCTION("""COMPUTED_VALUE"""),"SR Fortaleza")</f>
        <v>SR Fortaleza</v>
      </c>
      <c r="H91" s="153" t="str">
        <f>IFERROR(__xludf.DUMMYFUNCTION("""COMPUTED_VALUE"""),"Presencial (máximo 20% EaD)")</f>
        <v>Presencial (máximo 20% EaD)</v>
      </c>
      <c r="I91" s="206" t="str">
        <f>IFERROR(__xludf.DUMMYFUNCTION("""COMPUTED_VALUE"""),"agosto/setembro")</f>
        <v>agosto/setembro</v>
      </c>
      <c r="J91" s="206" t="str">
        <f>IFERROR(__xludf.DUMMYFUNCTION("""COMPUTED_VALUE"""),"29/08 e 12/09")</f>
        <v>29/08 e 12/09</v>
      </c>
      <c r="K91" s="153"/>
      <c r="L91" s="153"/>
      <c r="M91" s="153"/>
      <c r="N91" s="126">
        <f>IFERROR(__xludf.DUMMYFUNCTION("""COMPUTED_VALUE"""),45.0)</f>
        <v>45</v>
      </c>
      <c r="O91" s="396"/>
      <c r="P91" s="396"/>
      <c r="Q91" s="396"/>
      <c r="R91" s="396"/>
      <c r="S91" s="396"/>
      <c r="T91" s="396"/>
      <c r="U91" s="396"/>
      <c r="V91" s="397"/>
      <c r="W91" s="392"/>
      <c r="X91" s="392"/>
      <c r="Y91" s="386"/>
      <c r="Z91" s="386"/>
    </row>
    <row r="92">
      <c r="A92" s="135" t="str">
        <f>IFERROR(__xludf.DUMMYFUNCTION("""COMPUTED_VALUE"""),"PERFORSM - Percursos Formativos no Campo da Saúde Mental")</f>
        <v>PERFORSM - Percursos Formativos no Campo da Saúde Mental</v>
      </c>
      <c r="B92" s="124" t="str">
        <f>IFERROR(__xludf.DUMMYFUNCTION("""COMPUTED_VALUE"""),"Curso Movimenta Saúde Mental na Atenção Primária")</f>
        <v>Curso Movimenta Saúde Mental na Atenção Primária</v>
      </c>
      <c r="C92" s="125" t="str">
        <f>IFERROR(__xludf.DUMMYFUNCTION("""COMPUTED_VALUE"""),"Básico (Até 79h)")</f>
        <v>Básico (Até 79h)</v>
      </c>
      <c r="D92" s="153">
        <f>IFERROR(__xludf.DUMMYFUNCTION("""COMPUTED_VALUE"""),20.0)</f>
        <v>20</v>
      </c>
      <c r="E92" s="153" t="str">
        <f>IFERROR(__xludf.DUMMYFUNCTION("""COMPUTED_VALUE"""),"Turma Guaiuba")</f>
        <v>Turma Guaiuba</v>
      </c>
      <c r="F92" s="206" t="str">
        <f>IFERROR(__xludf.DUMMYFUNCTION("""COMPUTED_VALUE"""),"Guaiuba")</f>
        <v>Guaiuba</v>
      </c>
      <c r="G92" s="206" t="str">
        <f>IFERROR(__xludf.DUMMYFUNCTION("""COMPUTED_VALUE"""),"SR Fortaleza")</f>
        <v>SR Fortaleza</v>
      </c>
      <c r="H92" s="153" t="str">
        <f>IFERROR(__xludf.DUMMYFUNCTION("""COMPUTED_VALUE"""),"Presencial (máximo 20% EaD)")</f>
        <v>Presencial (máximo 20% EaD)</v>
      </c>
      <c r="I92" s="206" t="str">
        <f>IFERROR(__xludf.DUMMYFUNCTION("""COMPUTED_VALUE"""),"setembro")</f>
        <v>setembro</v>
      </c>
      <c r="J92" s="206" t="str">
        <f>IFERROR(__xludf.DUMMYFUNCTION("""COMPUTED_VALUE"""),"05 e 19")</f>
        <v>05 e 19</v>
      </c>
      <c r="K92" s="153"/>
      <c r="L92" s="153"/>
      <c r="M92" s="153"/>
      <c r="N92" s="126">
        <f>IFERROR(__xludf.DUMMYFUNCTION("""COMPUTED_VALUE"""),45.0)</f>
        <v>45</v>
      </c>
      <c r="O92" s="396"/>
      <c r="P92" s="396"/>
      <c r="Q92" s="396"/>
      <c r="R92" s="396"/>
      <c r="S92" s="396"/>
      <c r="T92" s="396"/>
      <c r="U92" s="396"/>
      <c r="V92" s="397"/>
      <c r="W92" s="392"/>
      <c r="X92" s="392"/>
      <c r="Y92" s="386"/>
      <c r="Z92" s="386"/>
    </row>
    <row r="93">
      <c r="A93" s="135" t="str">
        <f>IFERROR(__xludf.DUMMYFUNCTION("""COMPUTED_VALUE"""),"PERFORSM - Percursos Formativos no Campo da Saúde Mental")</f>
        <v>PERFORSM - Percursos Formativos no Campo da Saúde Mental</v>
      </c>
      <c r="B93" s="124" t="str">
        <f>IFERROR(__xludf.DUMMYFUNCTION("""COMPUTED_VALUE"""),"Curso Movimenta Saúde Mental na Atenção Primária")</f>
        <v>Curso Movimenta Saúde Mental na Atenção Primária</v>
      </c>
      <c r="C93" s="125" t="str">
        <f>IFERROR(__xludf.DUMMYFUNCTION("""COMPUTED_VALUE"""),"Básico (Até 79h)")</f>
        <v>Básico (Até 79h)</v>
      </c>
      <c r="D93" s="153">
        <f>IFERROR(__xludf.DUMMYFUNCTION("""COMPUTED_VALUE"""),20.0)</f>
        <v>20</v>
      </c>
      <c r="E93" s="153" t="str">
        <f>IFERROR(__xludf.DUMMYFUNCTION("""COMPUTED_VALUE"""),"Turma Itapipoca I")</f>
        <v>Turma Itapipoca I</v>
      </c>
      <c r="F93" s="206" t="str">
        <f>IFERROR(__xludf.DUMMYFUNCTION("""COMPUTED_VALUE"""),"Itapipoca")</f>
        <v>Itapipoca</v>
      </c>
      <c r="G93" s="206" t="str">
        <f>IFERROR(__xludf.DUMMYFUNCTION("""COMPUTED_VALUE"""),"SR Fortaleza")</f>
        <v>SR Fortaleza</v>
      </c>
      <c r="H93" s="153" t="str">
        <f>IFERROR(__xludf.DUMMYFUNCTION("""COMPUTED_VALUE"""),"Presencial (máximo 20% EaD)")</f>
        <v>Presencial (máximo 20% EaD)</v>
      </c>
      <c r="I93" s="206" t="str">
        <f>IFERROR(__xludf.DUMMYFUNCTION("""COMPUTED_VALUE"""),"outubro")</f>
        <v>outubro</v>
      </c>
      <c r="J93" s="206" t="str">
        <f>IFERROR(__xludf.DUMMYFUNCTION("""COMPUTED_VALUE"""),"10 e 24")</f>
        <v>10 e 24</v>
      </c>
      <c r="K93" s="153"/>
      <c r="L93" s="153"/>
      <c r="M93" s="153"/>
      <c r="N93" s="126">
        <f>IFERROR(__xludf.DUMMYFUNCTION("""COMPUTED_VALUE"""),45.0)</f>
        <v>45</v>
      </c>
      <c r="O93" s="396"/>
      <c r="P93" s="396"/>
      <c r="Q93" s="396"/>
      <c r="R93" s="396"/>
      <c r="S93" s="396"/>
      <c r="T93" s="396"/>
      <c r="U93" s="396"/>
      <c r="V93" s="397"/>
      <c r="W93" s="392"/>
      <c r="X93" s="392"/>
      <c r="Y93" s="386"/>
      <c r="Z93" s="386"/>
    </row>
    <row r="94">
      <c r="A94" s="135" t="str">
        <f>IFERROR(__xludf.DUMMYFUNCTION("""COMPUTED_VALUE"""),"PERFORSM - Percursos Formativos no Campo da Saúde Mental")</f>
        <v>PERFORSM - Percursos Formativos no Campo da Saúde Mental</v>
      </c>
      <c r="B94" s="124" t="str">
        <f>IFERROR(__xludf.DUMMYFUNCTION("""COMPUTED_VALUE"""),"Curso Movimenta Saúde Mental na Atenção Primária")</f>
        <v>Curso Movimenta Saúde Mental na Atenção Primária</v>
      </c>
      <c r="C94" s="125" t="str">
        <f>IFERROR(__xludf.DUMMYFUNCTION("""COMPUTED_VALUE"""),"Básico (Até 79h)")</f>
        <v>Básico (Até 79h)</v>
      </c>
      <c r="D94" s="153">
        <f>IFERROR(__xludf.DUMMYFUNCTION("""COMPUTED_VALUE"""),20.0)</f>
        <v>20</v>
      </c>
      <c r="E94" s="153" t="str">
        <f>IFERROR(__xludf.DUMMYFUNCTION("""COMPUTED_VALUE"""),"Turma Itapipoca II (Trairi)")</f>
        <v>Turma Itapipoca II (Trairi)</v>
      </c>
      <c r="F94" s="206" t="str">
        <f>IFERROR(__xludf.DUMMYFUNCTION("""COMPUTED_VALUE"""),"Itapipoca")</f>
        <v>Itapipoca</v>
      </c>
      <c r="G94" s="206" t="str">
        <f>IFERROR(__xludf.DUMMYFUNCTION("""COMPUTED_VALUE"""),"SR Fortaleza")</f>
        <v>SR Fortaleza</v>
      </c>
      <c r="H94" s="153" t="str">
        <f>IFERROR(__xludf.DUMMYFUNCTION("""COMPUTED_VALUE"""),"Presencial (máximo 20% EaD)")</f>
        <v>Presencial (máximo 20% EaD)</v>
      </c>
      <c r="I94" s="206" t="str">
        <f>IFERROR(__xludf.DUMMYFUNCTION("""COMPUTED_VALUE"""),"novembro")</f>
        <v>novembro</v>
      </c>
      <c r="J94" s="206" t="str">
        <f>IFERROR(__xludf.DUMMYFUNCTION("""COMPUTED_VALUE"""),"12 e 26")</f>
        <v>12 e 26</v>
      </c>
      <c r="K94" s="153"/>
      <c r="L94" s="153"/>
      <c r="M94" s="153"/>
      <c r="N94" s="126">
        <f>IFERROR(__xludf.DUMMYFUNCTION("""COMPUTED_VALUE"""),45.0)</f>
        <v>45</v>
      </c>
      <c r="O94" s="396"/>
      <c r="P94" s="396"/>
      <c r="Q94" s="396"/>
      <c r="R94" s="396"/>
      <c r="S94" s="396"/>
      <c r="T94" s="396"/>
      <c r="U94" s="396"/>
      <c r="V94" s="397"/>
      <c r="W94" s="392"/>
      <c r="X94" s="392"/>
      <c r="Y94" s="386"/>
      <c r="Z94" s="386"/>
    </row>
    <row r="95">
      <c r="A95" s="135" t="str">
        <f>IFERROR(__xludf.DUMMYFUNCTION("""COMPUTED_VALUE"""),"PERFORSM - Percursos Formativos no Campo da Saúde Mental")</f>
        <v>PERFORSM - Percursos Formativos no Campo da Saúde Mental</v>
      </c>
      <c r="B95" s="124" t="str">
        <f>IFERROR(__xludf.DUMMYFUNCTION("""COMPUTED_VALUE"""),"Curso Movimenta Saúde Mental na Atenção Primária")</f>
        <v>Curso Movimenta Saúde Mental na Atenção Primária</v>
      </c>
      <c r="C95" s="125" t="str">
        <f>IFERROR(__xludf.DUMMYFUNCTION("""COMPUTED_VALUE"""),"Básico (Até 79h)")</f>
        <v>Básico (Até 79h)</v>
      </c>
      <c r="D95" s="153">
        <f>IFERROR(__xludf.DUMMYFUNCTION("""COMPUTED_VALUE"""),20.0)</f>
        <v>20</v>
      </c>
      <c r="E95" s="153" t="str">
        <f>IFERROR(__xludf.DUMMYFUNCTION("""COMPUTED_VALUE"""),"Turma Pentecoste")</f>
        <v>Turma Pentecoste</v>
      </c>
      <c r="F95" s="206" t="str">
        <f>IFERROR(__xludf.DUMMYFUNCTION("""COMPUTED_VALUE"""),"Pentecoste")</f>
        <v>Pentecoste</v>
      </c>
      <c r="G95" s="206" t="str">
        <f>IFERROR(__xludf.DUMMYFUNCTION("""COMPUTED_VALUE"""),"SR Fortaleza")</f>
        <v>SR Fortaleza</v>
      </c>
      <c r="H95" s="153" t="str">
        <f>IFERROR(__xludf.DUMMYFUNCTION("""COMPUTED_VALUE"""),"Presencial (máximo 20% EaD)")</f>
        <v>Presencial (máximo 20% EaD)</v>
      </c>
      <c r="I95" s="206" t="str">
        <f>IFERROR(__xludf.DUMMYFUNCTION("""COMPUTED_VALUE"""),"novembro")</f>
        <v>novembro</v>
      </c>
      <c r="J95" s="206" t="str">
        <f>IFERROR(__xludf.DUMMYFUNCTION("""COMPUTED_VALUE"""),"14 e 28")</f>
        <v>14 e 28</v>
      </c>
      <c r="K95" s="153"/>
      <c r="L95" s="153"/>
      <c r="M95" s="153"/>
      <c r="N95" s="126">
        <f>IFERROR(__xludf.DUMMYFUNCTION("""COMPUTED_VALUE"""),45.0)</f>
        <v>45</v>
      </c>
      <c r="O95" s="396"/>
      <c r="P95" s="396"/>
      <c r="Q95" s="396"/>
      <c r="R95" s="396"/>
      <c r="S95" s="396"/>
      <c r="T95" s="396"/>
      <c r="U95" s="396"/>
      <c r="V95" s="397"/>
      <c r="W95" s="392"/>
      <c r="X95" s="392"/>
      <c r="Y95" s="386"/>
      <c r="Z95" s="386"/>
    </row>
    <row r="96">
      <c r="A96" s="135" t="str">
        <f>IFERROR(__xludf.DUMMYFUNCTION("""COMPUTED_VALUE"""),"PERFORSM - Percursos Formativos no Campo da Saúde Mental")</f>
        <v>PERFORSM - Percursos Formativos no Campo da Saúde Mental</v>
      </c>
      <c r="B96" s="124" t="str">
        <f>IFERROR(__xludf.DUMMYFUNCTION("""COMPUTED_VALUE"""),"Curso Movimenta Saúde Mental na Atenção Primária")</f>
        <v>Curso Movimenta Saúde Mental na Atenção Primária</v>
      </c>
      <c r="C96" s="125" t="str">
        <f>IFERROR(__xludf.DUMMYFUNCTION("""COMPUTED_VALUE"""),"Básico (Até 79h)")</f>
        <v>Básico (Até 79h)</v>
      </c>
      <c r="D96" s="153">
        <f>IFERROR(__xludf.DUMMYFUNCTION("""COMPUTED_VALUE"""),20.0)</f>
        <v>20</v>
      </c>
      <c r="E96" s="153" t="str">
        <f>IFERROR(__xludf.DUMMYFUNCTION("""COMPUTED_VALUE"""),"Turma São Gonçalo do Amarante")</f>
        <v>Turma São Gonçalo do Amarante</v>
      </c>
      <c r="F96" s="206" t="str">
        <f>IFERROR(__xludf.DUMMYFUNCTION("""COMPUTED_VALUE"""),"São Gonçalo do Amarante")</f>
        <v>São Gonçalo do Amarante</v>
      </c>
      <c r="G96" s="206" t="str">
        <f>IFERROR(__xludf.DUMMYFUNCTION("""COMPUTED_VALUE"""),"SR Fortaleza")</f>
        <v>SR Fortaleza</v>
      </c>
      <c r="H96" s="153" t="str">
        <f>IFERROR(__xludf.DUMMYFUNCTION("""COMPUTED_VALUE"""),"Presencial (máximo 20% EaD)")</f>
        <v>Presencial (máximo 20% EaD)</v>
      </c>
      <c r="I96" s="206" t="str">
        <f>IFERROR(__xludf.DUMMYFUNCTION("""COMPUTED_VALUE"""),"dezembro")</f>
        <v>dezembro</v>
      </c>
      <c r="J96" s="206" t="str">
        <f>IFERROR(__xludf.DUMMYFUNCTION("""COMPUTED_VALUE"""),"04 e 05")</f>
        <v>04 e 05</v>
      </c>
      <c r="K96" s="153"/>
      <c r="L96" s="153"/>
      <c r="M96" s="153"/>
      <c r="N96" s="126">
        <f>IFERROR(__xludf.DUMMYFUNCTION("""COMPUTED_VALUE"""),40.0)</f>
        <v>40</v>
      </c>
      <c r="O96" s="396"/>
      <c r="P96" s="396"/>
      <c r="Q96" s="396"/>
      <c r="R96" s="396"/>
      <c r="S96" s="396"/>
      <c r="T96" s="396"/>
      <c r="U96" s="396"/>
      <c r="V96" s="397"/>
      <c r="W96" s="392"/>
      <c r="X96" s="392"/>
      <c r="Y96" s="386"/>
      <c r="Z96" s="386"/>
    </row>
    <row r="97">
      <c r="A97" s="135" t="str">
        <f>IFERROR(__xludf.DUMMYFUNCTION("""COMPUTED_VALUE"""),"Ciclo de Atualização em Manejo Clínico e Diagnóstico Laboratorial das Arboviroses")</f>
        <v>Ciclo de Atualização em Manejo Clínico e Diagnóstico Laboratorial das Arboviroses</v>
      </c>
      <c r="B97" s="124" t="str">
        <f>IFERROR(__xludf.DUMMYFUNCTION("""COMPUTED_VALUE"""),"Ciclo de Atualização em Manejo Clínico e Diagnóstico Laboratorial das Arboviroses")</f>
        <v>Ciclo de Atualização em Manejo Clínico e Diagnóstico Laboratorial das Arboviroses</v>
      </c>
      <c r="C97" s="125" t="str">
        <f>IFERROR(__xludf.DUMMYFUNCTION("""COMPUTED_VALUE"""),"Básico (Até 79h)")</f>
        <v>Básico (Até 79h)</v>
      </c>
      <c r="D97" s="153">
        <f>IFERROR(__xludf.DUMMYFUNCTION("""COMPUTED_VALUE"""),8.0)</f>
        <v>8</v>
      </c>
      <c r="E97" s="153" t="str">
        <f>IFERROR(__xludf.DUMMYFUNCTION("""COMPUTED_VALUE"""),"Turma 1")</f>
        <v>Turma 1</v>
      </c>
      <c r="F97" s="206" t="str">
        <f>IFERROR(__xludf.DUMMYFUNCTION("""COMPUTED_VALUE"""),"Fortaleza")</f>
        <v>Fortaleza</v>
      </c>
      <c r="G97" s="206" t="str">
        <f>IFERROR(__xludf.DUMMYFUNCTION("""COMPUTED_VALUE"""),"SRFOR")</f>
        <v>SRFOR</v>
      </c>
      <c r="H97" s="153" t="str">
        <f>IFERROR(__xludf.DUMMYFUNCTION("""COMPUTED_VALUE"""),"Presencial (máximo 20% EaD)")</f>
        <v>Presencial (máximo 20% EaD)</v>
      </c>
      <c r="I97" s="206" t="str">
        <f>IFERROR(__xludf.DUMMYFUNCTION("""COMPUTED_VALUE"""),"Maio")</f>
        <v>Maio</v>
      </c>
      <c r="J97" s="206">
        <f>IFERROR(__xludf.DUMMYFUNCTION("""COMPUTED_VALUE"""),7.0)</f>
        <v>7</v>
      </c>
      <c r="K97" s="153"/>
      <c r="L97" s="153"/>
      <c r="M97" s="153"/>
      <c r="N97" s="126">
        <f>IFERROR(__xludf.DUMMYFUNCTION("""COMPUTED_VALUE"""),100.0)</f>
        <v>100</v>
      </c>
      <c r="O97" s="396"/>
      <c r="P97" s="396"/>
      <c r="Q97" s="396"/>
      <c r="R97" s="396"/>
      <c r="S97" s="396"/>
      <c r="T97" s="396"/>
      <c r="U97" s="396"/>
      <c r="V97" s="397"/>
      <c r="W97" s="392"/>
      <c r="X97" s="392"/>
      <c r="Y97" s="386"/>
      <c r="Z97" s="386"/>
    </row>
    <row r="98">
      <c r="A98" s="135" t="str">
        <f>IFERROR(__xludf.DUMMYFUNCTION("""COMPUTED_VALUE"""),"Ciclo de Atualização em Manejo Clínico e Diagnóstico Laboratorial das Arboviroses")</f>
        <v>Ciclo de Atualização em Manejo Clínico e Diagnóstico Laboratorial das Arboviroses</v>
      </c>
      <c r="B98" s="124" t="str">
        <f>IFERROR(__xludf.DUMMYFUNCTION("""COMPUTED_VALUE"""),"Ciclo de Atualização em Manejo Clínico e Diagnóstico Laboratorial das Arboviroses")</f>
        <v>Ciclo de Atualização em Manejo Clínico e Diagnóstico Laboratorial das Arboviroses</v>
      </c>
      <c r="C98" s="125" t="str">
        <f>IFERROR(__xludf.DUMMYFUNCTION("""COMPUTED_VALUE"""),"Básico (Até 79h)")</f>
        <v>Básico (Até 79h)</v>
      </c>
      <c r="D98" s="153">
        <f>IFERROR(__xludf.DUMMYFUNCTION("""COMPUTED_VALUE"""),8.0)</f>
        <v>8</v>
      </c>
      <c r="E98" s="153" t="str">
        <f>IFERROR(__xludf.DUMMYFUNCTION("""COMPUTED_VALUE"""),"Turma 2")</f>
        <v>Turma 2</v>
      </c>
      <c r="F98" s="206" t="str">
        <f>IFERROR(__xludf.DUMMYFUNCTION("""COMPUTED_VALUE"""),"Juazeiro do Norte")</f>
        <v>Juazeiro do Norte</v>
      </c>
      <c r="G98" s="206" t="str">
        <f>IFERROR(__xludf.DUMMYFUNCTION("""COMPUTED_VALUE"""),"SRSUL/CARIRI")</f>
        <v>SRSUL/CARIRI</v>
      </c>
      <c r="H98" s="153" t="str">
        <f>IFERROR(__xludf.DUMMYFUNCTION("""COMPUTED_VALUE"""),"Presencial (máximo 20% EaD)")</f>
        <v>Presencial (máximo 20% EaD)</v>
      </c>
      <c r="I98" s="206" t="str">
        <f>IFERROR(__xludf.DUMMYFUNCTION("""COMPUTED_VALUE"""),"Junho")</f>
        <v>Junho</v>
      </c>
      <c r="J98" s="206">
        <f>IFERROR(__xludf.DUMMYFUNCTION("""COMPUTED_VALUE"""),13.0)</f>
        <v>13</v>
      </c>
      <c r="K98" s="153"/>
      <c r="L98" s="153"/>
      <c r="M98" s="153" t="str">
        <f>IFERROR(__xludf.DUMMYFUNCTION("""COMPUTED_VALUE"""),"Ciclo de Atualização em Manejo Clínico e Diagnóstico Laboratorial das Arboviroses – Turma Cariri")</f>
        <v>Ciclo de Atualização em Manejo Clínico e Diagnóstico Laboratorial das Arboviroses – Turma Cariri</v>
      </c>
      <c r="N98" s="126">
        <f>IFERROR(__xludf.DUMMYFUNCTION("""COMPUTED_VALUE"""),100.0)</f>
        <v>100</v>
      </c>
      <c r="O98" s="396"/>
      <c r="P98" s="396"/>
      <c r="Q98" s="396"/>
      <c r="R98" s="396"/>
      <c r="S98" s="396"/>
      <c r="T98" s="396"/>
      <c r="U98" s="396"/>
      <c r="V98" s="397"/>
      <c r="W98" s="392"/>
      <c r="X98" s="392"/>
      <c r="Y98" s="386"/>
      <c r="Z98" s="386"/>
    </row>
    <row r="99">
      <c r="A99" s="135" t="str">
        <f>IFERROR(__xludf.DUMMYFUNCTION("""COMPUTED_VALUE"""),"Ciclo de Atualização em Manejo Clínico e Diagnóstico Laboratorial das Arboviroses")</f>
        <v>Ciclo de Atualização em Manejo Clínico e Diagnóstico Laboratorial das Arboviroses</v>
      </c>
      <c r="B99" s="124" t="str">
        <f>IFERROR(__xludf.DUMMYFUNCTION("""COMPUTED_VALUE"""),"Ciclo de Atualização em Manejo Clínico e Diagnóstico Laboratorial das Arboviroses")</f>
        <v>Ciclo de Atualização em Manejo Clínico e Diagnóstico Laboratorial das Arboviroses</v>
      </c>
      <c r="C99" s="125" t="str">
        <f>IFERROR(__xludf.DUMMYFUNCTION("""COMPUTED_VALUE"""),"Básico (Até 79h)")</f>
        <v>Básico (Até 79h)</v>
      </c>
      <c r="D99" s="153">
        <f>IFERROR(__xludf.DUMMYFUNCTION("""COMPUTED_VALUE"""),8.0)</f>
        <v>8</v>
      </c>
      <c r="E99" s="153" t="str">
        <f>IFERROR(__xludf.DUMMYFUNCTION("""COMPUTED_VALUE"""),"Turma 3")</f>
        <v>Turma 3</v>
      </c>
      <c r="F99" s="206" t="str">
        <f>IFERROR(__xludf.DUMMYFUNCTION("""COMPUTED_VALUE"""),"Limoeiro do Norte")</f>
        <v>Limoeiro do Norte</v>
      </c>
      <c r="G99" s="206" t="str">
        <f>IFERROR(__xludf.DUMMYFUNCTION("""COMPUTED_VALUE"""),"SR Litoral Leste/Jaguaribe")</f>
        <v>SR Litoral Leste/Jaguaribe</v>
      </c>
      <c r="H99" s="153" t="str">
        <f>IFERROR(__xludf.DUMMYFUNCTION("""COMPUTED_VALUE"""),"Presencial (máximo 20% EaD)")</f>
        <v>Presencial (máximo 20% EaD)</v>
      </c>
      <c r="I99" s="206" t="str">
        <f>IFERROR(__xludf.DUMMYFUNCTION("""COMPUTED_VALUE"""),"Junho")</f>
        <v>Junho</v>
      </c>
      <c r="J99" s="206">
        <f>IFERROR(__xludf.DUMMYFUNCTION("""COMPUTED_VALUE"""),25.0)</f>
        <v>25</v>
      </c>
      <c r="K99" s="153"/>
      <c r="L99" s="153"/>
      <c r="M99" s="153" t="str">
        <f>IFERROR(__xludf.DUMMYFUNCTION("""COMPUTED_VALUE"""),"Ciclo de Atualização em Manejo Clínico e Diagnóstico Laboratorial das Arboviroses – Turma Litoral Leste")</f>
        <v>Ciclo de Atualização em Manejo Clínico e Diagnóstico Laboratorial das Arboviroses – Turma Litoral Leste</v>
      </c>
      <c r="N99" s="126">
        <f>IFERROR(__xludf.DUMMYFUNCTION("""COMPUTED_VALUE"""),100.0)</f>
        <v>100</v>
      </c>
      <c r="O99" s="396"/>
      <c r="P99" s="396"/>
      <c r="Q99" s="396"/>
      <c r="R99" s="396"/>
      <c r="S99" s="396"/>
      <c r="T99" s="396"/>
      <c r="U99" s="396"/>
      <c r="V99" s="397"/>
      <c r="W99" s="392"/>
      <c r="X99" s="392"/>
      <c r="Y99" s="386"/>
      <c r="Z99" s="386"/>
    </row>
    <row r="100">
      <c r="A100" s="135" t="str">
        <f>IFERROR(__xludf.DUMMYFUNCTION("""COMPUTED_VALUE"""),"Ciclo de Atualização em Manejo Clínico e Diagnóstico Laboratorial das Arboviroses")</f>
        <v>Ciclo de Atualização em Manejo Clínico e Diagnóstico Laboratorial das Arboviroses</v>
      </c>
      <c r="B100" s="124" t="str">
        <f>IFERROR(__xludf.DUMMYFUNCTION("""COMPUTED_VALUE"""),"Ciclo de Atualização em Manejo Clínico e Diagnóstico Laboratorial das Arboviroses")</f>
        <v>Ciclo de Atualização em Manejo Clínico e Diagnóstico Laboratorial das Arboviroses</v>
      </c>
      <c r="C100" s="125" t="str">
        <f>IFERROR(__xludf.DUMMYFUNCTION("""COMPUTED_VALUE"""),"Básico (Até 79h)")</f>
        <v>Básico (Até 79h)</v>
      </c>
      <c r="D100" s="153">
        <f>IFERROR(__xludf.DUMMYFUNCTION("""COMPUTED_VALUE"""),8.0)</f>
        <v>8</v>
      </c>
      <c r="E100" s="153" t="str">
        <f>IFERROR(__xludf.DUMMYFUNCTION("""COMPUTED_VALUE"""),"Turma 4")</f>
        <v>Turma 4</v>
      </c>
      <c r="F100" s="206" t="str">
        <f>IFERROR(__xludf.DUMMYFUNCTION("""COMPUTED_VALUE"""),"Quixadá")</f>
        <v>Quixadá</v>
      </c>
      <c r="G100" s="206" t="str">
        <f>IFERROR(__xludf.DUMMYFUNCTION("""COMPUTED_VALUE"""),"SR Sertão Central")</f>
        <v>SR Sertão Central</v>
      </c>
      <c r="H100" s="153" t="str">
        <f>IFERROR(__xludf.DUMMYFUNCTION("""COMPUTED_VALUE"""),"Presencial (máximo 20% EaD)")</f>
        <v>Presencial (máximo 20% EaD)</v>
      </c>
      <c r="I100" s="206" t="str">
        <f>IFERROR(__xludf.DUMMYFUNCTION("""COMPUTED_VALUE"""),"Julho")</f>
        <v>Julho</v>
      </c>
      <c r="J100" s="206">
        <f>IFERROR(__xludf.DUMMYFUNCTION("""COMPUTED_VALUE"""),3.0)</f>
        <v>3</v>
      </c>
      <c r="K100" s="153"/>
      <c r="L100" s="153"/>
      <c r="M100" s="153" t="str">
        <f>IFERROR(__xludf.DUMMYFUNCTION("""COMPUTED_VALUE"""),"Ciclo de Atualização em Manejo Clínico e Diagnóstico Laboratorial das Arboviroses – Turma Sertão Central")</f>
        <v>Ciclo de Atualização em Manejo Clínico e Diagnóstico Laboratorial das Arboviroses – Turma Sertão Central</v>
      </c>
      <c r="N100" s="126">
        <f>IFERROR(__xludf.DUMMYFUNCTION("""COMPUTED_VALUE"""),100.0)</f>
        <v>100</v>
      </c>
      <c r="O100" s="396"/>
      <c r="P100" s="396"/>
      <c r="Q100" s="396"/>
      <c r="R100" s="396"/>
      <c r="S100" s="396"/>
      <c r="T100" s="396"/>
      <c r="U100" s="396"/>
      <c r="V100" s="397"/>
      <c r="W100" s="392"/>
      <c r="X100" s="392"/>
      <c r="Y100" s="386"/>
      <c r="Z100" s="386"/>
    </row>
    <row r="101">
      <c r="A101" s="135" t="str">
        <f>IFERROR(__xludf.DUMMYFUNCTION("""COMPUTED_VALUE"""),"Ciclo de Atualização em Manejo Clínico e Diagnóstico Laboratorial das Arboviroses")</f>
        <v>Ciclo de Atualização em Manejo Clínico e Diagnóstico Laboratorial das Arboviroses</v>
      </c>
      <c r="B101" s="124" t="str">
        <f>IFERROR(__xludf.DUMMYFUNCTION("""COMPUTED_VALUE"""),"Ciclo de Atualização em Manejo Clínico e Diagnóstico Laboratorial das Arboviroses")</f>
        <v>Ciclo de Atualização em Manejo Clínico e Diagnóstico Laboratorial das Arboviroses</v>
      </c>
      <c r="C101" s="125" t="str">
        <f>IFERROR(__xludf.DUMMYFUNCTION("""COMPUTED_VALUE"""),"Básico (Até 79h)")</f>
        <v>Básico (Até 79h)</v>
      </c>
      <c r="D101" s="153">
        <f>IFERROR(__xludf.DUMMYFUNCTION("""COMPUTED_VALUE"""),8.0)</f>
        <v>8</v>
      </c>
      <c r="E101" s="153" t="str">
        <f>IFERROR(__xludf.DUMMYFUNCTION("""COMPUTED_VALUE"""),"Turma 5")</f>
        <v>Turma 5</v>
      </c>
      <c r="F101" s="206" t="str">
        <f>IFERROR(__xludf.DUMMYFUNCTION("""COMPUTED_VALUE"""),"Sobral")</f>
        <v>Sobral</v>
      </c>
      <c r="G101" s="206" t="str">
        <f>IFERROR(__xludf.DUMMYFUNCTION("""COMPUTED_VALUE"""),"SR Norte")</f>
        <v>SR Norte</v>
      </c>
      <c r="H101" s="153" t="str">
        <f>IFERROR(__xludf.DUMMYFUNCTION("""COMPUTED_VALUE"""),"Presencial (máximo 20% EaD)")</f>
        <v>Presencial (máximo 20% EaD)</v>
      </c>
      <c r="I101" s="206" t="str">
        <f>IFERROR(__xludf.DUMMYFUNCTION("""COMPUTED_VALUE"""),"Julho")</f>
        <v>Julho</v>
      </c>
      <c r="J101" s="206">
        <f>IFERROR(__xludf.DUMMYFUNCTION("""COMPUTED_VALUE"""),10.0)</f>
        <v>10</v>
      </c>
      <c r="K101" s="153"/>
      <c r="L101" s="153"/>
      <c r="M101" s="153" t="str">
        <f>IFERROR(__xludf.DUMMYFUNCTION("""COMPUTED_VALUE"""),"Ciclo de Atualização em Manejo Clínico e Diagnóstico Laboratorial das Arboviroses – Turma Norte")</f>
        <v>Ciclo de Atualização em Manejo Clínico e Diagnóstico Laboratorial das Arboviroses – Turma Norte</v>
      </c>
      <c r="N101" s="126">
        <f>IFERROR(__xludf.DUMMYFUNCTION("""COMPUTED_VALUE"""),0.0)</f>
        <v>0</v>
      </c>
      <c r="O101" s="396"/>
      <c r="P101" s="396"/>
      <c r="Q101" s="396"/>
      <c r="R101" s="396"/>
      <c r="S101" s="396"/>
      <c r="T101" s="396"/>
      <c r="U101" s="396"/>
      <c r="V101" s="397"/>
      <c r="W101" s="392"/>
      <c r="X101" s="392"/>
      <c r="Y101" s="386"/>
      <c r="Z101" s="386"/>
    </row>
    <row r="102">
      <c r="A102" s="135" t="str">
        <f>IFERROR(__xludf.DUMMYFUNCTION("""COMPUTED_VALUE"""),"Ciclo de Atualização em Manejo Clínico e Diagnóstico Laboratorial das Arboviroses")</f>
        <v>Ciclo de Atualização em Manejo Clínico e Diagnóstico Laboratorial das Arboviroses</v>
      </c>
      <c r="B102" s="125" t="str">
        <f>IFERROR(__xludf.DUMMYFUNCTION("""COMPUTED_VALUE"""),"Seminário Febre do Oropouche: o que saber para enfrentar a arbovirose no Ceará?")</f>
        <v>Seminário Febre do Oropouche: o que saber para enfrentar a arbovirose no Ceará?</v>
      </c>
      <c r="C102" s="125" t="str">
        <f>IFERROR(__xludf.DUMMYFUNCTION("""COMPUTED_VALUE"""),"Básico (Até 79h)")</f>
        <v>Básico (Até 79h)</v>
      </c>
      <c r="D102" s="153">
        <f>IFERROR(__xludf.DUMMYFUNCTION("""COMPUTED_VALUE"""),8.0)</f>
        <v>8</v>
      </c>
      <c r="E102" s="153" t="str">
        <f>IFERROR(__xludf.DUMMYFUNCTION("""COMPUTED_VALUE"""),"Turma 1")</f>
        <v>Turma 1</v>
      </c>
      <c r="F102" s="206" t="str">
        <f>IFERROR(__xludf.DUMMYFUNCTION("""COMPUTED_VALUE"""),"Fortaleza")</f>
        <v>Fortaleza</v>
      </c>
      <c r="G102" s="206" t="str">
        <f>IFERROR(__xludf.DUMMYFUNCTION("""COMPUTED_VALUE"""),"Todas as SRS")</f>
        <v>Todas as SRS</v>
      </c>
      <c r="H102" s="153" t="str">
        <f>IFERROR(__xludf.DUMMYFUNCTION("""COMPUTED_VALUE"""),"Presencial (máximo 20% EaD)")</f>
        <v>Presencial (máximo 20% EaD)</v>
      </c>
      <c r="I102" s="206" t="str">
        <f>IFERROR(__xludf.DUMMYFUNCTION("""COMPUTED_VALUE"""),"Agosto")</f>
        <v>Agosto</v>
      </c>
      <c r="J102" s="206">
        <f>IFERROR(__xludf.DUMMYFUNCTION("""COMPUTED_VALUE"""),12.0)</f>
        <v>12</v>
      </c>
      <c r="K102" s="153"/>
      <c r="L102" s="153"/>
      <c r="M102" s="153" t="str">
        <f>IFERROR(__xludf.DUMMYFUNCTION("""COMPUTED_VALUE"""),"-")</f>
        <v>-</v>
      </c>
      <c r="N102" s="126">
        <f>IFERROR(__xludf.DUMMYFUNCTION("""COMPUTED_VALUE"""),220.0)</f>
        <v>220</v>
      </c>
      <c r="O102" s="396"/>
      <c r="P102" s="396"/>
      <c r="Q102" s="396"/>
      <c r="R102" s="396"/>
      <c r="S102" s="396"/>
      <c r="T102" s="396"/>
      <c r="U102" s="396"/>
      <c r="V102" s="397"/>
      <c r="W102" s="392"/>
      <c r="X102" s="392"/>
      <c r="Y102" s="386"/>
      <c r="Z102" s="386"/>
    </row>
    <row r="103">
      <c r="A103" s="124" t="str">
        <f>IFERROR(__xludf.DUMMYFUNCTION("""COMPUTED_VALUE"""),"Projeto de Educação Permanente em Infectologia")</f>
        <v>Projeto de Educação Permanente em Infectologia</v>
      </c>
      <c r="B103" s="124" t="str">
        <f>IFERROR(__xludf.DUMMYFUNCTION("""COMPUTED_VALUE"""),"Curso de Aperfeiçoamento em Infectologia")</f>
        <v>Curso de Aperfeiçoamento em Infectologia</v>
      </c>
      <c r="C103" s="210" t="str">
        <f>IFERROR(__xludf.DUMMYFUNCTION("""COMPUTED_VALUE"""),"Aperfeiçoamento (180h-359h)")</f>
        <v>Aperfeiçoamento (180h-359h)</v>
      </c>
      <c r="D103" s="392">
        <f>IFERROR(__xludf.DUMMYFUNCTION("""COMPUTED_VALUE"""),180.0)</f>
        <v>180</v>
      </c>
      <c r="E103" s="392" t="str">
        <f>IFERROR(__xludf.DUMMYFUNCTION("""COMPUTED_VALUE"""),"Turma 1")</f>
        <v>Turma 1</v>
      </c>
      <c r="F103" s="229" t="str">
        <f>IFERROR(__xludf.DUMMYFUNCTION("""COMPUTED_VALUE"""),"Fortaleza")</f>
        <v>Fortaleza</v>
      </c>
      <c r="G103" s="229" t="str">
        <f>IFERROR(__xludf.DUMMYFUNCTION("""COMPUTED_VALUE"""),"Fortaleza")</f>
        <v>Fortaleza</v>
      </c>
      <c r="H103" s="392" t="str">
        <f>IFERROR(__xludf.DUMMYFUNCTION("""COMPUTED_VALUE"""),"EaD (máximo 20% presencial)")</f>
        <v>EaD (máximo 20% presencial)</v>
      </c>
      <c r="I103" s="392" t="str">
        <f>IFERROR(__xludf.DUMMYFUNCTION("""COMPUTED_VALUE"""),"Julho - dezembro (2024)")</f>
        <v>Julho - dezembro (2024)</v>
      </c>
      <c r="J103" s="210" t="str">
        <f>IFERROR(__xludf.DUMMYFUNCTION("""COMPUTED_VALUE"""),"29 de jul à 25 de dez")</f>
        <v>29 de jul à 25 de dez</v>
      </c>
      <c r="K103" s="398"/>
      <c r="L103" s="398"/>
      <c r="M103" s="398" t="str">
        <f>IFERROR(__xludf.DUMMYFUNCTION("""COMPUTED_VALUE"""),"Curso de Aperfeiçoamento em Infectologia")</f>
        <v>Curso de Aperfeiçoamento em Infectologia</v>
      </c>
      <c r="N103" s="396">
        <f>IFERROR(__xludf.DUMMYFUNCTION("""COMPUTED_VALUE"""),100.0)</f>
        <v>100</v>
      </c>
      <c r="O103" s="396"/>
      <c r="P103" s="396"/>
      <c r="Q103" s="396"/>
      <c r="R103" s="396"/>
      <c r="S103" s="396"/>
      <c r="T103" s="396"/>
      <c r="U103" s="396"/>
      <c r="V103" s="397"/>
      <c r="W103" s="392"/>
      <c r="X103" s="392"/>
      <c r="Y103" s="386"/>
      <c r="Z103" s="386"/>
    </row>
    <row r="104">
      <c r="A104" s="124" t="str">
        <f>IFERROR(__xludf.DUMMYFUNCTION("""COMPUTED_VALUE"""),"Projeto de Educação Permanente em Urgência e Emergência")</f>
        <v>Projeto de Educação Permanente em Urgência e Emergência</v>
      </c>
      <c r="B104" s="124" t="str">
        <f>IFERROR(__xludf.DUMMYFUNCTION("""COMPUTED_VALUE"""),"Curso de Aperfeiçoamento para Construção de Protocolos de Regulação de Urgência")</f>
        <v>Curso de Aperfeiçoamento para Construção de Protocolos de Regulação de Urgência</v>
      </c>
      <c r="C104" s="210" t="str">
        <f>IFERROR(__xludf.DUMMYFUNCTION("""COMPUTED_VALUE"""),"Aperfeiçoamento (180h-359h)")</f>
        <v>Aperfeiçoamento (180h-359h)</v>
      </c>
      <c r="D104" s="392">
        <f>IFERROR(__xludf.DUMMYFUNCTION("""COMPUTED_VALUE"""),180.0)</f>
        <v>180</v>
      </c>
      <c r="E104" s="392" t="str">
        <f>IFERROR(__xludf.DUMMYFUNCTION("""COMPUTED_VALUE"""),"Turma 1")</f>
        <v>Turma 1</v>
      </c>
      <c r="F104" s="229" t="str">
        <f>IFERROR(__xludf.DUMMYFUNCTION("""COMPUTED_VALUE"""),"Fortaleza")</f>
        <v>Fortaleza</v>
      </c>
      <c r="G104" s="229" t="str">
        <f>IFERROR(__xludf.DUMMYFUNCTION("""COMPUTED_VALUE"""),"Todas as SRS")</f>
        <v>Todas as SRS</v>
      </c>
      <c r="H104" s="392" t="str">
        <f>IFERROR(__xludf.DUMMYFUNCTION("""COMPUTED_VALUE"""),"Híbrido (Presencial/EaD)")</f>
        <v>Híbrido (Presencial/EaD)</v>
      </c>
      <c r="I104" s="392"/>
      <c r="J104" s="210"/>
      <c r="K104" s="398"/>
      <c r="L104" s="398"/>
      <c r="M104" s="398"/>
      <c r="N104" s="396">
        <f>IFERROR(__xludf.DUMMYFUNCTION("""COMPUTED_VALUE"""),30.0)</f>
        <v>30</v>
      </c>
      <c r="O104" s="396"/>
      <c r="P104" s="396"/>
      <c r="Q104" s="396"/>
      <c r="R104" s="396"/>
      <c r="S104" s="396"/>
      <c r="T104" s="396"/>
      <c r="U104" s="396"/>
      <c r="V104" s="397"/>
      <c r="W104" s="392"/>
      <c r="X104" s="392"/>
      <c r="Y104" s="386"/>
      <c r="Z104" s="386"/>
    </row>
    <row r="105">
      <c r="A105" s="392" t="str">
        <f>IFERROR(__xludf.DUMMYFUNCTION("""COMPUTED_VALUE"""),"REGULAÇÃO")</f>
        <v>REGULAÇÃO</v>
      </c>
      <c r="B105" s="392" t="str">
        <f>IFERROR(__xludf.DUMMYFUNCTION("""COMPUTED_VALUE"""),"Programa de Aperfeiçoamento para Construção de Protocolos de Regulação Ambulatorial")</f>
        <v>Programa de Aperfeiçoamento para Construção de Protocolos de Regulação Ambulatorial</v>
      </c>
      <c r="C105" s="392" t="str">
        <f>IFERROR(__xludf.DUMMYFUNCTION("""COMPUTED_VALUE"""),"Aperfeiçoamento (180h-359h)")</f>
        <v>Aperfeiçoamento (180h-359h)</v>
      </c>
      <c r="D105" s="392">
        <f>IFERROR(__xludf.DUMMYFUNCTION("""COMPUTED_VALUE"""),180.0)</f>
        <v>180</v>
      </c>
      <c r="E105" s="392"/>
      <c r="F105" s="229"/>
      <c r="G105" s="229"/>
      <c r="H105" s="392"/>
      <c r="I105" s="229"/>
      <c r="J105" s="229"/>
      <c r="K105" s="399"/>
      <c r="L105" s="399"/>
      <c r="M105" s="399"/>
      <c r="N105" s="229">
        <f>IFERROR(__xludf.DUMMYFUNCTION("""COMPUTED_VALUE"""),90.0)</f>
        <v>90</v>
      </c>
      <c r="O105" s="229"/>
      <c r="P105" s="229"/>
      <c r="Q105" s="229"/>
      <c r="R105" s="229"/>
      <c r="S105" s="229"/>
      <c r="T105" s="229"/>
      <c r="U105" s="229"/>
      <c r="V105" s="400"/>
      <c r="W105" s="229"/>
      <c r="X105" s="229"/>
      <c r="Y105" s="4"/>
      <c r="Z105" s="4"/>
    </row>
    <row r="106">
      <c r="A106" s="392" t="str">
        <f>IFERROR(__xludf.DUMMYFUNCTION("""COMPUTED_VALUE"""),"REGULAÇÃO")</f>
        <v>REGULAÇÃO</v>
      </c>
      <c r="B106" s="392" t="str">
        <f>IFERROR(__xludf.DUMMYFUNCTION("""COMPUTED_VALUE"""),"Curso de Formação de Reguladores de Filas Virtuais para Profissioanis de Saúde")</f>
        <v>Curso de Formação de Reguladores de Filas Virtuais para Profissioanis de Saúde</v>
      </c>
      <c r="C106" s="392" t="str">
        <f>IFERROR(__xludf.DUMMYFUNCTION("""COMPUTED_VALUE"""),"Básico (Até 79h)")</f>
        <v>Básico (Até 79h)</v>
      </c>
      <c r="D106" s="392">
        <f>IFERROR(__xludf.DUMMYFUNCTION("""COMPUTED_VALUE"""),40.0)</f>
        <v>40</v>
      </c>
      <c r="E106" s="392"/>
      <c r="F106" s="229"/>
      <c r="G106" s="229"/>
      <c r="H106" s="392" t="str">
        <f>IFERROR(__xludf.DUMMYFUNCTION("""COMPUTED_VALUE"""),"EaD (máximo 20% presencial)")</f>
        <v>EaD (máximo 20% presencial)</v>
      </c>
      <c r="I106" s="229"/>
      <c r="J106" s="229"/>
      <c r="K106" s="399"/>
      <c r="L106" s="399"/>
      <c r="M106" s="399"/>
      <c r="N106" s="229">
        <f>IFERROR(__xludf.DUMMYFUNCTION("""COMPUTED_VALUE"""),30.0)</f>
        <v>30</v>
      </c>
      <c r="O106" s="229"/>
      <c r="P106" s="229"/>
      <c r="Q106" s="229"/>
      <c r="R106" s="229"/>
      <c r="S106" s="229"/>
      <c r="T106" s="229"/>
      <c r="U106" s="229"/>
      <c r="V106" s="400"/>
      <c r="W106" s="229"/>
      <c r="X106" s="229"/>
      <c r="Y106" s="4"/>
      <c r="Z106" s="4"/>
    </row>
    <row r="107">
      <c r="A107" s="392" t="str">
        <f>IFERROR(__xludf.DUMMYFUNCTION("""COMPUTED_VALUE"""),"Pé Diabético")</f>
        <v>Pé Diabético</v>
      </c>
      <c r="B107" s="392" t="str">
        <f>IFERROR(__xludf.DUMMYFUNCTION("""COMPUTED_VALUE"""),"Curso Básico de Cuidados e Avaliação do Pé Diabético ")</f>
        <v>Curso Básico de Cuidados e Avaliação do Pé Diabético </v>
      </c>
      <c r="C107" s="392" t="str">
        <f>IFERROR(__xludf.DUMMYFUNCTION("""COMPUTED_VALUE"""),"Básico (Até 79h)")</f>
        <v>Básico (Até 79h)</v>
      </c>
      <c r="D107" s="392">
        <f>IFERROR(__xludf.DUMMYFUNCTION("""COMPUTED_VALUE"""),60.0)</f>
        <v>60</v>
      </c>
      <c r="E107" s="392"/>
      <c r="F107" s="229"/>
      <c r="G107" s="229"/>
      <c r="H107" s="392" t="str">
        <f>IFERROR(__xludf.DUMMYFUNCTION("""COMPUTED_VALUE"""),"Híbrido (Presencial/EaD)")</f>
        <v>Híbrido (Presencial/EaD)</v>
      </c>
      <c r="I107" s="229"/>
      <c r="J107" s="229"/>
      <c r="K107" s="399"/>
      <c r="L107" s="399"/>
      <c r="M107" s="399"/>
      <c r="N107" s="229">
        <f>IFERROR(__xludf.DUMMYFUNCTION("""COMPUTED_VALUE"""),120.0)</f>
        <v>120</v>
      </c>
      <c r="O107" s="229"/>
      <c r="P107" s="229"/>
      <c r="Q107" s="229"/>
      <c r="R107" s="229"/>
      <c r="S107" s="229"/>
      <c r="T107" s="229"/>
      <c r="U107" s="229"/>
      <c r="V107" s="400"/>
      <c r="W107" s="229"/>
      <c r="X107" s="229"/>
      <c r="Y107" s="4"/>
      <c r="Z107" s="4"/>
    </row>
    <row r="108">
      <c r="A108" s="392" t="str">
        <f>IFERROR(__xludf.DUMMYFUNCTION("""COMPUTED_VALUE"""),"Instituto de Prevenção do Câncer (IPC)")</f>
        <v>Instituto de Prevenção do Câncer (IPC)</v>
      </c>
      <c r="B108" s="392" t="str">
        <f>IFERROR(__xludf.DUMMYFUNCTION("""COMPUTED_VALUE"""),"Curso de Atualização em Rastreamento de Câncer de Colo do Útero")</f>
        <v>Curso de Atualização em Rastreamento de Câncer de Colo do Útero</v>
      </c>
      <c r="C108" s="392" t="str">
        <f>IFERROR(__xludf.DUMMYFUNCTION("""COMPUTED_VALUE"""),"Atualização (80h-179h)")</f>
        <v>Atualização (80h-179h)</v>
      </c>
      <c r="D108" s="392">
        <f>IFERROR(__xludf.DUMMYFUNCTION("""COMPUTED_VALUE"""),80.0)</f>
        <v>80</v>
      </c>
      <c r="E108" s="392"/>
      <c r="F108" s="229"/>
      <c r="G108" s="229"/>
      <c r="H108" s="392" t="str">
        <f>IFERROR(__xludf.DUMMYFUNCTION("""COMPUTED_VALUE"""),"Presencial (máximo 20% EaD)")</f>
        <v>Presencial (máximo 20% EaD)</v>
      </c>
      <c r="I108" s="229"/>
      <c r="J108" s="229"/>
      <c r="K108" s="399"/>
      <c r="L108" s="399"/>
      <c r="M108" s="399"/>
      <c r="N108" s="229">
        <f>IFERROR(__xludf.DUMMYFUNCTION("""COMPUTED_VALUE"""),150.0)</f>
        <v>150</v>
      </c>
      <c r="O108" s="229"/>
      <c r="P108" s="229"/>
      <c r="Q108" s="229"/>
      <c r="R108" s="229"/>
      <c r="S108" s="229"/>
      <c r="T108" s="229"/>
      <c r="U108" s="229"/>
      <c r="V108" s="400"/>
      <c r="W108" s="229"/>
      <c r="X108" s="229"/>
      <c r="Y108" s="4"/>
      <c r="Z108" s="4"/>
    </row>
    <row r="109">
      <c r="A109" s="392" t="str">
        <f>IFERROR(__xludf.DUMMYFUNCTION("""COMPUTED_VALUE"""),"Movimenta Assitência Farmacêutica")</f>
        <v>Movimenta Assitência Farmacêutica</v>
      </c>
      <c r="B109" s="392" t="str">
        <f>IFERROR(__xludf.DUMMYFUNCTION("""COMPUTED_VALUE"""),"Comunicação Efetiva e Liderança")</f>
        <v>Comunicação Efetiva e Liderança</v>
      </c>
      <c r="C109" s="392" t="str">
        <f>IFERROR(__xludf.DUMMYFUNCTION("""COMPUTED_VALUE"""),"Básico (Até 79h)")</f>
        <v>Básico (Até 79h)</v>
      </c>
      <c r="D109" s="392">
        <f>IFERROR(__xludf.DUMMYFUNCTION("""COMPUTED_VALUE"""),16.0)</f>
        <v>16</v>
      </c>
      <c r="E109" s="392"/>
      <c r="F109" s="229"/>
      <c r="G109" s="229" t="str">
        <f>IFERROR(__xludf.DUMMYFUNCTION("""COMPUTED_VALUE"""),"5 SRs")</f>
        <v>5 SRs</v>
      </c>
      <c r="H109" s="392" t="str">
        <f>IFERROR(__xludf.DUMMYFUNCTION("""COMPUTED_VALUE"""),"Presencial (máximo 20% EaD)")</f>
        <v>Presencial (máximo 20% EaD)</v>
      </c>
      <c r="I109" s="229"/>
      <c r="J109" s="229"/>
      <c r="K109" s="399"/>
      <c r="L109" s="399"/>
      <c r="M109" s="399"/>
      <c r="N109" s="229"/>
      <c r="O109" s="229"/>
      <c r="P109" s="229"/>
      <c r="Q109" s="229"/>
      <c r="R109" s="229"/>
      <c r="S109" s="229"/>
      <c r="T109" s="229"/>
      <c r="U109" s="229"/>
      <c r="V109" s="400"/>
      <c r="W109" s="229"/>
      <c r="X109" s="229"/>
      <c r="Y109" s="4"/>
      <c r="Z109" s="4"/>
    </row>
    <row r="110">
      <c r="A110" s="392" t="str">
        <f>IFERROR(__xludf.DUMMYFUNCTION("""COMPUTED_VALUE"""),"Movimenta Assitência Farmacêutica")</f>
        <v>Movimenta Assitência Farmacêutica</v>
      </c>
      <c r="B110" s="392" t="str">
        <f>IFERROR(__xludf.DUMMYFUNCTION("""COMPUTED_VALUE"""),"Políticas Públicas de Saúde: programas e estratégias que referenciam/descrevem a estrutura e a organização da assistência farmacêutica no Brasil e no Ceará")</f>
        <v>Políticas Públicas de Saúde: programas e estratégias que referenciam/descrevem a estrutura e a organização da assistência farmacêutica no Brasil e no Ceará</v>
      </c>
      <c r="C110" s="392" t="str">
        <f>IFERROR(__xludf.DUMMYFUNCTION("""COMPUTED_VALUE"""),"Básico (Até 79h)")</f>
        <v>Básico (Até 79h)</v>
      </c>
      <c r="D110" s="392">
        <f>IFERROR(__xludf.DUMMYFUNCTION("""COMPUTED_VALUE"""),20.0)</f>
        <v>20</v>
      </c>
      <c r="E110" s="392" t="str">
        <f>IFERROR(__xludf.DUMMYFUNCTION("""COMPUTED_VALUE""")," ")</f>
        <v> </v>
      </c>
      <c r="F110" s="229"/>
      <c r="G110" s="229" t="str">
        <f>IFERROR(__xludf.DUMMYFUNCTION("""COMPUTED_VALUE"""),"5 SRs")</f>
        <v>5 SRs</v>
      </c>
      <c r="H110" s="392" t="str">
        <f>IFERROR(__xludf.DUMMYFUNCTION("""COMPUTED_VALUE"""),"EaD (máximo 20% presencial)")</f>
        <v>EaD (máximo 20% presencial)</v>
      </c>
      <c r="I110" s="229"/>
      <c r="J110" s="229"/>
      <c r="K110" s="399"/>
      <c r="L110" s="399"/>
      <c r="M110" s="399"/>
      <c r="N110" s="229"/>
      <c r="O110" s="229"/>
      <c r="P110" s="229"/>
      <c r="Q110" s="229"/>
      <c r="R110" s="229"/>
      <c r="S110" s="229"/>
      <c r="T110" s="229"/>
      <c r="U110" s="229"/>
      <c r="V110" s="400"/>
      <c r="W110" s="229"/>
      <c r="X110" s="229"/>
      <c r="Y110" s="4"/>
      <c r="Z110" s="4"/>
    </row>
    <row r="111">
      <c r="A111" s="392" t="str">
        <f>IFERROR(__xludf.DUMMYFUNCTION("""COMPUTED_VALUE"""),"Movimenta Assitência Farmacêutica")</f>
        <v>Movimenta Assitência Farmacêutica</v>
      </c>
      <c r="B111" s="392" t="str">
        <f>IFERROR(__xludf.DUMMYFUNCTION("""COMPUTED_VALUE"""),"Acesso a medicamentos no SUS: etapas do ciclo logístico da assistência farmacêutica no níveis estadual, regional e municipal")</f>
        <v>Acesso a medicamentos no SUS: etapas do ciclo logístico da assistência farmacêutica no níveis estadual, regional e municipal</v>
      </c>
      <c r="C111" s="392" t="str">
        <f>IFERROR(__xludf.DUMMYFUNCTION("""COMPUTED_VALUE"""),"Básico (Até 79h)")</f>
        <v>Básico (Até 79h)</v>
      </c>
      <c r="D111" s="392">
        <f>IFERROR(__xludf.DUMMYFUNCTION("""COMPUTED_VALUE"""),40.0)</f>
        <v>40</v>
      </c>
      <c r="E111" s="392"/>
      <c r="F111" s="229"/>
      <c r="G111" s="229" t="str">
        <f>IFERROR(__xludf.DUMMYFUNCTION("""COMPUTED_VALUE"""),"5 SRs")</f>
        <v>5 SRs</v>
      </c>
      <c r="H111" s="392" t="str">
        <f>IFERROR(__xludf.DUMMYFUNCTION("""COMPUTED_VALUE"""),"Híbrido (Presencial/EaD)")</f>
        <v>Híbrido (Presencial/EaD)</v>
      </c>
      <c r="I111" s="229"/>
      <c r="J111" s="229"/>
      <c r="K111" s="399"/>
      <c r="L111" s="399"/>
      <c r="M111" s="399"/>
      <c r="N111" s="229"/>
      <c r="O111" s="229"/>
      <c r="P111" s="229"/>
      <c r="Q111" s="229"/>
      <c r="R111" s="229"/>
      <c r="S111" s="229"/>
      <c r="T111" s="229"/>
      <c r="U111" s="229"/>
      <c r="V111" s="400"/>
      <c r="W111" s="229"/>
      <c r="X111" s="229"/>
      <c r="Y111" s="4"/>
      <c r="Z111" s="4"/>
    </row>
    <row r="112">
      <c r="A112" s="392" t="str">
        <f>IFERROR(__xludf.DUMMYFUNCTION("""COMPUTED_VALUE"""),"Movimenta Assitência Farmacêutica")</f>
        <v>Movimenta Assitência Farmacêutica</v>
      </c>
      <c r="B112" s="392" t="str">
        <f>IFERROR(__xludf.DUMMYFUNCTION("""COMPUTED_VALUE"""),"Estruturação do acesso aos medicamentos na Atenção Básica, Especializada e insumos estratégicos da Assisstência Farmacêutica, aspectos legais e econômicos")</f>
        <v>Estruturação do acesso aos medicamentos na Atenção Básica, Especializada e insumos estratégicos da Assisstência Farmacêutica, aspectos legais e econômicos</v>
      </c>
      <c r="C112" s="392" t="str">
        <f>IFERROR(__xludf.DUMMYFUNCTION("""COMPUTED_VALUE"""),"Básico (Até 79h)")</f>
        <v>Básico (Até 79h)</v>
      </c>
      <c r="D112" s="392">
        <f>IFERROR(__xludf.DUMMYFUNCTION("""COMPUTED_VALUE"""),30.0)</f>
        <v>30</v>
      </c>
      <c r="E112" s="392"/>
      <c r="F112" s="229"/>
      <c r="G112" s="229" t="str">
        <f>IFERROR(__xludf.DUMMYFUNCTION("""COMPUTED_VALUE"""),"5 SRs")</f>
        <v>5 SRs</v>
      </c>
      <c r="H112" s="392" t="str">
        <f>IFERROR(__xludf.DUMMYFUNCTION("""COMPUTED_VALUE"""),"EaD (máximo 20% presencial)")</f>
        <v>EaD (máximo 20% presencial)</v>
      </c>
      <c r="I112" s="229"/>
      <c r="J112" s="229"/>
      <c r="K112" s="399"/>
      <c r="L112" s="399"/>
      <c r="M112" s="399"/>
      <c r="N112" s="229"/>
      <c r="O112" s="229"/>
      <c r="P112" s="229"/>
      <c r="Q112" s="229"/>
      <c r="R112" s="229"/>
      <c r="S112" s="229"/>
      <c r="T112" s="229"/>
      <c r="U112" s="229"/>
      <c r="V112" s="400"/>
      <c r="W112" s="229"/>
      <c r="X112" s="229"/>
      <c r="Y112" s="4"/>
      <c r="Z112" s="4"/>
    </row>
    <row r="113">
      <c r="A113" s="392" t="str">
        <f>IFERROR(__xludf.DUMMYFUNCTION("""COMPUTED_VALUE"""),"Movimenta Assitência Farmacêutica")</f>
        <v>Movimenta Assitência Farmacêutica</v>
      </c>
      <c r="B113" s="392" t="str">
        <f>IFERROR(__xludf.DUMMYFUNCTION("""COMPUTED_VALUE"""),"Epidemiologia aplicada à Assistência Farmacêutica")</f>
        <v>Epidemiologia aplicada à Assistência Farmacêutica</v>
      </c>
      <c r="C113" s="392" t="str">
        <f>IFERROR(__xludf.DUMMYFUNCTION("""COMPUTED_VALUE"""),"Básico (Até 79h)")</f>
        <v>Básico (Até 79h)</v>
      </c>
      <c r="D113" s="392">
        <f>IFERROR(__xludf.DUMMYFUNCTION("""COMPUTED_VALUE"""),16.0)</f>
        <v>16</v>
      </c>
      <c r="E113" s="392"/>
      <c r="F113" s="229"/>
      <c r="G113" s="229" t="str">
        <f>IFERROR(__xludf.DUMMYFUNCTION("""COMPUTED_VALUE"""),"5 SRs")</f>
        <v>5 SRs</v>
      </c>
      <c r="H113" s="392" t="str">
        <f>IFERROR(__xludf.DUMMYFUNCTION("""COMPUTED_VALUE"""),"EaD (máximo 20% presencial)")</f>
        <v>EaD (máximo 20% presencial)</v>
      </c>
      <c r="I113" s="229"/>
      <c r="J113" s="229"/>
      <c r="K113" s="399"/>
      <c r="L113" s="399"/>
      <c r="M113" s="399"/>
      <c r="N113" s="229"/>
      <c r="O113" s="229"/>
      <c r="P113" s="229"/>
      <c r="Q113" s="229"/>
      <c r="R113" s="229"/>
      <c r="S113" s="229"/>
      <c r="T113" s="229"/>
      <c r="U113" s="229"/>
      <c r="V113" s="400"/>
      <c r="W113" s="229"/>
      <c r="X113" s="229"/>
      <c r="Y113" s="4"/>
      <c r="Z113" s="4"/>
    </row>
    <row r="114">
      <c r="A114" s="392" t="str">
        <f>IFERROR(__xludf.DUMMYFUNCTION("""COMPUTED_VALUE"""),"Movimenta Assitência Farmacêutica")</f>
        <v>Movimenta Assitência Farmacêutica</v>
      </c>
      <c r="B114" s="392" t="str">
        <f>IFERROR(__xludf.DUMMYFUNCTION("""COMPUTED_VALUE"""),"Avaliação de Tecnologias em saúde e os elementos-chave relacionados a esses processos")</f>
        <v>Avaliação de Tecnologias em saúde e os elementos-chave relacionados a esses processos</v>
      </c>
      <c r="C114" s="392" t="str">
        <f>IFERROR(__xludf.DUMMYFUNCTION("""COMPUTED_VALUE"""),"Básico (Até 79h)")</f>
        <v>Básico (Até 79h)</v>
      </c>
      <c r="D114" s="392">
        <f>IFERROR(__xludf.DUMMYFUNCTION("""COMPUTED_VALUE"""),20.0)</f>
        <v>20</v>
      </c>
      <c r="E114" s="392"/>
      <c r="F114" s="229"/>
      <c r="G114" s="229" t="str">
        <f>IFERROR(__xludf.DUMMYFUNCTION("""COMPUTED_VALUE"""),"5 SRs")</f>
        <v>5 SRs</v>
      </c>
      <c r="H114" s="392" t="str">
        <f>IFERROR(__xludf.DUMMYFUNCTION("""COMPUTED_VALUE"""),"EaD (máximo 20% presencial)")</f>
        <v>EaD (máximo 20% presencial)</v>
      </c>
      <c r="I114" s="229"/>
      <c r="J114" s="229"/>
      <c r="K114" s="399"/>
      <c r="L114" s="399"/>
      <c r="M114" s="399"/>
      <c r="N114" s="229"/>
      <c r="O114" s="229"/>
      <c r="P114" s="229"/>
      <c r="Q114" s="229"/>
      <c r="R114" s="229"/>
      <c r="S114" s="229"/>
      <c r="T114" s="229"/>
      <c r="U114" s="229"/>
      <c r="V114" s="400"/>
      <c r="W114" s="229"/>
      <c r="X114" s="229"/>
      <c r="Y114" s="4"/>
      <c r="Z114" s="4"/>
    </row>
    <row r="115">
      <c r="A115" s="392" t="str">
        <f>IFERROR(__xludf.DUMMYFUNCTION("""COMPUTED_VALUE"""),"Movimenta Assitência Farmacêutica")</f>
        <v>Movimenta Assitência Farmacêutica</v>
      </c>
      <c r="B115" s="392" t="str">
        <f>IFERROR(__xludf.DUMMYFUNCTION("""COMPUTED_VALUE"""),"Cuidado Farmacêutico I - na atenção primária")</f>
        <v>Cuidado Farmacêutico I - na atenção primária</v>
      </c>
      <c r="C115" s="392" t="str">
        <f>IFERROR(__xludf.DUMMYFUNCTION("""COMPUTED_VALUE"""),"Básico (Até 79h)")</f>
        <v>Básico (Até 79h)</v>
      </c>
      <c r="D115" s="392">
        <f>IFERROR(__xludf.DUMMYFUNCTION("""COMPUTED_VALUE"""),36.0)</f>
        <v>36</v>
      </c>
      <c r="E115" s="392"/>
      <c r="F115" s="229"/>
      <c r="G115" s="229" t="str">
        <f>IFERROR(__xludf.DUMMYFUNCTION("""COMPUTED_VALUE"""),"5 SRs")</f>
        <v>5 SRs</v>
      </c>
      <c r="H115" s="392" t="str">
        <f>IFERROR(__xludf.DUMMYFUNCTION("""COMPUTED_VALUE"""),"Híbrido (Presencial/EaD)")</f>
        <v>Híbrido (Presencial/EaD)</v>
      </c>
      <c r="I115" s="229"/>
      <c r="J115" s="229"/>
      <c r="K115" s="399"/>
      <c r="L115" s="399"/>
      <c r="M115" s="399"/>
      <c r="N115" s="229"/>
      <c r="O115" s="229"/>
      <c r="P115" s="229"/>
      <c r="Q115" s="229"/>
      <c r="R115" s="229"/>
      <c r="S115" s="229"/>
      <c r="T115" s="229"/>
      <c r="U115" s="229"/>
      <c r="V115" s="400"/>
      <c r="W115" s="229"/>
      <c r="X115" s="229"/>
      <c r="Y115" s="4"/>
      <c r="Z115" s="4"/>
    </row>
    <row r="116">
      <c r="A116" s="392" t="str">
        <f>IFERROR(__xludf.DUMMYFUNCTION("""COMPUTED_VALUE"""),"Movimenta Assitência Farmacêutica")</f>
        <v>Movimenta Assitência Farmacêutica</v>
      </c>
      <c r="B116" s="392" t="str">
        <f>IFERROR(__xludf.DUMMYFUNCTION("""COMPUTED_VALUE"""),"Cuidado Farmacêutico II - na atenção especializada")</f>
        <v>Cuidado Farmacêutico II - na atenção especializada</v>
      </c>
      <c r="C116" s="392" t="str">
        <f>IFERROR(__xludf.DUMMYFUNCTION("""COMPUTED_VALUE"""),"Básico (Até 79h)")</f>
        <v>Básico (Até 79h)</v>
      </c>
      <c r="D116" s="392">
        <f>IFERROR(__xludf.DUMMYFUNCTION("""COMPUTED_VALUE"""),36.0)</f>
        <v>36</v>
      </c>
      <c r="E116" s="392"/>
      <c r="F116" s="229"/>
      <c r="G116" s="229" t="str">
        <f>IFERROR(__xludf.DUMMYFUNCTION("""COMPUTED_VALUE"""),"5 SRs")</f>
        <v>5 SRs</v>
      </c>
      <c r="H116" s="392" t="str">
        <f>IFERROR(__xludf.DUMMYFUNCTION("""COMPUTED_VALUE"""),"Híbrido (Presencial/EaD)")</f>
        <v>Híbrido (Presencial/EaD)</v>
      </c>
      <c r="I116" s="229"/>
      <c r="J116" s="229"/>
      <c r="K116" s="399"/>
      <c r="L116" s="399"/>
      <c r="M116" s="399"/>
      <c r="N116" s="229"/>
      <c r="O116" s="229"/>
      <c r="P116" s="229"/>
      <c r="Q116" s="229"/>
      <c r="R116" s="229"/>
      <c r="S116" s="229"/>
      <c r="T116" s="229"/>
      <c r="U116" s="229"/>
      <c r="V116" s="400"/>
      <c r="W116" s="229"/>
      <c r="X116" s="229"/>
      <c r="Y116" s="4"/>
      <c r="Z116" s="4"/>
    </row>
    <row r="117">
      <c r="A117" s="392" t="str">
        <f>IFERROR(__xludf.DUMMYFUNCTION("""COMPUTED_VALUE"""),"Movimenta Assitência Farmacêutica")</f>
        <v>Movimenta Assitência Farmacêutica</v>
      </c>
      <c r="B117" s="392" t="str">
        <f>IFERROR(__xludf.DUMMYFUNCTION("""COMPUTED_VALUE"""),"Práticas Integrativas e Complementares (PICs) na Assistência Farmacêutica")</f>
        <v>Práticas Integrativas e Complementares (PICs) na Assistência Farmacêutica</v>
      </c>
      <c r="C117" s="392" t="str">
        <f>IFERROR(__xludf.DUMMYFUNCTION("""COMPUTED_VALUE"""),"Básico (Até 79h)")</f>
        <v>Básico (Até 79h)</v>
      </c>
      <c r="D117" s="392">
        <f>IFERROR(__xludf.DUMMYFUNCTION("""COMPUTED_VALUE"""),20.0)</f>
        <v>20</v>
      </c>
      <c r="E117" s="392"/>
      <c r="F117" s="229"/>
      <c r="G117" s="229" t="str">
        <f>IFERROR(__xludf.DUMMYFUNCTION("""COMPUTED_VALUE"""),"5 SRs")</f>
        <v>5 SRs</v>
      </c>
      <c r="H117" s="392" t="str">
        <f>IFERROR(__xludf.DUMMYFUNCTION("""COMPUTED_VALUE"""),"Presencial (máximo 20% EaD)")</f>
        <v>Presencial (máximo 20% EaD)</v>
      </c>
      <c r="I117" s="229"/>
      <c r="J117" s="229"/>
      <c r="K117" s="399"/>
      <c r="L117" s="399"/>
      <c r="M117" s="399"/>
      <c r="N117" s="229"/>
      <c r="O117" s="229"/>
      <c r="P117" s="229"/>
      <c r="Q117" s="229"/>
      <c r="R117" s="229"/>
      <c r="S117" s="229"/>
      <c r="T117" s="229"/>
      <c r="U117" s="229"/>
      <c r="V117" s="400"/>
      <c r="W117" s="229"/>
      <c r="X117" s="229"/>
      <c r="Y117" s="4"/>
      <c r="Z117" s="4"/>
    </row>
    <row r="118">
      <c r="A118" s="392" t="str">
        <f>IFERROR(__xludf.DUMMYFUNCTION("""COMPUTED_VALUE"""),"Materno Infantil")</f>
        <v>Materno Infantil</v>
      </c>
      <c r="B118" s="392" t="str">
        <f>IFERROR(__xludf.DUMMYFUNCTION("""COMPUTED_VALUE"""),"Curso de Atenção ao Pré-natal na Atenção Primária")</f>
        <v>Curso de Atenção ao Pré-natal na Atenção Primária</v>
      </c>
      <c r="C118" s="392" t="str">
        <f>IFERROR(__xludf.DUMMYFUNCTION("""COMPUTED_VALUE"""),"Digite a CH")</f>
        <v>Digite a CH</v>
      </c>
      <c r="D118" s="392"/>
      <c r="E118" s="392"/>
      <c r="F118" s="229"/>
      <c r="G118" s="229"/>
      <c r="H118" s="392"/>
      <c r="I118" s="229"/>
      <c r="J118" s="229"/>
      <c r="K118" s="399"/>
      <c r="L118" s="399"/>
      <c r="M118" s="399"/>
      <c r="N118" s="229"/>
      <c r="O118" s="229"/>
      <c r="P118" s="229"/>
      <c r="Q118" s="229"/>
      <c r="R118" s="229"/>
      <c r="S118" s="229"/>
      <c r="T118" s="229"/>
      <c r="U118" s="229"/>
      <c r="V118" s="400"/>
      <c r="W118" s="229"/>
      <c r="X118" s="229"/>
      <c r="Y118" s="4"/>
      <c r="Z118" s="4"/>
    </row>
    <row r="119">
      <c r="A119" s="392" t="str">
        <f>IFERROR(__xludf.DUMMYFUNCTION("""COMPUTED_VALUE"""),"Materno Infantil")</f>
        <v>Materno Infantil</v>
      </c>
      <c r="B119" s="392" t="str">
        <f>IFERROR(__xludf.DUMMYFUNCTION("""COMPUTED_VALUE"""),"Curso de Atenção Especializada ao Pré-natal de Alto Risco")</f>
        <v>Curso de Atenção Especializada ao Pré-natal de Alto Risco</v>
      </c>
      <c r="C119" s="392" t="str">
        <f>IFERROR(__xludf.DUMMYFUNCTION("""COMPUTED_VALUE"""),"Digite a CH")</f>
        <v>Digite a CH</v>
      </c>
      <c r="D119" s="392"/>
      <c r="E119" s="392"/>
      <c r="F119" s="229"/>
      <c r="G119" s="229"/>
      <c r="H119" s="392"/>
      <c r="I119" s="229"/>
      <c r="J119" s="229"/>
      <c r="K119" s="399"/>
      <c r="L119" s="399"/>
      <c r="M119" s="399"/>
      <c r="N119" s="229"/>
      <c r="O119" s="229"/>
      <c r="P119" s="229"/>
      <c r="Q119" s="229"/>
      <c r="R119" s="229"/>
      <c r="S119" s="229"/>
      <c r="T119" s="229"/>
      <c r="U119" s="229"/>
      <c r="V119" s="400"/>
      <c r="W119" s="229"/>
      <c r="X119" s="229"/>
      <c r="Y119" s="4"/>
      <c r="Z119" s="4"/>
    </row>
    <row r="120">
      <c r="A120" s="392" t="str">
        <f>IFERROR(__xludf.DUMMYFUNCTION("""COMPUTED_VALUE"""),"Materno Infantil")</f>
        <v>Materno Infantil</v>
      </c>
      <c r="B120" s="392" t="str">
        <f>IFERROR(__xludf.DUMMYFUNCTION("""COMPUTED_VALUE"""),"Curso de Atenção ao Parto, Nascimento e Emergências Obstétricas")</f>
        <v>Curso de Atenção ao Parto, Nascimento e Emergências Obstétricas</v>
      </c>
      <c r="C120" s="392" t="str">
        <f>IFERROR(__xludf.DUMMYFUNCTION("""COMPUTED_VALUE"""),"Digite a CH")</f>
        <v>Digite a CH</v>
      </c>
      <c r="D120" s="392"/>
      <c r="E120" s="392"/>
      <c r="F120" s="229"/>
      <c r="G120" s="229"/>
      <c r="H120" s="392"/>
      <c r="I120" s="229"/>
      <c r="J120" s="229"/>
      <c r="K120" s="399"/>
      <c r="L120" s="399"/>
      <c r="M120" s="399"/>
      <c r="N120" s="229"/>
      <c r="O120" s="229"/>
      <c r="P120" s="229"/>
      <c r="Q120" s="229"/>
      <c r="R120" s="229"/>
      <c r="S120" s="229"/>
      <c r="T120" s="229"/>
      <c r="U120" s="229"/>
      <c r="V120" s="400"/>
      <c r="W120" s="229"/>
      <c r="X120" s="229"/>
      <c r="Y120" s="4"/>
      <c r="Z120" s="4"/>
    </row>
    <row r="121">
      <c r="A121" s="392" t="str">
        <f>IFERROR(__xludf.DUMMYFUNCTION("""COMPUTED_VALUE"""),"Hemovigilância e Biovigilância")</f>
        <v>Hemovigilância e Biovigilância</v>
      </c>
      <c r="B121" s="392" t="str">
        <f>IFERROR(__xludf.DUMMYFUNCTION("""COMPUTED_VALUE"""),"Curso de Capacitação em Biovigilância")</f>
        <v>Curso de Capacitação em Biovigilância</v>
      </c>
      <c r="C121" s="392" t="str">
        <f>IFERROR(__xludf.DUMMYFUNCTION("""COMPUTED_VALUE"""),"Básico (Até 79h)")</f>
        <v>Básico (Até 79h)</v>
      </c>
      <c r="D121" s="392">
        <f>IFERROR(__xludf.DUMMYFUNCTION("""COMPUTED_VALUE"""),40.0)</f>
        <v>40</v>
      </c>
      <c r="E121" s="392" t="str">
        <f>IFERROR(__xludf.DUMMYFUNCTION("""COMPUTED_VALUE"""),"Turma 1")</f>
        <v>Turma 1</v>
      </c>
      <c r="F121" s="229" t="str">
        <f>IFERROR(__xludf.DUMMYFUNCTION("""COMPUTED_VALUE"""),"Fortaleza")</f>
        <v>Fortaleza</v>
      </c>
      <c r="G121" s="229"/>
      <c r="H121" s="392" t="str">
        <f>IFERROR(__xludf.DUMMYFUNCTION("""COMPUTED_VALUE"""),"Presencial (máximo 20% EaD)")</f>
        <v>Presencial (máximo 20% EaD)</v>
      </c>
      <c r="I121" s="229"/>
      <c r="J121" s="229"/>
      <c r="K121" s="399"/>
      <c r="L121" s="399"/>
      <c r="M121" s="399"/>
      <c r="N121" s="229">
        <f>IFERROR(__xludf.DUMMYFUNCTION("""COMPUTED_VALUE"""),40.0)</f>
        <v>40</v>
      </c>
      <c r="O121" s="229"/>
      <c r="P121" s="229"/>
      <c r="Q121" s="229"/>
      <c r="R121" s="229"/>
      <c r="S121" s="229"/>
      <c r="T121" s="229"/>
      <c r="U121" s="229"/>
      <c r="V121" s="400"/>
      <c r="W121" s="229"/>
      <c r="X121" s="229"/>
      <c r="Y121" s="4"/>
      <c r="Z121" s="4"/>
    </row>
    <row r="122">
      <c r="A122" s="392" t="str">
        <f>IFERROR(__xludf.DUMMYFUNCTION("""COMPUTED_VALUE"""),"Hemovigilância e Biovigilância")</f>
        <v>Hemovigilância e Biovigilância</v>
      </c>
      <c r="B122" s="392" t="str">
        <f>IFERROR(__xludf.DUMMYFUNCTION("""COMPUTED_VALUE"""),"Curso de Capacitação em Biovigilância")</f>
        <v>Curso de Capacitação em Biovigilância</v>
      </c>
      <c r="C122" s="392" t="str">
        <f>IFERROR(__xludf.DUMMYFUNCTION("""COMPUTED_VALUE"""),"Básico (Até 79h)")</f>
        <v>Básico (Até 79h)</v>
      </c>
      <c r="D122" s="392">
        <f>IFERROR(__xludf.DUMMYFUNCTION("""COMPUTED_VALUE"""),40.0)</f>
        <v>40</v>
      </c>
      <c r="E122" s="392" t="str">
        <f>IFERROR(__xludf.DUMMYFUNCTION("""COMPUTED_VALUE"""),"Turma 2")</f>
        <v>Turma 2</v>
      </c>
      <c r="F122" s="229" t="str">
        <f>IFERROR(__xludf.DUMMYFUNCTION("""COMPUTED_VALUE"""),"Fortaleza")</f>
        <v>Fortaleza</v>
      </c>
      <c r="G122" s="229"/>
      <c r="H122" s="392" t="str">
        <f>IFERROR(__xludf.DUMMYFUNCTION("""COMPUTED_VALUE"""),"Presencial (máximo 20% EaD)")</f>
        <v>Presencial (máximo 20% EaD)</v>
      </c>
      <c r="I122" s="229"/>
      <c r="J122" s="229"/>
      <c r="K122" s="399"/>
      <c r="L122" s="399"/>
      <c r="M122" s="399"/>
      <c r="N122" s="229">
        <f>IFERROR(__xludf.DUMMYFUNCTION("""COMPUTED_VALUE"""),40.0)</f>
        <v>40</v>
      </c>
      <c r="O122" s="229"/>
      <c r="P122" s="229"/>
      <c r="Q122" s="229"/>
      <c r="R122" s="229"/>
      <c r="S122" s="229"/>
      <c r="T122" s="229"/>
      <c r="U122" s="229"/>
      <c r="V122" s="400"/>
      <c r="W122" s="229"/>
      <c r="X122" s="229"/>
      <c r="Y122" s="4"/>
      <c r="Z122" s="4"/>
    </row>
    <row r="123">
      <c r="A123" s="392" t="str">
        <f>IFERROR(__xludf.DUMMYFUNCTION("""COMPUTED_VALUE"""),"Hemovigilância e Biovigilância")</f>
        <v>Hemovigilância e Biovigilância</v>
      </c>
      <c r="B123" s="392" t="str">
        <f>IFERROR(__xludf.DUMMYFUNCTION("""COMPUTED_VALUE"""),"Curso de Capacitação em Biovigilância")</f>
        <v>Curso de Capacitação em Biovigilância</v>
      </c>
      <c r="C123" s="392" t="str">
        <f>IFERROR(__xludf.DUMMYFUNCTION("""COMPUTED_VALUE"""),"Básico (Até 79h)")</f>
        <v>Básico (Até 79h)</v>
      </c>
      <c r="D123" s="392">
        <f>IFERROR(__xludf.DUMMYFUNCTION("""COMPUTED_VALUE"""),40.0)</f>
        <v>40</v>
      </c>
      <c r="E123" s="392" t="str">
        <f>IFERROR(__xludf.DUMMYFUNCTION("""COMPUTED_VALUE"""),"Turma 3")</f>
        <v>Turma 3</v>
      </c>
      <c r="F123" s="229" t="str">
        <f>IFERROR(__xludf.DUMMYFUNCTION("""COMPUTED_VALUE"""),"Fortaleza")</f>
        <v>Fortaleza</v>
      </c>
      <c r="G123" s="229"/>
      <c r="H123" s="392" t="str">
        <f>IFERROR(__xludf.DUMMYFUNCTION("""COMPUTED_VALUE"""),"Presencial (máximo 20% EaD)")</f>
        <v>Presencial (máximo 20% EaD)</v>
      </c>
      <c r="I123" s="229"/>
      <c r="J123" s="229"/>
      <c r="K123" s="399"/>
      <c r="L123" s="399"/>
      <c r="M123" s="399"/>
      <c r="N123" s="229">
        <f>IFERROR(__xludf.DUMMYFUNCTION("""COMPUTED_VALUE"""),40.0)</f>
        <v>40</v>
      </c>
      <c r="O123" s="229"/>
      <c r="P123" s="229"/>
      <c r="Q123" s="229"/>
      <c r="R123" s="229"/>
      <c r="S123" s="229"/>
      <c r="T123" s="229"/>
      <c r="U123" s="229"/>
      <c r="V123" s="400"/>
      <c r="W123" s="229"/>
      <c r="X123" s="229"/>
      <c r="Y123" s="4"/>
      <c r="Z123" s="4"/>
    </row>
    <row r="124">
      <c r="A124" s="392" t="str">
        <f>IFERROR(__xludf.DUMMYFUNCTION("""COMPUTED_VALUE"""),"Hemovigilância e Biovigilância")</f>
        <v>Hemovigilância e Biovigilância</v>
      </c>
      <c r="B124" s="392" t="str">
        <f>IFERROR(__xludf.DUMMYFUNCTION("""COMPUTED_VALUE"""),"Curso de Capacitação em Hemovigilância")</f>
        <v>Curso de Capacitação em Hemovigilância</v>
      </c>
      <c r="C124" s="392" t="str">
        <f>IFERROR(__xludf.DUMMYFUNCTION("""COMPUTED_VALUE"""),"Básico (Até 79h)")</f>
        <v>Básico (Até 79h)</v>
      </c>
      <c r="D124" s="392">
        <f>IFERROR(__xludf.DUMMYFUNCTION("""COMPUTED_VALUE"""),40.0)</f>
        <v>40</v>
      </c>
      <c r="E124" s="392" t="str">
        <f>IFERROR(__xludf.DUMMYFUNCTION("""COMPUTED_VALUE"""),"Turma 1")</f>
        <v>Turma 1</v>
      </c>
      <c r="F124" s="229" t="str">
        <f>IFERROR(__xludf.DUMMYFUNCTION("""COMPUTED_VALUE"""),"Fortaleza")</f>
        <v>Fortaleza</v>
      </c>
      <c r="G124" s="229"/>
      <c r="H124" s="392" t="str">
        <f>IFERROR(__xludf.DUMMYFUNCTION("""COMPUTED_VALUE"""),"Presencial (máximo 20% EaD)")</f>
        <v>Presencial (máximo 20% EaD)</v>
      </c>
      <c r="I124" s="229"/>
      <c r="J124" s="229"/>
      <c r="K124" s="399"/>
      <c r="L124" s="399"/>
      <c r="M124" s="399"/>
      <c r="N124" s="229">
        <f>IFERROR(__xludf.DUMMYFUNCTION("""COMPUTED_VALUE"""),45.0)</f>
        <v>45</v>
      </c>
      <c r="O124" s="229"/>
      <c r="P124" s="229"/>
      <c r="Q124" s="229"/>
      <c r="R124" s="229"/>
      <c r="S124" s="229"/>
      <c r="T124" s="229"/>
      <c r="U124" s="229"/>
      <c r="V124" s="400"/>
      <c r="W124" s="229"/>
      <c r="X124" s="229"/>
      <c r="Y124" s="4"/>
      <c r="Z124" s="4"/>
    </row>
    <row r="125">
      <c r="A125" s="392" t="str">
        <f>IFERROR(__xludf.DUMMYFUNCTION("""COMPUTED_VALUE"""),"Hemovigilância e Biovigilância")</f>
        <v>Hemovigilância e Biovigilância</v>
      </c>
      <c r="B125" s="392" t="str">
        <f>IFERROR(__xludf.DUMMYFUNCTION("""COMPUTED_VALUE"""),"Curso de Capacitação em Hemovigilância")</f>
        <v>Curso de Capacitação em Hemovigilância</v>
      </c>
      <c r="C125" s="392" t="str">
        <f>IFERROR(__xludf.DUMMYFUNCTION("""COMPUTED_VALUE"""),"Básico (Até 79h)")</f>
        <v>Básico (Até 79h)</v>
      </c>
      <c r="D125" s="392">
        <f>IFERROR(__xludf.DUMMYFUNCTION("""COMPUTED_VALUE"""),40.0)</f>
        <v>40</v>
      </c>
      <c r="E125" s="392" t="str">
        <f>IFERROR(__xludf.DUMMYFUNCTION("""COMPUTED_VALUE"""),"Turma 2")</f>
        <v>Turma 2</v>
      </c>
      <c r="F125" s="229" t="str">
        <f>IFERROR(__xludf.DUMMYFUNCTION("""COMPUTED_VALUE"""),"Fortaleza")</f>
        <v>Fortaleza</v>
      </c>
      <c r="G125" s="229"/>
      <c r="H125" s="392" t="str">
        <f>IFERROR(__xludf.DUMMYFUNCTION("""COMPUTED_VALUE"""),"Presencial (máximo 20% EaD)")</f>
        <v>Presencial (máximo 20% EaD)</v>
      </c>
      <c r="I125" s="229"/>
      <c r="J125" s="229"/>
      <c r="K125" s="399"/>
      <c r="L125" s="399"/>
      <c r="M125" s="399"/>
      <c r="N125" s="229">
        <f>IFERROR(__xludf.DUMMYFUNCTION("""COMPUTED_VALUE"""),45.0)</f>
        <v>45</v>
      </c>
      <c r="O125" s="229"/>
      <c r="P125" s="229"/>
      <c r="Q125" s="229"/>
      <c r="R125" s="229"/>
      <c r="S125" s="229"/>
      <c r="T125" s="229"/>
      <c r="U125" s="229"/>
      <c r="V125" s="400"/>
      <c r="W125" s="229"/>
      <c r="X125" s="229"/>
      <c r="Y125" s="4"/>
      <c r="Z125" s="4"/>
    </row>
    <row r="126">
      <c r="A126" s="392" t="str">
        <f>IFERROR(__xludf.DUMMYFUNCTION("""COMPUTED_VALUE"""),"Hemovigilância e Biovigilância")</f>
        <v>Hemovigilância e Biovigilância</v>
      </c>
      <c r="B126" s="392" t="str">
        <f>IFERROR(__xludf.DUMMYFUNCTION("""COMPUTED_VALUE"""),"Curso de Capacitação em Hemovigilância")</f>
        <v>Curso de Capacitação em Hemovigilância</v>
      </c>
      <c r="C126" s="392" t="str">
        <f>IFERROR(__xludf.DUMMYFUNCTION("""COMPUTED_VALUE"""),"Básico (Até 79h)")</f>
        <v>Básico (Até 79h)</v>
      </c>
      <c r="D126" s="392">
        <f>IFERROR(__xludf.DUMMYFUNCTION("""COMPUTED_VALUE"""),40.0)</f>
        <v>40</v>
      </c>
      <c r="E126" s="392" t="str">
        <f>IFERROR(__xludf.DUMMYFUNCTION("""COMPUTED_VALUE"""),"Turma 3")</f>
        <v>Turma 3</v>
      </c>
      <c r="F126" s="229" t="str">
        <f>IFERROR(__xludf.DUMMYFUNCTION("""COMPUTED_VALUE"""),"Fortaleza")</f>
        <v>Fortaleza</v>
      </c>
      <c r="G126" s="229"/>
      <c r="H126" s="392" t="str">
        <f>IFERROR(__xludf.DUMMYFUNCTION("""COMPUTED_VALUE"""),"Presencial (máximo 20% EaD)")</f>
        <v>Presencial (máximo 20% EaD)</v>
      </c>
      <c r="I126" s="229"/>
      <c r="J126" s="229"/>
      <c r="K126" s="399"/>
      <c r="L126" s="399"/>
      <c r="M126" s="399"/>
      <c r="N126" s="229">
        <f>IFERROR(__xludf.DUMMYFUNCTION("""COMPUTED_VALUE"""),45.0)</f>
        <v>45</v>
      </c>
      <c r="O126" s="229"/>
      <c r="P126" s="229"/>
      <c r="Q126" s="229"/>
      <c r="R126" s="229"/>
      <c r="S126" s="229"/>
      <c r="T126" s="229"/>
      <c r="U126" s="229"/>
      <c r="V126" s="400"/>
      <c r="W126" s="229"/>
      <c r="X126" s="229"/>
      <c r="Y126" s="4"/>
      <c r="Z126" s="4"/>
    </row>
    <row r="127">
      <c r="A127" s="392" t="str">
        <f>IFERROR(__xludf.DUMMYFUNCTION("""COMPUTED_VALUE"""),"Hemovigilância e Biovigilância")</f>
        <v>Hemovigilância e Biovigilância</v>
      </c>
      <c r="B127" s="392" t="str">
        <f>IFERROR(__xludf.DUMMYFUNCTION("""COMPUTED_VALUE"""),"Curso de Capacitação em Hemovigilância")</f>
        <v>Curso de Capacitação em Hemovigilância</v>
      </c>
      <c r="C127" s="392" t="str">
        <f>IFERROR(__xludf.DUMMYFUNCTION("""COMPUTED_VALUE"""),"Básico (Até 79h)")</f>
        <v>Básico (Até 79h)</v>
      </c>
      <c r="D127" s="392">
        <f>IFERROR(__xludf.DUMMYFUNCTION("""COMPUTED_VALUE"""),40.0)</f>
        <v>40</v>
      </c>
      <c r="E127" s="392" t="str">
        <f>IFERROR(__xludf.DUMMYFUNCTION("""COMPUTED_VALUE"""),"Turma 4")</f>
        <v>Turma 4</v>
      </c>
      <c r="F127" s="229" t="str">
        <f>IFERROR(__xludf.DUMMYFUNCTION("""COMPUTED_VALUE"""),"Fortaleza")</f>
        <v>Fortaleza</v>
      </c>
      <c r="G127" s="229"/>
      <c r="H127" s="392" t="str">
        <f>IFERROR(__xludf.DUMMYFUNCTION("""COMPUTED_VALUE"""),"Presencial (máximo 20% EaD)")</f>
        <v>Presencial (máximo 20% EaD)</v>
      </c>
      <c r="I127" s="229"/>
      <c r="J127" s="229"/>
      <c r="K127" s="399"/>
      <c r="L127" s="399"/>
      <c r="M127" s="399"/>
      <c r="N127" s="229">
        <f>IFERROR(__xludf.DUMMYFUNCTION("""COMPUTED_VALUE"""),45.0)</f>
        <v>45</v>
      </c>
      <c r="O127" s="229"/>
      <c r="P127" s="229"/>
      <c r="Q127" s="229"/>
      <c r="R127" s="229"/>
      <c r="S127" s="229"/>
      <c r="T127" s="229"/>
      <c r="U127" s="229"/>
      <c r="V127" s="400"/>
      <c r="W127" s="229"/>
      <c r="X127" s="229"/>
      <c r="Y127" s="4"/>
      <c r="Z127" s="4"/>
    </row>
    <row r="128">
      <c r="A128" s="392"/>
      <c r="B128" s="392"/>
      <c r="C128" s="392" t="str">
        <f>IFERROR(__xludf.DUMMYFUNCTION("""COMPUTED_VALUE"""),"Digite a CH")</f>
        <v>Digite a CH</v>
      </c>
      <c r="D128" s="392"/>
      <c r="E128" s="392"/>
      <c r="F128" s="229"/>
      <c r="G128" s="229"/>
      <c r="H128" s="392"/>
      <c r="I128" s="229"/>
      <c r="J128" s="229"/>
      <c r="K128" s="399"/>
      <c r="L128" s="399"/>
      <c r="M128" s="399"/>
      <c r="N128" s="229"/>
      <c r="O128" s="229"/>
      <c r="P128" s="229"/>
      <c r="Q128" s="229"/>
      <c r="R128" s="229"/>
      <c r="S128" s="229"/>
      <c r="T128" s="229"/>
      <c r="U128" s="229"/>
      <c r="V128" s="400"/>
      <c r="W128" s="229"/>
      <c r="X128" s="229"/>
      <c r="Y128" s="4"/>
      <c r="Z128" s="4"/>
    </row>
    <row r="129">
      <c r="A129" s="392"/>
      <c r="B129" s="392"/>
      <c r="C129" s="392" t="str">
        <f>IFERROR(__xludf.DUMMYFUNCTION("""COMPUTED_VALUE"""),"Digite a CH")</f>
        <v>Digite a CH</v>
      </c>
      <c r="D129" s="392"/>
      <c r="E129" s="392"/>
      <c r="F129" s="229"/>
      <c r="G129" s="229"/>
      <c r="H129" s="392" t="str">
        <f>IFERROR(__xludf.DUMMYFUNCTION("""COMPUTED_VALUE"""),"Presencial (máximo 20% EaD)")</f>
        <v>Presencial (máximo 20% EaD)</v>
      </c>
      <c r="I129" s="229"/>
      <c r="J129" s="229"/>
      <c r="K129" s="399"/>
      <c r="L129" s="399"/>
      <c r="M129" s="399"/>
      <c r="N129" s="229"/>
      <c r="O129" s="229"/>
      <c r="P129" s="229"/>
      <c r="Q129" s="229"/>
      <c r="R129" s="229"/>
      <c r="S129" s="229"/>
      <c r="T129" s="229"/>
      <c r="U129" s="229"/>
      <c r="V129" s="400"/>
      <c r="W129" s="229"/>
      <c r="X129" s="229"/>
      <c r="Y129" s="4"/>
      <c r="Z129" s="4"/>
    </row>
    <row r="130">
      <c r="A130" s="392"/>
      <c r="B130" s="392"/>
      <c r="C130" s="392" t="str">
        <f>IFERROR(__xludf.DUMMYFUNCTION("""COMPUTED_VALUE"""),"Digite a CH")</f>
        <v>Digite a CH</v>
      </c>
      <c r="D130" s="392"/>
      <c r="E130" s="392"/>
      <c r="F130" s="229"/>
      <c r="G130" s="229"/>
      <c r="H130" s="392"/>
      <c r="I130" s="229"/>
      <c r="J130" s="229"/>
      <c r="K130" s="399"/>
      <c r="L130" s="399"/>
      <c r="M130" s="399"/>
      <c r="N130" s="229"/>
      <c r="O130" s="229"/>
      <c r="P130" s="229"/>
      <c r="Q130" s="229"/>
      <c r="R130" s="229"/>
      <c r="S130" s="229"/>
      <c r="T130" s="229"/>
      <c r="U130" s="229"/>
      <c r="V130" s="400"/>
      <c r="W130" s="229"/>
      <c r="X130" s="229"/>
      <c r="Y130" s="4"/>
      <c r="Z130" s="4"/>
    </row>
    <row r="131">
      <c r="A131" s="392"/>
      <c r="B131" s="392"/>
      <c r="C131" s="392" t="str">
        <f>IFERROR(__xludf.DUMMYFUNCTION("""COMPUTED_VALUE"""),"Digite a CH")</f>
        <v>Digite a CH</v>
      </c>
      <c r="D131" s="392"/>
      <c r="E131" s="392"/>
      <c r="F131" s="229"/>
      <c r="G131" s="229"/>
      <c r="H131" s="392"/>
      <c r="I131" s="229"/>
      <c r="J131" s="229"/>
      <c r="K131" s="399"/>
      <c r="L131" s="399"/>
      <c r="M131" s="399"/>
      <c r="N131" s="229"/>
      <c r="O131" s="229"/>
      <c r="P131" s="229"/>
      <c r="Q131" s="229"/>
      <c r="R131" s="229"/>
      <c r="S131" s="229"/>
      <c r="T131" s="229"/>
      <c r="U131" s="229"/>
      <c r="V131" s="400"/>
      <c r="W131" s="229"/>
      <c r="X131" s="229"/>
      <c r="Y131" s="4"/>
      <c r="Z131" s="4"/>
    </row>
    <row r="132">
      <c r="A132" s="392"/>
      <c r="B132" s="392"/>
      <c r="C132" s="392" t="str">
        <f>IFERROR(__xludf.DUMMYFUNCTION("""COMPUTED_VALUE"""),"Digite a CH")</f>
        <v>Digite a CH</v>
      </c>
      <c r="D132" s="392"/>
      <c r="E132" s="392"/>
      <c r="F132" s="229"/>
      <c r="G132" s="229"/>
      <c r="H132" s="392"/>
      <c r="I132" s="229"/>
      <c r="J132" s="229"/>
      <c r="K132" s="399"/>
      <c r="L132" s="399"/>
      <c r="M132" s="399"/>
      <c r="N132" s="229"/>
      <c r="O132" s="229"/>
      <c r="P132" s="229"/>
      <c r="Q132" s="229"/>
      <c r="R132" s="229"/>
      <c r="S132" s="229"/>
      <c r="T132" s="229"/>
      <c r="U132" s="229"/>
      <c r="V132" s="400"/>
      <c r="W132" s="229"/>
      <c r="X132" s="229"/>
      <c r="Y132" s="4"/>
      <c r="Z132" s="4"/>
    </row>
    <row r="133">
      <c r="A133" s="392"/>
      <c r="B133" s="392"/>
      <c r="C133" s="392" t="str">
        <f>IFERROR(__xludf.DUMMYFUNCTION("""COMPUTED_VALUE"""),"Digite a CH")</f>
        <v>Digite a CH</v>
      </c>
      <c r="D133" s="392"/>
      <c r="E133" s="392"/>
      <c r="F133" s="229"/>
      <c r="G133" s="229"/>
      <c r="H133" s="392"/>
      <c r="I133" s="229"/>
      <c r="J133" s="229"/>
      <c r="K133" s="399"/>
      <c r="L133" s="399"/>
      <c r="M133" s="399"/>
      <c r="N133" s="229"/>
      <c r="O133" s="229"/>
      <c r="P133" s="229"/>
      <c r="Q133" s="229"/>
      <c r="R133" s="229"/>
      <c r="S133" s="229"/>
      <c r="T133" s="229"/>
      <c r="U133" s="229"/>
      <c r="V133" s="400"/>
      <c r="W133" s="229"/>
      <c r="X133" s="229"/>
      <c r="Y133" s="4"/>
      <c r="Z133" s="4"/>
    </row>
    <row r="134">
      <c r="A134" s="392"/>
      <c r="B134" s="392"/>
      <c r="C134" s="392" t="str">
        <f>IFERROR(__xludf.DUMMYFUNCTION("""COMPUTED_VALUE"""),"Digite a CH")</f>
        <v>Digite a CH</v>
      </c>
      <c r="D134" s="392"/>
      <c r="E134" s="392"/>
      <c r="F134" s="229"/>
      <c r="G134" s="229"/>
      <c r="H134" s="392"/>
      <c r="I134" s="229"/>
      <c r="J134" s="229"/>
      <c r="K134" s="399"/>
      <c r="L134" s="399"/>
      <c r="M134" s="399"/>
      <c r="N134" s="229"/>
      <c r="O134" s="229"/>
      <c r="P134" s="229"/>
      <c r="Q134" s="229"/>
      <c r="R134" s="229"/>
      <c r="S134" s="229"/>
      <c r="T134" s="229"/>
      <c r="U134" s="229"/>
      <c r="V134" s="400"/>
      <c r="W134" s="229"/>
      <c r="X134" s="229"/>
      <c r="Y134" s="4"/>
      <c r="Z134" s="4"/>
    </row>
    <row r="135">
      <c r="A135" s="392"/>
      <c r="B135" s="392"/>
      <c r="C135" s="392" t="str">
        <f>IFERROR(__xludf.DUMMYFUNCTION("""COMPUTED_VALUE"""),"Digite a CH")</f>
        <v>Digite a CH</v>
      </c>
      <c r="D135" s="392"/>
      <c r="E135" s="392"/>
      <c r="F135" s="229"/>
      <c r="G135" s="229"/>
      <c r="H135" s="392"/>
      <c r="I135" s="229"/>
      <c r="J135" s="229"/>
      <c r="K135" s="399"/>
      <c r="L135" s="399"/>
      <c r="M135" s="399"/>
      <c r="N135" s="229"/>
      <c r="O135" s="229"/>
      <c r="P135" s="229"/>
      <c r="Q135" s="229"/>
      <c r="R135" s="229"/>
      <c r="S135" s="229"/>
      <c r="T135" s="229"/>
      <c r="U135" s="229"/>
      <c r="V135" s="400"/>
      <c r="W135" s="229"/>
      <c r="X135" s="229"/>
      <c r="Y135" s="4"/>
      <c r="Z135" s="4"/>
    </row>
    <row r="136">
      <c r="A136" s="392"/>
      <c r="B136" s="392"/>
      <c r="C136" s="392" t="str">
        <f>IFERROR(__xludf.DUMMYFUNCTION("""COMPUTED_VALUE"""),"Digite a CH")</f>
        <v>Digite a CH</v>
      </c>
      <c r="D136" s="392"/>
      <c r="E136" s="392"/>
      <c r="F136" s="229"/>
      <c r="G136" s="229"/>
      <c r="H136" s="392"/>
      <c r="I136" s="229"/>
      <c r="J136" s="229"/>
      <c r="K136" s="399"/>
      <c r="L136" s="399"/>
      <c r="M136" s="399"/>
      <c r="N136" s="229"/>
      <c r="O136" s="229"/>
      <c r="P136" s="229"/>
      <c r="Q136" s="229"/>
      <c r="R136" s="229"/>
      <c r="S136" s="229"/>
      <c r="T136" s="229"/>
      <c r="U136" s="229"/>
      <c r="V136" s="400"/>
      <c r="W136" s="229"/>
      <c r="X136" s="229"/>
      <c r="Y136" s="4"/>
      <c r="Z136" s="4"/>
    </row>
    <row r="137">
      <c r="A137" s="392"/>
      <c r="B137" s="392"/>
      <c r="C137" s="392" t="str">
        <f>IFERROR(__xludf.DUMMYFUNCTION("""COMPUTED_VALUE"""),"Digite a CH")</f>
        <v>Digite a CH</v>
      </c>
      <c r="D137" s="392"/>
      <c r="E137" s="392"/>
      <c r="F137" s="229"/>
      <c r="G137" s="229"/>
      <c r="H137" s="392"/>
      <c r="I137" s="229"/>
      <c r="J137" s="229"/>
      <c r="K137" s="399"/>
      <c r="L137" s="399"/>
      <c r="M137" s="399"/>
      <c r="N137" s="229"/>
      <c r="O137" s="229"/>
      <c r="P137" s="229"/>
      <c r="Q137" s="229"/>
      <c r="R137" s="229"/>
      <c r="S137" s="229"/>
      <c r="T137" s="229"/>
      <c r="U137" s="229"/>
      <c r="V137" s="400"/>
      <c r="W137" s="229"/>
      <c r="X137" s="229"/>
      <c r="Y137" s="4"/>
      <c r="Z137" s="4"/>
    </row>
    <row r="138">
      <c r="A138" s="392"/>
      <c r="B138" s="392"/>
      <c r="C138" s="392" t="str">
        <f>IFERROR(__xludf.DUMMYFUNCTION("""COMPUTED_VALUE"""),"Digite a CH")</f>
        <v>Digite a CH</v>
      </c>
      <c r="D138" s="392"/>
      <c r="E138" s="392"/>
      <c r="F138" s="229"/>
      <c r="G138" s="229"/>
      <c r="H138" s="392"/>
      <c r="I138" s="229"/>
      <c r="J138" s="229"/>
      <c r="K138" s="399"/>
      <c r="L138" s="399"/>
      <c r="M138" s="399"/>
      <c r="N138" s="229"/>
      <c r="O138" s="229"/>
      <c r="P138" s="229"/>
      <c r="Q138" s="229"/>
      <c r="R138" s="229"/>
      <c r="S138" s="229"/>
      <c r="T138" s="229"/>
      <c r="U138" s="229"/>
      <c r="V138" s="400"/>
      <c r="W138" s="229"/>
      <c r="X138" s="229"/>
      <c r="Y138" s="4"/>
      <c r="Z138" s="4"/>
    </row>
    <row r="139">
      <c r="A139" s="392"/>
      <c r="B139" s="392"/>
      <c r="C139" s="392" t="str">
        <f>IFERROR(__xludf.DUMMYFUNCTION("""COMPUTED_VALUE"""),"Digite a CH")</f>
        <v>Digite a CH</v>
      </c>
      <c r="D139" s="392"/>
      <c r="E139" s="392"/>
      <c r="F139" s="229"/>
      <c r="G139" s="229"/>
      <c r="H139" s="392"/>
      <c r="I139" s="229"/>
      <c r="J139" s="229"/>
      <c r="K139" s="399"/>
      <c r="L139" s="399"/>
      <c r="M139" s="399"/>
      <c r="N139" s="229"/>
      <c r="O139" s="229"/>
      <c r="P139" s="229"/>
      <c r="Q139" s="229"/>
      <c r="R139" s="229"/>
      <c r="S139" s="229"/>
      <c r="T139" s="229"/>
      <c r="U139" s="229"/>
      <c r="V139" s="400"/>
      <c r="W139" s="229"/>
      <c r="X139" s="229"/>
      <c r="Y139" s="4"/>
      <c r="Z139" s="4"/>
    </row>
    <row r="140">
      <c r="A140" s="392"/>
      <c r="B140" s="392"/>
      <c r="C140" s="392" t="str">
        <f>IFERROR(__xludf.DUMMYFUNCTION("""COMPUTED_VALUE"""),"Digite a CH")</f>
        <v>Digite a CH</v>
      </c>
      <c r="D140" s="392"/>
      <c r="E140" s="392"/>
      <c r="F140" s="229"/>
      <c r="G140" s="229"/>
      <c r="H140" s="392"/>
      <c r="I140" s="229"/>
      <c r="J140" s="229"/>
      <c r="K140" s="399"/>
      <c r="L140" s="399"/>
      <c r="M140" s="399"/>
      <c r="N140" s="229"/>
      <c r="O140" s="229"/>
      <c r="P140" s="229"/>
      <c r="Q140" s="229"/>
      <c r="R140" s="229"/>
      <c r="S140" s="229"/>
      <c r="T140" s="229"/>
      <c r="U140" s="229"/>
      <c r="V140" s="400"/>
      <c r="W140" s="229"/>
      <c r="X140" s="229"/>
      <c r="Y140" s="4"/>
      <c r="Z140" s="4"/>
    </row>
    <row r="141">
      <c r="A141" s="392"/>
      <c r="B141" s="392"/>
      <c r="C141" s="392" t="str">
        <f>IFERROR(__xludf.DUMMYFUNCTION("""COMPUTED_VALUE"""),"Digite a CH")</f>
        <v>Digite a CH</v>
      </c>
      <c r="D141" s="392"/>
      <c r="E141" s="392"/>
      <c r="F141" s="229"/>
      <c r="G141" s="229"/>
      <c r="H141" s="392"/>
      <c r="I141" s="229"/>
      <c r="J141" s="229"/>
      <c r="K141" s="399"/>
      <c r="L141" s="399"/>
      <c r="M141" s="399"/>
      <c r="N141" s="229"/>
      <c r="O141" s="229"/>
      <c r="P141" s="229"/>
      <c r="Q141" s="229"/>
      <c r="R141" s="229"/>
      <c r="S141" s="229"/>
      <c r="T141" s="229"/>
      <c r="U141" s="229"/>
      <c r="V141" s="400"/>
      <c r="W141" s="229"/>
      <c r="X141" s="229"/>
      <c r="Y141" s="4"/>
      <c r="Z141" s="4"/>
    </row>
    <row r="142">
      <c r="A142" s="392"/>
      <c r="B142" s="392"/>
      <c r="C142" s="392" t="str">
        <f>IFERROR(__xludf.DUMMYFUNCTION("""COMPUTED_VALUE"""),"Digite a CH")</f>
        <v>Digite a CH</v>
      </c>
      <c r="D142" s="392"/>
      <c r="E142" s="392"/>
      <c r="F142" s="229"/>
      <c r="G142" s="229"/>
      <c r="H142" s="392"/>
      <c r="I142" s="229"/>
      <c r="J142" s="229"/>
      <c r="K142" s="399"/>
      <c r="L142" s="399"/>
      <c r="M142" s="399"/>
      <c r="N142" s="229"/>
      <c r="O142" s="229"/>
      <c r="P142" s="229"/>
      <c r="Q142" s="229"/>
      <c r="R142" s="229"/>
      <c r="S142" s="229"/>
      <c r="T142" s="229"/>
      <c r="U142" s="229"/>
      <c r="V142" s="400"/>
      <c r="W142" s="229"/>
      <c r="X142" s="229"/>
      <c r="Y142" s="4"/>
      <c r="Z142" s="4"/>
    </row>
    <row r="143">
      <c r="A143" s="392"/>
      <c r="B143" s="392"/>
      <c r="C143" s="392" t="str">
        <f>IFERROR(__xludf.DUMMYFUNCTION("""COMPUTED_VALUE"""),"Digite a CH")</f>
        <v>Digite a CH</v>
      </c>
      <c r="D143" s="392"/>
      <c r="E143" s="392"/>
      <c r="F143" s="229"/>
      <c r="G143" s="229"/>
      <c r="H143" s="392"/>
      <c r="I143" s="229"/>
      <c r="J143" s="229"/>
      <c r="K143" s="399"/>
      <c r="L143" s="399"/>
      <c r="M143" s="399"/>
      <c r="N143" s="229"/>
      <c r="O143" s="229"/>
      <c r="P143" s="229"/>
      <c r="Q143" s="229"/>
      <c r="R143" s="229"/>
      <c r="S143" s="229"/>
      <c r="T143" s="229"/>
      <c r="U143" s="229"/>
      <c r="V143" s="400"/>
      <c r="W143" s="229"/>
      <c r="X143" s="229"/>
      <c r="Y143" s="4"/>
      <c r="Z143" s="4"/>
    </row>
    <row r="144">
      <c r="A144" s="392"/>
      <c r="B144" s="392"/>
      <c r="C144" s="392" t="str">
        <f>IFERROR(__xludf.DUMMYFUNCTION("""COMPUTED_VALUE"""),"Digite a CH")</f>
        <v>Digite a CH</v>
      </c>
      <c r="D144" s="392"/>
      <c r="E144" s="392"/>
      <c r="F144" s="229"/>
      <c r="G144" s="229"/>
      <c r="H144" s="392"/>
      <c r="I144" s="229"/>
      <c r="J144" s="229"/>
      <c r="K144" s="399"/>
      <c r="L144" s="399"/>
      <c r="M144" s="399"/>
      <c r="N144" s="229"/>
      <c r="O144" s="229"/>
      <c r="P144" s="229"/>
      <c r="Q144" s="229"/>
      <c r="R144" s="229"/>
      <c r="S144" s="229"/>
      <c r="T144" s="229"/>
      <c r="U144" s="229"/>
      <c r="V144" s="400"/>
      <c r="W144" s="229"/>
      <c r="X144" s="229"/>
      <c r="Y144" s="4"/>
      <c r="Z144" s="4"/>
    </row>
    <row r="145">
      <c r="A145" s="392"/>
      <c r="B145" s="392"/>
      <c r="C145" s="392" t="str">
        <f>IFERROR(__xludf.DUMMYFUNCTION("""COMPUTED_VALUE"""),"Digite a CH")</f>
        <v>Digite a CH</v>
      </c>
      <c r="D145" s="392"/>
      <c r="E145" s="392"/>
      <c r="F145" s="229"/>
      <c r="G145" s="229"/>
      <c r="H145" s="392"/>
      <c r="I145" s="229"/>
      <c r="J145" s="229"/>
      <c r="K145" s="399"/>
      <c r="L145" s="399"/>
      <c r="M145" s="399"/>
      <c r="N145" s="229"/>
      <c r="O145" s="229"/>
      <c r="P145" s="229"/>
      <c r="Q145" s="229"/>
      <c r="R145" s="229"/>
      <c r="S145" s="229"/>
      <c r="T145" s="229"/>
      <c r="U145" s="229"/>
      <c r="V145" s="400"/>
      <c r="W145" s="229"/>
      <c r="X145" s="229"/>
      <c r="Y145" s="4"/>
      <c r="Z145" s="4"/>
    </row>
    <row r="146">
      <c r="A146" s="392"/>
      <c r="B146" s="392"/>
      <c r="C146" s="392"/>
      <c r="D146" s="392"/>
      <c r="E146" s="392"/>
      <c r="F146" s="229"/>
      <c r="G146" s="229"/>
      <c r="H146" s="392"/>
      <c r="I146" s="229"/>
      <c r="J146" s="229"/>
      <c r="K146" s="399"/>
      <c r="L146" s="399"/>
      <c r="M146" s="399"/>
      <c r="N146" s="229"/>
      <c r="O146" s="229"/>
      <c r="P146" s="229"/>
      <c r="Q146" s="229"/>
      <c r="R146" s="229"/>
      <c r="S146" s="229"/>
      <c r="T146" s="229"/>
      <c r="U146" s="229"/>
      <c r="V146" s="400"/>
      <c r="W146" s="229"/>
      <c r="X146" s="229"/>
      <c r="Y146" s="4"/>
      <c r="Z146" s="4"/>
    </row>
    <row r="147">
      <c r="A147" s="392"/>
      <c r="B147" s="392"/>
      <c r="C147" s="392"/>
      <c r="D147" s="392"/>
      <c r="E147" s="392"/>
      <c r="F147" s="229"/>
      <c r="G147" s="229"/>
      <c r="H147" s="392"/>
      <c r="I147" s="229"/>
      <c r="J147" s="229"/>
      <c r="K147" s="399"/>
      <c r="L147" s="399"/>
      <c r="M147" s="399"/>
      <c r="N147" s="229"/>
      <c r="O147" s="229"/>
      <c r="P147" s="229"/>
      <c r="Q147" s="229"/>
      <c r="R147" s="229"/>
      <c r="S147" s="229"/>
      <c r="T147" s="229"/>
      <c r="U147" s="229"/>
      <c r="V147" s="400"/>
      <c r="W147" s="229"/>
      <c r="X147" s="229"/>
      <c r="Y147" s="4"/>
      <c r="Z147" s="4"/>
    </row>
    <row r="148">
      <c r="A148" s="392"/>
      <c r="B148" s="392"/>
      <c r="C148" s="392"/>
      <c r="D148" s="392"/>
      <c r="E148" s="392"/>
      <c r="F148" s="229"/>
      <c r="G148" s="229"/>
      <c r="H148" s="392"/>
      <c r="I148" s="229"/>
      <c r="J148" s="229"/>
      <c r="K148" s="399"/>
      <c r="L148" s="399"/>
      <c r="M148" s="399"/>
      <c r="N148" s="229"/>
      <c r="O148" s="229"/>
      <c r="P148" s="229"/>
      <c r="Q148" s="229"/>
      <c r="R148" s="229"/>
      <c r="S148" s="229"/>
      <c r="T148" s="229"/>
      <c r="U148" s="229"/>
      <c r="V148" s="400"/>
      <c r="W148" s="229"/>
      <c r="X148" s="229"/>
      <c r="Y148" s="4"/>
      <c r="Z148" s="4"/>
    </row>
    <row r="149">
      <c r="A149" s="392"/>
      <c r="B149" s="392"/>
      <c r="C149" s="392"/>
      <c r="D149" s="392"/>
      <c r="E149" s="392"/>
      <c r="F149" s="229"/>
      <c r="G149" s="229"/>
      <c r="H149" s="392"/>
      <c r="I149" s="229"/>
      <c r="J149" s="229"/>
      <c r="K149" s="399"/>
      <c r="L149" s="399"/>
      <c r="M149" s="399"/>
      <c r="N149" s="229"/>
      <c r="O149" s="229"/>
      <c r="P149" s="229"/>
      <c r="Q149" s="229"/>
      <c r="R149" s="229"/>
      <c r="S149" s="229"/>
      <c r="T149" s="229"/>
      <c r="U149" s="229"/>
      <c r="V149" s="400"/>
      <c r="W149" s="229"/>
      <c r="X149" s="229"/>
      <c r="Y149" s="4"/>
      <c r="Z149" s="4"/>
    </row>
    <row r="150">
      <c r="A150" s="392"/>
      <c r="B150" s="392"/>
      <c r="C150" s="392"/>
      <c r="D150" s="392"/>
      <c r="E150" s="392"/>
      <c r="F150" s="229"/>
      <c r="G150" s="229"/>
      <c r="H150" s="392"/>
      <c r="I150" s="229"/>
      <c r="J150" s="229"/>
      <c r="K150" s="399"/>
      <c r="L150" s="399"/>
      <c r="M150" s="399"/>
      <c r="N150" s="229"/>
      <c r="O150" s="229"/>
      <c r="P150" s="229"/>
      <c r="Q150" s="229"/>
      <c r="R150" s="229"/>
      <c r="S150" s="229"/>
      <c r="T150" s="229"/>
      <c r="U150" s="229"/>
      <c r="V150" s="400"/>
      <c r="W150" s="229"/>
      <c r="X150" s="229"/>
      <c r="Y150" s="4"/>
      <c r="Z150" s="4"/>
    </row>
    <row r="151">
      <c r="A151" s="392"/>
      <c r="B151" s="392"/>
      <c r="C151" s="392"/>
      <c r="D151" s="392"/>
      <c r="E151" s="392"/>
      <c r="F151" s="229"/>
      <c r="G151" s="229"/>
      <c r="H151" s="392"/>
      <c r="I151" s="229"/>
      <c r="J151" s="229"/>
      <c r="K151" s="399"/>
      <c r="L151" s="399"/>
      <c r="M151" s="399"/>
      <c r="N151" s="229"/>
      <c r="O151" s="229"/>
      <c r="P151" s="229"/>
      <c r="Q151" s="229"/>
      <c r="R151" s="229"/>
      <c r="S151" s="229"/>
      <c r="T151" s="229"/>
      <c r="U151" s="229"/>
      <c r="V151" s="400"/>
      <c r="W151" s="229"/>
      <c r="X151" s="229"/>
      <c r="Y151" s="4"/>
      <c r="Z151" s="4"/>
    </row>
    <row r="152">
      <c r="A152" s="392"/>
      <c r="B152" s="392"/>
      <c r="C152" s="392"/>
      <c r="D152" s="392"/>
      <c r="E152" s="392"/>
      <c r="F152" s="229"/>
      <c r="G152" s="229"/>
      <c r="H152" s="392"/>
      <c r="I152" s="229"/>
      <c r="J152" s="229"/>
      <c r="K152" s="399"/>
      <c r="L152" s="399"/>
      <c r="M152" s="399"/>
      <c r="N152" s="229"/>
      <c r="O152" s="229"/>
      <c r="P152" s="229"/>
      <c r="Q152" s="229"/>
      <c r="R152" s="229"/>
      <c r="S152" s="229"/>
      <c r="T152" s="229"/>
      <c r="U152" s="229"/>
      <c r="V152" s="400"/>
      <c r="W152" s="229"/>
      <c r="X152" s="229"/>
      <c r="Y152" s="4"/>
      <c r="Z152" s="4"/>
    </row>
    <row r="153">
      <c r="A153" s="392"/>
      <c r="B153" s="392"/>
      <c r="C153" s="392"/>
      <c r="D153" s="392"/>
      <c r="E153" s="392"/>
      <c r="F153" s="229"/>
      <c r="G153" s="229"/>
      <c r="H153" s="392"/>
      <c r="I153" s="229"/>
      <c r="J153" s="229"/>
      <c r="K153" s="399"/>
      <c r="L153" s="399"/>
      <c r="M153" s="399"/>
      <c r="N153" s="229"/>
      <c r="O153" s="229"/>
      <c r="P153" s="229"/>
      <c r="Q153" s="229"/>
      <c r="R153" s="229"/>
      <c r="S153" s="229"/>
      <c r="T153" s="229"/>
      <c r="U153" s="229"/>
      <c r="V153" s="400"/>
      <c r="W153" s="229"/>
      <c r="X153" s="229"/>
      <c r="Y153" s="4"/>
      <c r="Z153" s="4"/>
    </row>
    <row r="154">
      <c r="A154" s="392"/>
      <c r="B154" s="392"/>
      <c r="C154" s="392"/>
      <c r="D154" s="392"/>
      <c r="E154" s="392"/>
      <c r="F154" s="229"/>
      <c r="G154" s="229"/>
      <c r="H154" s="392"/>
      <c r="I154" s="229"/>
      <c r="J154" s="229"/>
      <c r="K154" s="399"/>
      <c r="L154" s="399"/>
      <c r="M154" s="399"/>
      <c r="N154" s="229"/>
      <c r="O154" s="229"/>
      <c r="P154" s="229"/>
      <c r="Q154" s="229"/>
      <c r="R154" s="229"/>
      <c r="S154" s="229"/>
      <c r="T154" s="229"/>
      <c r="U154" s="229"/>
      <c r="V154" s="400"/>
      <c r="W154" s="229"/>
      <c r="X154" s="229"/>
      <c r="Y154" s="4"/>
      <c r="Z154" s="4"/>
    </row>
    <row r="155">
      <c r="A155" s="392"/>
      <c r="B155" s="392"/>
      <c r="C155" s="392"/>
      <c r="D155" s="392"/>
      <c r="E155" s="392"/>
      <c r="F155" s="229"/>
      <c r="G155" s="229"/>
      <c r="H155" s="392"/>
      <c r="I155" s="229"/>
      <c r="J155" s="229"/>
      <c r="K155" s="399"/>
      <c r="L155" s="399"/>
      <c r="M155" s="399"/>
      <c r="N155" s="229"/>
      <c r="O155" s="229"/>
      <c r="P155" s="229"/>
      <c r="Q155" s="229"/>
      <c r="R155" s="229"/>
      <c r="S155" s="229"/>
      <c r="T155" s="229"/>
      <c r="U155" s="229"/>
      <c r="V155" s="400"/>
      <c r="W155" s="229"/>
      <c r="X155" s="229"/>
      <c r="Y155" s="4"/>
      <c r="Z155" s="4"/>
    </row>
    <row r="156">
      <c r="A156" s="392"/>
      <c r="B156" s="392"/>
      <c r="C156" s="392"/>
      <c r="D156" s="392"/>
      <c r="E156" s="392"/>
      <c r="F156" s="229"/>
      <c r="G156" s="229"/>
      <c r="H156" s="392"/>
      <c r="I156" s="229"/>
      <c r="J156" s="229"/>
      <c r="K156" s="399"/>
      <c r="L156" s="399"/>
      <c r="M156" s="399"/>
      <c r="N156" s="229"/>
      <c r="O156" s="229"/>
      <c r="P156" s="229"/>
      <c r="Q156" s="229"/>
      <c r="R156" s="229"/>
      <c r="S156" s="229"/>
      <c r="T156" s="229"/>
      <c r="U156" s="229"/>
      <c r="V156" s="400"/>
      <c r="W156" s="229"/>
      <c r="X156" s="229"/>
      <c r="Y156" s="4"/>
      <c r="Z156" s="4"/>
    </row>
    <row r="157">
      <c r="A157" s="392"/>
      <c r="B157" s="392"/>
      <c r="C157" s="392"/>
      <c r="D157" s="392"/>
      <c r="E157" s="392"/>
      <c r="F157" s="229"/>
      <c r="G157" s="229"/>
      <c r="H157" s="392"/>
      <c r="I157" s="229"/>
      <c r="J157" s="229"/>
      <c r="K157" s="399"/>
      <c r="L157" s="399"/>
      <c r="M157" s="399"/>
      <c r="N157" s="229"/>
      <c r="O157" s="229"/>
      <c r="P157" s="229"/>
      <c r="Q157" s="229"/>
      <c r="R157" s="229"/>
      <c r="S157" s="229"/>
      <c r="T157" s="229"/>
      <c r="U157" s="229"/>
      <c r="V157" s="400"/>
      <c r="W157" s="229"/>
      <c r="X157" s="229"/>
      <c r="Y157" s="4"/>
      <c r="Z157" s="4"/>
    </row>
    <row r="158">
      <c r="A158" s="392"/>
      <c r="B158" s="392"/>
      <c r="C158" s="392"/>
      <c r="D158" s="392"/>
      <c r="E158" s="392"/>
      <c r="F158" s="229"/>
      <c r="G158" s="229"/>
      <c r="H158" s="392"/>
      <c r="I158" s="229"/>
      <c r="J158" s="229"/>
      <c r="K158" s="399"/>
      <c r="L158" s="399"/>
      <c r="M158" s="399"/>
      <c r="N158" s="229"/>
      <c r="O158" s="229"/>
      <c r="P158" s="229"/>
      <c r="Q158" s="229"/>
      <c r="R158" s="229"/>
      <c r="S158" s="229"/>
      <c r="T158" s="229"/>
      <c r="U158" s="229"/>
      <c r="V158" s="400"/>
      <c r="W158" s="229"/>
      <c r="X158" s="229"/>
      <c r="Y158" s="4"/>
      <c r="Z158" s="4"/>
    </row>
    <row r="159">
      <c r="A159" s="392"/>
      <c r="B159" s="392"/>
      <c r="C159" s="392"/>
      <c r="D159" s="392"/>
      <c r="E159" s="392"/>
      <c r="F159" s="229"/>
      <c r="G159" s="229"/>
      <c r="H159" s="392"/>
      <c r="I159" s="229"/>
      <c r="J159" s="229"/>
      <c r="K159" s="399"/>
      <c r="L159" s="399"/>
      <c r="M159" s="399"/>
      <c r="N159" s="229"/>
      <c r="O159" s="229"/>
      <c r="P159" s="229"/>
      <c r="Q159" s="229"/>
      <c r="R159" s="229"/>
      <c r="S159" s="229"/>
      <c r="T159" s="229"/>
      <c r="U159" s="229"/>
      <c r="V159" s="400"/>
      <c r="W159" s="229"/>
      <c r="X159" s="229"/>
      <c r="Y159" s="4"/>
      <c r="Z159" s="4"/>
    </row>
    <row r="160">
      <c r="A160" s="392"/>
      <c r="B160" s="392"/>
      <c r="C160" s="392"/>
      <c r="D160" s="392"/>
      <c r="E160" s="392"/>
      <c r="F160" s="229"/>
      <c r="G160" s="229"/>
      <c r="H160" s="392"/>
      <c r="I160" s="229"/>
      <c r="J160" s="229"/>
      <c r="K160" s="399"/>
      <c r="L160" s="399"/>
      <c r="M160" s="399"/>
      <c r="N160" s="229"/>
      <c r="O160" s="229"/>
      <c r="P160" s="229"/>
      <c r="Q160" s="229"/>
      <c r="R160" s="229"/>
      <c r="S160" s="229"/>
      <c r="T160" s="229"/>
      <c r="U160" s="229"/>
      <c r="V160" s="400"/>
      <c r="W160" s="229"/>
      <c r="X160" s="229"/>
      <c r="Y160" s="4"/>
      <c r="Z160" s="4"/>
    </row>
    <row r="161">
      <c r="A161" s="392"/>
      <c r="B161" s="392"/>
      <c r="C161" s="392"/>
      <c r="D161" s="392"/>
      <c r="E161" s="392"/>
      <c r="F161" s="229"/>
      <c r="G161" s="229"/>
      <c r="H161" s="392"/>
      <c r="I161" s="229"/>
      <c r="J161" s="229"/>
      <c r="K161" s="399"/>
      <c r="L161" s="399"/>
      <c r="M161" s="399"/>
      <c r="N161" s="229"/>
      <c r="O161" s="229"/>
      <c r="P161" s="229"/>
      <c r="Q161" s="229"/>
      <c r="R161" s="229"/>
      <c r="S161" s="229"/>
      <c r="T161" s="229"/>
      <c r="U161" s="229"/>
      <c r="V161" s="400"/>
      <c r="W161" s="229"/>
      <c r="X161" s="229"/>
      <c r="Y161" s="4"/>
      <c r="Z161" s="4"/>
    </row>
    <row r="162">
      <c r="A162" s="392"/>
      <c r="B162" s="392"/>
      <c r="C162" s="392"/>
      <c r="D162" s="392"/>
      <c r="E162" s="392"/>
      <c r="F162" s="229"/>
      <c r="G162" s="229"/>
      <c r="H162" s="392"/>
      <c r="I162" s="229"/>
      <c r="J162" s="229"/>
      <c r="K162" s="399"/>
      <c r="L162" s="399"/>
      <c r="M162" s="399"/>
      <c r="N162" s="229"/>
      <c r="O162" s="229"/>
      <c r="P162" s="229"/>
      <c r="Q162" s="229"/>
      <c r="R162" s="229"/>
      <c r="S162" s="229"/>
      <c r="T162" s="229"/>
      <c r="U162" s="229"/>
      <c r="V162" s="400"/>
      <c r="W162" s="229"/>
      <c r="X162" s="229"/>
      <c r="Y162" s="4"/>
      <c r="Z162" s="4"/>
    </row>
    <row r="163">
      <c r="A163" s="392"/>
      <c r="B163" s="392"/>
      <c r="C163" s="392"/>
      <c r="D163" s="392"/>
      <c r="E163" s="392"/>
      <c r="F163" s="229"/>
      <c r="G163" s="229"/>
      <c r="H163" s="392"/>
      <c r="I163" s="229"/>
      <c r="J163" s="229"/>
      <c r="K163" s="399"/>
      <c r="L163" s="399"/>
      <c r="M163" s="399"/>
      <c r="N163" s="229"/>
      <c r="O163" s="229"/>
      <c r="P163" s="229"/>
      <c r="Q163" s="229"/>
      <c r="R163" s="229"/>
      <c r="S163" s="229"/>
      <c r="T163" s="229"/>
      <c r="U163" s="229"/>
      <c r="V163" s="400"/>
      <c r="W163" s="229"/>
      <c r="X163" s="229"/>
      <c r="Y163" s="4"/>
      <c r="Z163" s="4"/>
    </row>
    <row r="164">
      <c r="A164" s="392"/>
      <c r="B164" s="392"/>
      <c r="C164" s="392"/>
      <c r="D164" s="392"/>
      <c r="E164" s="392"/>
      <c r="F164" s="229"/>
      <c r="G164" s="229"/>
      <c r="H164" s="392"/>
      <c r="I164" s="229"/>
      <c r="J164" s="229"/>
      <c r="K164" s="399"/>
      <c r="L164" s="399"/>
      <c r="M164" s="399"/>
      <c r="N164" s="229"/>
      <c r="O164" s="229"/>
      <c r="P164" s="229"/>
      <c r="Q164" s="229"/>
      <c r="R164" s="229"/>
      <c r="S164" s="229"/>
      <c r="T164" s="229"/>
      <c r="U164" s="229"/>
      <c r="V164" s="400"/>
      <c r="W164" s="229"/>
      <c r="X164" s="229"/>
      <c r="Y164" s="4"/>
      <c r="Z164" s="4"/>
    </row>
    <row r="165">
      <c r="A165" s="392"/>
      <c r="B165" s="392"/>
      <c r="C165" s="392"/>
      <c r="D165" s="392"/>
      <c r="E165" s="392"/>
      <c r="F165" s="229"/>
      <c r="G165" s="229"/>
      <c r="H165" s="392"/>
      <c r="I165" s="229"/>
      <c r="J165" s="229"/>
      <c r="K165" s="399"/>
      <c r="L165" s="399"/>
      <c r="M165" s="399"/>
      <c r="N165" s="229"/>
      <c r="O165" s="229"/>
      <c r="P165" s="229"/>
      <c r="Q165" s="229"/>
      <c r="R165" s="229"/>
      <c r="S165" s="229"/>
      <c r="T165" s="229"/>
      <c r="U165" s="229"/>
      <c r="V165" s="400"/>
      <c r="W165" s="229"/>
      <c r="X165" s="229"/>
      <c r="Y165" s="4"/>
      <c r="Z165" s="4"/>
    </row>
    <row r="166">
      <c r="A166" s="392"/>
      <c r="B166" s="392"/>
      <c r="C166" s="392"/>
      <c r="D166" s="392"/>
      <c r="E166" s="392"/>
      <c r="F166" s="229"/>
      <c r="G166" s="229"/>
      <c r="H166" s="392"/>
      <c r="I166" s="229"/>
      <c r="J166" s="229"/>
      <c r="K166" s="399"/>
      <c r="L166" s="399"/>
      <c r="M166" s="399"/>
      <c r="N166" s="229"/>
      <c r="O166" s="229"/>
      <c r="P166" s="229"/>
      <c r="Q166" s="229"/>
      <c r="R166" s="229"/>
      <c r="S166" s="229"/>
      <c r="T166" s="229"/>
      <c r="U166" s="229"/>
      <c r="V166" s="400"/>
      <c r="W166" s="229"/>
      <c r="X166" s="229"/>
      <c r="Y166" s="4"/>
      <c r="Z166" s="4"/>
    </row>
    <row r="167">
      <c r="A167" s="392"/>
      <c r="B167" s="392"/>
      <c r="C167" s="392"/>
      <c r="D167" s="392"/>
      <c r="E167" s="392"/>
      <c r="F167" s="229"/>
      <c r="G167" s="229"/>
      <c r="H167" s="392"/>
      <c r="I167" s="229"/>
      <c r="J167" s="229"/>
      <c r="K167" s="399"/>
      <c r="L167" s="399"/>
      <c r="M167" s="399"/>
      <c r="N167" s="229"/>
      <c r="O167" s="229"/>
      <c r="P167" s="229"/>
      <c r="Q167" s="229"/>
      <c r="R167" s="229"/>
      <c r="S167" s="229"/>
      <c r="T167" s="229"/>
      <c r="U167" s="229"/>
      <c r="V167" s="400"/>
      <c r="W167" s="229"/>
      <c r="X167" s="229"/>
      <c r="Y167" s="4"/>
      <c r="Z167" s="4"/>
    </row>
    <row r="168">
      <c r="A168" s="392"/>
      <c r="B168" s="392"/>
      <c r="C168" s="392"/>
      <c r="D168" s="392"/>
      <c r="E168" s="392"/>
      <c r="F168" s="229"/>
      <c r="G168" s="229"/>
      <c r="H168" s="392"/>
      <c r="I168" s="229"/>
      <c r="J168" s="229"/>
      <c r="K168" s="399"/>
      <c r="L168" s="399"/>
      <c r="M168" s="399"/>
      <c r="N168" s="229"/>
      <c r="O168" s="229"/>
      <c r="P168" s="229"/>
      <c r="Q168" s="229"/>
      <c r="R168" s="229"/>
      <c r="S168" s="229"/>
      <c r="T168" s="229"/>
      <c r="U168" s="229"/>
      <c r="V168" s="400"/>
      <c r="W168" s="229"/>
      <c r="X168" s="229"/>
      <c r="Y168" s="4"/>
      <c r="Z168" s="4"/>
    </row>
    <row r="169">
      <c r="A169" s="392"/>
      <c r="B169" s="392"/>
      <c r="C169" s="392"/>
      <c r="D169" s="392"/>
      <c r="E169" s="392"/>
      <c r="F169" s="229"/>
      <c r="G169" s="229"/>
      <c r="H169" s="392"/>
      <c r="I169" s="229"/>
      <c r="J169" s="229"/>
      <c r="K169" s="399"/>
      <c r="L169" s="399"/>
      <c r="M169" s="399"/>
      <c r="N169" s="229"/>
      <c r="O169" s="229"/>
      <c r="P169" s="229"/>
      <c r="Q169" s="229"/>
      <c r="R169" s="229"/>
      <c r="S169" s="229"/>
      <c r="T169" s="229"/>
      <c r="U169" s="229"/>
      <c r="V169" s="400"/>
      <c r="W169" s="229"/>
      <c r="X169" s="229"/>
      <c r="Y169" s="4"/>
      <c r="Z169" s="4"/>
    </row>
    <row r="170">
      <c r="A170" s="392"/>
      <c r="B170" s="392"/>
      <c r="C170" s="392"/>
      <c r="D170" s="392"/>
      <c r="E170" s="392"/>
      <c r="F170" s="229"/>
      <c r="G170" s="229"/>
      <c r="H170" s="392"/>
      <c r="I170" s="229"/>
      <c r="J170" s="229"/>
      <c r="K170" s="399"/>
      <c r="L170" s="399"/>
      <c r="M170" s="399"/>
      <c r="N170" s="229"/>
      <c r="O170" s="229"/>
      <c r="P170" s="229"/>
      <c r="Q170" s="229"/>
      <c r="R170" s="229"/>
      <c r="S170" s="229"/>
      <c r="T170" s="229"/>
      <c r="U170" s="229"/>
      <c r="V170" s="400"/>
      <c r="W170" s="229"/>
      <c r="X170" s="229"/>
      <c r="Y170" s="4"/>
      <c r="Z170" s="4"/>
    </row>
    <row r="171">
      <c r="A171" s="392"/>
      <c r="B171" s="392"/>
      <c r="C171" s="392"/>
      <c r="D171" s="392"/>
      <c r="E171" s="392"/>
      <c r="F171" s="229"/>
      <c r="G171" s="229"/>
      <c r="H171" s="392"/>
      <c r="I171" s="229"/>
      <c r="J171" s="229"/>
      <c r="K171" s="399"/>
      <c r="L171" s="399"/>
      <c r="M171" s="399"/>
      <c r="N171" s="229"/>
      <c r="O171" s="229"/>
      <c r="P171" s="229"/>
      <c r="Q171" s="229"/>
      <c r="R171" s="229"/>
      <c r="S171" s="229"/>
      <c r="T171" s="229"/>
      <c r="U171" s="229"/>
      <c r="V171" s="400"/>
      <c r="W171" s="229"/>
      <c r="X171" s="229"/>
      <c r="Y171" s="4"/>
      <c r="Z171" s="4"/>
    </row>
    <row r="172">
      <c r="A172" s="392"/>
      <c r="B172" s="392"/>
      <c r="C172" s="392"/>
      <c r="D172" s="392"/>
      <c r="E172" s="392"/>
      <c r="F172" s="229"/>
      <c r="G172" s="229"/>
      <c r="H172" s="392"/>
      <c r="I172" s="229"/>
      <c r="J172" s="229"/>
      <c r="K172" s="399"/>
      <c r="L172" s="399"/>
      <c r="M172" s="399"/>
      <c r="N172" s="229"/>
      <c r="O172" s="229"/>
      <c r="P172" s="229"/>
      <c r="Q172" s="229"/>
      <c r="R172" s="229"/>
      <c r="S172" s="229"/>
      <c r="T172" s="229"/>
      <c r="U172" s="229"/>
      <c r="V172" s="400"/>
      <c r="W172" s="229"/>
      <c r="X172" s="229"/>
      <c r="Y172" s="4"/>
      <c r="Z172" s="4"/>
    </row>
    <row r="173">
      <c r="A173" s="392"/>
      <c r="B173" s="392"/>
      <c r="C173" s="392"/>
      <c r="D173" s="392"/>
      <c r="E173" s="392"/>
      <c r="F173" s="229"/>
      <c r="G173" s="229"/>
      <c r="H173" s="392"/>
      <c r="I173" s="229"/>
      <c r="J173" s="229"/>
      <c r="K173" s="399"/>
      <c r="L173" s="399"/>
      <c r="M173" s="399"/>
      <c r="N173" s="229"/>
      <c r="O173" s="229"/>
      <c r="P173" s="229"/>
      <c r="Q173" s="229"/>
      <c r="R173" s="229"/>
      <c r="S173" s="229"/>
      <c r="T173" s="229"/>
      <c r="U173" s="229"/>
      <c r="V173" s="400"/>
      <c r="W173" s="229"/>
      <c r="X173" s="229"/>
      <c r="Y173" s="4"/>
      <c r="Z173" s="4"/>
    </row>
    <row r="174">
      <c r="A174" s="392"/>
      <c r="B174" s="392"/>
      <c r="C174" s="392"/>
      <c r="D174" s="392"/>
      <c r="E174" s="392"/>
      <c r="F174" s="229"/>
      <c r="G174" s="229"/>
      <c r="H174" s="392"/>
      <c r="I174" s="229"/>
      <c r="J174" s="229"/>
      <c r="K174" s="399"/>
      <c r="L174" s="399"/>
      <c r="M174" s="399"/>
      <c r="N174" s="229"/>
      <c r="O174" s="229"/>
      <c r="P174" s="229"/>
      <c r="Q174" s="229"/>
      <c r="R174" s="229"/>
      <c r="S174" s="229"/>
      <c r="T174" s="229"/>
      <c r="U174" s="229"/>
      <c r="V174" s="400"/>
      <c r="W174" s="229"/>
      <c r="X174" s="229"/>
      <c r="Y174" s="4"/>
      <c r="Z174" s="4"/>
    </row>
    <row r="175">
      <c r="A175" s="392"/>
      <c r="B175" s="392"/>
      <c r="C175" s="392"/>
      <c r="D175" s="392"/>
      <c r="E175" s="392"/>
      <c r="F175" s="229"/>
      <c r="G175" s="229"/>
      <c r="H175" s="392"/>
      <c r="I175" s="229"/>
      <c r="J175" s="229"/>
      <c r="K175" s="399"/>
      <c r="L175" s="399"/>
      <c r="M175" s="399"/>
      <c r="N175" s="229"/>
      <c r="O175" s="229"/>
      <c r="P175" s="229"/>
      <c r="Q175" s="229"/>
      <c r="R175" s="229"/>
      <c r="S175" s="229"/>
      <c r="T175" s="229"/>
      <c r="U175" s="229"/>
      <c r="V175" s="400"/>
      <c r="W175" s="229"/>
      <c r="X175" s="229"/>
      <c r="Y175" s="4"/>
      <c r="Z175" s="4"/>
    </row>
    <row r="176">
      <c r="A176" s="392"/>
      <c r="B176" s="392"/>
      <c r="C176" s="392"/>
      <c r="D176" s="392"/>
      <c r="E176" s="392"/>
      <c r="F176" s="229"/>
      <c r="G176" s="229"/>
      <c r="H176" s="392"/>
      <c r="I176" s="229"/>
      <c r="J176" s="229"/>
      <c r="K176" s="399"/>
      <c r="L176" s="399"/>
      <c r="M176" s="399"/>
      <c r="N176" s="229"/>
      <c r="O176" s="229"/>
      <c r="P176" s="229"/>
      <c r="Q176" s="229"/>
      <c r="R176" s="229"/>
      <c r="S176" s="229"/>
      <c r="T176" s="229"/>
      <c r="U176" s="229"/>
      <c r="V176" s="400"/>
      <c r="W176" s="229"/>
      <c r="X176" s="229"/>
      <c r="Y176" s="4"/>
      <c r="Z176" s="4"/>
    </row>
    <row r="177">
      <c r="A177" s="392"/>
      <c r="B177" s="392"/>
      <c r="C177" s="392"/>
      <c r="D177" s="392"/>
      <c r="E177" s="392"/>
      <c r="F177" s="229"/>
      <c r="G177" s="229"/>
      <c r="H177" s="392"/>
      <c r="I177" s="229"/>
      <c r="J177" s="229"/>
      <c r="K177" s="399"/>
      <c r="L177" s="399"/>
      <c r="M177" s="399"/>
      <c r="N177" s="229"/>
      <c r="O177" s="229"/>
      <c r="P177" s="229"/>
      <c r="Q177" s="229"/>
      <c r="R177" s="229"/>
      <c r="S177" s="229"/>
      <c r="T177" s="229"/>
      <c r="U177" s="229"/>
      <c r="V177" s="400"/>
      <c r="W177" s="229"/>
      <c r="X177" s="229"/>
      <c r="Y177" s="4"/>
      <c r="Z177" s="4"/>
    </row>
    <row r="178">
      <c r="A178" s="392"/>
      <c r="B178" s="392"/>
      <c r="C178" s="392"/>
      <c r="D178" s="392"/>
      <c r="E178" s="392"/>
      <c r="F178" s="229"/>
      <c r="G178" s="229"/>
      <c r="H178" s="392"/>
      <c r="I178" s="229"/>
      <c r="J178" s="229"/>
      <c r="K178" s="399"/>
      <c r="L178" s="399"/>
      <c r="M178" s="399"/>
      <c r="N178" s="229"/>
      <c r="O178" s="229"/>
      <c r="P178" s="229"/>
      <c r="Q178" s="229"/>
      <c r="R178" s="229"/>
      <c r="S178" s="229"/>
      <c r="T178" s="229"/>
      <c r="U178" s="229"/>
      <c r="V178" s="400"/>
      <c r="W178" s="229"/>
      <c r="X178" s="229"/>
      <c r="Y178" s="4"/>
      <c r="Z178" s="4"/>
    </row>
    <row r="179">
      <c r="A179" s="392"/>
      <c r="B179" s="392"/>
      <c r="C179" s="392"/>
      <c r="D179" s="392"/>
      <c r="E179" s="392"/>
      <c r="F179" s="229"/>
      <c r="G179" s="229"/>
      <c r="H179" s="392"/>
      <c r="I179" s="229"/>
      <c r="J179" s="229"/>
      <c r="K179" s="399"/>
      <c r="L179" s="399"/>
      <c r="M179" s="399"/>
      <c r="N179" s="229"/>
      <c r="O179" s="229"/>
      <c r="P179" s="229"/>
      <c r="Q179" s="229"/>
      <c r="R179" s="229"/>
      <c r="S179" s="229"/>
      <c r="T179" s="229"/>
      <c r="U179" s="229"/>
      <c r="V179" s="400"/>
      <c r="W179" s="229"/>
      <c r="X179" s="229"/>
      <c r="Y179" s="4"/>
      <c r="Z179" s="4"/>
    </row>
    <row r="180">
      <c r="A180" s="392"/>
      <c r="B180" s="392"/>
      <c r="C180" s="392"/>
      <c r="D180" s="392"/>
      <c r="E180" s="392"/>
      <c r="F180" s="229"/>
      <c r="G180" s="229"/>
      <c r="H180" s="392"/>
      <c r="I180" s="229"/>
      <c r="J180" s="229"/>
      <c r="K180" s="399"/>
      <c r="L180" s="399"/>
      <c r="M180" s="399"/>
      <c r="N180" s="229"/>
      <c r="O180" s="229"/>
      <c r="P180" s="229"/>
      <c r="Q180" s="229"/>
      <c r="R180" s="229"/>
      <c r="S180" s="229"/>
      <c r="T180" s="229"/>
      <c r="U180" s="229"/>
      <c r="V180" s="400"/>
      <c r="W180" s="229"/>
      <c r="X180" s="229"/>
      <c r="Y180" s="4"/>
      <c r="Z180" s="4"/>
    </row>
    <row r="181">
      <c r="A181" s="392"/>
      <c r="B181" s="392"/>
      <c r="C181" s="392"/>
      <c r="D181" s="392"/>
      <c r="E181" s="392"/>
      <c r="F181" s="229"/>
      <c r="G181" s="229"/>
      <c r="H181" s="392"/>
      <c r="I181" s="229"/>
      <c r="J181" s="229"/>
      <c r="K181" s="399"/>
      <c r="L181" s="399"/>
      <c r="M181" s="399"/>
      <c r="N181" s="229"/>
      <c r="O181" s="229"/>
      <c r="P181" s="229"/>
      <c r="Q181" s="229"/>
      <c r="R181" s="229"/>
      <c r="S181" s="229"/>
      <c r="T181" s="229"/>
      <c r="U181" s="229"/>
      <c r="V181" s="400"/>
      <c r="W181" s="229"/>
      <c r="X181" s="229"/>
      <c r="Y181" s="4"/>
      <c r="Z181" s="4"/>
    </row>
    <row r="182">
      <c r="A182" s="392"/>
      <c r="B182" s="392"/>
      <c r="C182" s="392"/>
      <c r="D182" s="392"/>
      <c r="E182" s="392"/>
      <c r="F182" s="229"/>
      <c r="G182" s="229"/>
      <c r="H182" s="392"/>
      <c r="I182" s="229"/>
      <c r="J182" s="229"/>
      <c r="K182" s="399"/>
      <c r="L182" s="399"/>
      <c r="M182" s="399"/>
      <c r="N182" s="229"/>
      <c r="O182" s="229"/>
      <c r="P182" s="229"/>
      <c r="Q182" s="229"/>
      <c r="R182" s="229"/>
      <c r="S182" s="229"/>
      <c r="T182" s="229"/>
      <c r="U182" s="229"/>
      <c r="V182" s="400"/>
      <c r="W182" s="229"/>
      <c r="X182" s="229"/>
      <c r="Y182" s="4"/>
      <c r="Z182" s="4"/>
    </row>
    <row r="183">
      <c r="A183" s="392"/>
      <c r="B183" s="392"/>
      <c r="C183" s="392"/>
      <c r="D183" s="392"/>
      <c r="E183" s="392"/>
      <c r="F183" s="229"/>
      <c r="G183" s="229"/>
      <c r="H183" s="392"/>
      <c r="I183" s="229"/>
      <c r="J183" s="229"/>
      <c r="K183" s="399"/>
      <c r="L183" s="399"/>
      <c r="M183" s="399"/>
      <c r="N183" s="229"/>
      <c r="O183" s="229"/>
      <c r="P183" s="229"/>
      <c r="Q183" s="229"/>
      <c r="R183" s="229"/>
      <c r="S183" s="229"/>
      <c r="T183" s="229"/>
      <c r="U183" s="229"/>
      <c r="V183" s="400"/>
      <c r="W183" s="229"/>
      <c r="X183" s="229"/>
      <c r="Y183" s="4"/>
      <c r="Z183" s="4"/>
    </row>
    <row r="184">
      <c r="A184" s="392"/>
      <c r="B184" s="392"/>
      <c r="C184" s="392"/>
      <c r="D184" s="392"/>
      <c r="E184" s="392"/>
      <c r="F184" s="229"/>
      <c r="G184" s="229"/>
      <c r="H184" s="392"/>
      <c r="I184" s="229"/>
      <c r="J184" s="229"/>
      <c r="K184" s="399"/>
      <c r="L184" s="399"/>
      <c r="M184" s="399"/>
      <c r="N184" s="229"/>
      <c r="O184" s="229"/>
      <c r="P184" s="229"/>
      <c r="Q184" s="229"/>
      <c r="R184" s="229"/>
      <c r="S184" s="229"/>
      <c r="T184" s="229"/>
      <c r="U184" s="229"/>
      <c r="V184" s="400"/>
      <c r="W184" s="229"/>
      <c r="X184" s="229"/>
      <c r="Y184" s="4"/>
      <c r="Z184" s="4"/>
    </row>
    <row r="185">
      <c r="A185" s="392"/>
      <c r="B185" s="392"/>
      <c r="C185" s="392"/>
      <c r="D185" s="392"/>
      <c r="E185" s="392"/>
      <c r="F185" s="229"/>
      <c r="G185" s="229"/>
      <c r="H185" s="392"/>
      <c r="I185" s="229"/>
      <c r="J185" s="229"/>
      <c r="K185" s="399"/>
      <c r="L185" s="399"/>
      <c r="M185" s="399"/>
      <c r="N185" s="229"/>
      <c r="O185" s="229"/>
      <c r="P185" s="229"/>
      <c r="Q185" s="229"/>
      <c r="R185" s="229"/>
      <c r="S185" s="229"/>
      <c r="T185" s="229"/>
      <c r="U185" s="229"/>
      <c r="V185" s="400"/>
      <c r="W185" s="229"/>
      <c r="X185" s="229"/>
      <c r="Y185" s="4"/>
      <c r="Z185" s="4"/>
    </row>
    <row r="186">
      <c r="A186" s="392"/>
      <c r="B186" s="392"/>
      <c r="C186" s="392"/>
      <c r="D186" s="392"/>
      <c r="E186" s="392"/>
      <c r="F186" s="229"/>
      <c r="G186" s="229"/>
      <c r="H186" s="392"/>
      <c r="I186" s="229"/>
      <c r="J186" s="229"/>
      <c r="K186" s="399"/>
      <c r="L186" s="399"/>
      <c r="M186" s="399"/>
      <c r="N186" s="229"/>
      <c r="O186" s="229"/>
      <c r="P186" s="229"/>
      <c r="Q186" s="229"/>
      <c r="R186" s="229"/>
      <c r="S186" s="229"/>
      <c r="T186" s="229"/>
      <c r="U186" s="229"/>
      <c r="V186" s="400"/>
      <c r="W186" s="229"/>
      <c r="X186" s="229"/>
      <c r="Y186" s="4"/>
      <c r="Z186" s="4"/>
    </row>
    <row r="187">
      <c r="A187" s="392"/>
      <c r="B187" s="392"/>
      <c r="C187" s="392"/>
      <c r="D187" s="392"/>
      <c r="E187" s="392"/>
      <c r="F187" s="229"/>
      <c r="G187" s="229"/>
      <c r="H187" s="392"/>
      <c r="I187" s="229"/>
      <c r="J187" s="229"/>
      <c r="K187" s="399"/>
      <c r="L187" s="399"/>
      <c r="M187" s="399"/>
      <c r="N187" s="229"/>
      <c r="O187" s="229"/>
      <c r="P187" s="229"/>
      <c r="Q187" s="229"/>
      <c r="R187" s="229"/>
      <c r="S187" s="229"/>
      <c r="T187" s="229"/>
      <c r="U187" s="229"/>
      <c r="V187" s="400"/>
      <c r="W187" s="229"/>
      <c r="X187" s="229"/>
      <c r="Y187" s="4"/>
      <c r="Z187" s="4"/>
    </row>
    <row r="188">
      <c r="A188" s="392"/>
      <c r="B188" s="392"/>
      <c r="C188" s="392"/>
      <c r="D188" s="392"/>
      <c r="E188" s="392"/>
      <c r="F188" s="229"/>
      <c r="G188" s="229"/>
      <c r="H188" s="392"/>
      <c r="I188" s="229"/>
      <c r="J188" s="229"/>
      <c r="K188" s="399"/>
      <c r="L188" s="399"/>
      <c r="M188" s="399"/>
      <c r="N188" s="229"/>
      <c r="O188" s="229"/>
      <c r="P188" s="229"/>
      <c r="Q188" s="229"/>
      <c r="R188" s="229"/>
      <c r="S188" s="229"/>
      <c r="T188" s="229"/>
      <c r="U188" s="229"/>
      <c r="V188" s="400"/>
      <c r="W188" s="229"/>
      <c r="X188" s="229"/>
      <c r="Y188" s="4"/>
      <c r="Z188" s="4"/>
    </row>
    <row r="189">
      <c r="A189" s="392"/>
      <c r="B189" s="392"/>
      <c r="C189" s="392"/>
      <c r="D189" s="392"/>
      <c r="E189" s="392"/>
      <c r="F189" s="229"/>
      <c r="G189" s="229"/>
      <c r="H189" s="392"/>
      <c r="I189" s="229"/>
      <c r="J189" s="229"/>
      <c r="K189" s="399"/>
      <c r="L189" s="399"/>
      <c r="M189" s="399"/>
      <c r="N189" s="229"/>
      <c r="O189" s="229"/>
      <c r="P189" s="229"/>
      <c r="Q189" s="229"/>
      <c r="R189" s="229"/>
      <c r="S189" s="229"/>
      <c r="T189" s="229"/>
      <c r="U189" s="229"/>
      <c r="V189" s="400"/>
      <c r="W189" s="229"/>
      <c r="X189" s="229"/>
      <c r="Y189" s="4"/>
      <c r="Z189" s="4"/>
    </row>
    <row r="190">
      <c r="A190" s="392"/>
      <c r="B190" s="392"/>
      <c r="C190" s="392"/>
      <c r="D190" s="392"/>
      <c r="E190" s="392"/>
      <c r="F190" s="229"/>
      <c r="G190" s="229"/>
      <c r="H190" s="392"/>
      <c r="I190" s="229"/>
      <c r="J190" s="229"/>
      <c r="K190" s="399"/>
      <c r="L190" s="399"/>
      <c r="M190" s="399"/>
      <c r="N190" s="229"/>
      <c r="O190" s="229"/>
      <c r="P190" s="229"/>
      <c r="Q190" s="229"/>
      <c r="R190" s="229"/>
      <c r="S190" s="229"/>
      <c r="T190" s="229"/>
      <c r="U190" s="229"/>
      <c r="V190" s="400"/>
      <c r="W190" s="229"/>
      <c r="X190" s="229"/>
      <c r="Y190" s="4"/>
      <c r="Z190" s="4"/>
    </row>
    <row r="191">
      <c r="A191" s="392"/>
      <c r="B191" s="392"/>
      <c r="C191" s="392"/>
      <c r="D191" s="392"/>
      <c r="E191" s="392"/>
      <c r="F191" s="229"/>
      <c r="G191" s="229"/>
      <c r="H191" s="392"/>
      <c r="I191" s="229"/>
      <c r="J191" s="229"/>
      <c r="K191" s="399"/>
      <c r="L191" s="399"/>
      <c r="M191" s="399"/>
      <c r="N191" s="229"/>
      <c r="O191" s="229"/>
      <c r="P191" s="229"/>
      <c r="Q191" s="229"/>
      <c r="R191" s="229"/>
      <c r="S191" s="229"/>
      <c r="T191" s="229"/>
      <c r="U191" s="229"/>
      <c r="V191" s="400"/>
      <c r="W191" s="229"/>
      <c r="X191" s="229"/>
      <c r="Y191" s="4"/>
      <c r="Z191" s="4"/>
    </row>
    <row r="192">
      <c r="A192" s="392"/>
      <c r="B192" s="392"/>
      <c r="C192" s="392"/>
      <c r="D192" s="392"/>
      <c r="E192" s="392"/>
      <c r="F192" s="229"/>
      <c r="G192" s="229"/>
      <c r="H192" s="392"/>
      <c r="I192" s="229"/>
      <c r="J192" s="229"/>
      <c r="K192" s="399"/>
      <c r="L192" s="399"/>
      <c r="M192" s="399"/>
      <c r="N192" s="229"/>
      <c r="O192" s="229"/>
      <c r="P192" s="229"/>
      <c r="Q192" s="229"/>
      <c r="R192" s="229"/>
      <c r="S192" s="229"/>
      <c r="T192" s="229"/>
      <c r="U192" s="229"/>
      <c r="V192" s="400"/>
      <c r="W192" s="229"/>
      <c r="X192" s="229"/>
      <c r="Y192" s="4"/>
      <c r="Z192" s="4"/>
    </row>
    <row r="193">
      <c r="A193" s="392"/>
      <c r="B193" s="392"/>
      <c r="C193" s="392"/>
      <c r="D193" s="392"/>
      <c r="E193" s="392"/>
      <c r="F193" s="229"/>
      <c r="G193" s="229"/>
      <c r="H193" s="392"/>
      <c r="I193" s="229"/>
      <c r="J193" s="229"/>
      <c r="K193" s="399"/>
      <c r="L193" s="399"/>
      <c r="M193" s="399"/>
      <c r="N193" s="229"/>
      <c r="O193" s="229"/>
      <c r="P193" s="229"/>
      <c r="Q193" s="229"/>
      <c r="R193" s="229"/>
      <c r="S193" s="229"/>
      <c r="T193" s="229"/>
      <c r="U193" s="229"/>
      <c r="V193" s="400"/>
      <c r="W193" s="229"/>
      <c r="X193" s="229"/>
      <c r="Y193" s="4"/>
      <c r="Z193" s="4"/>
    </row>
    <row r="194">
      <c r="A194" s="392"/>
      <c r="B194" s="392"/>
      <c r="C194" s="392"/>
      <c r="D194" s="392"/>
      <c r="E194" s="392"/>
      <c r="F194" s="229"/>
      <c r="G194" s="229"/>
      <c r="H194" s="392"/>
      <c r="I194" s="229"/>
      <c r="J194" s="229"/>
      <c r="K194" s="399"/>
      <c r="L194" s="399"/>
      <c r="M194" s="399"/>
      <c r="N194" s="229"/>
      <c r="O194" s="229"/>
      <c r="P194" s="229"/>
      <c r="Q194" s="229"/>
      <c r="R194" s="229"/>
      <c r="S194" s="229"/>
      <c r="T194" s="229"/>
      <c r="U194" s="229"/>
      <c r="V194" s="400"/>
      <c r="W194" s="229"/>
      <c r="X194" s="229"/>
      <c r="Y194" s="4"/>
      <c r="Z194" s="4"/>
    </row>
    <row r="195">
      <c r="A195" s="392"/>
      <c r="B195" s="392"/>
      <c r="C195" s="392"/>
      <c r="D195" s="392"/>
      <c r="E195" s="392"/>
      <c r="F195" s="229"/>
      <c r="G195" s="229"/>
      <c r="H195" s="392"/>
      <c r="I195" s="229"/>
      <c r="J195" s="229"/>
      <c r="K195" s="399"/>
      <c r="L195" s="399"/>
      <c r="M195" s="399"/>
      <c r="N195" s="229"/>
      <c r="O195" s="229"/>
      <c r="P195" s="229"/>
      <c r="Q195" s="229"/>
      <c r="R195" s="229"/>
      <c r="S195" s="229"/>
      <c r="T195" s="229"/>
      <c r="U195" s="229"/>
      <c r="V195" s="400"/>
      <c r="W195" s="229"/>
      <c r="X195" s="229"/>
      <c r="Y195" s="4"/>
      <c r="Z195" s="4"/>
    </row>
    <row r="196">
      <c r="A196" s="392"/>
      <c r="B196" s="392"/>
      <c r="C196" s="392"/>
      <c r="D196" s="392"/>
      <c r="E196" s="392"/>
      <c r="F196" s="229"/>
      <c r="G196" s="229"/>
      <c r="H196" s="392"/>
      <c r="I196" s="229"/>
      <c r="J196" s="229"/>
      <c r="K196" s="399"/>
      <c r="L196" s="399"/>
      <c r="M196" s="399"/>
      <c r="N196" s="229"/>
      <c r="O196" s="229"/>
      <c r="P196" s="229"/>
      <c r="Q196" s="229"/>
      <c r="R196" s="229"/>
      <c r="S196" s="229"/>
      <c r="T196" s="229"/>
      <c r="U196" s="229"/>
      <c r="V196" s="400"/>
      <c r="W196" s="229"/>
      <c r="X196" s="229"/>
      <c r="Y196" s="4"/>
      <c r="Z196" s="4"/>
    </row>
    <row r="197">
      <c r="A197" s="392"/>
      <c r="B197" s="392"/>
      <c r="C197" s="392"/>
      <c r="D197" s="392"/>
      <c r="E197" s="392"/>
      <c r="F197" s="229"/>
      <c r="G197" s="229"/>
      <c r="H197" s="392"/>
      <c r="I197" s="229"/>
      <c r="J197" s="229"/>
      <c r="K197" s="399"/>
      <c r="L197" s="399"/>
      <c r="M197" s="399"/>
      <c r="N197" s="229"/>
      <c r="O197" s="229"/>
      <c r="P197" s="229"/>
      <c r="Q197" s="229"/>
      <c r="R197" s="229"/>
      <c r="S197" s="229"/>
      <c r="T197" s="229"/>
      <c r="U197" s="229"/>
      <c r="V197" s="400"/>
      <c r="W197" s="229"/>
      <c r="X197" s="229"/>
      <c r="Y197" s="4"/>
      <c r="Z197" s="4"/>
    </row>
    <row r="198">
      <c r="A198" s="392"/>
      <c r="B198" s="392"/>
      <c r="C198" s="392"/>
      <c r="D198" s="392"/>
      <c r="E198" s="392"/>
      <c r="F198" s="229"/>
      <c r="G198" s="229"/>
      <c r="H198" s="392"/>
      <c r="I198" s="229"/>
      <c r="J198" s="229"/>
      <c r="K198" s="399"/>
      <c r="L198" s="399"/>
      <c r="M198" s="399"/>
      <c r="N198" s="229"/>
      <c r="O198" s="229"/>
      <c r="P198" s="229"/>
      <c r="Q198" s="229"/>
      <c r="R198" s="229"/>
      <c r="S198" s="229"/>
      <c r="T198" s="229"/>
      <c r="U198" s="229"/>
      <c r="V198" s="400"/>
      <c r="W198" s="229"/>
      <c r="X198" s="229"/>
      <c r="Y198" s="4"/>
      <c r="Z198" s="4"/>
    </row>
    <row r="199">
      <c r="A199" s="392"/>
      <c r="B199" s="392"/>
      <c r="C199" s="392"/>
      <c r="D199" s="392"/>
      <c r="E199" s="392"/>
      <c r="F199" s="229"/>
      <c r="G199" s="229"/>
      <c r="H199" s="392"/>
      <c r="I199" s="229"/>
      <c r="J199" s="229"/>
      <c r="K199" s="399"/>
      <c r="L199" s="399"/>
      <c r="M199" s="399"/>
      <c r="N199" s="229"/>
      <c r="O199" s="229"/>
      <c r="P199" s="229"/>
      <c r="Q199" s="229"/>
      <c r="R199" s="229"/>
      <c r="S199" s="229"/>
      <c r="T199" s="229"/>
      <c r="U199" s="229"/>
      <c r="V199" s="400"/>
      <c r="W199" s="229"/>
      <c r="X199" s="229"/>
      <c r="Y199" s="4"/>
      <c r="Z199" s="4"/>
    </row>
    <row r="200">
      <c r="A200" s="392"/>
      <c r="B200" s="392"/>
      <c r="C200" s="392"/>
      <c r="D200" s="392"/>
      <c r="E200" s="392"/>
      <c r="F200" s="229"/>
      <c r="G200" s="229"/>
      <c r="H200" s="392"/>
      <c r="I200" s="229"/>
      <c r="J200" s="229"/>
      <c r="K200" s="399"/>
      <c r="L200" s="399"/>
      <c r="M200" s="399"/>
      <c r="N200" s="229"/>
      <c r="O200" s="229"/>
      <c r="P200" s="229"/>
      <c r="Q200" s="229"/>
      <c r="R200" s="229"/>
      <c r="S200" s="229"/>
      <c r="T200" s="229"/>
      <c r="U200" s="229"/>
      <c r="V200" s="400"/>
      <c r="W200" s="229"/>
      <c r="X200" s="229"/>
      <c r="Y200" s="4"/>
      <c r="Z200" s="4"/>
    </row>
    <row r="201">
      <c r="A201" s="392"/>
      <c r="B201" s="392"/>
      <c r="C201" s="392"/>
      <c r="D201" s="392"/>
      <c r="E201" s="392"/>
      <c r="F201" s="229"/>
      <c r="G201" s="229"/>
      <c r="H201" s="392"/>
      <c r="I201" s="229"/>
      <c r="J201" s="229"/>
      <c r="K201" s="399"/>
      <c r="L201" s="399"/>
      <c r="M201" s="399"/>
      <c r="N201" s="229"/>
      <c r="O201" s="229"/>
      <c r="P201" s="229"/>
      <c r="Q201" s="229"/>
      <c r="R201" s="229"/>
      <c r="S201" s="229"/>
      <c r="T201" s="229"/>
      <c r="U201" s="229"/>
      <c r="V201" s="400"/>
      <c r="W201" s="229"/>
      <c r="X201" s="229"/>
      <c r="Y201" s="4"/>
      <c r="Z201" s="4"/>
    </row>
    <row r="202">
      <c r="A202" s="392"/>
      <c r="B202" s="392"/>
      <c r="C202" s="392"/>
      <c r="D202" s="392"/>
      <c r="E202" s="392"/>
      <c r="F202" s="229"/>
      <c r="G202" s="229"/>
      <c r="H202" s="392"/>
      <c r="I202" s="229"/>
      <c r="J202" s="229"/>
      <c r="K202" s="399"/>
      <c r="L202" s="399"/>
      <c r="M202" s="399"/>
      <c r="N202" s="229"/>
      <c r="O202" s="229"/>
      <c r="P202" s="229"/>
      <c r="Q202" s="229"/>
      <c r="R202" s="229"/>
      <c r="S202" s="229"/>
      <c r="T202" s="229"/>
      <c r="U202" s="229"/>
      <c r="V202" s="400"/>
      <c r="W202" s="229"/>
      <c r="X202" s="229"/>
      <c r="Y202" s="4"/>
      <c r="Z202" s="4"/>
    </row>
    <row r="203">
      <c r="A203" s="392"/>
      <c r="B203" s="392"/>
      <c r="C203" s="392"/>
      <c r="D203" s="392"/>
      <c r="E203" s="392"/>
      <c r="F203" s="229"/>
      <c r="G203" s="229"/>
      <c r="H203" s="392"/>
      <c r="I203" s="229"/>
      <c r="J203" s="229"/>
      <c r="K203" s="399"/>
      <c r="L203" s="399"/>
      <c r="M203" s="399"/>
      <c r="N203" s="229"/>
      <c r="O203" s="229"/>
      <c r="P203" s="229"/>
      <c r="Q203" s="229"/>
      <c r="R203" s="229"/>
      <c r="S203" s="229"/>
      <c r="T203" s="229"/>
      <c r="U203" s="229"/>
      <c r="V203" s="400"/>
      <c r="W203" s="229"/>
      <c r="X203" s="229"/>
      <c r="Y203" s="4"/>
      <c r="Z203" s="4"/>
    </row>
    <row r="204">
      <c r="A204" s="392"/>
      <c r="B204" s="392"/>
      <c r="C204" s="392"/>
      <c r="D204" s="392"/>
      <c r="E204" s="392"/>
      <c r="F204" s="229"/>
      <c r="G204" s="229"/>
      <c r="H204" s="392"/>
      <c r="I204" s="229"/>
      <c r="J204" s="229"/>
      <c r="K204" s="399"/>
      <c r="L204" s="399"/>
      <c r="M204" s="399"/>
      <c r="N204" s="229"/>
      <c r="O204" s="229"/>
      <c r="P204" s="229"/>
      <c r="Q204" s="229"/>
      <c r="R204" s="229"/>
      <c r="S204" s="229"/>
      <c r="T204" s="229"/>
      <c r="U204" s="229"/>
      <c r="V204" s="400"/>
      <c r="W204" s="229"/>
      <c r="X204" s="229"/>
      <c r="Y204" s="4"/>
      <c r="Z204" s="4"/>
    </row>
    <row r="205">
      <c r="A205" s="392"/>
      <c r="B205" s="392"/>
      <c r="C205" s="392"/>
      <c r="D205" s="392"/>
      <c r="E205" s="392"/>
      <c r="F205" s="229"/>
      <c r="G205" s="229"/>
      <c r="H205" s="392"/>
      <c r="I205" s="229"/>
      <c r="J205" s="229"/>
      <c r="K205" s="399"/>
      <c r="L205" s="399"/>
      <c r="M205" s="399"/>
      <c r="N205" s="229"/>
      <c r="O205" s="229"/>
      <c r="P205" s="229"/>
      <c r="Q205" s="229"/>
      <c r="R205" s="229"/>
      <c r="S205" s="229"/>
      <c r="T205" s="229"/>
      <c r="U205" s="229"/>
      <c r="V205" s="400"/>
      <c r="W205" s="229"/>
      <c r="X205" s="229"/>
      <c r="Y205" s="4"/>
      <c r="Z205" s="4"/>
    </row>
    <row r="206">
      <c r="A206" s="392"/>
      <c r="B206" s="392"/>
      <c r="C206" s="392"/>
      <c r="D206" s="392"/>
      <c r="E206" s="392"/>
      <c r="F206" s="229"/>
      <c r="G206" s="229"/>
      <c r="H206" s="392"/>
      <c r="I206" s="229"/>
      <c r="J206" s="229"/>
      <c r="K206" s="399"/>
      <c r="L206" s="399"/>
      <c r="M206" s="399"/>
      <c r="N206" s="229"/>
      <c r="O206" s="229"/>
      <c r="P206" s="229"/>
      <c r="Q206" s="229"/>
      <c r="R206" s="229"/>
      <c r="S206" s="229"/>
      <c r="T206" s="229"/>
      <c r="U206" s="229"/>
      <c r="V206" s="400"/>
      <c r="W206" s="229"/>
      <c r="X206" s="229"/>
      <c r="Y206" s="4"/>
      <c r="Z206" s="4"/>
    </row>
    <row r="207">
      <c r="A207" s="392"/>
      <c r="B207" s="392"/>
      <c r="C207" s="392"/>
      <c r="D207" s="392"/>
      <c r="E207" s="392"/>
      <c r="F207" s="229"/>
      <c r="G207" s="229"/>
      <c r="H207" s="392"/>
      <c r="I207" s="229"/>
      <c r="J207" s="229"/>
      <c r="K207" s="399"/>
      <c r="L207" s="399"/>
      <c r="M207" s="399"/>
      <c r="N207" s="229"/>
      <c r="O207" s="229"/>
      <c r="P207" s="229"/>
      <c r="Q207" s="229"/>
      <c r="R207" s="229"/>
      <c r="S207" s="229"/>
      <c r="T207" s="229"/>
      <c r="U207" s="229"/>
      <c r="V207" s="400"/>
      <c r="W207" s="229"/>
      <c r="X207" s="229"/>
      <c r="Y207" s="4"/>
      <c r="Z207" s="4"/>
    </row>
    <row r="208">
      <c r="A208" s="392"/>
      <c r="B208" s="392"/>
      <c r="C208" s="392"/>
      <c r="D208" s="392"/>
      <c r="E208" s="392"/>
      <c r="F208" s="229"/>
      <c r="G208" s="229"/>
      <c r="H208" s="392"/>
      <c r="I208" s="229"/>
      <c r="J208" s="229"/>
      <c r="K208" s="399"/>
      <c r="L208" s="399"/>
      <c r="M208" s="399"/>
      <c r="N208" s="229"/>
      <c r="O208" s="229"/>
      <c r="P208" s="229"/>
      <c r="Q208" s="229"/>
      <c r="R208" s="229"/>
      <c r="S208" s="229"/>
      <c r="T208" s="229"/>
      <c r="U208" s="229"/>
      <c r="V208" s="400"/>
      <c r="W208" s="229"/>
      <c r="X208" s="229"/>
      <c r="Y208" s="4"/>
      <c r="Z208" s="4"/>
    </row>
    <row r="209">
      <c r="A209" s="392"/>
      <c r="B209" s="392"/>
      <c r="C209" s="392"/>
      <c r="D209" s="392"/>
      <c r="E209" s="392"/>
      <c r="F209" s="229"/>
      <c r="G209" s="229"/>
      <c r="H209" s="392"/>
      <c r="I209" s="229"/>
      <c r="J209" s="229"/>
      <c r="K209" s="399"/>
      <c r="L209" s="399"/>
      <c r="M209" s="399"/>
      <c r="N209" s="229"/>
      <c r="O209" s="229"/>
      <c r="P209" s="229"/>
      <c r="Q209" s="229"/>
      <c r="R209" s="229"/>
      <c r="S209" s="229"/>
      <c r="T209" s="229"/>
      <c r="U209" s="229"/>
      <c r="V209" s="400"/>
      <c r="W209" s="229"/>
      <c r="X209" s="229"/>
      <c r="Y209" s="4"/>
      <c r="Z209" s="4"/>
    </row>
    <row r="210">
      <c r="A210" s="392"/>
      <c r="B210" s="392"/>
      <c r="C210" s="392"/>
      <c r="D210" s="392"/>
      <c r="E210" s="392"/>
      <c r="F210" s="229"/>
      <c r="G210" s="229"/>
      <c r="H210" s="392"/>
      <c r="I210" s="229"/>
      <c r="J210" s="229"/>
      <c r="K210" s="399"/>
      <c r="L210" s="399"/>
      <c r="M210" s="399"/>
      <c r="N210" s="229"/>
      <c r="O210" s="229"/>
      <c r="P210" s="229"/>
      <c r="Q210" s="229"/>
      <c r="R210" s="229"/>
      <c r="S210" s="229"/>
      <c r="T210" s="229"/>
      <c r="U210" s="229"/>
      <c r="V210" s="400"/>
      <c r="W210" s="229"/>
      <c r="X210" s="229"/>
      <c r="Y210" s="4"/>
      <c r="Z210" s="4"/>
    </row>
    <row r="211">
      <c r="A211" s="392"/>
      <c r="B211" s="392"/>
      <c r="C211" s="392"/>
      <c r="D211" s="392"/>
      <c r="E211" s="392"/>
      <c r="F211" s="229"/>
      <c r="G211" s="229"/>
      <c r="H211" s="392"/>
      <c r="I211" s="229"/>
      <c r="J211" s="229"/>
      <c r="K211" s="399"/>
      <c r="L211" s="399"/>
      <c r="M211" s="399"/>
      <c r="N211" s="229"/>
      <c r="O211" s="229"/>
      <c r="P211" s="229"/>
      <c r="Q211" s="229"/>
      <c r="R211" s="229"/>
      <c r="S211" s="229"/>
      <c r="T211" s="229"/>
      <c r="U211" s="229"/>
      <c r="V211" s="400"/>
      <c r="W211" s="229"/>
      <c r="X211" s="229"/>
      <c r="Y211" s="4"/>
      <c r="Z211" s="4"/>
    </row>
    <row r="212">
      <c r="A212" s="392"/>
      <c r="B212" s="392"/>
      <c r="C212" s="392"/>
      <c r="D212" s="392"/>
      <c r="E212" s="392"/>
      <c r="F212" s="229"/>
      <c r="G212" s="229"/>
      <c r="H212" s="392"/>
      <c r="I212" s="229"/>
      <c r="J212" s="229"/>
      <c r="K212" s="399"/>
      <c r="L212" s="399"/>
      <c r="M212" s="399"/>
      <c r="N212" s="229"/>
      <c r="O212" s="229"/>
      <c r="P212" s="229"/>
      <c r="Q212" s="229"/>
      <c r="R212" s="229"/>
      <c r="S212" s="229"/>
      <c r="T212" s="229"/>
      <c r="U212" s="229"/>
      <c r="V212" s="400"/>
      <c r="W212" s="229"/>
      <c r="X212" s="229"/>
      <c r="Y212" s="4"/>
      <c r="Z212" s="4"/>
    </row>
    <row r="213">
      <c r="A213" s="392"/>
      <c r="B213" s="392"/>
      <c r="C213" s="392"/>
      <c r="D213" s="392"/>
      <c r="E213" s="392"/>
      <c r="F213" s="229"/>
      <c r="G213" s="229"/>
      <c r="H213" s="392"/>
      <c r="I213" s="229"/>
      <c r="J213" s="229"/>
      <c r="K213" s="399"/>
      <c r="L213" s="399"/>
      <c r="M213" s="399"/>
      <c r="N213" s="229"/>
      <c r="O213" s="229"/>
      <c r="P213" s="229"/>
      <c r="Q213" s="229"/>
      <c r="R213" s="229"/>
      <c r="S213" s="229"/>
      <c r="T213" s="229"/>
      <c r="U213" s="229"/>
      <c r="V213" s="400"/>
      <c r="W213" s="229"/>
      <c r="X213" s="229"/>
      <c r="Y213" s="4"/>
      <c r="Z213" s="4"/>
    </row>
    <row r="214">
      <c r="A214" s="392"/>
      <c r="B214" s="392"/>
      <c r="C214" s="392"/>
      <c r="D214" s="392"/>
      <c r="E214" s="392"/>
      <c r="F214" s="229"/>
      <c r="G214" s="229"/>
      <c r="H214" s="392"/>
      <c r="I214" s="229"/>
      <c r="J214" s="229"/>
      <c r="K214" s="399"/>
      <c r="L214" s="399"/>
      <c r="M214" s="399"/>
      <c r="N214" s="229"/>
      <c r="O214" s="229"/>
      <c r="P214" s="229"/>
      <c r="Q214" s="229"/>
      <c r="R214" s="229"/>
      <c r="S214" s="229"/>
      <c r="T214" s="229"/>
      <c r="U214" s="229"/>
      <c r="V214" s="400"/>
      <c r="W214" s="229"/>
      <c r="X214" s="229"/>
      <c r="Y214" s="4"/>
      <c r="Z214" s="4"/>
    </row>
    <row r="215">
      <c r="A215" s="392"/>
      <c r="B215" s="392"/>
      <c r="C215" s="392"/>
      <c r="D215" s="392"/>
      <c r="E215" s="392"/>
      <c r="F215" s="229"/>
      <c r="G215" s="229"/>
      <c r="H215" s="392"/>
      <c r="I215" s="229"/>
      <c r="J215" s="229"/>
      <c r="K215" s="399"/>
      <c r="L215" s="399"/>
      <c r="M215" s="399"/>
      <c r="N215" s="229"/>
      <c r="O215" s="229"/>
      <c r="P215" s="229"/>
      <c r="Q215" s="229"/>
      <c r="R215" s="229"/>
      <c r="S215" s="229"/>
      <c r="T215" s="229"/>
      <c r="U215" s="229"/>
      <c r="V215" s="400"/>
      <c r="W215" s="229"/>
      <c r="X215" s="229"/>
      <c r="Y215" s="4"/>
      <c r="Z215" s="4"/>
    </row>
    <row r="216">
      <c r="A216" s="392"/>
      <c r="B216" s="392"/>
      <c r="C216" s="392"/>
      <c r="D216" s="392"/>
      <c r="E216" s="392"/>
      <c r="F216" s="229"/>
      <c r="G216" s="229"/>
      <c r="H216" s="392"/>
      <c r="I216" s="229"/>
      <c r="J216" s="229"/>
      <c r="K216" s="399"/>
      <c r="L216" s="399"/>
      <c r="M216" s="399"/>
      <c r="N216" s="229"/>
      <c r="O216" s="229"/>
      <c r="P216" s="229"/>
      <c r="Q216" s="229"/>
      <c r="R216" s="229"/>
      <c r="S216" s="229"/>
      <c r="T216" s="229"/>
      <c r="U216" s="229"/>
      <c r="V216" s="400"/>
      <c r="W216" s="229"/>
      <c r="X216" s="229"/>
      <c r="Y216" s="4"/>
      <c r="Z216" s="4"/>
    </row>
    <row r="217">
      <c r="A217" s="392"/>
      <c r="B217" s="392"/>
      <c r="C217" s="392"/>
      <c r="D217" s="392"/>
      <c r="E217" s="392"/>
      <c r="F217" s="229"/>
      <c r="G217" s="229"/>
      <c r="H217" s="392"/>
      <c r="I217" s="229"/>
      <c r="J217" s="229"/>
      <c r="K217" s="399"/>
      <c r="L217" s="399"/>
      <c r="M217" s="399"/>
      <c r="N217" s="229"/>
      <c r="O217" s="229"/>
      <c r="P217" s="229"/>
      <c r="Q217" s="229"/>
      <c r="R217" s="229"/>
      <c r="S217" s="229"/>
      <c r="T217" s="229"/>
      <c r="U217" s="229"/>
      <c r="V217" s="400"/>
      <c r="W217" s="229"/>
      <c r="X217" s="229"/>
      <c r="Y217" s="4"/>
      <c r="Z217" s="4"/>
    </row>
    <row r="218">
      <c r="A218" s="392"/>
      <c r="B218" s="392"/>
      <c r="C218" s="392"/>
      <c r="D218" s="392"/>
      <c r="E218" s="392"/>
      <c r="F218" s="229"/>
      <c r="G218" s="229"/>
      <c r="H218" s="392"/>
      <c r="I218" s="229"/>
      <c r="J218" s="229"/>
      <c r="K218" s="399"/>
      <c r="L218" s="399"/>
      <c r="M218" s="399"/>
      <c r="N218" s="229"/>
      <c r="O218" s="229"/>
      <c r="P218" s="229"/>
      <c r="Q218" s="229"/>
      <c r="R218" s="229"/>
      <c r="S218" s="229"/>
      <c r="T218" s="229"/>
      <c r="U218" s="229"/>
      <c r="V218" s="400"/>
      <c r="W218" s="229"/>
      <c r="X218" s="229"/>
      <c r="Y218" s="4"/>
      <c r="Z218" s="4"/>
    </row>
    <row r="219">
      <c r="A219" s="392"/>
      <c r="B219" s="392"/>
      <c r="C219" s="392"/>
      <c r="D219" s="392"/>
      <c r="E219" s="392"/>
      <c r="F219" s="229"/>
      <c r="G219" s="229"/>
      <c r="H219" s="392"/>
      <c r="I219" s="229"/>
      <c r="J219" s="229"/>
      <c r="K219" s="399"/>
      <c r="L219" s="399"/>
      <c r="M219" s="399"/>
      <c r="N219" s="229"/>
      <c r="O219" s="229"/>
      <c r="P219" s="229"/>
      <c r="Q219" s="229"/>
      <c r="R219" s="229"/>
      <c r="S219" s="229"/>
      <c r="T219" s="229"/>
      <c r="U219" s="229"/>
      <c r="V219" s="400"/>
      <c r="W219" s="229"/>
      <c r="X219" s="229"/>
      <c r="Y219" s="4"/>
      <c r="Z219" s="4"/>
    </row>
    <row r="220">
      <c r="A220" s="392"/>
      <c r="B220" s="392"/>
      <c r="C220" s="392"/>
      <c r="D220" s="392"/>
      <c r="E220" s="392"/>
      <c r="F220" s="229"/>
      <c r="G220" s="229"/>
      <c r="H220" s="392"/>
      <c r="I220" s="229"/>
      <c r="J220" s="229"/>
      <c r="K220" s="399"/>
      <c r="L220" s="399"/>
      <c r="M220" s="399"/>
      <c r="N220" s="229"/>
      <c r="O220" s="229"/>
      <c r="P220" s="229"/>
      <c r="Q220" s="229"/>
      <c r="R220" s="229"/>
      <c r="S220" s="229"/>
      <c r="T220" s="229"/>
      <c r="U220" s="229"/>
      <c r="V220" s="400"/>
      <c r="W220" s="229"/>
      <c r="X220" s="229"/>
      <c r="Y220" s="4"/>
      <c r="Z220" s="4"/>
    </row>
    <row r="221">
      <c r="A221" s="392"/>
      <c r="B221" s="392"/>
      <c r="C221" s="392"/>
      <c r="D221" s="392"/>
      <c r="E221" s="392"/>
      <c r="F221" s="229"/>
      <c r="G221" s="229"/>
      <c r="H221" s="392"/>
      <c r="I221" s="229"/>
      <c r="J221" s="229"/>
      <c r="K221" s="399"/>
      <c r="L221" s="399"/>
      <c r="M221" s="399"/>
      <c r="N221" s="229"/>
      <c r="O221" s="229"/>
      <c r="P221" s="229"/>
      <c r="Q221" s="229"/>
      <c r="R221" s="229"/>
      <c r="S221" s="229"/>
      <c r="T221" s="229"/>
      <c r="U221" s="229"/>
      <c r="V221" s="400"/>
      <c r="W221" s="229"/>
      <c r="X221" s="229"/>
      <c r="Y221" s="4"/>
      <c r="Z221" s="4"/>
    </row>
    <row r="222">
      <c r="A222" s="392"/>
      <c r="B222" s="392"/>
      <c r="C222" s="392"/>
      <c r="D222" s="392"/>
      <c r="E222" s="392"/>
      <c r="F222" s="229"/>
      <c r="G222" s="229"/>
      <c r="H222" s="392"/>
      <c r="I222" s="229"/>
      <c r="J222" s="229"/>
      <c r="K222" s="399"/>
      <c r="L222" s="399"/>
      <c r="M222" s="399"/>
      <c r="N222" s="229"/>
      <c r="O222" s="229"/>
      <c r="P222" s="229"/>
      <c r="Q222" s="229"/>
      <c r="R222" s="229"/>
      <c r="S222" s="229"/>
      <c r="T222" s="229"/>
      <c r="U222" s="229"/>
      <c r="V222" s="400"/>
      <c r="W222" s="229"/>
      <c r="X222" s="229"/>
      <c r="Y222" s="4"/>
      <c r="Z222" s="4"/>
    </row>
    <row r="223">
      <c r="A223" s="392"/>
      <c r="B223" s="392"/>
      <c r="C223" s="392"/>
      <c r="D223" s="392"/>
      <c r="E223" s="392"/>
      <c r="F223" s="229"/>
      <c r="G223" s="229"/>
      <c r="H223" s="392"/>
      <c r="I223" s="229"/>
      <c r="J223" s="229"/>
      <c r="K223" s="399"/>
      <c r="L223" s="399"/>
      <c r="M223" s="399"/>
      <c r="N223" s="229"/>
      <c r="O223" s="229"/>
      <c r="P223" s="229"/>
      <c r="Q223" s="229"/>
      <c r="R223" s="229"/>
      <c r="S223" s="229"/>
      <c r="T223" s="229"/>
      <c r="U223" s="229"/>
      <c r="V223" s="400"/>
      <c r="W223" s="229"/>
      <c r="X223" s="229"/>
      <c r="Y223" s="4"/>
      <c r="Z223" s="4"/>
    </row>
    <row r="224">
      <c r="A224" s="392"/>
      <c r="B224" s="392"/>
      <c r="C224" s="392"/>
      <c r="D224" s="392"/>
      <c r="E224" s="392"/>
      <c r="F224" s="229"/>
      <c r="G224" s="229"/>
      <c r="H224" s="392"/>
      <c r="I224" s="229"/>
      <c r="J224" s="229"/>
      <c r="K224" s="399"/>
      <c r="L224" s="399"/>
      <c r="M224" s="399"/>
      <c r="N224" s="229"/>
      <c r="O224" s="229"/>
      <c r="P224" s="229"/>
      <c r="Q224" s="229"/>
      <c r="R224" s="229"/>
      <c r="S224" s="229"/>
      <c r="T224" s="229"/>
      <c r="U224" s="229"/>
      <c r="V224" s="400"/>
      <c r="W224" s="229"/>
      <c r="X224" s="229"/>
      <c r="Y224" s="4"/>
      <c r="Z224" s="4"/>
    </row>
    <row r="225">
      <c r="A225" s="392"/>
      <c r="B225" s="392"/>
      <c r="C225" s="392"/>
      <c r="D225" s="392"/>
      <c r="E225" s="392"/>
      <c r="F225" s="229"/>
      <c r="G225" s="229"/>
      <c r="H225" s="392"/>
      <c r="I225" s="229"/>
      <c r="J225" s="229"/>
      <c r="K225" s="399"/>
      <c r="L225" s="399"/>
      <c r="M225" s="399"/>
      <c r="N225" s="229"/>
      <c r="O225" s="229"/>
      <c r="P225" s="229"/>
      <c r="Q225" s="229"/>
      <c r="R225" s="229"/>
      <c r="S225" s="229"/>
      <c r="T225" s="229"/>
      <c r="U225" s="229"/>
      <c r="V225" s="400"/>
      <c r="W225" s="229"/>
      <c r="X225" s="229"/>
      <c r="Y225" s="4"/>
      <c r="Z225" s="4"/>
    </row>
    <row r="226">
      <c r="A226" s="392"/>
      <c r="B226" s="392"/>
      <c r="C226" s="392"/>
      <c r="D226" s="392"/>
      <c r="E226" s="392"/>
      <c r="F226" s="229"/>
      <c r="G226" s="229"/>
      <c r="H226" s="392"/>
      <c r="I226" s="229"/>
      <c r="J226" s="229"/>
      <c r="K226" s="399"/>
      <c r="L226" s="399"/>
      <c r="M226" s="399"/>
      <c r="N226" s="229"/>
      <c r="O226" s="229"/>
      <c r="P226" s="229"/>
      <c r="Q226" s="229"/>
      <c r="R226" s="229"/>
      <c r="S226" s="229"/>
      <c r="T226" s="229"/>
      <c r="U226" s="229"/>
      <c r="V226" s="400"/>
      <c r="W226" s="229"/>
      <c r="X226" s="229"/>
      <c r="Y226" s="4"/>
      <c r="Z226" s="4"/>
    </row>
    <row r="227">
      <c r="A227" s="392"/>
      <c r="B227" s="392"/>
      <c r="C227" s="392"/>
      <c r="D227" s="392"/>
      <c r="E227" s="392"/>
      <c r="F227" s="229"/>
      <c r="G227" s="229"/>
      <c r="H227" s="392"/>
      <c r="I227" s="229"/>
      <c r="J227" s="229"/>
      <c r="K227" s="399"/>
      <c r="L227" s="399"/>
      <c r="M227" s="399"/>
      <c r="N227" s="229"/>
      <c r="O227" s="229"/>
      <c r="P227" s="229"/>
      <c r="Q227" s="229"/>
      <c r="R227" s="229"/>
      <c r="S227" s="229"/>
      <c r="T227" s="229"/>
      <c r="U227" s="229"/>
      <c r="V227" s="400"/>
      <c r="W227" s="229"/>
      <c r="X227" s="229"/>
      <c r="Y227" s="4"/>
      <c r="Z227" s="4"/>
    </row>
    <row r="228">
      <c r="A228" s="392"/>
      <c r="B228" s="392"/>
      <c r="C228" s="392"/>
      <c r="D228" s="392"/>
      <c r="E228" s="392"/>
      <c r="F228" s="229"/>
      <c r="G228" s="229"/>
      <c r="H228" s="392"/>
      <c r="I228" s="229"/>
      <c r="J228" s="229"/>
      <c r="K228" s="399"/>
      <c r="L228" s="399"/>
      <c r="M228" s="399"/>
      <c r="N228" s="229"/>
      <c r="O228" s="229"/>
      <c r="P228" s="229"/>
      <c r="Q228" s="229"/>
      <c r="R228" s="229"/>
      <c r="S228" s="229"/>
      <c r="T228" s="229"/>
      <c r="U228" s="229"/>
      <c r="V228" s="400"/>
      <c r="W228" s="229"/>
      <c r="X228" s="229"/>
      <c r="Y228" s="4"/>
      <c r="Z228" s="4"/>
    </row>
    <row r="229">
      <c r="A229" s="392"/>
      <c r="B229" s="392"/>
      <c r="C229" s="392"/>
      <c r="D229" s="392"/>
      <c r="E229" s="392"/>
      <c r="F229" s="229"/>
      <c r="G229" s="229"/>
      <c r="H229" s="392"/>
      <c r="I229" s="229"/>
      <c r="J229" s="229"/>
      <c r="K229" s="399"/>
      <c r="L229" s="399"/>
      <c r="M229" s="399"/>
      <c r="N229" s="229"/>
      <c r="O229" s="229"/>
      <c r="P229" s="229"/>
      <c r="Q229" s="229"/>
      <c r="R229" s="229"/>
      <c r="S229" s="229"/>
      <c r="T229" s="229"/>
      <c r="U229" s="229"/>
      <c r="V229" s="400"/>
      <c r="W229" s="229"/>
      <c r="X229" s="229"/>
      <c r="Y229" s="4"/>
      <c r="Z229" s="4"/>
    </row>
    <row r="230">
      <c r="A230" s="392"/>
      <c r="B230" s="392"/>
      <c r="C230" s="392"/>
      <c r="D230" s="392"/>
      <c r="E230" s="392"/>
      <c r="F230" s="229"/>
      <c r="G230" s="229"/>
      <c r="H230" s="392"/>
      <c r="I230" s="229"/>
      <c r="J230" s="229"/>
      <c r="K230" s="399"/>
      <c r="L230" s="399"/>
      <c r="M230" s="399"/>
      <c r="N230" s="229"/>
      <c r="O230" s="229"/>
      <c r="P230" s="229"/>
      <c r="Q230" s="229"/>
      <c r="R230" s="229"/>
      <c r="S230" s="229"/>
      <c r="T230" s="229"/>
      <c r="U230" s="229"/>
      <c r="V230" s="400"/>
      <c r="W230" s="229"/>
      <c r="X230" s="229"/>
      <c r="Y230" s="4"/>
      <c r="Z230" s="4"/>
    </row>
    <row r="231">
      <c r="A231" s="392"/>
      <c r="B231" s="392"/>
      <c r="C231" s="392"/>
      <c r="D231" s="392"/>
      <c r="E231" s="392"/>
      <c r="F231" s="229"/>
      <c r="G231" s="229"/>
      <c r="H231" s="392"/>
      <c r="I231" s="229"/>
      <c r="J231" s="229"/>
      <c r="K231" s="399"/>
      <c r="L231" s="399"/>
      <c r="M231" s="399"/>
      <c r="N231" s="229"/>
      <c r="O231" s="229"/>
      <c r="P231" s="229"/>
      <c r="Q231" s="229"/>
      <c r="R231" s="229"/>
      <c r="S231" s="229"/>
      <c r="T231" s="229"/>
      <c r="U231" s="229"/>
      <c r="V231" s="400"/>
      <c r="W231" s="229"/>
      <c r="X231" s="229"/>
      <c r="Y231" s="4"/>
      <c r="Z231" s="4"/>
    </row>
    <row r="232">
      <c r="A232" s="392"/>
      <c r="B232" s="392"/>
      <c r="C232" s="392"/>
      <c r="D232" s="392"/>
      <c r="E232" s="392"/>
      <c r="F232" s="229"/>
      <c r="G232" s="229"/>
      <c r="H232" s="392"/>
      <c r="I232" s="229"/>
      <c r="J232" s="229"/>
      <c r="K232" s="399"/>
      <c r="L232" s="399"/>
      <c r="M232" s="399"/>
      <c r="N232" s="229"/>
      <c r="O232" s="229"/>
      <c r="P232" s="229"/>
      <c r="Q232" s="229"/>
      <c r="R232" s="229"/>
      <c r="S232" s="229"/>
      <c r="T232" s="229"/>
      <c r="U232" s="229"/>
      <c r="V232" s="400"/>
      <c r="W232" s="229"/>
      <c r="X232" s="229"/>
      <c r="Y232" s="4"/>
      <c r="Z232" s="4"/>
    </row>
    <row r="233">
      <c r="A233" s="392"/>
      <c r="B233" s="392"/>
      <c r="C233" s="392"/>
      <c r="D233" s="392"/>
      <c r="E233" s="392"/>
      <c r="F233" s="229"/>
      <c r="G233" s="229"/>
      <c r="H233" s="392"/>
      <c r="I233" s="229"/>
      <c r="J233" s="229"/>
      <c r="K233" s="399"/>
      <c r="L233" s="399"/>
      <c r="M233" s="399"/>
      <c r="N233" s="229"/>
      <c r="O233" s="229"/>
      <c r="P233" s="229"/>
      <c r="Q233" s="229"/>
      <c r="R233" s="229"/>
      <c r="S233" s="229"/>
      <c r="T233" s="229"/>
      <c r="U233" s="229"/>
      <c r="V233" s="400"/>
      <c r="W233" s="229"/>
      <c r="X233" s="229"/>
      <c r="Y233" s="4"/>
      <c r="Z233" s="4"/>
    </row>
    <row r="234">
      <c r="A234" s="392"/>
      <c r="B234" s="392"/>
      <c r="C234" s="392"/>
      <c r="D234" s="392"/>
      <c r="E234" s="392"/>
      <c r="F234" s="229"/>
      <c r="G234" s="229"/>
      <c r="H234" s="392"/>
      <c r="I234" s="229"/>
      <c r="J234" s="229"/>
      <c r="K234" s="399"/>
      <c r="L234" s="399"/>
      <c r="M234" s="399"/>
      <c r="N234" s="229"/>
      <c r="O234" s="229"/>
      <c r="P234" s="229"/>
      <c r="Q234" s="229"/>
      <c r="R234" s="229"/>
      <c r="S234" s="229"/>
      <c r="T234" s="229"/>
      <c r="U234" s="229"/>
      <c r="V234" s="400"/>
      <c r="W234" s="229"/>
      <c r="X234" s="229"/>
      <c r="Y234" s="4"/>
      <c r="Z234" s="4"/>
    </row>
    <row r="235">
      <c r="A235" s="392"/>
      <c r="B235" s="392"/>
      <c r="C235" s="392"/>
      <c r="D235" s="392"/>
      <c r="E235" s="392"/>
      <c r="F235" s="229"/>
      <c r="G235" s="229"/>
      <c r="H235" s="392"/>
      <c r="I235" s="229"/>
      <c r="J235" s="229"/>
      <c r="K235" s="399"/>
      <c r="L235" s="399"/>
      <c r="M235" s="399"/>
      <c r="N235" s="229"/>
      <c r="O235" s="229"/>
      <c r="P235" s="229"/>
      <c r="Q235" s="229"/>
      <c r="R235" s="229"/>
      <c r="S235" s="229"/>
      <c r="T235" s="229"/>
      <c r="U235" s="229"/>
      <c r="V235" s="400"/>
      <c r="W235" s="229"/>
      <c r="X235" s="229"/>
      <c r="Y235" s="4"/>
      <c r="Z235" s="4"/>
    </row>
    <row r="236">
      <c r="A236" s="392"/>
      <c r="B236" s="392"/>
      <c r="C236" s="392"/>
      <c r="D236" s="392"/>
      <c r="E236" s="392"/>
      <c r="F236" s="229"/>
      <c r="G236" s="229"/>
      <c r="H236" s="392"/>
      <c r="I236" s="229"/>
      <c r="J236" s="229"/>
      <c r="K236" s="399"/>
      <c r="L236" s="399"/>
      <c r="M236" s="399"/>
      <c r="N236" s="229"/>
      <c r="O236" s="229"/>
      <c r="P236" s="229"/>
      <c r="Q236" s="229"/>
      <c r="R236" s="229"/>
      <c r="S236" s="229"/>
      <c r="T236" s="229"/>
      <c r="U236" s="229"/>
      <c r="V236" s="400"/>
      <c r="W236" s="229"/>
      <c r="X236" s="229"/>
      <c r="Y236" s="4"/>
      <c r="Z236" s="4"/>
    </row>
    <row r="237">
      <c r="A237" s="392"/>
      <c r="B237" s="392"/>
      <c r="C237" s="392"/>
      <c r="D237" s="392"/>
      <c r="E237" s="392"/>
      <c r="F237" s="229"/>
      <c r="G237" s="229"/>
      <c r="H237" s="392"/>
      <c r="I237" s="229"/>
      <c r="J237" s="229"/>
      <c r="K237" s="399"/>
      <c r="L237" s="399"/>
      <c r="M237" s="399"/>
      <c r="N237" s="229"/>
      <c r="O237" s="229"/>
      <c r="P237" s="229"/>
      <c r="Q237" s="229"/>
      <c r="R237" s="229"/>
      <c r="S237" s="229"/>
      <c r="T237" s="229"/>
      <c r="U237" s="229"/>
      <c r="V237" s="400"/>
      <c r="W237" s="229"/>
      <c r="X237" s="229"/>
      <c r="Y237" s="4"/>
      <c r="Z237" s="4"/>
    </row>
    <row r="238">
      <c r="A238" s="392"/>
      <c r="B238" s="392"/>
      <c r="C238" s="392"/>
      <c r="D238" s="392"/>
      <c r="E238" s="392"/>
      <c r="F238" s="229"/>
      <c r="G238" s="229"/>
      <c r="H238" s="392"/>
      <c r="I238" s="229"/>
      <c r="J238" s="229"/>
      <c r="K238" s="399"/>
      <c r="L238" s="399"/>
      <c r="M238" s="399"/>
      <c r="N238" s="229"/>
      <c r="O238" s="229"/>
      <c r="P238" s="229"/>
      <c r="Q238" s="229"/>
      <c r="R238" s="229"/>
      <c r="S238" s="229"/>
      <c r="T238" s="229"/>
      <c r="U238" s="229"/>
      <c r="V238" s="400"/>
      <c r="W238" s="229"/>
      <c r="X238" s="229"/>
      <c r="Y238" s="4"/>
      <c r="Z238" s="4"/>
    </row>
    <row r="239">
      <c r="A239" s="392"/>
      <c r="B239" s="392"/>
      <c r="C239" s="392"/>
      <c r="D239" s="392"/>
      <c r="E239" s="392"/>
      <c r="F239" s="229"/>
      <c r="G239" s="229"/>
      <c r="H239" s="392"/>
      <c r="I239" s="229"/>
      <c r="J239" s="229"/>
      <c r="K239" s="399"/>
      <c r="L239" s="399"/>
      <c r="M239" s="399"/>
      <c r="N239" s="229"/>
      <c r="O239" s="229"/>
      <c r="P239" s="229"/>
      <c r="Q239" s="229"/>
      <c r="R239" s="229"/>
      <c r="S239" s="229"/>
      <c r="T239" s="229"/>
      <c r="U239" s="229"/>
      <c r="V239" s="400"/>
      <c r="W239" s="229"/>
      <c r="X239" s="229"/>
      <c r="Y239" s="4"/>
      <c r="Z239" s="4"/>
    </row>
    <row r="240">
      <c r="A240" s="392"/>
      <c r="B240" s="392"/>
      <c r="C240" s="392"/>
      <c r="D240" s="392"/>
      <c r="E240" s="392"/>
      <c r="F240" s="229"/>
      <c r="G240" s="229"/>
      <c r="H240" s="392"/>
      <c r="I240" s="229"/>
      <c r="J240" s="229"/>
      <c r="K240" s="399"/>
      <c r="L240" s="399"/>
      <c r="M240" s="399"/>
      <c r="N240" s="229"/>
      <c r="O240" s="229"/>
      <c r="P240" s="229"/>
      <c r="Q240" s="229"/>
      <c r="R240" s="229"/>
      <c r="S240" s="229"/>
      <c r="T240" s="229"/>
      <c r="U240" s="229"/>
      <c r="V240" s="400"/>
      <c r="W240" s="229"/>
      <c r="X240" s="229"/>
      <c r="Y240" s="4"/>
      <c r="Z240" s="4"/>
    </row>
    <row r="241">
      <c r="A241" s="392"/>
      <c r="B241" s="392"/>
      <c r="C241" s="392"/>
      <c r="D241" s="392"/>
      <c r="E241" s="392"/>
      <c r="F241" s="229"/>
      <c r="G241" s="229"/>
      <c r="H241" s="392"/>
      <c r="I241" s="229"/>
      <c r="J241" s="229"/>
      <c r="K241" s="399"/>
      <c r="L241" s="399"/>
      <c r="M241" s="399"/>
      <c r="N241" s="229"/>
      <c r="O241" s="229"/>
      <c r="P241" s="229"/>
      <c r="Q241" s="229"/>
      <c r="R241" s="229"/>
      <c r="S241" s="229"/>
      <c r="T241" s="229"/>
      <c r="U241" s="229"/>
      <c r="V241" s="400"/>
      <c r="W241" s="229"/>
      <c r="X241" s="229"/>
      <c r="Y241" s="4"/>
      <c r="Z241" s="4"/>
    </row>
    <row r="242">
      <c r="A242" s="392"/>
      <c r="B242" s="392"/>
      <c r="C242" s="392"/>
      <c r="D242" s="392"/>
      <c r="E242" s="392"/>
      <c r="F242" s="229"/>
      <c r="G242" s="229"/>
      <c r="H242" s="392"/>
      <c r="I242" s="229"/>
      <c r="J242" s="229"/>
      <c r="K242" s="399"/>
      <c r="L242" s="399"/>
      <c r="M242" s="399"/>
      <c r="N242" s="229"/>
      <c r="O242" s="229"/>
      <c r="P242" s="229"/>
      <c r="Q242" s="229"/>
      <c r="R242" s="229"/>
      <c r="S242" s="229"/>
      <c r="T242" s="229"/>
      <c r="U242" s="229"/>
      <c r="V242" s="400"/>
      <c r="W242" s="229"/>
      <c r="X242" s="229"/>
      <c r="Y242" s="4"/>
      <c r="Z242" s="4"/>
    </row>
    <row r="243">
      <c r="A243" s="392"/>
      <c r="B243" s="392"/>
      <c r="C243" s="392"/>
      <c r="D243" s="392"/>
      <c r="E243" s="392"/>
      <c r="F243" s="229"/>
      <c r="G243" s="229"/>
      <c r="H243" s="392"/>
      <c r="I243" s="229"/>
      <c r="J243" s="229"/>
      <c r="K243" s="399"/>
      <c r="L243" s="399"/>
      <c r="M243" s="399"/>
      <c r="N243" s="229"/>
      <c r="O243" s="229"/>
      <c r="P243" s="229"/>
      <c r="Q243" s="229"/>
      <c r="R243" s="229"/>
      <c r="S243" s="229"/>
      <c r="T243" s="229"/>
      <c r="U243" s="229"/>
      <c r="V243" s="400"/>
      <c r="W243" s="229"/>
      <c r="X243" s="229"/>
      <c r="Y243" s="4"/>
      <c r="Z243" s="4"/>
    </row>
    <row r="244">
      <c r="A244" s="392"/>
      <c r="B244" s="392"/>
      <c r="C244" s="392"/>
      <c r="D244" s="392"/>
      <c r="E244" s="392"/>
      <c r="F244" s="229"/>
      <c r="G244" s="229"/>
      <c r="H244" s="392"/>
      <c r="I244" s="229"/>
      <c r="J244" s="229"/>
      <c r="K244" s="399"/>
      <c r="L244" s="399"/>
      <c r="M244" s="399"/>
      <c r="N244" s="229"/>
      <c r="O244" s="229"/>
      <c r="P244" s="229"/>
      <c r="Q244" s="229"/>
      <c r="R244" s="229"/>
      <c r="S244" s="229"/>
      <c r="T244" s="229"/>
      <c r="U244" s="229"/>
      <c r="V244" s="400"/>
      <c r="W244" s="229"/>
      <c r="X244" s="229"/>
      <c r="Y244" s="4"/>
      <c r="Z244" s="4"/>
    </row>
    <row r="245">
      <c r="A245" s="392"/>
      <c r="B245" s="392"/>
      <c r="C245" s="392"/>
      <c r="D245" s="392"/>
      <c r="E245" s="392"/>
      <c r="F245" s="229"/>
      <c r="G245" s="229"/>
      <c r="H245" s="392"/>
      <c r="I245" s="229"/>
      <c r="J245" s="229"/>
      <c r="K245" s="399"/>
      <c r="L245" s="399"/>
      <c r="M245" s="399"/>
      <c r="N245" s="229"/>
      <c r="O245" s="229"/>
      <c r="P245" s="229"/>
      <c r="Q245" s="229"/>
      <c r="R245" s="229"/>
      <c r="S245" s="229"/>
      <c r="T245" s="229"/>
      <c r="U245" s="229"/>
      <c r="V245" s="400"/>
      <c r="W245" s="229"/>
      <c r="X245" s="229"/>
      <c r="Y245" s="4"/>
      <c r="Z245" s="4"/>
    </row>
    <row r="246">
      <c r="A246" s="392"/>
      <c r="B246" s="392"/>
      <c r="C246" s="392"/>
      <c r="D246" s="392"/>
      <c r="E246" s="392"/>
      <c r="F246" s="229"/>
      <c r="G246" s="229"/>
      <c r="H246" s="392"/>
      <c r="I246" s="229"/>
      <c r="J246" s="229"/>
      <c r="K246" s="399"/>
      <c r="L246" s="399"/>
      <c r="M246" s="399"/>
      <c r="N246" s="229"/>
      <c r="O246" s="229"/>
      <c r="P246" s="229"/>
      <c r="Q246" s="229"/>
      <c r="R246" s="229"/>
      <c r="S246" s="229"/>
      <c r="T246" s="229"/>
      <c r="U246" s="229"/>
      <c r="V246" s="400"/>
      <c r="W246" s="229"/>
      <c r="X246" s="229"/>
      <c r="Y246" s="4"/>
      <c r="Z246" s="4"/>
    </row>
    <row r="247">
      <c r="A247" s="392"/>
      <c r="B247" s="392"/>
      <c r="C247" s="392"/>
      <c r="D247" s="392"/>
      <c r="E247" s="392"/>
      <c r="F247" s="229"/>
      <c r="G247" s="229"/>
      <c r="H247" s="392"/>
      <c r="I247" s="229"/>
      <c r="J247" s="229"/>
      <c r="K247" s="399"/>
      <c r="L247" s="399"/>
      <c r="M247" s="399"/>
      <c r="N247" s="229"/>
      <c r="O247" s="229"/>
      <c r="P247" s="229"/>
      <c r="Q247" s="229"/>
      <c r="R247" s="229"/>
      <c r="S247" s="229"/>
      <c r="T247" s="229"/>
      <c r="U247" s="229"/>
      <c r="V247" s="400"/>
      <c r="W247" s="229"/>
      <c r="X247" s="229"/>
      <c r="Y247" s="4"/>
      <c r="Z247" s="4"/>
    </row>
    <row r="248">
      <c r="A248" s="392"/>
      <c r="B248" s="392"/>
      <c r="C248" s="392"/>
      <c r="D248" s="392"/>
      <c r="E248" s="392"/>
      <c r="F248" s="229"/>
      <c r="G248" s="229"/>
      <c r="H248" s="392"/>
      <c r="I248" s="229"/>
      <c r="J248" s="229"/>
      <c r="K248" s="399"/>
      <c r="L248" s="399"/>
      <c r="M248" s="399"/>
      <c r="N248" s="229"/>
      <c r="O248" s="229"/>
      <c r="P248" s="229"/>
      <c r="Q248" s="229"/>
      <c r="R248" s="229"/>
      <c r="S248" s="229"/>
      <c r="T248" s="229"/>
      <c r="U248" s="229"/>
      <c r="V248" s="400"/>
      <c r="W248" s="229"/>
      <c r="X248" s="229"/>
      <c r="Y248" s="4"/>
      <c r="Z248" s="4"/>
    </row>
    <row r="249">
      <c r="A249" s="392"/>
      <c r="B249" s="392"/>
      <c r="C249" s="392"/>
      <c r="D249" s="392"/>
      <c r="E249" s="392"/>
      <c r="F249" s="229"/>
      <c r="G249" s="229"/>
      <c r="H249" s="392"/>
      <c r="I249" s="229"/>
      <c r="J249" s="229"/>
      <c r="K249" s="399"/>
      <c r="L249" s="399"/>
      <c r="M249" s="399"/>
      <c r="N249" s="229"/>
      <c r="O249" s="229"/>
      <c r="P249" s="229"/>
      <c r="Q249" s="229"/>
      <c r="R249" s="229"/>
      <c r="S249" s="229"/>
      <c r="T249" s="229"/>
      <c r="U249" s="229"/>
      <c r="V249" s="400"/>
      <c r="W249" s="229"/>
      <c r="X249" s="229"/>
      <c r="Y249" s="4"/>
      <c r="Z249" s="4"/>
    </row>
    <row r="250">
      <c r="A250" s="392"/>
      <c r="B250" s="392"/>
      <c r="C250" s="392"/>
      <c r="D250" s="392"/>
      <c r="E250" s="392"/>
      <c r="F250" s="229"/>
      <c r="G250" s="229"/>
      <c r="H250" s="392"/>
      <c r="I250" s="229"/>
      <c r="J250" s="229"/>
      <c r="K250" s="399"/>
      <c r="L250" s="399"/>
      <c r="M250" s="399"/>
      <c r="N250" s="229"/>
      <c r="O250" s="229"/>
      <c r="P250" s="229"/>
      <c r="Q250" s="229"/>
      <c r="R250" s="229"/>
      <c r="S250" s="229"/>
      <c r="T250" s="229"/>
      <c r="U250" s="229"/>
      <c r="V250" s="400"/>
      <c r="W250" s="229"/>
      <c r="X250" s="229"/>
      <c r="Y250" s="4"/>
      <c r="Z250" s="4"/>
    </row>
    <row r="251">
      <c r="A251" s="392"/>
      <c r="B251" s="392"/>
      <c r="C251" s="392"/>
      <c r="D251" s="392"/>
      <c r="E251" s="392"/>
      <c r="F251" s="229"/>
      <c r="G251" s="229"/>
      <c r="H251" s="392"/>
      <c r="I251" s="229"/>
      <c r="J251" s="229"/>
      <c r="K251" s="399"/>
      <c r="L251" s="399"/>
      <c r="M251" s="399"/>
      <c r="N251" s="229"/>
      <c r="O251" s="229"/>
      <c r="P251" s="229"/>
      <c r="Q251" s="229"/>
      <c r="R251" s="229"/>
      <c r="S251" s="229"/>
      <c r="T251" s="229"/>
      <c r="U251" s="229"/>
      <c r="V251" s="400"/>
      <c r="W251" s="229"/>
      <c r="X251" s="229"/>
      <c r="Y251" s="4"/>
      <c r="Z251" s="4"/>
    </row>
    <row r="252">
      <c r="A252" s="392"/>
      <c r="B252" s="392"/>
      <c r="C252" s="392"/>
      <c r="D252" s="392"/>
      <c r="E252" s="392"/>
      <c r="F252" s="229"/>
      <c r="G252" s="229"/>
      <c r="H252" s="392"/>
      <c r="I252" s="229"/>
      <c r="J252" s="229"/>
      <c r="K252" s="399"/>
      <c r="L252" s="399"/>
      <c r="M252" s="399"/>
      <c r="N252" s="229"/>
      <c r="O252" s="229"/>
      <c r="P252" s="229"/>
      <c r="Q252" s="229"/>
      <c r="R252" s="229"/>
      <c r="S252" s="229"/>
      <c r="T252" s="229"/>
      <c r="U252" s="229"/>
      <c r="V252" s="400"/>
      <c r="W252" s="229"/>
      <c r="X252" s="229"/>
      <c r="Y252" s="4"/>
      <c r="Z252" s="4"/>
    </row>
    <row r="253">
      <c r="A253" s="392"/>
      <c r="B253" s="392"/>
      <c r="C253" s="392"/>
      <c r="D253" s="392"/>
      <c r="E253" s="392"/>
      <c r="F253" s="229"/>
      <c r="G253" s="229"/>
      <c r="H253" s="392"/>
      <c r="I253" s="229"/>
      <c r="J253" s="229"/>
      <c r="K253" s="399"/>
      <c r="L253" s="399"/>
      <c r="M253" s="399"/>
      <c r="N253" s="229"/>
      <c r="O253" s="229"/>
      <c r="P253" s="229"/>
      <c r="Q253" s="229"/>
      <c r="R253" s="229"/>
      <c r="S253" s="229"/>
      <c r="T253" s="229"/>
      <c r="U253" s="229"/>
      <c r="V253" s="400"/>
      <c r="W253" s="229"/>
      <c r="X253" s="229"/>
      <c r="Y253" s="4"/>
      <c r="Z253" s="4"/>
    </row>
    <row r="254">
      <c r="A254" s="392"/>
      <c r="B254" s="392"/>
      <c r="C254" s="392"/>
      <c r="D254" s="392"/>
      <c r="E254" s="392"/>
      <c r="F254" s="229"/>
      <c r="G254" s="229"/>
      <c r="H254" s="392"/>
      <c r="I254" s="229"/>
      <c r="J254" s="229"/>
      <c r="K254" s="399"/>
      <c r="L254" s="399"/>
      <c r="M254" s="399"/>
      <c r="N254" s="229"/>
      <c r="O254" s="229"/>
      <c r="P254" s="229"/>
      <c r="Q254" s="229"/>
      <c r="R254" s="229"/>
      <c r="S254" s="229"/>
      <c r="T254" s="229"/>
      <c r="U254" s="229"/>
      <c r="V254" s="400"/>
      <c r="W254" s="229"/>
      <c r="X254" s="229"/>
      <c r="Y254" s="4"/>
      <c r="Z254" s="4"/>
    </row>
    <row r="255">
      <c r="A255" s="392"/>
      <c r="B255" s="392"/>
      <c r="C255" s="392"/>
      <c r="D255" s="392"/>
      <c r="E255" s="392"/>
      <c r="F255" s="229"/>
      <c r="G255" s="229"/>
      <c r="H255" s="392"/>
      <c r="I255" s="229"/>
      <c r="J255" s="229"/>
      <c r="K255" s="399"/>
      <c r="L255" s="399"/>
      <c r="M255" s="399"/>
      <c r="N255" s="229"/>
      <c r="O255" s="229"/>
      <c r="P255" s="229"/>
      <c r="Q255" s="229"/>
      <c r="R255" s="229"/>
      <c r="S255" s="229"/>
      <c r="T255" s="229"/>
      <c r="U255" s="229"/>
      <c r="V255" s="400"/>
      <c r="W255" s="229"/>
      <c r="X255" s="229"/>
      <c r="Y255" s="4"/>
      <c r="Z255" s="4"/>
    </row>
    <row r="256">
      <c r="A256" s="392"/>
      <c r="B256" s="392"/>
      <c r="C256" s="392"/>
      <c r="D256" s="392"/>
      <c r="E256" s="392"/>
      <c r="F256" s="229"/>
      <c r="G256" s="229"/>
      <c r="H256" s="392"/>
      <c r="I256" s="229"/>
      <c r="J256" s="229"/>
      <c r="K256" s="399"/>
      <c r="L256" s="399"/>
      <c r="M256" s="399"/>
      <c r="N256" s="229"/>
      <c r="O256" s="229"/>
      <c r="P256" s="229"/>
      <c r="Q256" s="229"/>
      <c r="R256" s="229"/>
      <c r="S256" s="229"/>
      <c r="T256" s="229"/>
      <c r="U256" s="229"/>
      <c r="V256" s="400"/>
      <c r="W256" s="229"/>
      <c r="X256" s="229"/>
      <c r="Y256" s="4"/>
      <c r="Z256" s="4"/>
    </row>
    <row r="257">
      <c r="A257" s="392"/>
      <c r="B257" s="392"/>
      <c r="C257" s="392"/>
      <c r="D257" s="392"/>
      <c r="E257" s="392"/>
      <c r="F257" s="229"/>
      <c r="G257" s="229"/>
      <c r="H257" s="392"/>
      <c r="I257" s="229"/>
      <c r="J257" s="229"/>
      <c r="K257" s="399"/>
      <c r="L257" s="399"/>
      <c r="M257" s="399"/>
      <c r="N257" s="229"/>
      <c r="O257" s="229"/>
      <c r="P257" s="229"/>
      <c r="Q257" s="229"/>
      <c r="R257" s="229"/>
      <c r="S257" s="229"/>
      <c r="T257" s="229"/>
      <c r="U257" s="229"/>
      <c r="V257" s="400"/>
      <c r="W257" s="229"/>
      <c r="X257" s="229"/>
      <c r="Y257" s="4"/>
      <c r="Z257" s="4"/>
    </row>
    <row r="258">
      <c r="A258" s="392"/>
      <c r="B258" s="392"/>
      <c r="C258" s="392"/>
      <c r="D258" s="392"/>
      <c r="E258" s="392"/>
      <c r="F258" s="229"/>
      <c r="G258" s="229"/>
      <c r="H258" s="392"/>
      <c r="I258" s="229"/>
      <c r="J258" s="229"/>
      <c r="K258" s="399"/>
      <c r="L258" s="399"/>
      <c r="M258" s="399"/>
      <c r="N258" s="229"/>
      <c r="O258" s="229"/>
      <c r="P258" s="229"/>
      <c r="Q258" s="229"/>
      <c r="R258" s="229"/>
      <c r="S258" s="229"/>
      <c r="T258" s="229"/>
      <c r="U258" s="229"/>
      <c r="V258" s="400"/>
      <c r="W258" s="229"/>
      <c r="X258" s="229"/>
      <c r="Y258" s="4"/>
      <c r="Z258" s="4"/>
    </row>
    <row r="259">
      <c r="A259" s="392"/>
      <c r="B259" s="392"/>
      <c r="C259" s="392"/>
      <c r="D259" s="392"/>
      <c r="E259" s="392"/>
      <c r="F259" s="229"/>
      <c r="G259" s="229"/>
      <c r="H259" s="392"/>
      <c r="I259" s="229"/>
      <c r="J259" s="229"/>
      <c r="K259" s="399"/>
      <c r="L259" s="399"/>
      <c r="M259" s="399"/>
      <c r="N259" s="229"/>
      <c r="O259" s="229"/>
      <c r="P259" s="229"/>
      <c r="Q259" s="229"/>
      <c r="R259" s="229"/>
      <c r="S259" s="229"/>
      <c r="T259" s="229"/>
      <c r="U259" s="229"/>
      <c r="V259" s="400"/>
      <c r="W259" s="229"/>
      <c r="X259" s="229"/>
      <c r="Y259" s="4"/>
      <c r="Z259" s="4"/>
    </row>
    <row r="260">
      <c r="A260" s="392"/>
      <c r="B260" s="392"/>
      <c r="C260" s="392"/>
      <c r="D260" s="392"/>
      <c r="E260" s="392"/>
      <c r="F260" s="229"/>
      <c r="G260" s="229"/>
      <c r="H260" s="392"/>
      <c r="I260" s="229"/>
      <c r="J260" s="229"/>
      <c r="K260" s="399"/>
      <c r="L260" s="399"/>
      <c r="M260" s="399"/>
      <c r="N260" s="229"/>
      <c r="O260" s="229"/>
      <c r="P260" s="229"/>
      <c r="Q260" s="229"/>
      <c r="R260" s="229"/>
      <c r="S260" s="229"/>
      <c r="T260" s="229"/>
      <c r="U260" s="229"/>
      <c r="V260" s="400"/>
      <c r="W260" s="229"/>
      <c r="X260" s="229"/>
      <c r="Y260" s="4"/>
      <c r="Z260" s="4"/>
    </row>
    <row r="261">
      <c r="A261" s="392"/>
      <c r="B261" s="392"/>
      <c r="C261" s="392"/>
      <c r="D261" s="392"/>
      <c r="E261" s="392"/>
      <c r="F261" s="229"/>
      <c r="G261" s="229"/>
      <c r="H261" s="392"/>
      <c r="I261" s="229"/>
      <c r="J261" s="229"/>
      <c r="K261" s="399"/>
      <c r="L261" s="399"/>
      <c r="M261" s="399"/>
      <c r="N261" s="229"/>
      <c r="O261" s="229"/>
      <c r="P261" s="229"/>
      <c r="Q261" s="229"/>
      <c r="R261" s="229"/>
      <c r="S261" s="229"/>
      <c r="T261" s="229"/>
      <c r="U261" s="229"/>
      <c r="V261" s="400"/>
      <c r="W261" s="229"/>
      <c r="X261" s="229"/>
      <c r="Y261" s="4"/>
      <c r="Z261" s="4"/>
    </row>
    <row r="262">
      <c r="A262" s="392"/>
      <c r="B262" s="392"/>
      <c r="C262" s="392"/>
      <c r="D262" s="392"/>
      <c r="E262" s="392"/>
      <c r="F262" s="229"/>
      <c r="G262" s="229"/>
      <c r="H262" s="392"/>
      <c r="I262" s="229"/>
      <c r="J262" s="229"/>
      <c r="K262" s="399"/>
      <c r="L262" s="399"/>
      <c r="M262" s="399"/>
      <c r="N262" s="229"/>
      <c r="O262" s="229"/>
      <c r="P262" s="229"/>
      <c r="Q262" s="229"/>
      <c r="R262" s="229"/>
      <c r="S262" s="229"/>
      <c r="T262" s="229"/>
      <c r="U262" s="229"/>
      <c r="V262" s="400"/>
      <c r="W262" s="229"/>
      <c r="X262" s="229"/>
      <c r="Y262" s="4"/>
      <c r="Z262" s="4"/>
    </row>
    <row r="263">
      <c r="A263" s="392"/>
      <c r="B263" s="392"/>
      <c r="C263" s="392"/>
      <c r="D263" s="392"/>
      <c r="E263" s="392"/>
      <c r="F263" s="229"/>
      <c r="G263" s="229"/>
      <c r="H263" s="392"/>
      <c r="I263" s="229"/>
      <c r="J263" s="229"/>
      <c r="K263" s="399"/>
      <c r="L263" s="399"/>
      <c r="M263" s="399"/>
      <c r="N263" s="229"/>
      <c r="O263" s="229"/>
      <c r="P263" s="229"/>
      <c r="Q263" s="229"/>
      <c r="R263" s="229"/>
      <c r="S263" s="229"/>
      <c r="T263" s="229"/>
      <c r="U263" s="229"/>
      <c r="V263" s="400"/>
      <c r="W263" s="229"/>
      <c r="X263" s="229"/>
      <c r="Y263" s="4"/>
      <c r="Z263" s="4"/>
    </row>
    <row r="264">
      <c r="A264" s="392"/>
      <c r="B264" s="392"/>
      <c r="C264" s="392"/>
      <c r="D264" s="392"/>
      <c r="E264" s="392"/>
      <c r="F264" s="229"/>
      <c r="G264" s="229"/>
      <c r="H264" s="392"/>
      <c r="I264" s="229"/>
      <c r="J264" s="229"/>
      <c r="K264" s="399"/>
      <c r="L264" s="399"/>
      <c r="M264" s="399"/>
      <c r="N264" s="229"/>
      <c r="O264" s="229"/>
      <c r="P264" s="229"/>
      <c r="Q264" s="229"/>
      <c r="R264" s="229"/>
      <c r="S264" s="229"/>
      <c r="T264" s="229"/>
      <c r="U264" s="229"/>
      <c r="V264" s="400"/>
      <c r="W264" s="229"/>
      <c r="X264" s="229"/>
      <c r="Y264" s="4"/>
      <c r="Z264" s="4"/>
    </row>
    <row r="265">
      <c r="A265" s="392"/>
      <c r="B265" s="392"/>
      <c r="C265" s="392"/>
      <c r="D265" s="392"/>
      <c r="E265" s="392"/>
      <c r="F265" s="229"/>
      <c r="G265" s="229"/>
      <c r="H265" s="392"/>
      <c r="I265" s="229"/>
      <c r="J265" s="229"/>
      <c r="K265" s="399"/>
      <c r="L265" s="399"/>
      <c r="M265" s="399"/>
      <c r="N265" s="229"/>
      <c r="O265" s="229"/>
      <c r="P265" s="229"/>
      <c r="Q265" s="229"/>
      <c r="R265" s="229"/>
      <c r="S265" s="229"/>
      <c r="T265" s="229"/>
      <c r="U265" s="229"/>
      <c r="V265" s="400"/>
      <c r="W265" s="229"/>
      <c r="X265" s="229"/>
      <c r="Y265" s="4"/>
      <c r="Z265" s="4"/>
    </row>
    <row r="266">
      <c r="A266" s="392"/>
      <c r="B266" s="392"/>
      <c r="C266" s="392"/>
      <c r="D266" s="392"/>
      <c r="E266" s="392"/>
      <c r="F266" s="229"/>
      <c r="G266" s="229"/>
      <c r="H266" s="392"/>
      <c r="I266" s="229"/>
      <c r="J266" s="229"/>
      <c r="K266" s="399"/>
      <c r="L266" s="399"/>
      <c r="M266" s="399"/>
      <c r="N266" s="229"/>
      <c r="O266" s="229"/>
      <c r="P266" s="229"/>
      <c r="Q266" s="229"/>
      <c r="R266" s="229"/>
      <c r="S266" s="229"/>
      <c r="T266" s="229"/>
      <c r="U266" s="229"/>
      <c r="V266" s="400"/>
      <c r="W266" s="229"/>
      <c r="X266" s="229"/>
      <c r="Y266" s="4"/>
      <c r="Z266" s="4"/>
    </row>
    <row r="267">
      <c r="A267" s="392"/>
      <c r="B267" s="392"/>
      <c r="C267" s="392"/>
      <c r="D267" s="392"/>
      <c r="E267" s="392"/>
      <c r="F267" s="229"/>
      <c r="G267" s="229"/>
      <c r="H267" s="392"/>
      <c r="I267" s="229"/>
      <c r="J267" s="229"/>
      <c r="K267" s="399"/>
      <c r="L267" s="399"/>
      <c r="M267" s="399"/>
      <c r="N267" s="229"/>
      <c r="O267" s="229"/>
      <c r="P267" s="229"/>
      <c r="Q267" s="229"/>
      <c r="R267" s="229"/>
      <c r="S267" s="229"/>
      <c r="T267" s="229"/>
      <c r="U267" s="229"/>
      <c r="V267" s="400"/>
      <c r="W267" s="229"/>
      <c r="X267" s="229"/>
      <c r="Y267" s="4"/>
      <c r="Z267" s="4"/>
    </row>
    <row r="268">
      <c r="A268" s="392"/>
      <c r="B268" s="392"/>
      <c r="C268" s="392"/>
      <c r="D268" s="392"/>
      <c r="E268" s="392"/>
      <c r="F268" s="229"/>
      <c r="G268" s="229"/>
      <c r="H268" s="392"/>
      <c r="I268" s="229"/>
      <c r="J268" s="229"/>
      <c r="K268" s="399"/>
      <c r="L268" s="399"/>
      <c r="M268" s="399"/>
      <c r="N268" s="229"/>
      <c r="O268" s="229"/>
      <c r="P268" s="229"/>
      <c r="Q268" s="229"/>
      <c r="R268" s="229"/>
      <c r="S268" s="229"/>
      <c r="T268" s="229"/>
      <c r="U268" s="229"/>
      <c r="V268" s="400"/>
      <c r="W268" s="229"/>
      <c r="X268" s="229"/>
      <c r="Y268" s="4"/>
      <c r="Z268" s="4"/>
    </row>
    <row r="269">
      <c r="A269" s="392"/>
      <c r="B269" s="392"/>
      <c r="C269" s="392"/>
      <c r="D269" s="392"/>
      <c r="E269" s="392"/>
      <c r="F269" s="229"/>
      <c r="G269" s="229"/>
      <c r="H269" s="392"/>
      <c r="I269" s="229"/>
      <c r="J269" s="229"/>
      <c r="K269" s="399"/>
      <c r="L269" s="399"/>
      <c r="M269" s="399"/>
      <c r="N269" s="229"/>
      <c r="O269" s="229"/>
      <c r="P269" s="229"/>
      <c r="Q269" s="229"/>
      <c r="R269" s="229"/>
      <c r="S269" s="229"/>
      <c r="T269" s="229"/>
      <c r="U269" s="229"/>
      <c r="V269" s="400"/>
      <c r="W269" s="229"/>
      <c r="X269" s="229"/>
      <c r="Y269" s="4"/>
      <c r="Z269" s="4"/>
    </row>
    <row r="270">
      <c r="A270" s="392"/>
      <c r="B270" s="392"/>
      <c r="C270" s="392"/>
      <c r="D270" s="392"/>
      <c r="E270" s="392"/>
      <c r="F270" s="229"/>
      <c r="G270" s="229"/>
      <c r="H270" s="392"/>
      <c r="I270" s="229"/>
      <c r="J270" s="229"/>
      <c r="K270" s="399"/>
      <c r="L270" s="399"/>
      <c r="M270" s="399"/>
      <c r="N270" s="229"/>
      <c r="O270" s="229"/>
      <c r="P270" s="229"/>
      <c r="Q270" s="229"/>
      <c r="R270" s="229"/>
      <c r="S270" s="229"/>
      <c r="T270" s="229"/>
      <c r="U270" s="229"/>
      <c r="V270" s="400"/>
      <c r="W270" s="229"/>
      <c r="X270" s="229"/>
      <c r="Y270" s="4"/>
      <c r="Z270" s="4"/>
    </row>
    <row r="271">
      <c r="A271" s="392"/>
      <c r="B271" s="392"/>
      <c r="C271" s="392"/>
      <c r="D271" s="392"/>
      <c r="E271" s="392"/>
      <c r="F271" s="229"/>
      <c r="G271" s="229"/>
      <c r="H271" s="392"/>
      <c r="I271" s="229"/>
      <c r="J271" s="229"/>
      <c r="K271" s="399"/>
      <c r="L271" s="399"/>
      <c r="M271" s="399"/>
      <c r="N271" s="229"/>
      <c r="O271" s="229"/>
      <c r="P271" s="229"/>
      <c r="Q271" s="229"/>
      <c r="R271" s="229"/>
      <c r="S271" s="229"/>
      <c r="T271" s="229"/>
      <c r="U271" s="229"/>
      <c r="V271" s="400"/>
      <c r="W271" s="229"/>
      <c r="X271" s="229"/>
      <c r="Y271" s="4"/>
      <c r="Z271" s="4"/>
    </row>
    <row r="272">
      <c r="A272" s="392"/>
      <c r="B272" s="392"/>
      <c r="C272" s="392"/>
      <c r="D272" s="392"/>
      <c r="E272" s="392"/>
      <c r="F272" s="229"/>
      <c r="G272" s="229"/>
      <c r="H272" s="392"/>
      <c r="I272" s="229"/>
      <c r="J272" s="229"/>
      <c r="K272" s="399"/>
      <c r="L272" s="399"/>
      <c r="M272" s="399"/>
      <c r="N272" s="229"/>
      <c r="O272" s="229"/>
      <c r="P272" s="229"/>
      <c r="Q272" s="229"/>
      <c r="R272" s="229"/>
      <c r="S272" s="229"/>
      <c r="T272" s="229"/>
      <c r="U272" s="229"/>
      <c r="V272" s="400"/>
      <c r="W272" s="229"/>
      <c r="X272" s="229"/>
      <c r="Y272" s="4"/>
      <c r="Z272" s="4"/>
    </row>
    <row r="273">
      <c r="A273" s="392"/>
      <c r="B273" s="392"/>
      <c r="C273" s="392"/>
      <c r="D273" s="392"/>
      <c r="E273" s="392"/>
      <c r="F273" s="229"/>
      <c r="G273" s="229"/>
      <c r="H273" s="392"/>
      <c r="I273" s="229"/>
      <c r="J273" s="229"/>
      <c r="K273" s="399"/>
      <c r="L273" s="399"/>
      <c r="M273" s="399"/>
      <c r="N273" s="229"/>
      <c r="O273" s="229"/>
      <c r="P273" s="229"/>
      <c r="Q273" s="229"/>
      <c r="R273" s="229"/>
      <c r="S273" s="229"/>
      <c r="T273" s="229"/>
      <c r="U273" s="229"/>
      <c r="V273" s="400"/>
      <c r="W273" s="229"/>
      <c r="X273" s="229"/>
      <c r="Y273" s="4"/>
      <c r="Z273" s="4"/>
    </row>
    <row r="274">
      <c r="A274" s="392"/>
      <c r="B274" s="392"/>
      <c r="C274" s="392"/>
      <c r="D274" s="392"/>
      <c r="E274" s="392"/>
      <c r="F274" s="229"/>
      <c r="G274" s="229"/>
      <c r="H274" s="392"/>
      <c r="I274" s="229"/>
      <c r="J274" s="229"/>
      <c r="K274" s="399"/>
      <c r="L274" s="399"/>
      <c r="M274" s="399"/>
      <c r="N274" s="229"/>
      <c r="O274" s="229"/>
      <c r="P274" s="229"/>
      <c r="Q274" s="229"/>
      <c r="R274" s="229"/>
      <c r="S274" s="229"/>
      <c r="T274" s="229"/>
      <c r="U274" s="229"/>
      <c r="V274" s="400"/>
      <c r="W274" s="229"/>
      <c r="X274" s="229"/>
      <c r="Y274" s="4"/>
      <c r="Z274" s="4"/>
    </row>
    <row r="275">
      <c r="A275" s="392"/>
      <c r="B275" s="392"/>
      <c r="C275" s="392"/>
      <c r="D275" s="392"/>
      <c r="E275" s="392"/>
      <c r="F275" s="229"/>
      <c r="G275" s="229"/>
      <c r="H275" s="392"/>
      <c r="I275" s="229"/>
      <c r="J275" s="229"/>
      <c r="K275" s="399"/>
      <c r="L275" s="399"/>
      <c r="M275" s="399"/>
      <c r="N275" s="229"/>
      <c r="O275" s="229"/>
      <c r="P275" s="229"/>
      <c r="Q275" s="229"/>
      <c r="R275" s="229"/>
      <c r="S275" s="229"/>
      <c r="T275" s="229"/>
      <c r="U275" s="229"/>
      <c r="V275" s="400"/>
      <c r="W275" s="229"/>
      <c r="X275" s="229"/>
      <c r="Y275" s="4"/>
      <c r="Z275" s="4"/>
    </row>
    <row r="276">
      <c r="A276" s="392"/>
      <c r="B276" s="392"/>
      <c r="C276" s="392"/>
      <c r="D276" s="392"/>
      <c r="E276" s="392"/>
      <c r="F276" s="229"/>
      <c r="G276" s="229"/>
      <c r="H276" s="392"/>
      <c r="I276" s="229"/>
      <c r="J276" s="229"/>
      <c r="K276" s="399"/>
      <c r="L276" s="399"/>
      <c r="M276" s="399"/>
      <c r="N276" s="229"/>
      <c r="O276" s="229"/>
      <c r="P276" s="229"/>
      <c r="Q276" s="229"/>
      <c r="R276" s="229"/>
      <c r="S276" s="229"/>
      <c r="T276" s="229"/>
      <c r="U276" s="229"/>
      <c r="V276" s="400"/>
      <c r="W276" s="229"/>
      <c r="X276" s="229"/>
      <c r="Y276" s="4"/>
      <c r="Z276" s="4"/>
    </row>
    <row r="277">
      <c r="A277" s="392"/>
      <c r="B277" s="392"/>
      <c r="C277" s="392"/>
      <c r="D277" s="392"/>
      <c r="E277" s="392"/>
      <c r="F277" s="229"/>
      <c r="G277" s="229"/>
      <c r="H277" s="392"/>
      <c r="I277" s="229"/>
      <c r="J277" s="229"/>
      <c r="K277" s="399"/>
      <c r="L277" s="399"/>
      <c r="M277" s="399"/>
      <c r="N277" s="229"/>
      <c r="O277" s="229"/>
      <c r="P277" s="229"/>
      <c r="Q277" s="229"/>
      <c r="R277" s="229"/>
      <c r="S277" s="229"/>
      <c r="T277" s="229"/>
      <c r="U277" s="229"/>
      <c r="V277" s="400"/>
      <c r="W277" s="229"/>
      <c r="X277" s="229"/>
      <c r="Y277" s="4"/>
      <c r="Z277" s="4"/>
    </row>
    <row r="278">
      <c r="A278" s="392"/>
      <c r="B278" s="392"/>
      <c r="C278" s="392"/>
      <c r="D278" s="392"/>
      <c r="E278" s="392"/>
      <c r="F278" s="229"/>
      <c r="G278" s="229"/>
      <c r="H278" s="392"/>
      <c r="I278" s="229"/>
      <c r="J278" s="229"/>
      <c r="K278" s="399"/>
      <c r="L278" s="399"/>
      <c r="M278" s="399"/>
      <c r="N278" s="229"/>
      <c r="O278" s="229"/>
      <c r="P278" s="229"/>
      <c r="Q278" s="229"/>
      <c r="R278" s="229"/>
      <c r="S278" s="229"/>
      <c r="T278" s="229"/>
      <c r="U278" s="229"/>
      <c r="V278" s="400"/>
      <c r="W278" s="229"/>
      <c r="X278" s="229"/>
      <c r="Y278" s="4"/>
      <c r="Z278" s="4"/>
    </row>
    <row r="279">
      <c r="A279" s="392"/>
      <c r="B279" s="392"/>
      <c r="C279" s="392"/>
      <c r="D279" s="392"/>
      <c r="E279" s="392"/>
      <c r="F279" s="229"/>
      <c r="G279" s="229"/>
      <c r="H279" s="392"/>
      <c r="I279" s="229"/>
      <c r="J279" s="229"/>
      <c r="K279" s="399"/>
      <c r="L279" s="399"/>
      <c r="M279" s="399"/>
      <c r="N279" s="229"/>
      <c r="O279" s="229"/>
      <c r="P279" s="229"/>
      <c r="Q279" s="229"/>
      <c r="R279" s="229"/>
      <c r="S279" s="229"/>
      <c r="T279" s="229"/>
      <c r="U279" s="229"/>
      <c r="V279" s="400"/>
      <c r="W279" s="229"/>
      <c r="X279" s="229"/>
      <c r="Y279" s="4"/>
      <c r="Z279" s="4"/>
    </row>
    <row r="280">
      <c r="A280" s="392"/>
      <c r="B280" s="392"/>
      <c r="C280" s="392"/>
      <c r="D280" s="392"/>
      <c r="E280" s="392"/>
      <c r="F280" s="229"/>
      <c r="G280" s="229"/>
      <c r="H280" s="392"/>
      <c r="I280" s="229"/>
      <c r="J280" s="229"/>
      <c r="K280" s="399"/>
      <c r="L280" s="399"/>
      <c r="M280" s="399"/>
      <c r="N280" s="229"/>
      <c r="O280" s="229"/>
      <c r="P280" s="229"/>
      <c r="Q280" s="229"/>
      <c r="R280" s="229"/>
      <c r="S280" s="229"/>
      <c r="T280" s="229"/>
      <c r="U280" s="229"/>
      <c r="V280" s="400"/>
      <c r="W280" s="229"/>
      <c r="X280" s="229"/>
      <c r="Y280" s="4"/>
      <c r="Z280" s="4"/>
    </row>
    <row r="281">
      <c r="A281" s="392"/>
      <c r="B281" s="392"/>
      <c r="C281" s="392"/>
      <c r="D281" s="392"/>
      <c r="E281" s="392"/>
      <c r="F281" s="229"/>
      <c r="G281" s="229"/>
      <c r="H281" s="392"/>
      <c r="I281" s="229"/>
      <c r="J281" s="229"/>
      <c r="K281" s="399"/>
      <c r="L281" s="399"/>
      <c r="M281" s="399"/>
      <c r="N281" s="229"/>
      <c r="O281" s="229"/>
      <c r="P281" s="229"/>
      <c r="Q281" s="229"/>
      <c r="R281" s="229"/>
      <c r="S281" s="229"/>
      <c r="T281" s="229"/>
      <c r="U281" s="229"/>
      <c r="V281" s="400"/>
      <c r="W281" s="229"/>
      <c r="X281" s="229"/>
      <c r="Y281" s="4"/>
      <c r="Z281" s="4"/>
    </row>
    <row r="282">
      <c r="A282" s="392"/>
      <c r="B282" s="392"/>
      <c r="C282" s="392"/>
      <c r="D282" s="392"/>
      <c r="E282" s="392"/>
      <c r="F282" s="229"/>
      <c r="G282" s="229"/>
      <c r="H282" s="392"/>
      <c r="I282" s="229"/>
      <c r="J282" s="229"/>
      <c r="K282" s="399"/>
      <c r="L282" s="399"/>
      <c r="M282" s="399"/>
      <c r="N282" s="229"/>
      <c r="O282" s="229"/>
      <c r="P282" s="229"/>
      <c r="Q282" s="229"/>
      <c r="R282" s="229"/>
      <c r="S282" s="229"/>
      <c r="T282" s="229"/>
      <c r="U282" s="229"/>
      <c r="V282" s="400"/>
      <c r="W282" s="229"/>
      <c r="X282" s="229"/>
      <c r="Y282" s="4"/>
      <c r="Z282" s="4"/>
    </row>
    <row r="283">
      <c r="A283" s="392"/>
      <c r="B283" s="392"/>
      <c r="C283" s="392"/>
      <c r="D283" s="392"/>
      <c r="E283" s="392"/>
      <c r="F283" s="229"/>
      <c r="G283" s="229"/>
      <c r="H283" s="392"/>
      <c r="I283" s="229"/>
      <c r="J283" s="229"/>
      <c r="K283" s="399"/>
      <c r="L283" s="399"/>
      <c r="M283" s="399"/>
      <c r="N283" s="229"/>
      <c r="O283" s="229"/>
      <c r="P283" s="229"/>
      <c r="Q283" s="229"/>
      <c r="R283" s="229"/>
      <c r="S283" s="229"/>
      <c r="T283" s="229"/>
      <c r="U283" s="229"/>
      <c r="V283" s="400"/>
      <c r="W283" s="229"/>
      <c r="X283" s="229"/>
      <c r="Y283" s="4"/>
      <c r="Z283" s="4"/>
    </row>
    <row r="284">
      <c r="A284" s="392"/>
      <c r="B284" s="392"/>
      <c r="C284" s="392"/>
      <c r="D284" s="392"/>
      <c r="E284" s="392"/>
      <c r="F284" s="229"/>
      <c r="G284" s="229"/>
      <c r="H284" s="392"/>
      <c r="I284" s="229"/>
      <c r="J284" s="229"/>
      <c r="K284" s="399"/>
      <c r="L284" s="399"/>
      <c r="M284" s="399"/>
      <c r="N284" s="229"/>
      <c r="O284" s="229"/>
      <c r="P284" s="229"/>
      <c r="Q284" s="229"/>
      <c r="R284" s="229"/>
      <c r="S284" s="229"/>
      <c r="T284" s="229"/>
      <c r="U284" s="229"/>
      <c r="V284" s="400"/>
      <c r="W284" s="229"/>
      <c r="X284" s="229"/>
      <c r="Y284" s="4"/>
      <c r="Z284" s="4"/>
    </row>
    <row r="285">
      <c r="A285" s="392"/>
      <c r="B285" s="392"/>
      <c r="C285" s="392"/>
      <c r="D285" s="392"/>
      <c r="E285" s="392"/>
      <c r="F285" s="229"/>
      <c r="G285" s="229"/>
      <c r="H285" s="392"/>
      <c r="I285" s="229"/>
      <c r="J285" s="229"/>
      <c r="K285" s="399"/>
      <c r="L285" s="399"/>
      <c r="M285" s="399"/>
      <c r="N285" s="229"/>
      <c r="O285" s="229"/>
      <c r="P285" s="229"/>
      <c r="Q285" s="229"/>
      <c r="R285" s="229"/>
      <c r="S285" s="229"/>
      <c r="T285" s="229"/>
      <c r="U285" s="229"/>
      <c r="V285" s="400"/>
      <c r="W285" s="229"/>
      <c r="X285" s="229"/>
      <c r="Y285" s="4"/>
      <c r="Z285" s="4"/>
    </row>
    <row r="286">
      <c r="A286" s="392"/>
      <c r="B286" s="392"/>
      <c r="C286" s="392"/>
      <c r="D286" s="392"/>
      <c r="E286" s="392"/>
      <c r="F286" s="229"/>
      <c r="G286" s="229"/>
      <c r="H286" s="392"/>
      <c r="I286" s="229"/>
      <c r="J286" s="229"/>
      <c r="K286" s="399"/>
      <c r="L286" s="399"/>
      <c r="M286" s="399"/>
      <c r="N286" s="229"/>
      <c r="O286" s="229"/>
      <c r="P286" s="229"/>
      <c r="Q286" s="229"/>
      <c r="R286" s="229"/>
      <c r="S286" s="229"/>
      <c r="T286" s="229"/>
      <c r="U286" s="229"/>
      <c r="V286" s="400"/>
      <c r="W286" s="229"/>
      <c r="X286" s="229"/>
      <c r="Y286" s="4"/>
      <c r="Z286" s="4"/>
    </row>
    <row r="287">
      <c r="A287" s="392"/>
      <c r="B287" s="392"/>
      <c r="C287" s="392"/>
      <c r="D287" s="392"/>
      <c r="E287" s="392"/>
      <c r="F287" s="229"/>
      <c r="G287" s="229"/>
      <c r="H287" s="392"/>
      <c r="I287" s="229"/>
      <c r="J287" s="229"/>
      <c r="K287" s="399"/>
      <c r="L287" s="399"/>
      <c r="M287" s="399"/>
      <c r="N287" s="229"/>
      <c r="O287" s="229"/>
      <c r="P287" s="229"/>
      <c r="Q287" s="229"/>
      <c r="R287" s="229"/>
      <c r="S287" s="229"/>
      <c r="T287" s="229"/>
      <c r="U287" s="229"/>
      <c r="V287" s="400"/>
      <c r="W287" s="229"/>
      <c r="X287" s="229"/>
      <c r="Y287" s="4"/>
      <c r="Z287" s="4"/>
    </row>
    <row r="288">
      <c r="A288" s="392"/>
      <c r="B288" s="392"/>
      <c r="C288" s="392"/>
      <c r="D288" s="392"/>
      <c r="E288" s="392"/>
      <c r="F288" s="229"/>
      <c r="G288" s="229"/>
      <c r="H288" s="392"/>
      <c r="I288" s="229"/>
      <c r="J288" s="229"/>
      <c r="K288" s="399"/>
      <c r="L288" s="399"/>
      <c r="M288" s="399"/>
      <c r="N288" s="229"/>
      <c r="O288" s="229"/>
      <c r="P288" s="229"/>
      <c r="Q288" s="229"/>
      <c r="R288" s="229"/>
      <c r="S288" s="229"/>
      <c r="T288" s="229"/>
      <c r="U288" s="229"/>
      <c r="V288" s="400"/>
      <c r="W288" s="229"/>
      <c r="X288" s="229"/>
      <c r="Y288" s="4"/>
      <c r="Z288" s="4"/>
    </row>
    <row r="289">
      <c r="A289" s="392"/>
      <c r="B289" s="392"/>
      <c r="C289" s="392"/>
      <c r="D289" s="392"/>
      <c r="E289" s="392"/>
      <c r="F289" s="229"/>
      <c r="G289" s="229"/>
      <c r="H289" s="392"/>
      <c r="I289" s="229"/>
      <c r="J289" s="229"/>
      <c r="K289" s="399"/>
      <c r="L289" s="399"/>
      <c r="M289" s="399"/>
      <c r="N289" s="229"/>
      <c r="O289" s="229"/>
      <c r="P289" s="229"/>
      <c r="Q289" s="229"/>
      <c r="R289" s="229"/>
      <c r="S289" s="229"/>
      <c r="T289" s="229"/>
      <c r="U289" s="229"/>
      <c r="V289" s="400"/>
      <c r="W289" s="229"/>
      <c r="X289" s="229"/>
      <c r="Y289" s="4"/>
      <c r="Z289" s="4"/>
    </row>
    <row r="290">
      <c r="A290" s="392"/>
      <c r="B290" s="392"/>
      <c r="C290" s="392"/>
      <c r="D290" s="392"/>
      <c r="E290" s="392"/>
      <c r="F290" s="229"/>
      <c r="G290" s="229"/>
      <c r="H290" s="392"/>
      <c r="I290" s="229"/>
      <c r="J290" s="229"/>
      <c r="K290" s="399"/>
      <c r="L290" s="399"/>
      <c r="M290" s="399"/>
      <c r="N290" s="229"/>
      <c r="O290" s="229"/>
      <c r="P290" s="229"/>
      <c r="Q290" s="229"/>
      <c r="R290" s="229"/>
      <c r="S290" s="229"/>
      <c r="T290" s="229"/>
      <c r="U290" s="229"/>
      <c r="V290" s="400"/>
      <c r="W290" s="229"/>
      <c r="X290" s="229"/>
      <c r="Y290" s="4"/>
      <c r="Z290" s="4"/>
    </row>
    <row r="291">
      <c r="A291" s="392"/>
      <c r="B291" s="392"/>
      <c r="C291" s="392"/>
      <c r="D291" s="392"/>
      <c r="E291" s="392"/>
      <c r="F291" s="229"/>
      <c r="G291" s="229"/>
      <c r="H291" s="392"/>
      <c r="I291" s="229"/>
      <c r="J291" s="229"/>
      <c r="K291" s="399"/>
      <c r="L291" s="399"/>
      <c r="M291" s="399"/>
      <c r="N291" s="229"/>
      <c r="O291" s="229"/>
      <c r="P291" s="229"/>
      <c r="Q291" s="229"/>
      <c r="R291" s="229"/>
      <c r="S291" s="229"/>
      <c r="T291" s="229"/>
      <c r="U291" s="229"/>
      <c r="V291" s="400"/>
      <c r="W291" s="229"/>
      <c r="X291" s="229"/>
      <c r="Y291" s="4"/>
      <c r="Z291" s="4"/>
    </row>
    <row r="292">
      <c r="A292" s="392"/>
      <c r="B292" s="392"/>
      <c r="C292" s="392"/>
      <c r="D292" s="392"/>
      <c r="E292" s="392"/>
      <c r="F292" s="229"/>
      <c r="G292" s="229"/>
      <c r="H292" s="392"/>
      <c r="I292" s="229"/>
      <c r="J292" s="229"/>
      <c r="K292" s="399"/>
      <c r="L292" s="399"/>
      <c r="M292" s="399"/>
      <c r="N292" s="229"/>
      <c r="O292" s="229"/>
      <c r="P292" s="229"/>
      <c r="Q292" s="229"/>
      <c r="R292" s="229"/>
      <c r="S292" s="229"/>
      <c r="T292" s="229"/>
      <c r="U292" s="229"/>
      <c r="V292" s="400"/>
      <c r="W292" s="229"/>
      <c r="X292" s="229"/>
      <c r="Y292" s="4"/>
      <c r="Z292" s="4"/>
    </row>
    <row r="293">
      <c r="A293" s="392"/>
      <c r="B293" s="392"/>
      <c r="C293" s="392"/>
      <c r="D293" s="392"/>
      <c r="E293" s="392"/>
      <c r="F293" s="229"/>
      <c r="G293" s="229"/>
      <c r="H293" s="392"/>
      <c r="I293" s="229"/>
      <c r="J293" s="229"/>
      <c r="K293" s="399"/>
      <c r="L293" s="399"/>
      <c r="M293" s="399"/>
      <c r="N293" s="229"/>
      <c r="O293" s="229"/>
      <c r="P293" s="229"/>
      <c r="Q293" s="229"/>
      <c r="R293" s="229"/>
      <c r="S293" s="229"/>
      <c r="T293" s="229"/>
      <c r="U293" s="229"/>
      <c r="V293" s="400"/>
      <c r="W293" s="229"/>
      <c r="X293" s="229"/>
      <c r="Y293" s="4"/>
      <c r="Z293" s="4"/>
    </row>
    <row r="294">
      <c r="A294" s="392"/>
      <c r="B294" s="392"/>
      <c r="C294" s="392"/>
      <c r="D294" s="392"/>
      <c r="E294" s="392"/>
      <c r="F294" s="229"/>
      <c r="G294" s="229"/>
      <c r="H294" s="392"/>
      <c r="I294" s="229"/>
      <c r="J294" s="229"/>
      <c r="K294" s="399"/>
      <c r="L294" s="399"/>
      <c r="M294" s="399"/>
      <c r="N294" s="229"/>
      <c r="O294" s="229"/>
      <c r="P294" s="229"/>
      <c r="Q294" s="229"/>
      <c r="R294" s="229"/>
      <c r="S294" s="229"/>
      <c r="T294" s="229"/>
      <c r="U294" s="229"/>
      <c r="V294" s="400"/>
      <c r="W294" s="229"/>
      <c r="X294" s="229"/>
      <c r="Y294" s="4"/>
      <c r="Z294" s="4"/>
    </row>
    <row r="295">
      <c r="A295" s="392"/>
      <c r="B295" s="392"/>
      <c r="C295" s="392"/>
      <c r="D295" s="392"/>
      <c r="E295" s="392"/>
      <c r="F295" s="229"/>
      <c r="G295" s="229"/>
      <c r="H295" s="392"/>
      <c r="I295" s="229"/>
      <c r="J295" s="229"/>
      <c r="K295" s="399"/>
      <c r="L295" s="399"/>
      <c r="M295" s="399"/>
      <c r="N295" s="229"/>
      <c r="O295" s="229"/>
      <c r="P295" s="229"/>
      <c r="Q295" s="229"/>
      <c r="R295" s="229"/>
      <c r="S295" s="229"/>
      <c r="T295" s="229"/>
      <c r="U295" s="229"/>
      <c r="V295" s="400"/>
      <c r="W295" s="229"/>
      <c r="X295" s="229"/>
      <c r="Y295" s="4"/>
      <c r="Z295" s="4"/>
    </row>
    <row r="296">
      <c r="A296" s="392"/>
      <c r="B296" s="392"/>
      <c r="C296" s="392"/>
      <c r="D296" s="392"/>
      <c r="E296" s="392"/>
      <c r="F296" s="229"/>
      <c r="G296" s="229"/>
      <c r="H296" s="392"/>
      <c r="I296" s="229"/>
      <c r="J296" s="229"/>
      <c r="K296" s="399"/>
      <c r="L296" s="399"/>
      <c r="M296" s="399"/>
      <c r="N296" s="229"/>
      <c r="O296" s="229"/>
      <c r="P296" s="229"/>
      <c r="Q296" s="229"/>
      <c r="R296" s="229"/>
      <c r="S296" s="229"/>
      <c r="T296" s="229"/>
      <c r="U296" s="229"/>
      <c r="V296" s="400"/>
      <c r="W296" s="229"/>
      <c r="X296" s="229"/>
      <c r="Y296" s="4"/>
      <c r="Z296" s="4"/>
    </row>
    <row r="297">
      <c r="A297" s="392"/>
      <c r="B297" s="392"/>
      <c r="C297" s="392"/>
      <c r="D297" s="392"/>
      <c r="E297" s="392"/>
      <c r="F297" s="229"/>
      <c r="G297" s="229"/>
      <c r="H297" s="392"/>
      <c r="I297" s="229"/>
      <c r="J297" s="229"/>
      <c r="K297" s="399"/>
      <c r="L297" s="399"/>
      <c r="M297" s="399"/>
      <c r="N297" s="229"/>
      <c r="O297" s="229"/>
      <c r="P297" s="229"/>
      <c r="Q297" s="229"/>
      <c r="R297" s="229"/>
      <c r="S297" s="229"/>
      <c r="T297" s="229"/>
      <c r="U297" s="229"/>
      <c r="V297" s="400"/>
      <c r="W297" s="229"/>
      <c r="X297" s="229"/>
      <c r="Y297" s="4"/>
      <c r="Z297" s="4"/>
    </row>
    <row r="298">
      <c r="A298" s="392"/>
      <c r="B298" s="392"/>
      <c r="C298" s="392"/>
      <c r="D298" s="392"/>
      <c r="E298" s="392"/>
      <c r="F298" s="229"/>
      <c r="G298" s="229"/>
      <c r="H298" s="392"/>
      <c r="I298" s="229"/>
      <c r="J298" s="229"/>
      <c r="K298" s="399"/>
      <c r="L298" s="399"/>
      <c r="M298" s="399"/>
      <c r="N298" s="229"/>
      <c r="O298" s="229"/>
      <c r="P298" s="229"/>
      <c r="Q298" s="229"/>
      <c r="R298" s="229"/>
      <c r="S298" s="229"/>
      <c r="T298" s="229"/>
      <c r="U298" s="229"/>
      <c r="V298" s="400"/>
      <c r="W298" s="229"/>
      <c r="X298" s="229"/>
      <c r="Y298" s="4"/>
      <c r="Z298" s="4"/>
    </row>
    <row r="299">
      <c r="A299" s="392"/>
      <c r="B299" s="392"/>
      <c r="C299" s="392"/>
      <c r="D299" s="392"/>
      <c r="E299" s="392"/>
      <c r="F299" s="229"/>
      <c r="G299" s="229"/>
      <c r="H299" s="392"/>
      <c r="I299" s="229"/>
      <c r="J299" s="229"/>
      <c r="K299" s="399"/>
      <c r="L299" s="399"/>
      <c r="M299" s="399"/>
      <c r="N299" s="229"/>
      <c r="O299" s="229"/>
      <c r="P299" s="229"/>
      <c r="Q299" s="229"/>
      <c r="R299" s="229"/>
      <c r="S299" s="229"/>
      <c r="T299" s="229"/>
      <c r="U299" s="229"/>
      <c r="V299" s="400"/>
      <c r="W299" s="229"/>
      <c r="X299" s="229"/>
      <c r="Y299" s="4"/>
      <c r="Z299" s="4"/>
    </row>
    <row r="300">
      <c r="A300" s="392"/>
      <c r="B300" s="392"/>
      <c r="C300" s="392"/>
      <c r="D300" s="392"/>
      <c r="E300" s="392"/>
      <c r="F300" s="229"/>
      <c r="G300" s="229"/>
      <c r="H300" s="392"/>
      <c r="I300" s="229"/>
      <c r="J300" s="229"/>
      <c r="K300" s="399"/>
      <c r="L300" s="399"/>
      <c r="M300" s="399"/>
      <c r="N300" s="229"/>
      <c r="O300" s="229"/>
      <c r="P300" s="229"/>
      <c r="Q300" s="229"/>
      <c r="R300" s="229"/>
      <c r="S300" s="229"/>
      <c r="T300" s="229"/>
      <c r="U300" s="229"/>
      <c r="V300" s="400"/>
      <c r="W300" s="229"/>
      <c r="X300" s="229"/>
      <c r="Y300" s="4"/>
      <c r="Z300" s="4"/>
    </row>
    <row r="301">
      <c r="A301" s="392"/>
      <c r="B301" s="392"/>
      <c r="C301" s="392"/>
      <c r="D301" s="392"/>
      <c r="E301" s="392"/>
      <c r="F301" s="229"/>
      <c r="G301" s="229"/>
      <c r="H301" s="392"/>
      <c r="I301" s="229"/>
      <c r="J301" s="229"/>
      <c r="K301" s="399"/>
      <c r="L301" s="399"/>
      <c r="M301" s="399"/>
      <c r="N301" s="229"/>
      <c r="O301" s="229"/>
      <c r="P301" s="229"/>
      <c r="Q301" s="229"/>
      <c r="R301" s="229"/>
      <c r="S301" s="229"/>
      <c r="T301" s="229"/>
      <c r="U301" s="229"/>
      <c r="V301" s="400"/>
      <c r="W301" s="229"/>
      <c r="X301" s="229"/>
      <c r="Y301" s="4"/>
      <c r="Z301" s="4"/>
    </row>
    <row r="302">
      <c r="A302" s="392"/>
      <c r="B302" s="392"/>
      <c r="C302" s="392"/>
      <c r="D302" s="392"/>
      <c r="E302" s="392"/>
      <c r="F302" s="229"/>
      <c r="G302" s="229"/>
      <c r="H302" s="392"/>
      <c r="I302" s="229"/>
      <c r="J302" s="229"/>
      <c r="K302" s="399"/>
      <c r="L302" s="399"/>
      <c r="M302" s="399"/>
      <c r="N302" s="229"/>
      <c r="O302" s="229"/>
      <c r="P302" s="229"/>
      <c r="Q302" s="229"/>
      <c r="R302" s="229"/>
      <c r="S302" s="229"/>
      <c r="T302" s="229"/>
      <c r="U302" s="229"/>
      <c r="V302" s="400"/>
      <c r="W302" s="229"/>
      <c r="X302" s="229"/>
      <c r="Y302" s="4"/>
      <c r="Z302" s="4"/>
    </row>
    <row r="303">
      <c r="A303" s="392"/>
      <c r="B303" s="392"/>
      <c r="C303" s="392"/>
      <c r="D303" s="392"/>
      <c r="E303" s="392"/>
      <c r="F303" s="229"/>
      <c r="G303" s="229"/>
      <c r="H303" s="392"/>
      <c r="I303" s="229"/>
      <c r="J303" s="229"/>
      <c r="K303" s="399"/>
      <c r="L303" s="399"/>
      <c r="M303" s="399"/>
      <c r="N303" s="229"/>
      <c r="O303" s="229"/>
      <c r="P303" s="229"/>
      <c r="Q303" s="229"/>
      <c r="R303" s="229"/>
      <c r="S303" s="229"/>
      <c r="T303" s="229"/>
      <c r="U303" s="229"/>
      <c r="V303" s="400"/>
      <c r="W303" s="229"/>
      <c r="X303" s="229"/>
      <c r="Y303" s="4"/>
      <c r="Z303" s="4"/>
    </row>
    <row r="304">
      <c r="A304" s="392"/>
      <c r="B304" s="392"/>
      <c r="C304" s="392"/>
      <c r="D304" s="392"/>
      <c r="E304" s="392"/>
      <c r="F304" s="229"/>
      <c r="G304" s="229"/>
      <c r="H304" s="392"/>
      <c r="I304" s="229"/>
      <c r="J304" s="229"/>
      <c r="K304" s="399"/>
      <c r="L304" s="399"/>
      <c r="M304" s="399"/>
      <c r="N304" s="229"/>
      <c r="O304" s="229"/>
      <c r="P304" s="229"/>
      <c r="Q304" s="229"/>
      <c r="R304" s="229"/>
      <c r="S304" s="229"/>
      <c r="T304" s="229"/>
      <c r="U304" s="229"/>
      <c r="V304" s="400"/>
      <c r="W304" s="229"/>
      <c r="X304" s="229"/>
      <c r="Y304" s="4"/>
      <c r="Z304" s="4"/>
    </row>
    <row r="305">
      <c r="A305" s="392"/>
      <c r="B305" s="392"/>
      <c r="C305" s="392"/>
      <c r="D305" s="392"/>
      <c r="E305" s="392"/>
      <c r="F305" s="229"/>
      <c r="G305" s="229"/>
      <c r="H305" s="392"/>
      <c r="I305" s="229"/>
      <c r="J305" s="229"/>
      <c r="K305" s="399"/>
      <c r="L305" s="399"/>
      <c r="M305" s="399"/>
      <c r="N305" s="229"/>
      <c r="O305" s="229"/>
      <c r="P305" s="229"/>
      <c r="Q305" s="229"/>
      <c r="R305" s="229"/>
      <c r="S305" s="229"/>
      <c r="T305" s="229"/>
      <c r="U305" s="229"/>
      <c r="V305" s="400"/>
      <c r="W305" s="229"/>
      <c r="X305" s="229"/>
      <c r="Y305" s="4"/>
      <c r="Z305" s="4"/>
    </row>
    <row r="306">
      <c r="A306" s="392"/>
      <c r="B306" s="392"/>
      <c r="C306" s="392"/>
      <c r="D306" s="392"/>
      <c r="E306" s="392"/>
      <c r="F306" s="229"/>
      <c r="G306" s="229"/>
      <c r="H306" s="392"/>
      <c r="I306" s="229"/>
      <c r="J306" s="229"/>
      <c r="K306" s="399"/>
      <c r="L306" s="399"/>
      <c r="M306" s="399"/>
      <c r="N306" s="229"/>
      <c r="O306" s="229"/>
      <c r="P306" s="229"/>
      <c r="Q306" s="229"/>
      <c r="R306" s="229"/>
      <c r="S306" s="229"/>
      <c r="T306" s="229"/>
      <c r="U306" s="229"/>
      <c r="V306" s="400"/>
      <c r="W306" s="229"/>
      <c r="X306" s="229"/>
      <c r="Y306" s="4"/>
      <c r="Z306" s="4"/>
    </row>
    <row r="307">
      <c r="A307" s="392"/>
      <c r="B307" s="392"/>
      <c r="C307" s="392"/>
      <c r="D307" s="392"/>
      <c r="E307" s="392"/>
      <c r="F307" s="229"/>
      <c r="G307" s="229"/>
      <c r="H307" s="392"/>
      <c r="I307" s="229"/>
      <c r="J307" s="229"/>
      <c r="K307" s="399"/>
      <c r="L307" s="399"/>
      <c r="M307" s="399"/>
      <c r="N307" s="229"/>
      <c r="O307" s="229"/>
      <c r="P307" s="229"/>
      <c r="Q307" s="229"/>
      <c r="R307" s="229"/>
      <c r="S307" s="229"/>
      <c r="T307" s="229"/>
      <c r="U307" s="229"/>
      <c r="V307" s="400"/>
      <c r="W307" s="229"/>
      <c r="X307" s="229"/>
      <c r="Y307" s="4"/>
      <c r="Z307" s="4"/>
    </row>
    <row r="308">
      <c r="A308" s="392"/>
      <c r="B308" s="392"/>
      <c r="C308" s="392"/>
      <c r="D308" s="392"/>
      <c r="E308" s="392"/>
      <c r="F308" s="229"/>
      <c r="G308" s="229"/>
      <c r="H308" s="392"/>
      <c r="I308" s="229"/>
      <c r="J308" s="229"/>
      <c r="K308" s="399"/>
      <c r="L308" s="399"/>
      <c r="M308" s="399"/>
      <c r="N308" s="229"/>
      <c r="O308" s="229"/>
      <c r="P308" s="229"/>
      <c r="Q308" s="229"/>
      <c r="R308" s="229"/>
      <c r="S308" s="229"/>
      <c r="T308" s="229"/>
      <c r="U308" s="229"/>
      <c r="V308" s="400"/>
      <c r="W308" s="229"/>
      <c r="X308" s="229"/>
      <c r="Y308" s="4"/>
      <c r="Z308" s="4"/>
    </row>
    <row r="309">
      <c r="A309" s="392"/>
      <c r="B309" s="392"/>
      <c r="C309" s="392"/>
      <c r="D309" s="392"/>
      <c r="E309" s="392"/>
      <c r="F309" s="229"/>
      <c r="G309" s="229"/>
      <c r="H309" s="392"/>
      <c r="I309" s="229"/>
      <c r="J309" s="229"/>
      <c r="K309" s="399"/>
      <c r="L309" s="399"/>
      <c r="M309" s="399"/>
      <c r="N309" s="229"/>
      <c r="O309" s="229"/>
      <c r="P309" s="229"/>
      <c r="Q309" s="229"/>
      <c r="R309" s="229"/>
      <c r="S309" s="229"/>
      <c r="T309" s="229"/>
      <c r="U309" s="229"/>
      <c r="V309" s="400"/>
      <c r="W309" s="229"/>
      <c r="X309" s="229"/>
      <c r="Y309" s="4"/>
      <c r="Z309" s="4"/>
    </row>
    <row r="310">
      <c r="A310" s="392"/>
      <c r="B310" s="392"/>
      <c r="C310" s="392"/>
      <c r="D310" s="392"/>
      <c r="E310" s="392"/>
      <c r="F310" s="229"/>
      <c r="G310" s="229"/>
      <c r="H310" s="392"/>
      <c r="I310" s="229"/>
      <c r="J310" s="229"/>
      <c r="K310" s="399"/>
      <c r="L310" s="399"/>
      <c r="M310" s="399"/>
      <c r="N310" s="229"/>
      <c r="O310" s="229"/>
      <c r="P310" s="229"/>
      <c r="Q310" s="229"/>
      <c r="R310" s="229"/>
      <c r="S310" s="229"/>
      <c r="T310" s="229"/>
      <c r="U310" s="229"/>
      <c r="V310" s="400"/>
      <c r="W310" s="229"/>
      <c r="X310" s="229"/>
      <c r="Y310" s="4"/>
      <c r="Z310" s="4"/>
    </row>
    <row r="311">
      <c r="A311" s="392"/>
      <c r="B311" s="392"/>
      <c r="C311" s="392"/>
      <c r="D311" s="392"/>
      <c r="E311" s="392"/>
      <c r="F311" s="229"/>
      <c r="G311" s="229"/>
      <c r="H311" s="392"/>
      <c r="I311" s="229"/>
      <c r="J311" s="229"/>
      <c r="K311" s="399"/>
      <c r="L311" s="399"/>
      <c r="M311" s="399"/>
      <c r="N311" s="229"/>
      <c r="O311" s="229"/>
      <c r="P311" s="229"/>
      <c r="Q311" s="229"/>
      <c r="R311" s="229"/>
      <c r="S311" s="229"/>
      <c r="T311" s="229"/>
      <c r="U311" s="229"/>
      <c r="V311" s="400"/>
      <c r="W311" s="229"/>
      <c r="X311" s="229"/>
      <c r="Y311" s="4"/>
      <c r="Z311" s="4"/>
    </row>
    <row r="312">
      <c r="A312" s="392"/>
      <c r="B312" s="392"/>
      <c r="C312" s="392"/>
      <c r="D312" s="392"/>
      <c r="E312" s="392"/>
      <c r="F312" s="229"/>
      <c r="G312" s="229"/>
      <c r="H312" s="392"/>
      <c r="I312" s="229"/>
      <c r="J312" s="229"/>
      <c r="K312" s="399"/>
      <c r="L312" s="399"/>
      <c r="M312" s="399"/>
      <c r="N312" s="229"/>
      <c r="O312" s="229"/>
      <c r="P312" s="229"/>
      <c r="Q312" s="229"/>
      <c r="R312" s="229"/>
      <c r="S312" s="229"/>
      <c r="T312" s="229"/>
      <c r="U312" s="229"/>
      <c r="V312" s="400"/>
      <c r="W312" s="229"/>
      <c r="X312" s="229"/>
      <c r="Y312" s="4"/>
      <c r="Z312" s="4"/>
    </row>
    <row r="313">
      <c r="A313" s="392"/>
      <c r="B313" s="392"/>
      <c r="C313" s="392"/>
      <c r="D313" s="392"/>
      <c r="E313" s="392"/>
      <c r="F313" s="229"/>
      <c r="G313" s="229"/>
      <c r="H313" s="392"/>
      <c r="I313" s="229"/>
      <c r="J313" s="229"/>
      <c r="K313" s="399"/>
      <c r="L313" s="399"/>
      <c r="M313" s="399"/>
      <c r="N313" s="229"/>
      <c r="O313" s="229"/>
      <c r="P313" s="229"/>
      <c r="Q313" s="229"/>
      <c r="R313" s="229"/>
      <c r="S313" s="229"/>
      <c r="T313" s="229"/>
      <c r="U313" s="229"/>
      <c r="V313" s="400"/>
      <c r="W313" s="229"/>
      <c r="X313" s="229"/>
      <c r="Y313" s="4"/>
      <c r="Z313" s="4"/>
    </row>
    <row r="314">
      <c r="A314" s="392"/>
      <c r="B314" s="392"/>
      <c r="C314" s="392"/>
      <c r="D314" s="392"/>
      <c r="E314" s="392"/>
      <c r="F314" s="229"/>
      <c r="G314" s="229"/>
      <c r="H314" s="392"/>
      <c r="I314" s="229"/>
      <c r="J314" s="229"/>
      <c r="K314" s="399"/>
      <c r="L314" s="399"/>
      <c r="M314" s="399"/>
      <c r="N314" s="229"/>
      <c r="O314" s="229"/>
      <c r="P314" s="229"/>
      <c r="Q314" s="229"/>
      <c r="R314" s="229"/>
      <c r="S314" s="229"/>
      <c r="T314" s="229"/>
      <c r="U314" s="229"/>
      <c r="V314" s="400"/>
      <c r="W314" s="229"/>
      <c r="X314" s="229"/>
      <c r="Y314" s="4"/>
      <c r="Z314" s="4"/>
    </row>
    <row r="315">
      <c r="A315" s="392"/>
      <c r="B315" s="392"/>
      <c r="C315" s="392"/>
      <c r="D315" s="392"/>
      <c r="E315" s="392"/>
      <c r="F315" s="229"/>
      <c r="G315" s="229"/>
      <c r="H315" s="392"/>
      <c r="I315" s="229"/>
      <c r="J315" s="229"/>
      <c r="K315" s="399"/>
      <c r="L315" s="399"/>
      <c r="M315" s="399"/>
      <c r="N315" s="229"/>
      <c r="O315" s="229"/>
      <c r="P315" s="229"/>
      <c r="Q315" s="229"/>
      <c r="R315" s="229"/>
      <c r="S315" s="229"/>
      <c r="T315" s="229"/>
      <c r="U315" s="229"/>
      <c r="V315" s="400"/>
      <c r="W315" s="229"/>
      <c r="X315" s="229"/>
      <c r="Y315" s="4"/>
      <c r="Z315" s="4"/>
    </row>
    <row r="316">
      <c r="A316" s="392"/>
      <c r="B316" s="392"/>
      <c r="C316" s="392"/>
      <c r="D316" s="392"/>
      <c r="E316" s="392"/>
      <c r="F316" s="229"/>
      <c r="G316" s="229"/>
      <c r="H316" s="392"/>
      <c r="I316" s="229"/>
      <c r="J316" s="229"/>
      <c r="K316" s="399"/>
      <c r="L316" s="399"/>
      <c r="M316" s="399"/>
      <c r="N316" s="229"/>
      <c r="O316" s="229"/>
      <c r="P316" s="229"/>
      <c r="Q316" s="229"/>
      <c r="R316" s="229"/>
      <c r="S316" s="229"/>
      <c r="T316" s="229"/>
      <c r="U316" s="229"/>
      <c r="V316" s="400"/>
      <c r="W316" s="229"/>
      <c r="X316" s="229"/>
      <c r="Y316" s="4"/>
      <c r="Z316" s="4"/>
    </row>
    <row r="317">
      <c r="A317" s="392"/>
      <c r="B317" s="392"/>
      <c r="C317" s="392"/>
      <c r="D317" s="392"/>
      <c r="E317" s="392"/>
      <c r="F317" s="229"/>
      <c r="G317" s="229"/>
      <c r="H317" s="392"/>
      <c r="I317" s="229"/>
      <c r="J317" s="229"/>
      <c r="K317" s="399"/>
      <c r="L317" s="399"/>
      <c r="M317" s="399"/>
      <c r="N317" s="229"/>
      <c r="O317" s="229"/>
      <c r="P317" s="229"/>
      <c r="Q317" s="229"/>
      <c r="R317" s="229"/>
      <c r="S317" s="229"/>
      <c r="T317" s="229"/>
      <c r="U317" s="229"/>
      <c r="V317" s="400"/>
      <c r="W317" s="229"/>
      <c r="X317" s="229"/>
      <c r="Y317" s="4"/>
      <c r="Z317" s="4"/>
    </row>
    <row r="318">
      <c r="A318" s="392"/>
      <c r="B318" s="392"/>
      <c r="C318" s="392"/>
      <c r="D318" s="392"/>
      <c r="E318" s="392"/>
      <c r="F318" s="229"/>
      <c r="G318" s="229"/>
      <c r="H318" s="392"/>
      <c r="I318" s="229"/>
      <c r="J318" s="229"/>
      <c r="K318" s="399"/>
      <c r="L318" s="399"/>
      <c r="M318" s="399"/>
      <c r="N318" s="229"/>
      <c r="O318" s="229"/>
      <c r="P318" s="229"/>
      <c r="Q318" s="229"/>
      <c r="R318" s="229"/>
      <c r="S318" s="229"/>
      <c r="T318" s="229"/>
      <c r="U318" s="229"/>
      <c r="V318" s="400"/>
      <c r="W318" s="229"/>
      <c r="X318" s="229"/>
      <c r="Y318" s="4"/>
      <c r="Z318" s="4"/>
    </row>
    <row r="319">
      <c r="A319" s="392"/>
      <c r="B319" s="392"/>
      <c r="C319" s="392"/>
      <c r="D319" s="392"/>
      <c r="E319" s="392"/>
      <c r="F319" s="229"/>
      <c r="G319" s="229"/>
      <c r="H319" s="392"/>
      <c r="I319" s="229"/>
      <c r="J319" s="229"/>
      <c r="K319" s="399"/>
      <c r="L319" s="399"/>
      <c r="M319" s="399"/>
      <c r="N319" s="229"/>
      <c r="O319" s="229"/>
      <c r="P319" s="229"/>
      <c r="Q319" s="229"/>
      <c r="R319" s="229"/>
      <c r="S319" s="229"/>
      <c r="T319" s="229"/>
      <c r="U319" s="229"/>
      <c r="V319" s="400"/>
      <c r="W319" s="229"/>
      <c r="X319" s="229"/>
      <c r="Y319" s="4"/>
      <c r="Z319" s="4"/>
    </row>
    <row r="320">
      <c r="A320" s="392"/>
      <c r="B320" s="392"/>
      <c r="C320" s="392"/>
      <c r="D320" s="392"/>
      <c r="E320" s="392"/>
      <c r="F320" s="229"/>
      <c r="G320" s="229"/>
      <c r="H320" s="392"/>
      <c r="I320" s="229"/>
      <c r="J320" s="229"/>
      <c r="K320" s="399"/>
      <c r="L320" s="399"/>
      <c r="M320" s="399"/>
      <c r="N320" s="229"/>
      <c r="O320" s="229"/>
      <c r="P320" s="229"/>
      <c r="Q320" s="229"/>
      <c r="R320" s="229"/>
      <c r="S320" s="229"/>
      <c r="T320" s="229"/>
      <c r="U320" s="229"/>
      <c r="V320" s="400"/>
      <c r="W320" s="229"/>
      <c r="X320" s="229"/>
      <c r="Y320" s="4"/>
      <c r="Z320" s="4"/>
    </row>
    <row r="321">
      <c r="A321" s="392"/>
      <c r="B321" s="392"/>
      <c r="C321" s="392"/>
      <c r="D321" s="392"/>
      <c r="E321" s="392"/>
      <c r="F321" s="229"/>
      <c r="G321" s="229"/>
      <c r="H321" s="392"/>
      <c r="I321" s="229"/>
      <c r="J321" s="229"/>
      <c r="K321" s="399"/>
      <c r="L321" s="399"/>
      <c r="M321" s="399"/>
      <c r="N321" s="229"/>
      <c r="O321" s="229"/>
      <c r="P321" s="229"/>
      <c r="Q321" s="229"/>
      <c r="R321" s="229"/>
      <c r="S321" s="229"/>
      <c r="T321" s="229"/>
      <c r="U321" s="229"/>
      <c r="V321" s="400"/>
      <c r="W321" s="229"/>
      <c r="X321" s="229"/>
      <c r="Y321" s="4"/>
      <c r="Z321" s="4"/>
    </row>
    <row r="322">
      <c r="A322" s="392"/>
      <c r="B322" s="392"/>
      <c r="C322" s="392"/>
      <c r="D322" s="392"/>
      <c r="E322" s="392"/>
      <c r="F322" s="229"/>
      <c r="G322" s="229"/>
      <c r="H322" s="392"/>
      <c r="I322" s="229"/>
      <c r="J322" s="229"/>
      <c r="K322" s="399"/>
      <c r="L322" s="399"/>
      <c r="M322" s="399"/>
      <c r="N322" s="229"/>
      <c r="O322" s="229"/>
      <c r="P322" s="229"/>
      <c r="Q322" s="229"/>
      <c r="R322" s="229"/>
      <c r="S322" s="229"/>
      <c r="T322" s="229"/>
      <c r="U322" s="229"/>
      <c r="V322" s="400"/>
      <c r="W322" s="229"/>
      <c r="X322" s="229"/>
      <c r="Y322" s="4"/>
      <c r="Z322" s="4"/>
    </row>
    <row r="323">
      <c r="A323" s="392"/>
      <c r="B323" s="392"/>
      <c r="C323" s="392"/>
      <c r="D323" s="392"/>
      <c r="E323" s="392"/>
      <c r="F323" s="229"/>
      <c r="G323" s="229"/>
      <c r="H323" s="392"/>
      <c r="I323" s="229"/>
      <c r="J323" s="229"/>
      <c r="K323" s="399"/>
      <c r="L323" s="399"/>
      <c r="M323" s="399"/>
      <c r="N323" s="229"/>
      <c r="O323" s="229"/>
      <c r="P323" s="229"/>
      <c r="Q323" s="229"/>
      <c r="R323" s="229"/>
      <c r="S323" s="229"/>
      <c r="T323" s="229"/>
      <c r="U323" s="229"/>
      <c r="V323" s="400"/>
      <c r="W323" s="229"/>
      <c r="X323" s="229"/>
      <c r="Y323" s="4"/>
      <c r="Z323" s="4"/>
    </row>
    <row r="324">
      <c r="A324" s="392"/>
      <c r="B324" s="392"/>
      <c r="C324" s="392"/>
      <c r="D324" s="392"/>
      <c r="E324" s="392"/>
      <c r="F324" s="229"/>
      <c r="G324" s="229"/>
      <c r="H324" s="392"/>
      <c r="I324" s="229"/>
      <c r="J324" s="229"/>
      <c r="K324" s="399"/>
      <c r="L324" s="399"/>
      <c r="M324" s="399"/>
      <c r="N324" s="229"/>
      <c r="O324" s="229"/>
      <c r="P324" s="229"/>
      <c r="Q324" s="229"/>
      <c r="R324" s="229"/>
      <c r="S324" s="229"/>
      <c r="T324" s="229"/>
      <c r="U324" s="229"/>
      <c r="V324" s="400"/>
      <c r="W324" s="229"/>
      <c r="X324" s="229"/>
      <c r="Y324" s="4"/>
      <c r="Z324" s="4"/>
    </row>
    <row r="325">
      <c r="A325" s="392"/>
      <c r="B325" s="392"/>
      <c r="C325" s="392"/>
      <c r="D325" s="392"/>
      <c r="E325" s="392"/>
      <c r="F325" s="229"/>
      <c r="G325" s="229"/>
      <c r="H325" s="392"/>
      <c r="I325" s="229"/>
      <c r="J325" s="229"/>
      <c r="K325" s="399"/>
      <c r="L325" s="399"/>
      <c r="M325" s="399"/>
      <c r="N325" s="229"/>
      <c r="O325" s="229"/>
      <c r="P325" s="229"/>
      <c r="Q325" s="229"/>
      <c r="R325" s="229"/>
      <c r="S325" s="229"/>
      <c r="T325" s="229"/>
      <c r="U325" s="229"/>
      <c r="V325" s="400"/>
      <c r="W325" s="229"/>
      <c r="X325" s="229"/>
      <c r="Y325" s="4"/>
      <c r="Z325" s="4"/>
    </row>
    <row r="326">
      <c r="A326" s="392"/>
      <c r="B326" s="392"/>
      <c r="C326" s="392"/>
      <c r="D326" s="392"/>
      <c r="E326" s="392"/>
      <c r="F326" s="229"/>
      <c r="G326" s="229"/>
      <c r="H326" s="392"/>
      <c r="I326" s="229"/>
      <c r="J326" s="229"/>
      <c r="K326" s="399"/>
      <c r="L326" s="399"/>
      <c r="M326" s="399"/>
      <c r="N326" s="229"/>
      <c r="O326" s="229"/>
      <c r="P326" s="229"/>
      <c r="Q326" s="229"/>
      <c r="R326" s="229"/>
      <c r="S326" s="229"/>
      <c r="T326" s="229"/>
      <c r="U326" s="229"/>
      <c r="V326" s="400"/>
      <c r="W326" s="229"/>
      <c r="X326" s="229"/>
      <c r="Y326" s="4"/>
      <c r="Z326" s="4"/>
    </row>
    <row r="327">
      <c r="A327" s="392"/>
      <c r="B327" s="392"/>
      <c r="C327" s="392"/>
      <c r="D327" s="392"/>
      <c r="E327" s="392"/>
      <c r="F327" s="229"/>
      <c r="G327" s="229"/>
      <c r="H327" s="392"/>
      <c r="I327" s="229"/>
      <c r="J327" s="229"/>
      <c r="K327" s="399"/>
      <c r="L327" s="399"/>
      <c r="M327" s="399"/>
      <c r="N327" s="229"/>
      <c r="O327" s="229"/>
      <c r="P327" s="229"/>
      <c r="Q327" s="229"/>
      <c r="R327" s="229"/>
      <c r="S327" s="229"/>
      <c r="T327" s="229"/>
      <c r="U327" s="229"/>
      <c r="V327" s="400"/>
      <c r="W327" s="229"/>
      <c r="X327" s="229"/>
      <c r="Y327" s="4"/>
      <c r="Z327" s="4"/>
    </row>
    <row r="328">
      <c r="A328" s="392"/>
      <c r="B328" s="392"/>
      <c r="C328" s="392"/>
      <c r="D328" s="392"/>
      <c r="E328" s="392"/>
      <c r="F328" s="229"/>
      <c r="G328" s="229"/>
      <c r="H328" s="392"/>
      <c r="I328" s="229"/>
      <c r="J328" s="229"/>
      <c r="K328" s="399"/>
      <c r="L328" s="399"/>
      <c r="M328" s="399"/>
      <c r="N328" s="229"/>
      <c r="O328" s="229"/>
      <c r="P328" s="229"/>
      <c r="Q328" s="229"/>
      <c r="R328" s="229"/>
      <c r="S328" s="229"/>
      <c r="T328" s="229"/>
      <c r="U328" s="229"/>
      <c r="V328" s="400"/>
      <c r="W328" s="229"/>
      <c r="X328" s="229"/>
      <c r="Y328" s="4"/>
      <c r="Z328" s="4"/>
    </row>
    <row r="329">
      <c r="A329" s="392"/>
      <c r="B329" s="392"/>
      <c r="C329" s="392"/>
      <c r="D329" s="392"/>
      <c r="E329" s="392"/>
      <c r="F329" s="229"/>
      <c r="G329" s="229"/>
      <c r="H329" s="392"/>
      <c r="I329" s="229"/>
      <c r="J329" s="229"/>
      <c r="K329" s="399"/>
      <c r="L329" s="399"/>
      <c r="M329" s="399"/>
      <c r="N329" s="229"/>
      <c r="O329" s="229"/>
      <c r="P329" s="229"/>
      <c r="Q329" s="229"/>
      <c r="R329" s="229"/>
      <c r="S329" s="229"/>
      <c r="T329" s="229"/>
      <c r="U329" s="229"/>
      <c r="V329" s="400"/>
      <c r="W329" s="229"/>
      <c r="X329" s="229"/>
      <c r="Y329" s="4"/>
      <c r="Z329" s="4"/>
    </row>
    <row r="330">
      <c r="A330" s="392"/>
      <c r="B330" s="392"/>
      <c r="C330" s="392"/>
      <c r="D330" s="392"/>
      <c r="E330" s="392"/>
      <c r="F330" s="229"/>
      <c r="G330" s="229"/>
      <c r="H330" s="392"/>
      <c r="I330" s="229"/>
      <c r="J330" s="229"/>
      <c r="K330" s="399"/>
      <c r="L330" s="399"/>
      <c r="M330" s="399"/>
      <c r="N330" s="229"/>
      <c r="O330" s="229"/>
      <c r="P330" s="229"/>
      <c r="Q330" s="229"/>
      <c r="R330" s="229"/>
      <c r="S330" s="229"/>
      <c r="T330" s="229"/>
      <c r="U330" s="229"/>
      <c r="V330" s="400"/>
      <c r="W330" s="229"/>
      <c r="X330" s="229"/>
      <c r="Y330" s="4"/>
      <c r="Z330" s="4"/>
    </row>
    <row r="331">
      <c r="A331" s="392"/>
      <c r="B331" s="392"/>
      <c r="C331" s="392"/>
      <c r="D331" s="392"/>
      <c r="E331" s="392"/>
      <c r="F331" s="229"/>
      <c r="G331" s="229"/>
      <c r="H331" s="392"/>
      <c r="I331" s="229"/>
      <c r="J331" s="229"/>
      <c r="K331" s="399"/>
      <c r="L331" s="399"/>
      <c r="M331" s="399"/>
      <c r="N331" s="229"/>
      <c r="O331" s="229"/>
      <c r="P331" s="229"/>
      <c r="Q331" s="229"/>
      <c r="R331" s="229"/>
      <c r="S331" s="229"/>
      <c r="T331" s="229"/>
      <c r="U331" s="229"/>
      <c r="V331" s="400"/>
      <c r="W331" s="229"/>
      <c r="X331" s="229"/>
      <c r="Y331" s="4"/>
      <c r="Z331" s="4"/>
    </row>
    <row r="332">
      <c r="A332" s="392"/>
      <c r="B332" s="392"/>
      <c r="C332" s="392"/>
      <c r="D332" s="392"/>
      <c r="E332" s="392"/>
      <c r="F332" s="229"/>
      <c r="G332" s="229"/>
      <c r="H332" s="392"/>
      <c r="I332" s="229"/>
      <c r="J332" s="229"/>
      <c r="K332" s="399"/>
      <c r="L332" s="399"/>
      <c r="M332" s="399"/>
      <c r="N332" s="229"/>
      <c r="O332" s="229"/>
      <c r="P332" s="229"/>
      <c r="Q332" s="229"/>
      <c r="R332" s="229"/>
      <c r="S332" s="229"/>
      <c r="T332" s="229"/>
      <c r="U332" s="229"/>
      <c r="V332" s="400"/>
      <c r="W332" s="229"/>
      <c r="X332" s="229"/>
      <c r="Y332" s="4"/>
      <c r="Z332" s="4"/>
    </row>
    <row r="333">
      <c r="A333" s="392"/>
      <c r="B333" s="392"/>
      <c r="C333" s="392"/>
      <c r="D333" s="392"/>
      <c r="E333" s="392"/>
      <c r="F333" s="229"/>
      <c r="G333" s="229"/>
      <c r="H333" s="392"/>
      <c r="I333" s="229"/>
      <c r="J333" s="229"/>
      <c r="K333" s="399"/>
      <c r="L333" s="399"/>
      <c r="M333" s="399"/>
      <c r="N333" s="229"/>
      <c r="O333" s="229"/>
      <c r="P333" s="229"/>
      <c r="Q333" s="229"/>
      <c r="R333" s="229"/>
      <c r="S333" s="229"/>
      <c r="T333" s="229"/>
      <c r="U333" s="229"/>
      <c r="V333" s="400"/>
      <c r="W333" s="229"/>
      <c r="X333" s="229"/>
      <c r="Y333" s="4"/>
      <c r="Z333" s="4"/>
    </row>
    <row r="334">
      <c r="A334" s="392"/>
      <c r="B334" s="392"/>
      <c r="C334" s="392"/>
      <c r="D334" s="392"/>
      <c r="E334" s="392"/>
      <c r="F334" s="229"/>
      <c r="G334" s="229"/>
      <c r="H334" s="392"/>
      <c r="I334" s="229"/>
      <c r="J334" s="229"/>
      <c r="K334" s="399"/>
      <c r="L334" s="399"/>
      <c r="M334" s="399"/>
      <c r="N334" s="229"/>
      <c r="O334" s="229"/>
      <c r="P334" s="229"/>
      <c r="Q334" s="229"/>
      <c r="R334" s="229"/>
      <c r="S334" s="229"/>
      <c r="T334" s="229"/>
      <c r="U334" s="229"/>
      <c r="V334" s="400"/>
      <c r="W334" s="229"/>
      <c r="X334" s="229"/>
      <c r="Y334" s="4"/>
      <c r="Z334" s="4"/>
    </row>
    <row r="335">
      <c r="A335" s="392"/>
      <c r="B335" s="392"/>
      <c r="C335" s="392"/>
      <c r="D335" s="392"/>
      <c r="E335" s="392"/>
      <c r="F335" s="229"/>
      <c r="G335" s="229"/>
      <c r="H335" s="392"/>
      <c r="I335" s="229"/>
      <c r="J335" s="229"/>
      <c r="K335" s="399"/>
      <c r="L335" s="399"/>
      <c r="M335" s="399"/>
      <c r="N335" s="229"/>
      <c r="O335" s="229"/>
      <c r="P335" s="229"/>
      <c r="Q335" s="229"/>
      <c r="R335" s="229"/>
      <c r="S335" s="229"/>
      <c r="T335" s="229"/>
      <c r="U335" s="229"/>
      <c r="V335" s="400"/>
      <c r="W335" s="229"/>
      <c r="X335" s="229"/>
      <c r="Y335" s="4"/>
      <c r="Z335" s="4"/>
    </row>
    <row r="336">
      <c r="A336" s="392"/>
      <c r="B336" s="392"/>
      <c r="C336" s="392"/>
      <c r="D336" s="392"/>
      <c r="E336" s="392"/>
      <c r="F336" s="229"/>
      <c r="G336" s="229"/>
      <c r="H336" s="392"/>
      <c r="I336" s="229"/>
      <c r="J336" s="229"/>
      <c r="K336" s="399"/>
      <c r="L336" s="399"/>
      <c r="M336" s="399"/>
      <c r="N336" s="229"/>
      <c r="O336" s="229"/>
      <c r="P336" s="229"/>
      <c r="Q336" s="229"/>
      <c r="R336" s="229"/>
      <c r="S336" s="229"/>
      <c r="T336" s="229"/>
      <c r="U336" s="229"/>
      <c r="V336" s="400"/>
      <c r="W336" s="229"/>
      <c r="X336" s="229"/>
      <c r="Y336" s="4"/>
      <c r="Z336" s="4"/>
    </row>
    <row r="337">
      <c r="A337" s="392"/>
      <c r="B337" s="392"/>
      <c r="C337" s="392"/>
      <c r="D337" s="392"/>
      <c r="E337" s="392"/>
      <c r="F337" s="229"/>
      <c r="G337" s="229"/>
      <c r="H337" s="392"/>
      <c r="I337" s="229"/>
      <c r="J337" s="229"/>
      <c r="K337" s="399"/>
      <c r="L337" s="399"/>
      <c r="M337" s="399"/>
      <c r="N337" s="229"/>
      <c r="O337" s="229"/>
      <c r="P337" s="229"/>
      <c r="Q337" s="229"/>
      <c r="R337" s="229"/>
      <c r="S337" s="229"/>
      <c r="T337" s="229"/>
      <c r="U337" s="229"/>
      <c r="V337" s="400"/>
      <c r="W337" s="229"/>
      <c r="X337" s="229"/>
      <c r="Y337" s="4"/>
      <c r="Z337" s="4"/>
    </row>
    <row r="338">
      <c r="A338" s="392"/>
      <c r="B338" s="392"/>
      <c r="C338" s="392"/>
      <c r="D338" s="392"/>
      <c r="E338" s="392"/>
      <c r="F338" s="229"/>
      <c r="G338" s="229"/>
      <c r="H338" s="392"/>
      <c r="I338" s="229"/>
      <c r="J338" s="229"/>
      <c r="K338" s="399"/>
      <c r="L338" s="399"/>
      <c r="M338" s="399"/>
      <c r="N338" s="229"/>
      <c r="O338" s="229"/>
      <c r="P338" s="229"/>
      <c r="Q338" s="229"/>
      <c r="R338" s="229"/>
      <c r="S338" s="229"/>
      <c r="T338" s="229"/>
      <c r="U338" s="229"/>
      <c r="V338" s="400"/>
      <c r="W338" s="229"/>
      <c r="X338" s="229"/>
      <c r="Y338" s="4"/>
      <c r="Z338" s="4"/>
    </row>
    <row r="339">
      <c r="A339" s="392"/>
      <c r="B339" s="392"/>
      <c r="C339" s="392"/>
      <c r="D339" s="392"/>
      <c r="E339" s="392"/>
      <c r="F339" s="229"/>
      <c r="G339" s="229"/>
      <c r="H339" s="392"/>
      <c r="I339" s="229"/>
      <c r="J339" s="229"/>
      <c r="K339" s="399"/>
      <c r="L339" s="399"/>
      <c r="M339" s="399"/>
      <c r="N339" s="229"/>
      <c r="O339" s="229"/>
      <c r="P339" s="229"/>
      <c r="Q339" s="229"/>
      <c r="R339" s="229"/>
      <c r="S339" s="229"/>
      <c r="T339" s="229"/>
      <c r="U339" s="229"/>
      <c r="V339" s="400"/>
      <c r="W339" s="229"/>
      <c r="X339" s="229"/>
      <c r="Y339" s="4"/>
      <c r="Z339" s="4"/>
    </row>
    <row r="340">
      <c r="A340" s="392"/>
      <c r="B340" s="392"/>
      <c r="C340" s="392"/>
      <c r="D340" s="392"/>
      <c r="E340" s="392"/>
      <c r="F340" s="229"/>
      <c r="G340" s="229"/>
      <c r="H340" s="392"/>
      <c r="I340" s="229"/>
      <c r="J340" s="229"/>
      <c r="K340" s="399"/>
      <c r="L340" s="399"/>
      <c r="M340" s="399"/>
      <c r="N340" s="229"/>
      <c r="O340" s="229"/>
      <c r="P340" s="229"/>
      <c r="Q340" s="229"/>
      <c r="R340" s="229"/>
      <c r="S340" s="229"/>
      <c r="T340" s="229"/>
      <c r="U340" s="229"/>
      <c r="V340" s="400"/>
      <c r="W340" s="229"/>
      <c r="X340" s="229"/>
      <c r="Y340" s="4"/>
      <c r="Z340" s="4"/>
    </row>
    <row r="341">
      <c r="A341" s="392"/>
      <c r="B341" s="392"/>
      <c r="C341" s="392"/>
      <c r="D341" s="392"/>
      <c r="E341" s="392"/>
      <c r="F341" s="229"/>
      <c r="G341" s="229"/>
      <c r="H341" s="392"/>
      <c r="I341" s="229"/>
      <c r="J341" s="229"/>
      <c r="K341" s="399"/>
      <c r="L341" s="399"/>
      <c r="M341" s="399"/>
      <c r="N341" s="229"/>
      <c r="O341" s="229"/>
      <c r="P341" s="229"/>
      <c r="Q341" s="229"/>
      <c r="R341" s="229"/>
      <c r="S341" s="229"/>
      <c r="T341" s="229"/>
      <c r="U341" s="229"/>
      <c r="V341" s="400"/>
      <c r="W341" s="229"/>
      <c r="X341" s="229"/>
      <c r="Y341" s="4"/>
      <c r="Z341" s="4"/>
    </row>
    <row r="342">
      <c r="A342" s="392"/>
      <c r="B342" s="392"/>
      <c r="C342" s="392"/>
      <c r="D342" s="392"/>
      <c r="E342" s="392"/>
      <c r="F342" s="229"/>
      <c r="G342" s="229"/>
      <c r="H342" s="392"/>
      <c r="I342" s="229"/>
      <c r="J342" s="229"/>
      <c r="K342" s="399"/>
      <c r="L342" s="399"/>
      <c r="M342" s="399"/>
      <c r="N342" s="229"/>
      <c r="O342" s="229"/>
      <c r="P342" s="229"/>
      <c r="Q342" s="229"/>
      <c r="R342" s="229"/>
      <c r="S342" s="229"/>
      <c r="T342" s="229"/>
      <c r="U342" s="229"/>
      <c r="V342" s="400"/>
      <c r="W342" s="229"/>
      <c r="X342" s="229"/>
      <c r="Y342" s="4"/>
      <c r="Z342" s="4"/>
    </row>
    <row r="343">
      <c r="A343" s="392"/>
      <c r="B343" s="392"/>
      <c r="C343" s="392"/>
      <c r="D343" s="392"/>
      <c r="E343" s="392"/>
      <c r="F343" s="229"/>
      <c r="G343" s="229"/>
      <c r="H343" s="392"/>
      <c r="I343" s="229"/>
      <c r="J343" s="229"/>
      <c r="K343" s="399"/>
      <c r="L343" s="399"/>
      <c r="M343" s="399"/>
      <c r="N343" s="229"/>
      <c r="O343" s="229"/>
      <c r="P343" s="229"/>
      <c r="Q343" s="229"/>
      <c r="R343" s="229"/>
      <c r="S343" s="229"/>
      <c r="T343" s="229"/>
      <c r="U343" s="229"/>
      <c r="V343" s="400"/>
      <c r="W343" s="229"/>
      <c r="X343" s="229"/>
      <c r="Y343" s="4"/>
      <c r="Z343" s="4"/>
    </row>
    <row r="344">
      <c r="A344" s="392"/>
      <c r="B344" s="392"/>
      <c r="C344" s="392"/>
      <c r="D344" s="392"/>
      <c r="E344" s="392"/>
      <c r="F344" s="229"/>
      <c r="G344" s="229"/>
      <c r="H344" s="392"/>
      <c r="I344" s="229"/>
      <c r="J344" s="229"/>
      <c r="K344" s="399"/>
      <c r="L344" s="399"/>
      <c r="M344" s="399"/>
      <c r="N344" s="229"/>
      <c r="O344" s="229"/>
      <c r="P344" s="229"/>
      <c r="Q344" s="229"/>
      <c r="R344" s="229"/>
      <c r="S344" s="229"/>
      <c r="T344" s="229"/>
      <c r="U344" s="229"/>
      <c r="V344" s="400"/>
      <c r="W344" s="229"/>
      <c r="X344" s="229"/>
      <c r="Y344" s="4"/>
      <c r="Z344" s="4"/>
    </row>
    <row r="345">
      <c r="A345" s="392"/>
      <c r="B345" s="392"/>
      <c r="C345" s="392"/>
      <c r="D345" s="392"/>
      <c r="E345" s="392"/>
      <c r="F345" s="229"/>
      <c r="G345" s="229"/>
      <c r="H345" s="392"/>
      <c r="I345" s="229"/>
      <c r="J345" s="229"/>
      <c r="K345" s="399"/>
      <c r="L345" s="399"/>
      <c r="M345" s="399"/>
      <c r="N345" s="229"/>
      <c r="O345" s="229"/>
      <c r="P345" s="229"/>
      <c r="Q345" s="229"/>
      <c r="R345" s="229"/>
      <c r="S345" s="229"/>
      <c r="T345" s="229"/>
      <c r="U345" s="229"/>
      <c r="V345" s="400"/>
      <c r="W345" s="229"/>
      <c r="X345" s="229"/>
      <c r="Y345" s="4"/>
      <c r="Z345" s="4"/>
    </row>
    <row r="346">
      <c r="A346" s="392"/>
      <c r="B346" s="392"/>
      <c r="C346" s="392"/>
      <c r="D346" s="392"/>
      <c r="E346" s="392"/>
      <c r="F346" s="229"/>
      <c r="G346" s="229"/>
      <c r="H346" s="392"/>
      <c r="I346" s="229"/>
      <c r="J346" s="229"/>
      <c r="K346" s="399"/>
      <c r="L346" s="399"/>
      <c r="M346" s="399"/>
      <c r="N346" s="229"/>
      <c r="O346" s="229"/>
      <c r="P346" s="229"/>
      <c r="Q346" s="229"/>
      <c r="R346" s="229"/>
      <c r="S346" s="229"/>
      <c r="T346" s="229"/>
      <c r="U346" s="229"/>
      <c r="V346" s="400"/>
      <c r="W346" s="229"/>
      <c r="X346" s="229"/>
      <c r="Y346" s="4"/>
      <c r="Z346" s="4"/>
    </row>
    <row r="347">
      <c r="A347" s="392"/>
      <c r="B347" s="392"/>
      <c r="C347" s="392"/>
      <c r="D347" s="392"/>
      <c r="E347" s="392"/>
      <c r="F347" s="229"/>
      <c r="G347" s="229"/>
      <c r="H347" s="392"/>
      <c r="I347" s="229"/>
      <c r="J347" s="229"/>
      <c r="K347" s="399"/>
      <c r="L347" s="399"/>
      <c r="M347" s="399"/>
      <c r="N347" s="229"/>
      <c r="O347" s="229"/>
      <c r="P347" s="229"/>
      <c r="Q347" s="229"/>
      <c r="R347" s="229"/>
      <c r="S347" s="229"/>
      <c r="T347" s="229"/>
      <c r="U347" s="229"/>
      <c r="V347" s="400"/>
      <c r="W347" s="229"/>
      <c r="X347" s="229"/>
      <c r="Y347" s="4"/>
      <c r="Z347" s="4"/>
    </row>
    <row r="348">
      <c r="A348" s="392"/>
      <c r="B348" s="392"/>
      <c r="C348" s="392"/>
      <c r="D348" s="392"/>
      <c r="E348" s="392"/>
      <c r="F348" s="229"/>
      <c r="G348" s="229"/>
      <c r="H348" s="392"/>
      <c r="I348" s="229"/>
      <c r="J348" s="229"/>
      <c r="K348" s="399"/>
      <c r="L348" s="399"/>
      <c r="M348" s="399"/>
      <c r="N348" s="229"/>
      <c r="O348" s="229"/>
      <c r="P348" s="229"/>
      <c r="Q348" s="229"/>
      <c r="R348" s="229"/>
      <c r="S348" s="229"/>
      <c r="T348" s="229"/>
      <c r="U348" s="229"/>
      <c r="V348" s="400"/>
      <c r="W348" s="229"/>
      <c r="X348" s="229"/>
      <c r="Y348" s="4"/>
      <c r="Z348" s="4"/>
    </row>
    <row r="349">
      <c r="A349" s="392"/>
      <c r="B349" s="392"/>
      <c r="C349" s="392"/>
      <c r="D349" s="392"/>
      <c r="E349" s="392"/>
      <c r="F349" s="229"/>
      <c r="G349" s="229"/>
      <c r="H349" s="392"/>
      <c r="I349" s="229"/>
      <c r="J349" s="229"/>
      <c r="K349" s="399"/>
      <c r="L349" s="399"/>
      <c r="M349" s="399"/>
      <c r="N349" s="229"/>
      <c r="O349" s="229"/>
      <c r="P349" s="229"/>
      <c r="Q349" s="229"/>
      <c r="R349" s="229"/>
      <c r="S349" s="229"/>
      <c r="T349" s="229"/>
      <c r="U349" s="229"/>
      <c r="V349" s="400"/>
      <c r="W349" s="229"/>
      <c r="X349" s="229"/>
      <c r="Y349" s="4"/>
      <c r="Z349" s="4"/>
    </row>
    <row r="350">
      <c r="A350" s="392"/>
      <c r="B350" s="392"/>
      <c r="C350" s="392"/>
      <c r="D350" s="392"/>
      <c r="E350" s="392"/>
      <c r="F350" s="229"/>
      <c r="G350" s="229"/>
      <c r="H350" s="392"/>
      <c r="I350" s="229"/>
      <c r="J350" s="229"/>
      <c r="K350" s="399"/>
      <c r="L350" s="399"/>
      <c r="M350" s="399"/>
      <c r="N350" s="229"/>
      <c r="O350" s="229"/>
      <c r="P350" s="229"/>
      <c r="Q350" s="229"/>
      <c r="R350" s="229"/>
      <c r="S350" s="229"/>
      <c r="T350" s="229"/>
      <c r="U350" s="229"/>
      <c r="V350" s="400"/>
      <c r="W350" s="229"/>
      <c r="X350" s="229"/>
      <c r="Y350" s="4"/>
      <c r="Z350" s="4"/>
    </row>
    <row r="351">
      <c r="A351" s="392"/>
      <c r="B351" s="392"/>
      <c r="C351" s="392"/>
      <c r="D351" s="392"/>
      <c r="E351" s="392"/>
      <c r="F351" s="229"/>
      <c r="G351" s="229"/>
      <c r="H351" s="392"/>
      <c r="I351" s="229"/>
      <c r="J351" s="229"/>
      <c r="K351" s="399"/>
      <c r="L351" s="399"/>
      <c r="M351" s="399"/>
      <c r="N351" s="229"/>
      <c r="O351" s="229"/>
      <c r="P351" s="229"/>
      <c r="Q351" s="229"/>
      <c r="R351" s="229"/>
      <c r="S351" s="229"/>
      <c r="T351" s="229"/>
      <c r="U351" s="229"/>
      <c r="V351" s="400"/>
      <c r="W351" s="229"/>
      <c r="X351" s="229"/>
      <c r="Y351" s="4"/>
      <c r="Z351" s="4"/>
    </row>
    <row r="352">
      <c r="A352" s="392"/>
      <c r="B352" s="392"/>
      <c r="C352" s="392"/>
      <c r="D352" s="392"/>
      <c r="E352" s="392"/>
      <c r="F352" s="229"/>
      <c r="G352" s="229"/>
      <c r="H352" s="392"/>
      <c r="I352" s="229"/>
      <c r="J352" s="229"/>
      <c r="K352" s="399"/>
      <c r="L352" s="399"/>
      <c r="M352" s="399"/>
      <c r="N352" s="229"/>
      <c r="O352" s="229"/>
      <c r="P352" s="229"/>
      <c r="Q352" s="229"/>
      <c r="R352" s="229"/>
      <c r="S352" s="229"/>
      <c r="T352" s="229"/>
      <c r="U352" s="229"/>
      <c r="V352" s="400"/>
      <c r="W352" s="229"/>
      <c r="X352" s="229"/>
      <c r="Y352" s="4"/>
      <c r="Z352" s="4"/>
    </row>
    <row r="353">
      <c r="A353" s="392"/>
      <c r="B353" s="392"/>
      <c r="C353" s="392"/>
      <c r="D353" s="392"/>
      <c r="E353" s="392"/>
      <c r="F353" s="229"/>
      <c r="G353" s="229"/>
      <c r="H353" s="392"/>
      <c r="I353" s="229"/>
      <c r="J353" s="229"/>
      <c r="K353" s="399"/>
      <c r="L353" s="399"/>
      <c r="M353" s="399"/>
      <c r="N353" s="229"/>
      <c r="O353" s="229"/>
      <c r="P353" s="229"/>
      <c r="Q353" s="229"/>
      <c r="R353" s="229"/>
      <c r="S353" s="229"/>
      <c r="T353" s="229"/>
      <c r="U353" s="229"/>
      <c r="V353" s="400"/>
      <c r="W353" s="229"/>
      <c r="X353" s="229"/>
      <c r="Y353" s="4"/>
      <c r="Z353" s="4"/>
    </row>
    <row r="354">
      <c r="A354" s="392"/>
      <c r="B354" s="392"/>
      <c r="C354" s="392"/>
      <c r="D354" s="392"/>
      <c r="E354" s="392"/>
      <c r="F354" s="229"/>
      <c r="G354" s="229"/>
      <c r="H354" s="392"/>
      <c r="I354" s="229"/>
      <c r="J354" s="229"/>
      <c r="K354" s="399"/>
      <c r="L354" s="399"/>
      <c r="M354" s="399"/>
      <c r="N354" s="229"/>
      <c r="O354" s="229"/>
      <c r="P354" s="229"/>
      <c r="Q354" s="229"/>
      <c r="R354" s="229"/>
      <c r="S354" s="229"/>
      <c r="T354" s="229"/>
      <c r="U354" s="229"/>
      <c r="V354" s="400"/>
      <c r="W354" s="229"/>
      <c r="X354" s="229"/>
      <c r="Y354" s="4"/>
      <c r="Z354" s="4"/>
    </row>
    <row r="355">
      <c r="A355" s="392"/>
      <c r="B355" s="392"/>
      <c r="C355" s="392"/>
      <c r="D355" s="392"/>
      <c r="E355" s="392"/>
      <c r="F355" s="229"/>
      <c r="G355" s="229"/>
      <c r="H355" s="392"/>
      <c r="I355" s="229"/>
      <c r="J355" s="229"/>
      <c r="K355" s="399"/>
      <c r="L355" s="399"/>
      <c r="M355" s="399"/>
      <c r="N355" s="229"/>
      <c r="O355" s="229"/>
      <c r="P355" s="229"/>
      <c r="Q355" s="229"/>
      <c r="R355" s="229"/>
      <c r="S355" s="229"/>
      <c r="T355" s="229"/>
      <c r="U355" s="229"/>
      <c r="V355" s="400"/>
      <c r="W355" s="229"/>
      <c r="X355" s="229"/>
      <c r="Y355" s="4"/>
      <c r="Z355" s="4"/>
    </row>
    <row r="356">
      <c r="A356" s="392"/>
      <c r="B356" s="392"/>
      <c r="C356" s="392"/>
      <c r="D356" s="392"/>
      <c r="E356" s="392"/>
      <c r="F356" s="229"/>
      <c r="G356" s="229"/>
      <c r="H356" s="392"/>
      <c r="I356" s="229"/>
      <c r="J356" s="229"/>
      <c r="K356" s="399"/>
      <c r="L356" s="399"/>
      <c r="M356" s="399"/>
      <c r="N356" s="229"/>
      <c r="O356" s="229"/>
      <c r="P356" s="229"/>
      <c r="Q356" s="229"/>
      <c r="R356" s="229"/>
      <c r="S356" s="229"/>
      <c r="T356" s="229"/>
      <c r="U356" s="229"/>
      <c r="V356" s="400"/>
      <c r="W356" s="229"/>
      <c r="X356" s="229"/>
      <c r="Y356" s="4"/>
      <c r="Z356" s="4"/>
    </row>
    <row r="357">
      <c r="A357" s="392"/>
      <c r="B357" s="392"/>
      <c r="C357" s="392"/>
      <c r="D357" s="392"/>
      <c r="E357" s="392"/>
      <c r="F357" s="229"/>
      <c r="G357" s="229"/>
      <c r="H357" s="392"/>
      <c r="I357" s="229"/>
      <c r="J357" s="229"/>
      <c r="K357" s="399"/>
      <c r="L357" s="399"/>
      <c r="M357" s="399"/>
      <c r="N357" s="229"/>
      <c r="O357" s="229"/>
      <c r="P357" s="229"/>
      <c r="Q357" s="229"/>
      <c r="R357" s="229"/>
      <c r="S357" s="229"/>
      <c r="T357" s="229"/>
      <c r="U357" s="229"/>
      <c r="V357" s="400"/>
      <c r="W357" s="229"/>
      <c r="X357" s="229"/>
      <c r="Y357" s="4"/>
      <c r="Z357" s="4"/>
    </row>
    <row r="358">
      <c r="A358" s="392"/>
      <c r="B358" s="392"/>
      <c r="C358" s="392"/>
      <c r="D358" s="392"/>
      <c r="E358" s="392"/>
      <c r="F358" s="229"/>
      <c r="G358" s="229"/>
      <c r="H358" s="392"/>
      <c r="I358" s="229"/>
      <c r="J358" s="229"/>
      <c r="K358" s="399"/>
      <c r="L358" s="399"/>
      <c r="M358" s="399"/>
      <c r="N358" s="229"/>
      <c r="O358" s="229"/>
      <c r="P358" s="229"/>
      <c r="Q358" s="229"/>
      <c r="R358" s="229"/>
      <c r="S358" s="229"/>
      <c r="T358" s="229"/>
      <c r="U358" s="229"/>
      <c r="V358" s="400"/>
      <c r="W358" s="229"/>
      <c r="X358" s="229"/>
      <c r="Y358" s="4"/>
      <c r="Z358" s="4"/>
    </row>
    <row r="359">
      <c r="A359" s="392"/>
      <c r="B359" s="392"/>
      <c r="C359" s="392"/>
      <c r="D359" s="392"/>
      <c r="E359" s="392"/>
      <c r="F359" s="229"/>
      <c r="G359" s="229"/>
      <c r="H359" s="392"/>
      <c r="I359" s="229"/>
      <c r="J359" s="229"/>
      <c r="K359" s="399"/>
      <c r="L359" s="399"/>
      <c r="M359" s="399"/>
      <c r="N359" s="229"/>
      <c r="O359" s="229"/>
      <c r="P359" s="229"/>
      <c r="Q359" s="229"/>
      <c r="R359" s="229"/>
      <c r="S359" s="229"/>
      <c r="T359" s="229"/>
      <c r="U359" s="229"/>
      <c r="V359" s="400"/>
      <c r="W359" s="229"/>
      <c r="X359" s="229"/>
      <c r="Y359" s="4"/>
      <c r="Z359" s="4"/>
    </row>
    <row r="360">
      <c r="A360" s="392"/>
      <c r="B360" s="392"/>
      <c r="C360" s="392"/>
      <c r="D360" s="392"/>
      <c r="E360" s="392"/>
      <c r="F360" s="229"/>
      <c r="G360" s="229"/>
      <c r="H360" s="392"/>
      <c r="I360" s="229"/>
      <c r="J360" s="229"/>
      <c r="K360" s="399"/>
      <c r="L360" s="399"/>
      <c r="M360" s="399"/>
      <c r="N360" s="229"/>
      <c r="O360" s="229"/>
      <c r="P360" s="229"/>
      <c r="Q360" s="229"/>
      <c r="R360" s="229"/>
      <c r="S360" s="229"/>
      <c r="T360" s="229"/>
      <c r="U360" s="229"/>
      <c r="V360" s="400"/>
      <c r="W360" s="229"/>
      <c r="X360" s="229"/>
      <c r="Y360" s="4"/>
      <c r="Z360" s="4"/>
    </row>
    <row r="361">
      <c r="A361" s="392"/>
      <c r="B361" s="392"/>
      <c r="C361" s="392"/>
      <c r="D361" s="392"/>
      <c r="E361" s="392"/>
      <c r="F361" s="229"/>
      <c r="G361" s="229"/>
      <c r="H361" s="392"/>
      <c r="I361" s="229"/>
      <c r="J361" s="229"/>
      <c r="K361" s="399"/>
      <c r="L361" s="399"/>
      <c r="M361" s="399"/>
      <c r="N361" s="229"/>
      <c r="O361" s="229"/>
      <c r="P361" s="229"/>
      <c r="Q361" s="229"/>
      <c r="R361" s="229"/>
      <c r="S361" s="229"/>
      <c r="T361" s="229"/>
      <c r="U361" s="229"/>
      <c r="V361" s="400"/>
      <c r="W361" s="229"/>
      <c r="X361" s="229"/>
      <c r="Y361" s="4"/>
      <c r="Z361" s="4"/>
    </row>
    <row r="362">
      <c r="A362" s="392"/>
      <c r="B362" s="392"/>
      <c r="C362" s="392"/>
      <c r="D362" s="392"/>
      <c r="E362" s="392"/>
      <c r="F362" s="229"/>
      <c r="G362" s="229"/>
      <c r="H362" s="392"/>
      <c r="I362" s="229"/>
      <c r="J362" s="229"/>
      <c r="K362" s="399"/>
      <c r="L362" s="399"/>
      <c r="M362" s="399"/>
      <c r="N362" s="229"/>
      <c r="O362" s="229"/>
      <c r="P362" s="229"/>
      <c r="Q362" s="229"/>
      <c r="R362" s="229"/>
      <c r="S362" s="229"/>
      <c r="T362" s="229"/>
      <c r="U362" s="229"/>
      <c r="V362" s="400"/>
      <c r="W362" s="229"/>
      <c r="X362" s="229"/>
      <c r="Y362" s="4"/>
      <c r="Z362" s="4"/>
    </row>
    <row r="363">
      <c r="A363" s="392"/>
      <c r="B363" s="392"/>
      <c r="C363" s="392"/>
      <c r="D363" s="392"/>
      <c r="E363" s="392"/>
      <c r="F363" s="229"/>
      <c r="G363" s="229"/>
      <c r="H363" s="392"/>
      <c r="I363" s="229"/>
      <c r="J363" s="229"/>
      <c r="K363" s="399"/>
      <c r="L363" s="399"/>
      <c r="M363" s="399"/>
      <c r="N363" s="229"/>
      <c r="O363" s="229"/>
      <c r="P363" s="229"/>
      <c r="Q363" s="229"/>
      <c r="R363" s="229"/>
      <c r="S363" s="229"/>
      <c r="T363" s="229"/>
      <c r="U363" s="229"/>
      <c r="V363" s="400"/>
      <c r="W363" s="229"/>
      <c r="X363" s="229"/>
      <c r="Y363" s="4"/>
      <c r="Z363" s="4"/>
    </row>
    <row r="364">
      <c r="A364" s="392"/>
      <c r="B364" s="392"/>
      <c r="C364" s="392"/>
      <c r="D364" s="392"/>
      <c r="E364" s="392"/>
      <c r="F364" s="229"/>
      <c r="G364" s="229"/>
      <c r="H364" s="392"/>
      <c r="I364" s="229"/>
      <c r="J364" s="229"/>
      <c r="K364" s="399"/>
      <c r="L364" s="399"/>
      <c r="M364" s="399"/>
      <c r="N364" s="229"/>
      <c r="O364" s="229"/>
      <c r="P364" s="229"/>
      <c r="Q364" s="229"/>
      <c r="R364" s="229"/>
      <c r="S364" s="229"/>
      <c r="T364" s="229"/>
      <c r="U364" s="229"/>
      <c r="V364" s="400"/>
      <c r="W364" s="229"/>
      <c r="X364" s="229"/>
      <c r="Y364" s="4"/>
      <c r="Z364" s="4"/>
    </row>
    <row r="365">
      <c r="A365" s="392"/>
      <c r="B365" s="392"/>
      <c r="C365" s="392"/>
      <c r="D365" s="392"/>
      <c r="E365" s="392"/>
      <c r="F365" s="229"/>
      <c r="G365" s="229"/>
      <c r="H365" s="392"/>
      <c r="I365" s="229"/>
      <c r="J365" s="229"/>
      <c r="K365" s="399"/>
      <c r="L365" s="399"/>
      <c r="M365" s="399"/>
      <c r="N365" s="229"/>
      <c r="O365" s="229"/>
      <c r="P365" s="229"/>
      <c r="Q365" s="229"/>
      <c r="R365" s="229"/>
      <c r="S365" s="229"/>
      <c r="T365" s="229"/>
      <c r="U365" s="229"/>
      <c r="V365" s="400"/>
      <c r="W365" s="229"/>
      <c r="X365" s="229"/>
      <c r="Y365" s="4"/>
      <c r="Z365" s="4"/>
    </row>
    <row r="366">
      <c r="A366" s="392"/>
      <c r="B366" s="392"/>
      <c r="C366" s="392"/>
      <c r="D366" s="392"/>
      <c r="E366" s="392"/>
      <c r="F366" s="229"/>
      <c r="G366" s="229"/>
      <c r="H366" s="392"/>
      <c r="I366" s="229"/>
      <c r="J366" s="229"/>
      <c r="K366" s="399"/>
      <c r="L366" s="399"/>
      <c r="M366" s="399"/>
      <c r="N366" s="229"/>
      <c r="O366" s="229"/>
      <c r="P366" s="229"/>
      <c r="Q366" s="229"/>
      <c r="R366" s="229"/>
      <c r="S366" s="229"/>
      <c r="T366" s="229"/>
      <c r="U366" s="229"/>
      <c r="V366" s="400"/>
      <c r="W366" s="229"/>
      <c r="X366" s="229"/>
      <c r="Y366" s="4"/>
      <c r="Z366" s="4"/>
    </row>
    <row r="367">
      <c r="A367" s="392"/>
      <c r="B367" s="392"/>
      <c r="C367" s="392"/>
      <c r="D367" s="392"/>
      <c r="E367" s="392"/>
      <c r="F367" s="229"/>
      <c r="G367" s="229"/>
      <c r="H367" s="392"/>
      <c r="I367" s="229"/>
      <c r="J367" s="229"/>
      <c r="K367" s="399"/>
      <c r="L367" s="399"/>
      <c r="M367" s="399"/>
      <c r="N367" s="229"/>
      <c r="O367" s="229"/>
      <c r="P367" s="229"/>
      <c r="Q367" s="229"/>
      <c r="R367" s="229"/>
      <c r="S367" s="229"/>
      <c r="T367" s="229"/>
      <c r="U367" s="229"/>
      <c r="V367" s="400"/>
      <c r="W367" s="229"/>
      <c r="X367" s="229"/>
      <c r="Y367" s="4"/>
      <c r="Z367" s="4"/>
    </row>
    <row r="368">
      <c r="A368" s="392"/>
      <c r="B368" s="392"/>
      <c r="C368" s="392"/>
      <c r="D368" s="392"/>
      <c r="E368" s="392"/>
      <c r="F368" s="229"/>
      <c r="G368" s="229"/>
      <c r="H368" s="392"/>
      <c r="I368" s="229"/>
      <c r="J368" s="229"/>
      <c r="K368" s="399"/>
      <c r="L368" s="399"/>
      <c r="M368" s="399"/>
      <c r="N368" s="229"/>
      <c r="O368" s="229"/>
      <c r="P368" s="229"/>
      <c r="Q368" s="229"/>
      <c r="R368" s="229"/>
      <c r="S368" s="229"/>
      <c r="T368" s="229"/>
      <c r="U368" s="229"/>
      <c r="V368" s="400"/>
      <c r="W368" s="229"/>
      <c r="X368" s="229"/>
      <c r="Y368" s="4"/>
      <c r="Z368" s="4"/>
    </row>
    <row r="369">
      <c r="A369" s="392"/>
      <c r="B369" s="392"/>
      <c r="C369" s="392"/>
      <c r="D369" s="392"/>
      <c r="E369" s="392"/>
      <c r="F369" s="229"/>
      <c r="G369" s="229"/>
      <c r="H369" s="392"/>
      <c r="I369" s="229"/>
      <c r="J369" s="229"/>
      <c r="K369" s="399"/>
      <c r="L369" s="399"/>
      <c r="M369" s="399"/>
      <c r="N369" s="229"/>
      <c r="O369" s="229"/>
      <c r="P369" s="229"/>
      <c r="Q369" s="229"/>
      <c r="R369" s="229"/>
      <c r="S369" s="229"/>
      <c r="T369" s="229"/>
      <c r="U369" s="229"/>
      <c r="V369" s="400"/>
      <c r="W369" s="229"/>
      <c r="X369" s="229"/>
      <c r="Y369" s="4"/>
      <c r="Z369" s="4"/>
    </row>
    <row r="370">
      <c r="A370" s="392"/>
      <c r="B370" s="392"/>
      <c r="C370" s="392"/>
      <c r="D370" s="392"/>
      <c r="E370" s="392"/>
      <c r="F370" s="229"/>
      <c r="G370" s="229"/>
      <c r="H370" s="392"/>
      <c r="I370" s="229"/>
      <c r="J370" s="229"/>
      <c r="K370" s="399"/>
      <c r="L370" s="399"/>
      <c r="M370" s="399"/>
      <c r="N370" s="229"/>
      <c r="O370" s="229"/>
      <c r="P370" s="229"/>
      <c r="Q370" s="229"/>
      <c r="R370" s="229"/>
      <c r="S370" s="229"/>
      <c r="T370" s="229"/>
      <c r="U370" s="229"/>
      <c r="V370" s="400"/>
      <c r="W370" s="229"/>
      <c r="X370" s="229"/>
      <c r="Y370" s="4"/>
      <c r="Z370" s="4"/>
    </row>
    <row r="371">
      <c r="A371" s="392"/>
      <c r="B371" s="392"/>
      <c r="C371" s="392"/>
      <c r="D371" s="392"/>
      <c r="E371" s="392"/>
      <c r="F371" s="229"/>
      <c r="G371" s="229"/>
      <c r="H371" s="392"/>
      <c r="I371" s="229"/>
      <c r="J371" s="229"/>
      <c r="K371" s="399"/>
      <c r="L371" s="399"/>
      <c r="M371" s="399"/>
      <c r="N371" s="229"/>
      <c r="O371" s="229"/>
      <c r="P371" s="229"/>
      <c r="Q371" s="229"/>
      <c r="R371" s="229"/>
      <c r="S371" s="229"/>
      <c r="T371" s="229"/>
      <c r="U371" s="229"/>
      <c r="V371" s="400"/>
      <c r="W371" s="229"/>
      <c r="X371" s="229"/>
      <c r="Y371" s="4"/>
      <c r="Z371" s="4"/>
    </row>
    <row r="372">
      <c r="A372" s="392"/>
      <c r="B372" s="392"/>
      <c r="C372" s="392"/>
      <c r="D372" s="392"/>
      <c r="E372" s="392"/>
      <c r="F372" s="229"/>
      <c r="G372" s="229"/>
      <c r="H372" s="392"/>
      <c r="I372" s="229"/>
      <c r="J372" s="229"/>
      <c r="K372" s="399"/>
      <c r="L372" s="399"/>
      <c r="M372" s="399"/>
      <c r="N372" s="229"/>
      <c r="O372" s="229"/>
      <c r="P372" s="229"/>
      <c r="Q372" s="229"/>
      <c r="R372" s="229"/>
      <c r="S372" s="229"/>
      <c r="T372" s="229"/>
      <c r="U372" s="229"/>
      <c r="V372" s="400"/>
      <c r="W372" s="229"/>
      <c r="X372" s="229"/>
      <c r="Y372" s="4"/>
      <c r="Z372" s="4"/>
    </row>
    <row r="373">
      <c r="A373" s="392"/>
      <c r="B373" s="392"/>
      <c r="C373" s="392"/>
      <c r="D373" s="392"/>
      <c r="E373" s="392"/>
      <c r="F373" s="229"/>
      <c r="G373" s="229"/>
      <c r="H373" s="392"/>
      <c r="I373" s="229"/>
      <c r="J373" s="229"/>
      <c r="K373" s="399"/>
      <c r="L373" s="399"/>
      <c r="M373" s="399"/>
      <c r="N373" s="229"/>
      <c r="O373" s="229"/>
      <c r="P373" s="229"/>
      <c r="Q373" s="229"/>
      <c r="R373" s="229"/>
      <c r="S373" s="229"/>
      <c r="T373" s="229"/>
      <c r="U373" s="229"/>
      <c r="V373" s="400"/>
      <c r="W373" s="229"/>
      <c r="X373" s="229"/>
      <c r="Y373" s="4"/>
      <c r="Z373" s="4"/>
    </row>
    <row r="374">
      <c r="A374" s="392"/>
      <c r="B374" s="392"/>
      <c r="C374" s="392"/>
      <c r="D374" s="392"/>
      <c r="E374" s="392"/>
      <c r="F374" s="229"/>
      <c r="G374" s="229"/>
      <c r="H374" s="392"/>
      <c r="I374" s="229"/>
      <c r="J374" s="229"/>
      <c r="K374" s="399"/>
      <c r="L374" s="399"/>
      <c r="M374" s="399"/>
      <c r="N374" s="229"/>
      <c r="O374" s="229"/>
      <c r="P374" s="229"/>
      <c r="Q374" s="229"/>
      <c r="R374" s="229"/>
      <c r="S374" s="229"/>
      <c r="T374" s="229"/>
      <c r="U374" s="229"/>
      <c r="V374" s="400"/>
      <c r="W374" s="229"/>
      <c r="X374" s="229"/>
      <c r="Y374" s="4"/>
      <c r="Z374" s="4"/>
    </row>
    <row r="375">
      <c r="A375" s="392"/>
      <c r="B375" s="392"/>
      <c r="C375" s="392"/>
      <c r="D375" s="392"/>
      <c r="E375" s="392"/>
      <c r="F375" s="229"/>
      <c r="G375" s="229"/>
      <c r="H375" s="392"/>
      <c r="I375" s="229"/>
      <c r="J375" s="229"/>
      <c r="K375" s="399"/>
      <c r="L375" s="399"/>
      <c r="M375" s="399"/>
      <c r="N375" s="229"/>
      <c r="O375" s="229"/>
      <c r="P375" s="229"/>
      <c r="Q375" s="229"/>
      <c r="R375" s="229"/>
      <c r="S375" s="229"/>
      <c r="T375" s="229"/>
      <c r="U375" s="229"/>
      <c r="V375" s="400"/>
      <c r="W375" s="229"/>
      <c r="X375" s="229"/>
      <c r="Y375" s="4"/>
      <c r="Z375" s="4"/>
    </row>
    <row r="376">
      <c r="A376" s="392"/>
      <c r="B376" s="392"/>
      <c r="C376" s="392"/>
      <c r="D376" s="392"/>
      <c r="E376" s="392"/>
      <c r="F376" s="229"/>
      <c r="G376" s="229"/>
      <c r="H376" s="392"/>
      <c r="I376" s="229"/>
      <c r="J376" s="229"/>
      <c r="K376" s="399"/>
      <c r="L376" s="399"/>
      <c r="M376" s="399"/>
      <c r="N376" s="229"/>
      <c r="O376" s="229"/>
      <c r="P376" s="229"/>
      <c r="Q376" s="229"/>
      <c r="R376" s="229"/>
      <c r="S376" s="229"/>
      <c r="T376" s="229"/>
      <c r="U376" s="229"/>
      <c r="V376" s="400"/>
      <c r="W376" s="229"/>
      <c r="X376" s="229"/>
      <c r="Y376" s="4"/>
      <c r="Z376" s="4"/>
    </row>
    <row r="377">
      <c r="A377" s="392"/>
      <c r="B377" s="392"/>
      <c r="C377" s="392"/>
      <c r="D377" s="392"/>
      <c r="E377" s="392"/>
      <c r="F377" s="229"/>
      <c r="G377" s="229"/>
      <c r="H377" s="392"/>
      <c r="I377" s="229"/>
      <c r="J377" s="229"/>
      <c r="K377" s="399"/>
      <c r="L377" s="399"/>
      <c r="M377" s="399"/>
      <c r="N377" s="229"/>
      <c r="O377" s="229"/>
      <c r="P377" s="229"/>
      <c r="Q377" s="229"/>
      <c r="R377" s="229"/>
      <c r="S377" s="229"/>
      <c r="T377" s="229"/>
      <c r="U377" s="229"/>
      <c r="V377" s="400"/>
      <c r="W377" s="229"/>
      <c r="X377" s="229"/>
      <c r="Y377" s="4"/>
      <c r="Z377" s="4"/>
    </row>
    <row r="378">
      <c r="A378" s="392"/>
      <c r="B378" s="392"/>
      <c r="C378" s="392"/>
      <c r="D378" s="392"/>
      <c r="E378" s="392"/>
      <c r="F378" s="229"/>
      <c r="G378" s="229"/>
      <c r="H378" s="392"/>
      <c r="I378" s="229"/>
      <c r="J378" s="229"/>
      <c r="K378" s="399"/>
      <c r="L378" s="399"/>
      <c r="M378" s="399"/>
      <c r="N378" s="229"/>
      <c r="O378" s="229"/>
      <c r="P378" s="229"/>
      <c r="Q378" s="229"/>
      <c r="R378" s="229"/>
      <c r="S378" s="229"/>
      <c r="T378" s="229"/>
      <c r="U378" s="229"/>
      <c r="V378" s="400"/>
      <c r="W378" s="229"/>
      <c r="X378" s="229"/>
      <c r="Y378" s="4"/>
      <c r="Z378" s="4"/>
    </row>
    <row r="379">
      <c r="A379" s="392"/>
      <c r="B379" s="392"/>
      <c r="C379" s="392"/>
      <c r="D379" s="392"/>
      <c r="E379" s="392"/>
      <c r="F379" s="229"/>
      <c r="G379" s="229"/>
      <c r="H379" s="392"/>
      <c r="I379" s="229"/>
      <c r="J379" s="229"/>
      <c r="K379" s="399"/>
      <c r="L379" s="399"/>
      <c r="M379" s="399"/>
      <c r="N379" s="229"/>
      <c r="O379" s="229"/>
      <c r="P379" s="229"/>
      <c r="Q379" s="229"/>
      <c r="R379" s="229"/>
      <c r="S379" s="229"/>
      <c r="T379" s="229"/>
      <c r="U379" s="229"/>
      <c r="V379" s="400"/>
      <c r="W379" s="229"/>
      <c r="X379" s="229"/>
      <c r="Y379" s="4"/>
      <c r="Z379" s="4"/>
    </row>
    <row r="380">
      <c r="A380" s="392"/>
      <c r="B380" s="392"/>
      <c r="C380" s="392"/>
      <c r="D380" s="392"/>
      <c r="E380" s="392"/>
      <c r="F380" s="229"/>
      <c r="G380" s="229"/>
      <c r="H380" s="392"/>
      <c r="I380" s="229"/>
      <c r="J380" s="229"/>
      <c r="K380" s="399"/>
      <c r="L380" s="399"/>
      <c r="M380" s="399"/>
      <c r="N380" s="229"/>
      <c r="O380" s="229"/>
      <c r="P380" s="229"/>
      <c r="Q380" s="229"/>
      <c r="R380" s="229"/>
      <c r="S380" s="229"/>
      <c r="T380" s="229"/>
      <c r="U380" s="229"/>
      <c r="V380" s="400"/>
      <c r="W380" s="229"/>
      <c r="X380" s="229"/>
      <c r="Y380" s="4"/>
      <c r="Z380" s="4"/>
    </row>
    <row r="381">
      <c r="A381" s="392"/>
      <c r="B381" s="392"/>
      <c r="C381" s="392"/>
      <c r="D381" s="392"/>
      <c r="E381" s="392"/>
      <c r="F381" s="229"/>
      <c r="G381" s="229"/>
      <c r="H381" s="392"/>
      <c r="I381" s="229"/>
      <c r="J381" s="229"/>
      <c r="K381" s="399"/>
      <c r="L381" s="399"/>
      <c r="M381" s="399"/>
      <c r="N381" s="229"/>
      <c r="O381" s="229"/>
      <c r="P381" s="229"/>
      <c r="Q381" s="229"/>
      <c r="R381" s="229"/>
      <c r="S381" s="229"/>
      <c r="T381" s="229"/>
      <c r="U381" s="229"/>
      <c r="V381" s="400"/>
      <c r="W381" s="229"/>
      <c r="X381" s="229"/>
      <c r="Y381" s="4"/>
      <c r="Z381" s="4"/>
    </row>
    <row r="382">
      <c r="A382" s="392"/>
      <c r="B382" s="392"/>
      <c r="C382" s="392"/>
      <c r="D382" s="392"/>
      <c r="E382" s="392"/>
      <c r="F382" s="229"/>
      <c r="G382" s="229"/>
      <c r="H382" s="392"/>
      <c r="I382" s="229"/>
      <c r="J382" s="229"/>
      <c r="K382" s="399"/>
      <c r="L382" s="399"/>
      <c r="M382" s="399"/>
      <c r="N382" s="229"/>
      <c r="O382" s="229"/>
      <c r="P382" s="229"/>
      <c r="Q382" s="229"/>
      <c r="R382" s="229"/>
      <c r="S382" s="229"/>
      <c r="T382" s="229"/>
      <c r="U382" s="229"/>
      <c r="V382" s="400"/>
      <c r="W382" s="229"/>
      <c r="X382" s="229"/>
      <c r="Y382" s="4"/>
      <c r="Z382" s="4"/>
    </row>
    <row r="383">
      <c r="A383" s="392"/>
      <c r="B383" s="392"/>
      <c r="C383" s="392"/>
      <c r="D383" s="392"/>
      <c r="E383" s="392"/>
      <c r="F383" s="229"/>
      <c r="G383" s="229"/>
      <c r="H383" s="392"/>
      <c r="I383" s="229"/>
      <c r="J383" s="229"/>
      <c r="K383" s="399"/>
      <c r="L383" s="399"/>
      <c r="M383" s="399"/>
      <c r="N383" s="229"/>
      <c r="O383" s="229"/>
      <c r="P383" s="229"/>
      <c r="Q383" s="229"/>
      <c r="R383" s="229"/>
      <c r="S383" s="229"/>
      <c r="T383" s="229"/>
      <c r="U383" s="229"/>
      <c r="V383" s="400"/>
      <c r="W383" s="229"/>
      <c r="X383" s="229"/>
      <c r="Y383" s="4"/>
      <c r="Z383" s="4"/>
    </row>
    <row r="384">
      <c r="A384" s="392"/>
      <c r="B384" s="392"/>
      <c r="C384" s="392"/>
      <c r="D384" s="392"/>
      <c r="E384" s="392"/>
      <c r="F384" s="229"/>
      <c r="G384" s="229"/>
      <c r="H384" s="392"/>
      <c r="I384" s="229"/>
      <c r="J384" s="229"/>
      <c r="K384" s="399"/>
      <c r="L384" s="399"/>
      <c r="M384" s="399"/>
      <c r="N384" s="229"/>
      <c r="O384" s="229"/>
      <c r="P384" s="229"/>
      <c r="Q384" s="229"/>
      <c r="R384" s="229"/>
      <c r="S384" s="229"/>
      <c r="T384" s="229"/>
      <c r="U384" s="229"/>
      <c r="V384" s="400"/>
      <c r="W384" s="229"/>
      <c r="X384" s="229"/>
      <c r="Y384" s="4"/>
      <c r="Z384" s="4"/>
    </row>
    <row r="385">
      <c r="A385" s="392"/>
      <c r="B385" s="392"/>
      <c r="C385" s="392"/>
      <c r="D385" s="392"/>
      <c r="E385" s="392"/>
      <c r="F385" s="229"/>
      <c r="G385" s="229"/>
      <c r="H385" s="392"/>
      <c r="I385" s="229"/>
      <c r="J385" s="229"/>
      <c r="K385" s="399"/>
      <c r="L385" s="399"/>
      <c r="M385" s="399"/>
      <c r="N385" s="229"/>
      <c r="O385" s="229"/>
      <c r="P385" s="229"/>
      <c r="Q385" s="229"/>
      <c r="R385" s="229"/>
      <c r="S385" s="229"/>
      <c r="T385" s="229"/>
      <c r="U385" s="229"/>
      <c r="V385" s="400"/>
      <c r="W385" s="229"/>
      <c r="X385" s="229"/>
      <c r="Y385" s="4"/>
      <c r="Z385" s="4"/>
    </row>
    <row r="386">
      <c r="A386" s="392"/>
      <c r="B386" s="392"/>
      <c r="C386" s="392"/>
      <c r="D386" s="392"/>
      <c r="E386" s="392"/>
      <c r="F386" s="229"/>
      <c r="G386" s="229"/>
      <c r="H386" s="392"/>
      <c r="I386" s="229"/>
      <c r="J386" s="229"/>
      <c r="K386" s="399"/>
      <c r="L386" s="399"/>
      <c r="M386" s="399"/>
      <c r="N386" s="229"/>
      <c r="O386" s="229"/>
      <c r="P386" s="229"/>
      <c r="Q386" s="229"/>
      <c r="R386" s="229"/>
      <c r="S386" s="229"/>
      <c r="T386" s="229"/>
      <c r="U386" s="229"/>
      <c r="V386" s="400"/>
      <c r="W386" s="229"/>
      <c r="X386" s="229"/>
      <c r="Y386" s="4"/>
      <c r="Z386" s="4"/>
    </row>
    <row r="387">
      <c r="A387" s="392"/>
      <c r="B387" s="392"/>
      <c r="C387" s="392"/>
      <c r="D387" s="392"/>
      <c r="E387" s="392"/>
      <c r="F387" s="229"/>
      <c r="G387" s="229"/>
      <c r="H387" s="392"/>
      <c r="I387" s="229"/>
      <c r="J387" s="229"/>
      <c r="K387" s="399"/>
      <c r="L387" s="399"/>
      <c r="M387" s="399"/>
      <c r="N387" s="229"/>
      <c r="O387" s="229"/>
      <c r="P387" s="229"/>
      <c r="Q387" s="229"/>
      <c r="R387" s="229"/>
      <c r="S387" s="229"/>
      <c r="T387" s="229"/>
      <c r="U387" s="229"/>
      <c r="V387" s="400"/>
      <c r="W387" s="229"/>
      <c r="X387" s="229"/>
      <c r="Y387" s="4"/>
      <c r="Z387" s="4"/>
    </row>
    <row r="388">
      <c r="A388" s="392"/>
      <c r="B388" s="392"/>
      <c r="C388" s="392"/>
      <c r="D388" s="392"/>
      <c r="E388" s="392"/>
      <c r="F388" s="229"/>
      <c r="G388" s="229"/>
      <c r="H388" s="392"/>
      <c r="I388" s="229"/>
      <c r="J388" s="229"/>
      <c r="K388" s="399"/>
      <c r="L388" s="399"/>
      <c r="M388" s="399"/>
      <c r="N388" s="229"/>
      <c r="O388" s="229"/>
      <c r="P388" s="229"/>
      <c r="Q388" s="229"/>
      <c r="R388" s="229"/>
      <c r="S388" s="229"/>
      <c r="T388" s="229"/>
      <c r="U388" s="229"/>
      <c r="V388" s="400"/>
      <c r="W388" s="229"/>
      <c r="X388" s="229"/>
      <c r="Y388" s="4"/>
      <c r="Z388" s="4"/>
    </row>
    <row r="389">
      <c r="A389" s="392"/>
      <c r="B389" s="392"/>
      <c r="C389" s="392"/>
      <c r="D389" s="392"/>
      <c r="E389" s="392"/>
      <c r="F389" s="229"/>
      <c r="G389" s="229"/>
      <c r="H389" s="392"/>
      <c r="I389" s="229"/>
      <c r="J389" s="229"/>
      <c r="K389" s="399"/>
      <c r="L389" s="399"/>
      <c r="M389" s="399"/>
      <c r="N389" s="229"/>
      <c r="O389" s="229"/>
      <c r="P389" s="229"/>
      <c r="Q389" s="229"/>
      <c r="R389" s="229"/>
      <c r="S389" s="229"/>
      <c r="T389" s="229"/>
      <c r="U389" s="229"/>
      <c r="V389" s="400"/>
      <c r="W389" s="229"/>
      <c r="X389" s="229"/>
      <c r="Y389" s="4"/>
      <c r="Z389" s="4"/>
    </row>
    <row r="390">
      <c r="A390" s="392"/>
      <c r="B390" s="392"/>
      <c r="C390" s="392"/>
      <c r="D390" s="392"/>
      <c r="E390" s="392"/>
      <c r="F390" s="229"/>
      <c r="G390" s="229"/>
      <c r="H390" s="392"/>
      <c r="I390" s="229"/>
      <c r="J390" s="229"/>
      <c r="K390" s="399"/>
      <c r="L390" s="399"/>
      <c r="M390" s="399"/>
      <c r="N390" s="229"/>
      <c r="O390" s="229"/>
      <c r="P390" s="229"/>
      <c r="Q390" s="229"/>
      <c r="R390" s="229"/>
      <c r="S390" s="229"/>
      <c r="T390" s="229"/>
      <c r="U390" s="229"/>
      <c r="V390" s="400"/>
      <c r="W390" s="229"/>
      <c r="X390" s="229"/>
      <c r="Y390" s="4"/>
      <c r="Z390" s="4"/>
    </row>
    <row r="391">
      <c r="A391" s="392"/>
      <c r="B391" s="392"/>
      <c r="C391" s="392"/>
      <c r="D391" s="392"/>
      <c r="E391" s="392"/>
      <c r="F391" s="229"/>
      <c r="G391" s="229"/>
      <c r="H391" s="392"/>
      <c r="I391" s="229"/>
      <c r="J391" s="229"/>
      <c r="K391" s="399"/>
      <c r="L391" s="399"/>
      <c r="M391" s="399"/>
      <c r="N391" s="229"/>
      <c r="O391" s="229"/>
      <c r="P391" s="229"/>
      <c r="Q391" s="229"/>
      <c r="R391" s="229"/>
      <c r="S391" s="229"/>
      <c r="T391" s="229"/>
      <c r="U391" s="229"/>
      <c r="V391" s="400"/>
      <c r="W391" s="229"/>
      <c r="X391" s="229"/>
      <c r="Y391" s="4"/>
      <c r="Z391" s="4"/>
    </row>
    <row r="392">
      <c r="A392" s="392"/>
      <c r="B392" s="392"/>
      <c r="C392" s="392"/>
      <c r="D392" s="392"/>
      <c r="E392" s="392"/>
      <c r="F392" s="229"/>
      <c r="G392" s="229"/>
      <c r="H392" s="392"/>
      <c r="I392" s="229"/>
      <c r="J392" s="229"/>
      <c r="K392" s="399"/>
      <c r="L392" s="399"/>
      <c r="M392" s="399"/>
      <c r="N392" s="229"/>
      <c r="O392" s="229"/>
      <c r="P392" s="229"/>
      <c r="Q392" s="229"/>
      <c r="R392" s="229"/>
      <c r="S392" s="229"/>
      <c r="T392" s="229"/>
      <c r="U392" s="229"/>
      <c r="V392" s="400"/>
      <c r="W392" s="229"/>
      <c r="X392" s="229"/>
      <c r="Y392" s="4"/>
      <c r="Z392" s="4"/>
    </row>
    <row r="393">
      <c r="A393" s="392"/>
      <c r="B393" s="392"/>
      <c r="C393" s="392"/>
      <c r="D393" s="392"/>
      <c r="E393" s="392"/>
      <c r="F393" s="229"/>
      <c r="G393" s="229"/>
      <c r="H393" s="392"/>
      <c r="I393" s="229"/>
      <c r="J393" s="229"/>
      <c r="K393" s="399"/>
      <c r="L393" s="399"/>
      <c r="M393" s="399"/>
      <c r="N393" s="229"/>
      <c r="O393" s="229"/>
      <c r="P393" s="229"/>
      <c r="Q393" s="229"/>
      <c r="R393" s="229"/>
      <c r="S393" s="229"/>
      <c r="T393" s="229"/>
      <c r="U393" s="229"/>
      <c r="V393" s="400"/>
      <c r="W393" s="229"/>
      <c r="X393" s="229"/>
      <c r="Y393" s="4"/>
      <c r="Z393" s="4"/>
    </row>
    <row r="394">
      <c r="A394" s="392"/>
      <c r="B394" s="392"/>
      <c r="C394" s="392"/>
      <c r="D394" s="392"/>
      <c r="E394" s="392"/>
      <c r="F394" s="229"/>
      <c r="G394" s="229"/>
      <c r="H394" s="392"/>
      <c r="I394" s="229"/>
      <c r="J394" s="229"/>
      <c r="K394" s="399"/>
      <c r="L394" s="399"/>
      <c r="M394" s="399"/>
      <c r="N394" s="229"/>
      <c r="O394" s="229"/>
      <c r="P394" s="229"/>
      <c r="Q394" s="229"/>
      <c r="R394" s="229"/>
      <c r="S394" s="229"/>
      <c r="T394" s="229"/>
      <c r="U394" s="229"/>
      <c r="V394" s="400"/>
      <c r="W394" s="229"/>
      <c r="X394" s="229"/>
      <c r="Y394" s="4"/>
      <c r="Z394" s="4"/>
    </row>
    <row r="395">
      <c r="A395" s="392"/>
      <c r="B395" s="392"/>
      <c r="C395" s="392"/>
      <c r="D395" s="392"/>
      <c r="E395" s="392"/>
      <c r="F395" s="229"/>
      <c r="G395" s="229"/>
      <c r="H395" s="392"/>
      <c r="I395" s="229"/>
      <c r="J395" s="229"/>
      <c r="K395" s="399"/>
      <c r="L395" s="399"/>
      <c r="M395" s="399"/>
      <c r="N395" s="229"/>
      <c r="O395" s="229"/>
      <c r="P395" s="229"/>
      <c r="Q395" s="229"/>
      <c r="R395" s="229"/>
      <c r="S395" s="229"/>
      <c r="T395" s="229"/>
      <c r="U395" s="229"/>
      <c r="V395" s="400"/>
      <c r="W395" s="229"/>
      <c r="X395" s="229"/>
      <c r="Y395" s="4"/>
      <c r="Z395" s="4"/>
    </row>
    <row r="396">
      <c r="A396" s="392"/>
      <c r="B396" s="392"/>
      <c r="C396" s="392"/>
      <c r="D396" s="392"/>
      <c r="E396" s="392"/>
      <c r="F396" s="229"/>
      <c r="G396" s="229"/>
      <c r="H396" s="392"/>
      <c r="I396" s="229"/>
      <c r="J396" s="229"/>
      <c r="K396" s="399"/>
      <c r="L396" s="399"/>
      <c r="M396" s="399"/>
      <c r="N396" s="229"/>
      <c r="O396" s="229"/>
      <c r="P396" s="229"/>
      <c r="Q396" s="229"/>
      <c r="R396" s="229"/>
      <c r="S396" s="229"/>
      <c r="T396" s="229"/>
      <c r="U396" s="229"/>
      <c r="V396" s="400"/>
      <c r="W396" s="229"/>
      <c r="X396" s="229"/>
      <c r="Y396" s="4"/>
      <c r="Z396" s="4"/>
    </row>
    <row r="397">
      <c r="A397" s="392"/>
      <c r="B397" s="392"/>
      <c r="C397" s="392"/>
      <c r="D397" s="392"/>
      <c r="E397" s="392"/>
      <c r="F397" s="229"/>
      <c r="G397" s="229"/>
      <c r="H397" s="392"/>
      <c r="I397" s="229"/>
      <c r="J397" s="229"/>
      <c r="K397" s="399"/>
      <c r="L397" s="399"/>
      <c r="M397" s="399"/>
      <c r="N397" s="229"/>
      <c r="O397" s="229"/>
      <c r="P397" s="229"/>
      <c r="Q397" s="229"/>
      <c r="R397" s="229"/>
      <c r="S397" s="229"/>
      <c r="T397" s="229"/>
      <c r="U397" s="229"/>
      <c r="V397" s="400"/>
      <c r="W397" s="229"/>
      <c r="X397" s="229"/>
      <c r="Y397" s="4"/>
      <c r="Z397" s="4"/>
    </row>
    <row r="398">
      <c r="A398" s="392"/>
      <c r="B398" s="392"/>
      <c r="C398" s="392"/>
      <c r="D398" s="392"/>
      <c r="E398" s="392"/>
      <c r="F398" s="229"/>
      <c r="G398" s="229"/>
      <c r="H398" s="392"/>
      <c r="I398" s="229"/>
      <c r="J398" s="229"/>
      <c r="K398" s="399"/>
      <c r="L398" s="399"/>
      <c r="M398" s="399"/>
      <c r="N398" s="229"/>
      <c r="O398" s="229"/>
      <c r="P398" s="229"/>
      <c r="Q398" s="229"/>
      <c r="R398" s="229"/>
      <c r="S398" s="229"/>
      <c r="T398" s="229"/>
      <c r="U398" s="229"/>
      <c r="V398" s="400"/>
      <c r="W398" s="229"/>
      <c r="X398" s="229"/>
      <c r="Y398" s="4"/>
      <c r="Z398" s="4"/>
    </row>
    <row r="399">
      <c r="A399" s="392"/>
      <c r="B399" s="392"/>
      <c r="C399" s="392"/>
      <c r="D399" s="392"/>
      <c r="E399" s="392"/>
      <c r="F399" s="229"/>
      <c r="G399" s="229"/>
      <c r="H399" s="392"/>
      <c r="I399" s="229"/>
      <c r="J399" s="229"/>
      <c r="K399" s="399"/>
      <c r="L399" s="399"/>
      <c r="M399" s="399"/>
      <c r="N399" s="229"/>
      <c r="O399" s="229"/>
      <c r="P399" s="229"/>
      <c r="Q399" s="229"/>
      <c r="R399" s="229"/>
      <c r="S399" s="229"/>
      <c r="T399" s="229"/>
      <c r="U399" s="229"/>
      <c r="V399" s="400"/>
      <c r="W399" s="229"/>
      <c r="X399" s="229"/>
      <c r="Y399" s="4"/>
      <c r="Z399" s="4"/>
    </row>
    <row r="400">
      <c r="A400" s="392"/>
      <c r="B400" s="392"/>
      <c r="C400" s="392"/>
      <c r="D400" s="392"/>
      <c r="E400" s="392"/>
      <c r="F400" s="229"/>
      <c r="G400" s="229"/>
      <c r="H400" s="392"/>
      <c r="I400" s="229"/>
      <c r="J400" s="229"/>
      <c r="K400" s="399"/>
      <c r="L400" s="399"/>
      <c r="M400" s="399"/>
      <c r="N400" s="229"/>
      <c r="O400" s="229"/>
      <c r="P400" s="229"/>
      <c r="Q400" s="229"/>
      <c r="R400" s="229"/>
      <c r="S400" s="229"/>
      <c r="T400" s="229"/>
      <c r="U400" s="229"/>
      <c r="V400" s="400"/>
      <c r="W400" s="229"/>
      <c r="X400" s="229"/>
      <c r="Y400" s="4"/>
      <c r="Z400" s="4"/>
    </row>
    <row r="401">
      <c r="A401" s="392"/>
      <c r="B401" s="392"/>
      <c r="C401" s="392"/>
      <c r="D401" s="392"/>
      <c r="E401" s="392"/>
      <c r="F401" s="229"/>
      <c r="G401" s="229"/>
      <c r="H401" s="392"/>
      <c r="I401" s="229"/>
      <c r="J401" s="229"/>
      <c r="K401" s="399"/>
      <c r="L401" s="399"/>
      <c r="M401" s="399"/>
      <c r="N401" s="229"/>
      <c r="O401" s="229"/>
      <c r="P401" s="229"/>
      <c r="Q401" s="229"/>
      <c r="R401" s="229"/>
      <c r="S401" s="229"/>
      <c r="T401" s="229"/>
      <c r="U401" s="229"/>
      <c r="V401" s="400"/>
      <c r="W401" s="229"/>
      <c r="X401" s="229"/>
      <c r="Y401" s="4"/>
      <c r="Z401" s="4"/>
    </row>
    <row r="402">
      <c r="A402" s="392"/>
      <c r="B402" s="392"/>
      <c r="C402" s="392"/>
      <c r="D402" s="392"/>
      <c r="E402" s="392"/>
      <c r="F402" s="229"/>
      <c r="G402" s="229"/>
      <c r="H402" s="392"/>
      <c r="I402" s="229"/>
      <c r="J402" s="229"/>
      <c r="K402" s="399"/>
      <c r="L402" s="399"/>
      <c r="M402" s="399"/>
      <c r="N402" s="229"/>
      <c r="O402" s="229"/>
      <c r="P402" s="229"/>
      <c r="Q402" s="229"/>
      <c r="R402" s="229"/>
      <c r="S402" s="229"/>
      <c r="T402" s="229"/>
      <c r="U402" s="229"/>
      <c r="V402" s="400"/>
      <c r="W402" s="229"/>
      <c r="X402" s="229"/>
      <c r="Y402" s="4"/>
      <c r="Z402" s="4"/>
    </row>
    <row r="403">
      <c r="A403" s="392"/>
      <c r="B403" s="392"/>
      <c r="C403" s="392"/>
      <c r="D403" s="392"/>
      <c r="E403" s="392"/>
      <c r="F403" s="229"/>
      <c r="G403" s="229"/>
      <c r="H403" s="392"/>
      <c r="I403" s="229"/>
      <c r="J403" s="229"/>
      <c r="K403" s="399"/>
      <c r="L403" s="399"/>
      <c r="M403" s="399"/>
      <c r="N403" s="229"/>
      <c r="O403" s="229"/>
      <c r="P403" s="229"/>
      <c r="Q403" s="229"/>
      <c r="R403" s="229"/>
      <c r="S403" s="229"/>
      <c r="T403" s="229"/>
      <c r="U403" s="229"/>
      <c r="V403" s="400"/>
      <c r="W403" s="229"/>
      <c r="X403" s="229"/>
      <c r="Y403" s="4"/>
      <c r="Z403" s="4"/>
    </row>
    <row r="404">
      <c r="A404" s="392"/>
      <c r="B404" s="392"/>
      <c r="C404" s="392"/>
      <c r="D404" s="392"/>
      <c r="E404" s="392"/>
      <c r="F404" s="229"/>
      <c r="G404" s="229"/>
      <c r="H404" s="392"/>
      <c r="I404" s="229"/>
      <c r="J404" s="229"/>
      <c r="K404" s="399"/>
      <c r="L404" s="399"/>
      <c r="M404" s="399"/>
      <c r="N404" s="229"/>
      <c r="O404" s="229"/>
      <c r="P404" s="229"/>
      <c r="Q404" s="229"/>
      <c r="R404" s="229"/>
      <c r="S404" s="229"/>
      <c r="T404" s="229"/>
      <c r="U404" s="229"/>
      <c r="V404" s="400"/>
      <c r="W404" s="229"/>
      <c r="X404" s="229"/>
      <c r="Y404" s="4"/>
      <c r="Z404" s="4"/>
    </row>
    <row r="405">
      <c r="A405" s="392"/>
      <c r="B405" s="392"/>
      <c r="C405" s="392"/>
      <c r="D405" s="392"/>
      <c r="E405" s="392"/>
      <c r="F405" s="229"/>
      <c r="G405" s="229"/>
      <c r="H405" s="392"/>
      <c r="I405" s="229"/>
      <c r="J405" s="229"/>
      <c r="K405" s="399"/>
      <c r="L405" s="399"/>
      <c r="M405" s="399"/>
      <c r="N405" s="229"/>
      <c r="O405" s="229"/>
      <c r="P405" s="229"/>
      <c r="Q405" s="229"/>
      <c r="R405" s="229"/>
      <c r="S405" s="229"/>
      <c r="T405" s="229"/>
      <c r="U405" s="229"/>
      <c r="V405" s="400"/>
      <c r="W405" s="229"/>
      <c r="X405" s="229"/>
      <c r="Y405" s="4"/>
      <c r="Z405" s="4"/>
    </row>
    <row r="406">
      <c r="A406" s="392"/>
      <c r="B406" s="392"/>
      <c r="C406" s="392"/>
      <c r="D406" s="392"/>
      <c r="E406" s="392"/>
      <c r="F406" s="229"/>
      <c r="G406" s="229"/>
      <c r="H406" s="392"/>
      <c r="I406" s="229"/>
      <c r="J406" s="229"/>
      <c r="K406" s="399"/>
      <c r="L406" s="399"/>
      <c r="M406" s="399"/>
      <c r="N406" s="229"/>
      <c r="O406" s="229"/>
      <c r="P406" s="229"/>
      <c r="Q406" s="229"/>
      <c r="R406" s="229"/>
      <c r="S406" s="229"/>
      <c r="T406" s="229"/>
      <c r="U406" s="229"/>
      <c r="V406" s="400"/>
      <c r="W406" s="229"/>
      <c r="X406" s="229"/>
      <c r="Y406" s="4"/>
      <c r="Z406" s="4"/>
    </row>
    <row r="407">
      <c r="A407" s="392"/>
      <c r="B407" s="392"/>
      <c r="C407" s="392"/>
      <c r="D407" s="392"/>
      <c r="E407" s="392"/>
      <c r="F407" s="229"/>
      <c r="G407" s="229"/>
      <c r="H407" s="392"/>
      <c r="I407" s="229"/>
      <c r="J407" s="229"/>
      <c r="K407" s="399"/>
      <c r="L407" s="399"/>
      <c r="M407" s="399"/>
      <c r="N407" s="229"/>
      <c r="O407" s="229"/>
      <c r="P407" s="229"/>
      <c r="Q407" s="229"/>
      <c r="R407" s="229"/>
      <c r="S407" s="229"/>
      <c r="T407" s="229"/>
      <c r="U407" s="229"/>
      <c r="V407" s="400"/>
      <c r="W407" s="229"/>
      <c r="X407" s="229"/>
      <c r="Y407" s="4"/>
      <c r="Z407" s="4"/>
    </row>
    <row r="408">
      <c r="A408" s="392"/>
      <c r="B408" s="392"/>
      <c r="C408" s="392"/>
      <c r="D408" s="392"/>
      <c r="E408" s="392"/>
      <c r="F408" s="229"/>
      <c r="G408" s="229"/>
      <c r="H408" s="392"/>
      <c r="I408" s="229"/>
      <c r="J408" s="229"/>
      <c r="K408" s="399"/>
      <c r="L408" s="399"/>
      <c r="M408" s="399"/>
      <c r="N408" s="229"/>
      <c r="O408" s="229"/>
      <c r="P408" s="229"/>
      <c r="Q408" s="229"/>
      <c r="R408" s="229"/>
      <c r="S408" s="229"/>
      <c r="T408" s="229"/>
      <c r="U408" s="229"/>
      <c r="V408" s="400"/>
      <c r="W408" s="229"/>
      <c r="X408" s="229"/>
      <c r="Y408" s="4"/>
      <c r="Z408" s="4"/>
    </row>
    <row r="409">
      <c r="A409" s="392"/>
      <c r="B409" s="392"/>
      <c r="C409" s="392"/>
      <c r="D409" s="392"/>
      <c r="E409" s="392"/>
      <c r="F409" s="229"/>
      <c r="G409" s="229"/>
      <c r="H409" s="392"/>
      <c r="I409" s="229"/>
      <c r="J409" s="229"/>
      <c r="K409" s="399"/>
      <c r="L409" s="399"/>
      <c r="M409" s="399"/>
      <c r="N409" s="229"/>
      <c r="O409" s="229"/>
      <c r="P409" s="229"/>
      <c r="Q409" s="229"/>
      <c r="R409" s="229"/>
      <c r="S409" s="229"/>
      <c r="T409" s="229"/>
      <c r="U409" s="229"/>
      <c r="V409" s="400"/>
      <c r="W409" s="229"/>
      <c r="X409" s="229"/>
      <c r="Y409" s="4"/>
      <c r="Z409" s="4"/>
    </row>
    <row r="410">
      <c r="A410" s="392"/>
      <c r="B410" s="392"/>
      <c r="C410" s="392"/>
      <c r="D410" s="392"/>
      <c r="E410" s="392"/>
      <c r="F410" s="229"/>
      <c r="G410" s="229"/>
      <c r="H410" s="392"/>
      <c r="I410" s="229"/>
      <c r="J410" s="229"/>
      <c r="K410" s="399"/>
      <c r="L410" s="399"/>
      <c r="M410" s="399"/>
      <c r="N410" s="229"/>
      <c r="O410" s="229"/>
      <c r="P410" s="229"/>
      <c r="Q410" s="229"/>
      <c r="R410" s="229"/>
      <c r="S410" s="229"/>
      <c r="T410" s="229"/>
      <c r="U410" s="229"/>
      <c r="V410" s="400"/>
      <c r="W410" s="229"/>
      <c r="X410" s="229"/>
      <c r="Y410" s="4"/>
      <c r="Z410" s="4"/>
    </row>
    <row r="411">
      <c r="A411" s="392"/>
      <c r="B411" s="392"/>
      <c r="C411" s="392"/>
      <c r="D411" s="392"/>
      <c r="E411" s="392"/>
      <c r="F411" s="229"/>
      <c r="G411" s="229"/>
      <c r="H411" s="392"/>
      <c r="I411" s="229"/>
      <c r="J411" s="229"/>
      <c r="K411" s="399"/>
      <c r="L411" s="399"/>
      <c r="M411" s="399"/>
      <c r="N411" s="229"/>
      <c r="O411" s="229"/>
      <c r="P411" s="229"/>
      <c r="Q411" s="229"/>
      <c r="R411" s="229"/>
      <c r="S411" s="229"/>
      <c r="T411" s="229"/>
      <c r="U411" s="229"/>
      <c r="V411" s="400"/>
      <c r="W411" s="229"/>
      <c r="X411" s="229"/>
      <c r="Y411" s="4"/>
      <c r="Z411" s="4"/>
    </row>
    <row r="412">
      <c r="A412" s="392"/>
      <c r="B412" s="392"/>
      <c r="C412" s="392"/>
      <c r="D412" s="392"/>
      <c r="E412" s="392"/>
      <c r="F412" s="229"/>
      <c r="G412" s="229"/>
      <c r="H412" s="392"/>
      <c r="I412" s="229"/>
      <c r="J412" s="229"/>
      <c r="K412" s="399"/>
      <c r="L412" s="399"/>
      <c r="M412" s="399"/>
      <c r="N412" s="229"/>
      <c r="O412" s="229"/>
      <c r="P412" s="229"/>
      <c r="Q412" s="229"/>
      <c r="R412" s="229"/>
      <c r="S412" s="229"/>
      <c r="T412" s="229"/>
      <c r="U412" s="229"/>
      <c r="V412" s="400"/>
      <c r="W412" s="229"/>
      <c r="X412" s="229"/>
      <c r="Y412" s="4"/>
      <c r="Z412" s="4"/>
    </row>
    <row r="413">
      <c r="A413" s="392"/>
      <c r="B413" s="392"/>
      <c r="C413" s="392"/>
      <c r="D413" s="392"/>
      <c r="E413" s="392"/>
      <c r="F413" s="229"/>
      <c r="G413" s="229"/>
      <c r="H413" s="392"/>
      <c r="I413" s="229"/>
      <c r="J413" s="229"/>
      <c r="K413" s="399"/>
      <c r="L413" s="399"/>
      <c r="M413" s="399"/>
      <c r="N413" s="229"/>
      <c r="O413" s="229"/>
      <c r="P413" s="229"/>
      <c r="Q413" s="229"/>
      <c r="R413" s="229"/>
      <c r="S413" s="229"/>
      <c r="T413" s="229"/>
      <c r="U413" s="229"/>
      <c r="V413" s="400"/>
      <c r="W413" s="229"/>
      <c r="X413" s="229"/>
      <c r="Y413" s="4"/>
      <c r="Z413" s="4"/>
    </row>
    <row r="414">
      <c r="A414" s="392"/>
      <c r="B414" s="392"/>
      <c r="C414" s="392"/>
      <c r="D414" s="392"/>
      <c r="E414" s="392"/>
      <c r="F414" s="229"/>
      <c r="G414" s="229"/>
      <c r="H414" s="392"/>
      <c r="I414" s="229"/>
      <c r="J414" s="229"/>
      <c r="K414" s="399"/>
      <c r="L414" s="399"/>
      <c r="M414" s="399"/>
      <c r="N414" s="229"/>
      <c r="O414" s="229"/>
      <c r="P414" s="229"/>
      <c r="Q414" s="229"/>
      <c r="R414" s="229"/>
      <c r="S414" s="229"/>
      <c r="T414" s="229"/>
      <c r="U414" s="229"/>
      <c r="V414" s="400"/>
      <c r="W414" s="229"/>
      <c r="X414" s="229"/>
      <c r="Y414" s="4"/>
      <c r="Z414" s="4"/>
    </row>
    <row r="415">
      <c r="A415" s="392"/>
      <c r="B415" s="392"/>
      <c r="C415" s="392"/>
      <c r="D415" s="392"/>
      <c r="E415" s="392"/>
      <c r="F415" s="229"/>
      <c r="G415" s="229"/>
      <c r="H415" s="392"/>
      <c r="I415" s="229"/>
      <c r="J415" s="229"/>
      <c r="K415" s="399"/>
      <c r="L415" s="399"/>
      <c r="M415" s="399"/>
      <c r="N415" s="229"/>
      <c r="O415" s="229"/>
      <c r="P415" s="229"/>
      <c r="Q415" s="229"/>
      <c r="R415" s="229"/>
      <c r="S415" s="229"/>
      <c r="T415" s="229"/>
      <c r="U415" s="229"/>
      <c r="V415" s="400"/>
      <c r="W415" s="229"/>
      <c r="X415" s="229"/>
      <c r="Y415" s="4"/>
      <c r="Z415" s="4"/>
    </row>
    <row r="416">
      <c r="A416" s="392"/>
      <c r="B416" s="392"/>
      <c r="C416" s="392"/>
      <c r="D416" s="392"/>
      <c r="E416" s="392"/>
      <c r="F416" s="229"/>
      <c r="G416" s="229"/>
      <c r="H416" s="392"/>
      <c r="I416" s="229"/>
      <c r="J416" s="229"/>
      <c r="K416" s="399"/>
      <c r="L416" s="399"/>
      <c r="M416" s="399"/>
      <c r="N416" s="229"/>
      <c r="O416" s="229"/>
      <c r="P416" s="229"/>
      <c r="Q416" s="229"/>
      <c r="R416" s="229"/>
      <c r="S416" s="229"/>
      <c r="T416" s="229"/>
      <c r="U416" s="229"/>
      <c r="V416" s="400"/>
      <c r="W416" s="229"/>
      <c r="X416" s="229"/>
      <c r="Y416" s="4"/>
      <c r="Z416" s="4"/>
    </row>
    <row r="417">
      <c r="A417" s="392"/>
      <c r="B417" s="392"/>
      <c r="C417" s="392"/>
      <c r="D417" s="392"/>
      <c r="E417" s="392"/>
      <c r="F417" s="229"/>
      <c r="G417" s="229"/>
      <c r="H417" s="392"/>
      <c r="I417" s="229"/>
      <c r="J417" s="229"/>
      <c r="K417" s="399"/>
      <c r="L417" s="399"/>
      <c r="M417" s="399"/>
      <c r="N417" s="229"/>
      <c r="O417" s="229"/>
      <c r="P417" s="229"/>
      <c r="Q417" s="229"/>
      <c r="R417" s="229"/>
      <c r="S417" s="229"/>
      <c r="T417" s="229"/>
      <c r="U417" s="229"/>
      <c r="V417" s="400"/>
      <c r="W417" s="229"/>
      <c r="X417" s="229"/>
      <c r="Y417" s="4"/>
      <c r="Z417" s="4"/>
    </row>
    <row r="418">
      <c r="A418" s="392"/>
      <c r="B418" s="392"/>
      <c r="C418" s="392"/>
      <c r="D418" s="392"/>
      <c r="E418" s="392"/>
      <c r="F418" s="229"/>
      <c r="G418" s="229"/>
      <c r="H418" s="392"/>
      <c r="I418" s="229"/>
      <c r="J418" s="229"/>
      <c r="K418" s="399"/>
      <c r="L418" s="399"/>
      <c r="M418" s="399"/>
      <c r="N418" s="229"/>
      <c r="O418" s="229"/>
      <c r="P418" s="229"/>
      <c r="Q418" s="229"/>
      <c r="R418" s="229"/>
      <c r="S418" s="229"/>
      <c r="T418" s="229"/>
      <c r="U418" s="229"/>
      <c r="V418" s="400"/>
      <c r="W418" s="229"/>
      <c r="X418" s="229"/>
      <c r="Y418" s="4"/>
      <c r="Z418" s="4"/>
    </row>
    <row r="419">
      <c r="A419" s="392"/>
      <c r="B419" s="392"/>
      <c r="C419" s="392"/>
      <c r="D419" s="392"/>
      <c r="E419" s="392"/>
      <c r="F419" s="229"/>
      <c r="G419" s="229"/>
      <c r="H419" s="392"/>
      <c r="I419" s="229"/>
      <c r="J419" s="229"/>
      <c r="K419" s="399"/>
      <c r="L419" s="399"/>
      <c r="M419" s="399"/>
      <c r="N419" s="229"/>
      <c r="O419" s="229"/>
      <c r="P419" s="229"/>
      <c r="Q419" s="229"/>
      <c r="R419" s="229"/>
      <c r="S419" s="229"/>
      <c r="T419" s="229"/>
      <c r="U419" s="229"/>
      <c r="V419" s="400"/>
      <c r="W419" s="229"/>
      <c r="X419" s="229"/>
      <c r="Y419" s="4"/>
      <c r="Z419" s="4"/>
    </row>
    <row r="420">
      <c r="A420" s="392"/>
      <c r="B420" s="392"/>
      <c r="C420" s="392"/>
      <c r="D420" s="392"/>
      <c r="E420" s="392"/>
      <c r="F420" s="229"/>
      <c r="G420" s="229"/>
      <c r="H420" s="392"/>
      <c r="I420" s="229"/>
      <c r="J420" s="229"/>
      <c r="K420" s="399"/>
      <c r="L420" s="399"/>
      <c r="M420" s="399"/>
      <c r="N420" s="229"/>
      <c r="O420" s="229"/>
      <c r="P420" s="229"/>
      <c r="Q420" s="229"/>
      <c r="R420" s="229"/>
      <c r="S420" s="229"/>
      <c r="T420" s="229"/>
      <c r="U420" s="229"/>
      <c r="V420" s="400"/>
      <c r="W420" s="229"/>
      <c r="X420" s="229"/>
      <c r="Y420" s="4"/>
      <c r="Z420" s="4"/>
    </row>
    <row r="421">
      <c r="A421" s="392"/>
      <c r="B421" s="392"/>
      <c r="C421" s="392"/>
      <c r="D421" s="392"/>
      <c r="E421" s="392"/>
      <c r="F421" s="229"/>
      <c r="G421" s="229"/>
      <c r="H421" s="392"/>
      <c r="I421" s="229"/>
      <c r="J421" s="229"/>
      <c r="K421" s="399"/>
      <c r="L421" s="399"/>
      <c r="M421" s="399"/>
      <c r="N421" s="229"/>
      <c r="O421" s="229"/>
      <c r="P421" s="229"/>
      <c r="Q421" s="229"/>
      <c r="R421" s="229"/>
      <c r="S421" s="229"/>
      <c r="T421" s="229"/>
      <c r="U421" s="229"/>
      <c r="V421" s="400"/>
      <c r="W421" s="229"/>
      <c r="X421" s="229"/>
      <c r="Y421" s="4"/>
      <c r="Z421" s="4"/>
    </row>
    <row r="422">
      <c r="A422" s="392"/>
      <c r="B422" s="392"/>
      <c r="C422" s="392"/>
      <c r="D422" s="392"/>
      <c r="E422" s="392"/>
      <c r="F422" s="229"/>
      <c r="G422" s="229"/>
      <c r="H422" s="392"/>
      <c r="I422" s="229"/>
      <c r="J422" s="229"/>
      <c r="K422" s="399"/>
      <c r="L422" s="399"/>
      <c r="M422" s="399"/>
      <c r="N422" s="229"/>
      <c r="O422" s="229"/>
      <c r="P422" s="229"/>
      <c r="Q422" s="229"/>
      <c r="R422" s="229"/>
      <c r="S422" s="229"/>
      <c r="T422" s="229"/>
      <c r="U422" s="229"/>
      <c r="V422" s="400"/>
      <c r="W422" s="229"/>
      <c r="X422" s="229"/>
      <c r="Y422" s="4"/>
      <c r="Z422" s="4"/>
    </row>
    <row r="423">
      <c r="A423" s="392"/>
      <c r="B423" s="392"/>
      <c r="C423" s="392"/>
      <c r="D423" s="392"/>
      <c r="E423" s="392"/>
      <c r="F423" s="229"/>
      <c r="G423" s="229"/>
      <c r="H423" s="392"/>
      <c r="I423" s="229"/>
      <c r="J423" s="229"/>
      <c r="K423" s="399"/>
      <c r="L423" s="399"/>
      <c r="M423" s="399"/>
      <c r="N423" s="229"/>
      <c r="O423" s="229"/>
      <c r="P423" s="229"/>
      <c r="Q423" s="229"/>
      <c r="R423" s="229"/>
      <c r="S423" s="229"/>
      <c r="T423" s="229"/>
      <c r="U423" s="229"/>
      <c r="V423" s="400"/>
      <c r="W423" s="229"/>
      <c r="X423" s="229"/>
      <c r="Y423" s="4"/>
      <c r="Z423" s="4"/>
    </row>
    <row r="424">
      <c r="A424" s="392"/>
      <c r="B424" s="392"/>
      <c r="C424" s="392"/>
      <c r="D424" s="392"/>
      <c r="E424" s="392"/>
      <c r="F424" s="229"/>
      <c r="G424" s="229"/>
      <c r="H424" s="392"/>
      <c r="I424" s="229"/>
      <c r="J424" s="229"/>
      <c r="K424" s="399"/>
      <c r="L424" s="399"/>
      <c r="M424" s="399"/>
      <c r="N424" s="229"/>
      <c r="O424" s="229"/>
      <c r="P424" s="229"/>
      <c r="Q424" s="229"/>
      <c r="R424" s="229"/>
      <c r="S424" s="229"/>
      <c r="T424" s="229"/>
      <c r="U424" s="229"/>
      <c r="V424" s="400"/>
      <c r="W424" s="229"/>
      <c r="X424" s="229"/>
      <c r="Y424" s="4"/>
      <c r="Z424" s="4"/>
    </row>
    <row r="425">
      <c r="A425" s="392"/>
      <c r="B425" s="392"/>
      <c r="C425" s="392"/>
      <c r="D425" s="392"/>
      <c r="E425" s="392"/>
      <c r="F425" s="229"/>
      <c r="G425" s="229"/>
      <c r="H425" s="392"/>
      <c r="I425" s="229"/>
      <c r="J425" s="229"/>
      <c r="K425" s="399"/>
      <c r="L425" s="399"/>
      <c r="M425" s="399"/>
      <c r="N425" s="229"/>
      <c r="O425" s="229"/>
      <c r="P425" s="229"/>
      <c r="Q425" s="229"/>
      <c r="R425" s="229"/>
      <c r="S425" s="229"/>
      <c r="T425" s="229"/>
      <c r="U425" s="229"/>
      <c r="V425" s="400"/>
      <c r="W425" s="229"/>
      <c r="X425" s="229"/>
      <c r="Y425" s="4"/>
      <c r="Z425" s="4"/>
    </row>
    <row r="426">
      <c r="A426" s="392"/>
      <c r="B426" s="392"/>
      <c r="C426" s="392"/>
      <c r="D426" s="392"/>
      <c r="E426" s="392"/>
      <c r="F426" s="229"/>
      <c r="G426" s="229"/>
      <c r="H426" s="392"/>
      <c r="I426" s="229"/>
      <c r="J426" s="229"/>
      <c r="K426" s="399"/>
      <c r="L426" s="399"/>
      <c r="M426" s="399"/>
      <c r="N426" s="229"/>
      <c r="O426" s="229"/>
      <c r="P426" s="229"/>
      <c r="Q426" s="229"/>
      <c r="R426" s="229"/>
      <c r="S426" s="229"/>
      <c r="T426" s="229"/>
      <c r="U426" s="229"/>
      <c r="V426" s="400"/>
      <c r="W426" s="229"/>
      <c r="X426" s="229"/>
      <c r="Y426" s="4"/>
      <c r="Z426" s="4"/>
    </row>
    <row r="427">
      <c r="A427" s="392"/>
      <c r="B427" s="392"/>
      <c r="C427" s="392"/>
      <c r="D427" s="392"/>
      <c r="E427" s="392"/>
      <c r="F427" s="229"/>
      <c r="G427" s="229"/>
      <c r="H427" s="392"/>
      <c r="I427" s="229"/>
      <c r="J427" s="229"/>
      <c r="K427" s="399"/>
      <c r="L427" s="399"/>
      <c r="M427" s="399"/>
      <c r="N427" s="229"/>
      <c r="O427" s="229"/>
      <c r="P427" s="229"/>
      <c r="Q427" s="229"/>
      <c r="R427" s="229"/>
      <c r="S427" s="229"/>
      <c r="T427" s="229"/>
      <c r="U427" s="229"/>
      <c r="V427" s="400"/>
      <c r="W427" s="229"/>
      <c r="X427" s="229"/>
      <c r="Y427" s="4"/>
      <c r="Z427" s="4"/>
    </row>
    <row r="428">
      <c r="A428" s="392"/>
      <c r="B428" s="392"/>
      <c r="C428" s="392"/>
      <c r="D428" s="392"/>
      <c r="E428" s="392"/>
      <c r="F428" s="229"/>
      <c r="G428" s="229"/>
      <c r="H428" s="392"/>
      <c r="I428" s="229"/>
      <c r="J428" s="229"/>
      <c r="K428" s="399"/>
      <c r="L428" s="399"/>
      <c r="M428" s="399"/>
      <c r="N428" s="229"/>
      <c r="O428" s="229"/>
      <c r="P428" s="229"/>
      <c r="Q428" s="229"/>
      <c r="R428" s="229"/>
      <c r="S428" s="229"/>
      <c r="T428" s="229"/>
      <c r="U428" s="229"/>
      <c r="V428" s="400"/>
      <c r="W428" s="229"/>
      <c r="X428" s="229"/>
      <c r="Y428" s="4"/>
      <c r="Z428" s="4"/>
    </row>
    <row r="429">
      <c r="A429" s="392"/>
      <c r="B429" s="392"/>
      <c r="C429" s="392"/>
      <c r="D429" s="392"/>
      <c r="E429" s="392"/>
      <c r="F429" s="229"/>
      <c r="G429" s="229"/>
      <c r="H429" s="392"/>
      <c r="I429" s="229"/>
      <c r="J429" s="229"/>
      <c r="K429" s="399"/>
      <c r="L429" s="399"/>
      <c r="M429" s="399"/>
      <c r="N429" s="229"/>
      <c r="O429" s="229"/>
      <c r="P429" s="229"/>
      <c r="Q429" s="229"/>
      <c r="R429" s="229"/>
      <c r="S429" s="229"/>
      <c r="T429" s="229"/>
      <c r="U429" s="229"/>
      <c r="V429" s="400"/>
      <c r="W429" s="229"/>
      <c r="X429" s="229"/>
      <c r="Y429" s="4"/>
      <c r="Z429" s="4"/>
    </row>
    <row r="430">
      <c r="A430" s="392"/>
      <c r="B430" s="392"/>
      <c r="C430" s="392"/>
      <c r="D430" s="392"/>
      <c r="E430" s="392"/>
      <c r="F430" s="229"/>
      <c r="G430" s="229"/>
      <c r="H430" s="392"/>
      <c r="I430" s="229"/>
      <c r="J430" s="229"/>
      <c r="K430" s="399"/>
      <c r="L430" s="399"/>
      <c r="M430" s="399"/>
      <c r="N430" s="229"/>
      <c r="O430" s="229"/>
      <c r="P430" s="229"/>
      <c r="Q430" s="229"/>
      <c r="R430" s="229"/>
      <c r="S430" s="229"/>
      <c r="T430" s="229"/>
      <c r="U430" s="229"/>
      <c r="V430" s="400"/>
      <c r="W430" s="229"/>
      <c r="X430" s="229"/>
      <c r="Y430" s="4"/>
      <c r="Z430" s="4"/>
    </row>
    <row r="431">
      <c r="A431" s="392"/>
      <c r="B431" s="392"/>
      <c r="C431" s="392"/>
      <c r="D431" s="392"/>
      <c r="E431" s="392"/>
      <c r="F431" s="229"/>
      <c r="G431" s="229"/>
      <c r="H431" s="392"/>
      <c r="I431" s="229"/>
      <c r="J431" s="229"/>
      <c r="K431" s="399"/>
      <c r="L431" s="399"/>
      <c r="M431" s="399"/>
      <c r="N431" s="229"/>
      <c r="O431" s="229"/>
      <c r="P431" s="229"/>
      <c r="Q431" s="229"/>
      <c r="R431" s="229"/>
      <c r="S431" s="229"/>
      <c r="T431" s="229"/>
      <c r="U431" s="229"/>
      <c r="V431" s="400"/>
      <c r="W431" s="229"/>
      <c r="X431" s="229"/>
      <c r="Y431" s="4"/>
      <c r="Z431" s="4"/>
    </row>
    <row r="432">
      <c r="A432" s="392"/>
      <c r="B432" s="392"/>
      <c r="C432" s="392"/>
      <c r="D432" s="392"/>
      <c r="E432" s="392"/>
      <c r="F432" s="229"/>
      <c r="G432" s="229"/>
      <c r="H432" s="392"/>
      <c r="I432" s="229"/>
      <c r="J432" s="229"/>
      <c r="K432" s="399"/>
      <c r="L432" s="399"/>
      <c r="M432" s="399"/>
      <c r="N432" s="229"/>
      <c r="O432" s="229"/>
      <c r="P432" s="229"/>
      <c r="Q432" s="229"/>
      <c r="R432" s="229"/>
      <c r="S432" s="229"/>
      <c r="T432" s="229"/>
      <c r="U432" s="229"/>
      <c r="V432" s="400"/>
      <c r="W432" s="229"/>
      <c r="X432" s="229"/>
      <c r="Y432" s="4"/>
      <c r="Z432" s="4"/>
    </row>
    <row r="433">
      <c r="A433" s="392"/>
      <c r="B433" s="392"/>
      <c r="C433" s="392"/>
      <c r="D433" s="392"/>
      <c r="E433" s="392"/>
      <c r="F433" s="229"/>
      <c r="G433" s="229"/>
      <c r="H433" s="392"/>
      <c r="I433" s="229"/>
      <c r="J433" s="229"/>
      <c r="K433" s="399"/>
      <c r="L433" s="399"/>
      <c r="M433" s="399"/>
      <c r="N433" s="229"/>
      <c r="O433" s="229"/>
      <c r="P433" s="229"/>
      <c r="Q433" s="229"/>
      <c r="R433" s="229"/>
      <c r="S433" s="229"/>
      <c r="T433" s="229"/>
      <c r="U433" s="229"/>
      <c r="V433" s="400"/>
      <c r="W433" s="229"/>
      <c r="X433" s="229"/>
      <c r="Y433" s="4"/>
      <c r="Z433" s="4"/>
    </row>
    <row r="434">
      <c r="A434" s="392"/>
      <c r="B434" s="392"/>
      <c r="C434" s="392"/>
      <c r="D434" s="392"/>
      <c r="E434" s="392"/>
      <c r="F434" s="229"/>
      <c r="G434" s="229"/>
      <c r="H434" s="392"/>
      <c r="I434" s="229"/>
      <c r="J434" s="229"/>
      <c r="K434" s="399"/>
      <c r="L434" s="399"/>
      <c r="M434" s="399"/>
      <c r="N434" s="229"/>
      <c r="O434" s="229"/>
      <c r="P434" s="229"/>
      <c r="Q434" s="229"/>
      <c r="R434" s="229"/>
      <c r="S434" s="229"/>
      <c r="T434" s="229"/>
      <c r="U434" s="229"/>
      <c r="V434" s="400"/>
      <c r="W434" s="229"/>
      <c r="X434" s="229"/>
      <c r="Y434" s="4"/>
      <c r="Z434" s="4"/>
    </row>
    <row r="435">
      <c r="A435" s="392"/>
      <c r="B435" s="392"/>
      <c r="C435" s="392"/>
      <c r="D435" s="392"/>
      <c r="E435" s="392"/>
      <c r="F435" s="229"/>
      <c r="G435" s="229"/>
      <c r="H435" s="392"/>
      <c r="I435" s="229"/>
      <c r="J435" s="229"/>
      <c r="K435" s="399"/>
      <c r="L435" s="399"/>
      <c r="M435" s="399"/>
      <c r="N435" s="229"/>
      <c r="O435" s="229"/>
      <c r="P435" s="229"/>
      <c r="Q435" s="229"/>
      <c r="R435" s="229"/>
      <c r="S435" s="229"/>
      <c r="T435" s="229"/>
      <c r="U435" s="229"/>
      <c r="V435" s="400"/>
      <c r="W435" s="229"/>
      <c r="X435" s="229"/>
      <c r="Y435" s="4"/>
      <c r="Z435" s="4"/>
    </row>
    <row r="436">
      <c r="A436" s="392"/>
      <c r="B436" s="392"/>
      <c r="C436" s="392"/>
      <c r="D436" s="392"/>
      <c r="E436" s="392"/>
      <c r="F436" s="229"/>
      <c r="G436" s="229"/>
      <c r="H436" s="392"/>
      <c r="I436" s="229"/>
      <c r="J436" s="229"/>
      <c r="K436" s="399"/>
      <c r="L436" s="399"/>
      <c r="M436" s="399"/>
      <c r="N436" s="229"/>
      <c r="O436" s="229"/>
      <c r="P436" s="229"/>
      <c r="Q436" s="229"/>
      <c r="R436" s="229"/>
      <c r="S436" s="229"/>
      <c r="T436" s="229"/>
      <c r="U436" s="229"/>
      <c r="V436" s="400"/>
      <c r="W436" s="229"/>
      <c r="X436" s="229"/>
      <c r="Y436" s="4"/>
      <c r="Z436" s="4"/>
    </row>
    <row r="437">
      <c r="A437" s="392"/>
      <c r="B437" s="392"/>
      <c r="C437" s="392"/>
      <c r="D437" s="392"/>
      <c r="E437" s="392"/>
      <c r="F437" s="229"/>
      <c r="G437" s="229"/>
      <c r="H437" s="392"/>
      <c r="I437" s="229"/>
      <c r="J437" s="229"/>
      <c r="K437" s="399"/>
      <c r="L437" s="399"/>
      <c r="M437" s="399"/>
      <c r="N437" s="229"/>
      <c r="O437" s="229"/>
      <c r="P437" s="229"/>
      <c r="Q437" s="229"/>
      <c r="R437" s="229"/>
      <c r="S437" s="229"/>
      <c r="T437" s="229"/>
      <c r="U437" s="229"/>
      <c r="V437" s="400"/>
      <c r="W437" s="229"/>
      <c r="X437" s="229"/>
      <c r="Y437" s="4"/>
      <c r="Z437" s="4"/>
    </row>
    <row r="438">
      <c r="A438" s="392"/>
      <c r="B438" s="392"/>
      <c r="C438" s="392"/>
      <c r="D438" s="392"/>
      <c r="E438" s="392"/>
      <c r="F438" s="229"/>
      <c r="G438" s="229"/>
      <c r="H438" s="392"/>
      <c r="I438" s="229"/>
      <c r="J438" s="229"/>
      <c r="K438" s="399"/>
      <c r="L438" s="399"/>
      <c r="M438" s="399"/>
      <c r="N438" s="229"/>
      <c r="O438" s="229"/>
      <c r="P438" s="229"/>
      <c r="Q438" s="229"/>
      <c r="R438" s="229"/>
      <c r="S438" s="229"/>
      <c r="T438" s="229"/>
      <c r="U438" s="229"/>
      <c r="V438" s="400"/>
      <c r="W438" s="229"/>
      <c r="X438" s="229"/>
      <c r="Y438" s="4"/>
      <c r="Z438" s="4"/>
    </row>
    <row r="439">
      <c r="A439" s="392"/>
      <c r="B439" s="392"/>
      <c r="C439" s="392"/>
      <c r="D439" s="392"/>
      <c r="E439" s="392"/>
      <c r="F439" s="229"/>
      <c r="G439" s="229"/>
      <c r="H439" s="392"/>
      <c r="I439" s="229"/>
      <c r="J439" s="229"/>
      <c r="K439" s="399"/>
      <c r="L439" s="399"/>
      <c r="M439" s="399"/>
      <c r="N439" s="229"/>
      <c r="O439" s="229"/>
      <c r="P439" s="229"/>
      <c r="Q439" s="229"/>
      <c r="R439" s="229"/>
      <c r="S439" s="229"/>
      <c r="T439" s="229"/>
      <c r="U439" s="229"/>
      <c r="V439" s="400"/>
      <c r="W439" s="229"/>
      <c r="X439" s="229"/>
      <c r="Y439" s="4"/>
      <c r="Z439" s="4"/>
    </row>
    <row r="440">
      <c r="A440" s="392"/>
      <c r="B440" s="392"/>
      <c r="C440" s="392"/>
      <c r="D440" s="392"/>
      <c r="E440" s="392"/>
      <c r="F440" s="229"/>
      <c r="G440" s="229"/>
      <c r="H440" s="392"/>
      <c r="I440" s="229"/>
      <c r="J440" s="229"/>
      <c r="K440" s="399"/>
      <c r="L440" s="399"/>
      <c r="M440" s="399"/>
      <c r="N440" s="229"/>
      <c r="O440" s="229"/>
      <c r="P440" s="229"/>
      <c r="Q440" s="229"/>
      <c r="R440" s="229"/>
      <c r="S440" s="229"/>
      <c r="T440" s="229"/>
      <c r="U440" s="229"/>
      <c r="V440" s="400"/>
      <c r="W440" s="229"/>
      <c r="X440" s="229"/>
      <c r="Y440" s="4"/>
      <c r="Z440" s="4"/>
    </row>
    <row r="441">
      <c r="A441" s="392"/>
      <c r="B441" s="392"/>
      <c r="C441" s="392"/>
      <c r="D441" s="392"/>
      <c r="E441" s="392"/>
      <c r="F441" s="229"/>
      <c r="G441" s="229"/>
      <c r="H441" s="392"/>
      <c r="I441" s="229"/>
      <c r="J441" s="229"/>
      <c r="K441" s="399"/>
      <c r="L441" s="399"/>
      <c r="M441" s="399"/>
      <c r="N441" s="229"/>
      <c r="O441" s="229"/>
      <c r="P441" s="229"/>
      <c r="Q441" s="229"/>
      <c r="R441" s="229"/>
      <c r="S441" s="229"/>
      <c r="T441" s="229"/>
      <c r="U441" s="229"/>
      <c r="V441" s="400"/>
      <c r="W441" s="229"/>
      <c r="X441" s="229"/>
      <c r="Y441" s="4"/>
      <c r="Z441" s="4"/>
    </row>
    <row r="442">
      <c r="A442" s="392"/>
      <c r="B442" s="392"/>
      <c r="C442" s="392"/>
      <c r="D442" s="392"/>
      <c r="E442" s="392"/>
      <c r="F442" s="229"/>
      <c r="G442" s="229"/>
      <c r="H442" s="392"/>
      <c r="I442" s="229"/>
      <c r="J442" s="229"/>
      <c r="K442" s="399"/>
      <c r="L442" s="399"/>
      <c r="M442" s="399"/>
      <c r="N442" s="229"/>
      <c r="O442" s="229"/>
      <c r="P442" s="229"/>
      <c r="Q442" s="229"/>
      <c r="R442" s="229"/>
      <c r="S442" s="229"/>
      <c r="T442" s="229"/>
      <c r="U442" s="229"/>
      <c r="V442" s="400"/>
      <c r="W442" s="229"/>
      <c r="X442" s="229"/>
      <c r="Y442" s="4"/>
      <c r="Z442" s="4"/>
    </row>
    <row r="443">
      <c r="A443" s="392"/>
      <c r="B443" s="392"/>
      <c r="C443" s="392"/>
      <c r="D443" s="392"/>
      <c r="E443" s="392"/>
      <c r="F443" s="229"/>
      <c r="G443" s="229"/>
      <c r="H443" s="392"/>
      <c r="I443" s="229"/>
      <c r="J443" s="229"/>
      <c r="K443" s="399"/>
      <c r="L443" s="399"/>
      <c r="M443" s="399"/>
      <c r="N443" s="229"/>
      <c r="O443" s="229"/>
      <c r="P443" s="229"/>
      <c r="Q443" s="229"/>
      <c r="R443" s="229"/>
      <c r="S443" s="229"/>
      <c r="T443" s="229"/>
      <c r="U443" s="229"/>
      <c r="V443" s="400"/>
      <c r="W443" s="229"/>
      <c r="X443" s="229"/>
      <c r="Y443" s="4"/>
      <c r="Z443" s="4"/>
    </row>
    <row r="444">
      <c r="A444" s="392"/>
      <c r="B444" s="392"/>
      <c r="C444" s="392"/>
      <c r="D444" s="392"/>
      <c r="E444" s="392"/>
      <c r="F444" s="229"/>
      <c r="G444" s="229"/>
      <c r="H444" s="392"/>
      <c r="I444" s="229"/>
      <c r="J444" s="229"/>
      <c r="K444" s="399"/>
      <c r="L444" s="399"/>
      <c r="M444" s="399"/>
      <c r="N444" s="229"/>
      <c r="O444" s="229"/>
      <c r="P444" s="229"/>
      <c r="Q444" s="229"/>
      <c r="R444" s="229"/>
      <c r="S444" s="229"/>
      <c r="T444" s="229"/>
      <c r="U444" s="229"/>
      <c r="V444" s="400"/>
      <c r="W444" s="229"/>
      <c r="X444" s="229"/>
      <c r="Y444" s="4"/>
      <c r="Z444" s="4"/>
    </row>
    <row r="445">
      <c r="A445" s="392"/>
      <c r="B445" s="392"/>
      <c r="C445" s="392"/>
      <c r="D445" s="392"/>
      <c r="E445" s="392"/>
      <c r="F445" s="229"/>
      <c r="G445" s="229"/>
      <c r="H445" s="392"/>
      <c r="I445" s="229"/>
      <c r="J445" s="229"/>
      <c r="K445" s="399"/>
      <c r="L445" s="399"/>
      <c r="M445" s="399"/>
      <c r="N445" s="229"/>
      <c r="O445" s="229"/>
      <c r="P445" s="229"/>
      <c r="Q445" s="229"/>
      <c r="R445" s="229"/>
      <c r="S445" s="229"/>
      <c r="T445" s="229"/>
      <c r="U445" s="229"/>
      <c r="V445" s="400"/>
      <c r="W445" s="229"/>
      <c r="X445" s="229"/>
      <c r="Y445" s="4"/>
      <c r="Z445" s="4"/>
    </row>
    <row r="446">
      <c r="A446" s="392"/>
      <c r="B446" s="392"/>
      <c r="C446" s="392"/>
      <c r="D446" s="392"/>
      <c r="E446" s="392"/>
      <c r="F446" s="229"/>
      <c r="G446" s="229"/>
      <c r="H446" s="392"/>
      <c r="I446" s="229"/>
      <c r="J446" s="229"/>
      <c r="K446" s="399"/>
      <c r="L446" s="399"/>
      <c r="M446" s="399"/>
      <c r="N446" s="229"/>
      <c r="O446" s="229"/>
      <c r="P446" s="229"/>
      <c r="Q446" s="229"/>
      <c r="R446" s="229"/>
      <c r="S446" s="229"/>
      <c r="T446" s="229"/>
      <c r="U446" s="229"/>
      <c r="V446" s="400"/>
      <c r="W446" s="229"/>
      <c r="X446" s="229"/>
      <c r="Y446" s="4"/>
      <c r="Z446" s="4"/>
    </row>
    <row r="447">
      <c r="A447" s="392"/>
      <c r="B447" s="392"/>
      <c r="C447" s="392"/>
      <c r="D447" s="392"/>
      <c r="E447" s="392"/>
      <c r="F447" s="229"/>
      <c r="G447" s="229"/>
      <c r="H447" s="392"/>
      <c r="I447" s="229"/>
      <c r="J447" s="229"/>
      <c r="K447" s="399"/>
      <c r="L447" s="399"/>
      <c r="M447" s="399"/>
      <c r="N447" s="229"/>
      <c r="O447" s="229"/>
      <c r="P447" s="229"/>
      <c r="Q447" s="229"/>
      <c r="R447" s="229"/>
      <c r="S447" s="229"/>
      <c r="T447" s="229"/>
      <c r="U447" s="229"/>
      <c r="V447" s="400"/>
      <c r="W447" s="229"/>
      <c r="X447" s="229"/>
      <c r="Y447" s="4"/>
      <c r="Z447" s="4"/>
    </row>
    <row r="448">
      <c r="A448" s="392"/>
      <c r="B448" s="392"/>
      <c r="C448" s="392"/>
      <c r="D448" s="392"/>
      <c r="E448" s="392"/>
      <c r="F448" s="229"/>
      <c r="G448" s="229"/>
      <c r="H448" s="392"/>
      <c r="I448" s="229"/>
      <c r="J448" s="229"/>
      <c r="K448" s="399"/>
      <c r="L448" s="399"/>
      <c r="M448" s="399"/>
      <c r="N448" s="229"/>
      <c r="O448" s="229"/>
      <c r="P448" s="229"/>
      <c r="Q448" s="229"/>
      <c r="R448" s="229"/>
      <c r="S448" s="229"/>
      <c r="T448" s="229"/>
      <c r="U448" s="229"/>
      <c r="V448" s="400"/>
      <c r="W448" s="229"/>
      <c r="X448" s="229"/>
      <c r="Y448" s="4"/>
      <c r="Z448" s="4"/>
    </row>
    <row r="449">
      <c r="A449" s="392"/>
      <c r="B449" s="392"/>
      <c r="C449" s="392"/>
      <c r="D449" s="392"/>
      <c r="E449" s="392"/>
      <c r="F449" s="229"/>
      <c r="G449" s="229"/>
      <c r="H449" s="392"/>
      <c r="I449" s="229"/>
      <c r="J449" s="229"/>
      <c r="K449" s="399"/>
      <c r="L449" s="399"/>
      <c r="M449" s="399"/>
      <c r="N449" s="229"/>
      <c r="O449" s="229"/>
      <c r="P449" s="229"/>
      <c r="Q449" s="229"/>
      <c r="R449" s="229"/>
      <c r="S449" s="229"/>
      <c r="T449" s="229"/>
      <c r="U449" s="229"/>
      <c r="V449" s="400"/>
      <c r="W449" s="229"/>
      <c r="X449" s="229"/>
      <c r="Y449" s="4"/>
      <c r="Z449" s="4"/>
    </row>
    <row r="450">
      <c r="A450" s="392"/>
      <c r="B450" s="392"/>
      <c r="C450" s="392"/>
      <c r="D450" s="392"/>
      <c r="E450" s="392"/>
      <c r="F450" s="229"/>
      <c r="G450" s="229"/>
      <c r="H450" s="392"/>
      <c r="I450" s="229"/>
      <c r="J450" s="229"/>
      <c r="K450" s="399"/>
      <c r="L450" s="399"/>
      <c r="M450" s="399"/>
      <c r="N450" s="229"/>
      <c r="O450" s="229"/>
      <c r="P450" s="229"/>
      <c r="Q450" s="229"/>
      <c r="R450" s="229"/>
      <c r="S450" s="229"/>
      <c r="T450" s="229"/>
      <c r="U450" s="229"/>
      <c r="V450" s="400"/>
      <c r="W450" s="229"/>
      <c r="X450" s="229"/>
      <c r="Y450" s="4"/>
      <c r="Z450" s="4"/>
    </row>
    <row r="451">
      <c r="A451" s="392"/>
      <c r="B451" s="392"/>
      <c r="C451" s="392"/>
      <c r="D451" s="392"/>
      <c r="E451" s="392"/>
      <c r="F451" s="229"/>
      <c r="G451" s="229"/>
      <c r="H451" s="392"/>
      <c r="I451" s="229"/>
      <c r="J451" s="229"/>
      <c r="K451" s="399"/>
      <c r="L451" s="399"/>
      <c r="M451" s="399"/>
      <c r="N451" s="229"/>
      <c r="O451" s="229"/>
      <c r="P451" s="229"/>
      <c r="Q451" s="229"/>
      <c r="R451" s="229"/>
      <c r="S451" s="229"/>
      <c r="T451" s="229"/>
      <c r="U451" s="229"/>
      <c r="V451" s="400"/>
      <c r="W451" s="229"/>
      <c r="X451" s="229"/>
      <c r="Y451" s="4"/>
      <c r="Z451" s="4"/>
    </row>
    <row r="452">
      <c r="A452" s="392"/>
      <c r="B452" s="392"/>
      <c r="C452" s="392"/>
      <c r="D452" s="392"/>
      <c r="E452" s="392"/>
      <c r="F452" s="229"/>
      <c r="G452" s="229"/>
      <c r="H452" s="392"/>
      <c r="I452" s="229"/>
      <c r="J452" s="229"/>
      <c r="K452" s="399"/>
      <c r="L452" s="399"/>
      <c r="M452" s="399"/>
      <c r="N452" s="229"/>
      <c r="O452" s="229"/>
      <c r="P452" s="229"/>
      <c r="Q452" s="229"/>
      <c r="R452" s="229"/>
      <c r="S452" s="229"/>
      <c r="T452" s="229"/>
      <c r="U452" s="229"/>
      <c r="V452" s="400"/>
      <c r="W452" s="229"/>
      <c r="X452" s="229"/>
      <c r="Y452" s="4"/>
      <c r="Z452" s="4"/>
    </row>
    <row r="453">
      <c r="A453" s="392"/>
      <c r="B453" s="392"/>
      <c r="C453" s="392"/>
      <c r="D453" s="392"/>
      <c r="E453" s="392"/>
      <c r="F453" s="229"/>
      <c r="G453" s="229"/>
      <c r="H453" s="392"/>
      <c r="I453" s="229"/>
      <c r="J453" s="229"/>
      <c r="K453" s="399"/>
      <c r="L453" s="399"/>
      <c r="M453" s="399"/>
      <c r="N453" s="229"/>
      <c r="O453" s="229"/>
      <c r="P453" s="229"/>
      <c r="Q453" s="229"/>
      <c r="R453" s="229"/>
      <c r="S453" s="229"/>
      <c r="T453" s="229"/>
      <c r="U453" s="229"/>
      <c r="V453" s="400"/>
      <c r="W453" s="229"/>
      <c r="X453" s="229"/>
      <c r="Y453" s="4"/>
      <c r="Z453" s="4"/>
    </row>
    <row r="454">
      <c r="A454" s="392"/>
      <c r="B454" s="392"/>
      <c r="C454" s="392"/>
      <c r="D454" s="392"/>
      <c r="E454" s="392"/>
      <c r="F454" s="229"/>
      <c r="G454" s="229"/>
      <c r="H454" s="392"/>
      <c r="I454" s="229"/>
      <c r="J454" s="229"/>
      <c r="K454" s="399"/>
      <c r="L454" s="399"/>
      <c r="M454" s="399"/>
      <c r="N454" s="229"/>
      <c r="O454" s="229"/>
      <c r="P454" s="229"/>
      <c r="Q454" s="229"/>
      <c r="R454" s="229"/>
      <c r="S454" s="229"/>
      <c r="T454" s="229"/>
      <c r="U454" s="229"/>
      <c r="V454" s="400"/>
      <c r="W454" s="229"/>
      <c r="X454" s="229"/>
      <c r="Y454" s="4"/>
      <c r="Z454" s="4"/>
    </row>
    <row r="455">
      <c r="A455" s="392"/>
      <c r="B455" s="392"/>
      <c r="C455" s="392"/>
      <c r="D455" s="392"/>
      <c r="E455" s="392"/>
      <c r="F455" s="229"/>
      <c r="G455" s="229"/>
      <c r="H455" s="392"/>
      <c r="I455" s="229"/>
      <c r="J455" s="229"/>
      <c r="K455" s="399"/>
      <c r="L455" s="399"/>
      <c r="M455" s="399"/>
      <c r="N455" s="229"/>
      <c r="O455" s="229"/>
      <c r="P455" s="229"/>
      <c r="Q455" s="229"/>
      <c r="R455" s="229"/>
      <c r="S455" s="229"/>
      <c r="T455" s="229"/>
      <c r="U455" s="229"/>
      <c r="V455" s="400"/>
      <c r="W455" s="229"/>
      <c r="X455" s="229"/>
      <c r="Y455" s="4"/>
      <c r="Z455" s="4"/>
    </row>
    <row r="456">
      <c r="A456" s="392"/>
      <c r="B456" s="392"/>
      <c r="C456" s="392"/>
      <c r="D456" s="392"/>
      <c r="E456" s="392"/>
      <c r="F456" s="229"/>
      <c r="G456" s="229"/>
      <c r="H456" s="392"/>
      <c r="I456" s="229"/>
      <c r="J456" s="229"/>
      <c r="K456" s="399"/>
      <c r="L456" s="399"/>
      <c r="M456" s="399"/>
      <c r="N456" s="229"/>
      <c r="O456" s="229"/>
      <c r="P456" s="229"/>
      <c r="Q456" s="229"/>
      <c r="R456" s="229"/>
      <c r="S456" s="229"/>
      <c r="T456" s="229"/>
      <c r="U456" s="229"/>
      <c r="V456" s="400"/>
      <c r="W456" s="229"/>
      <c r="X456" s="229"/>
      <c r="Y456" s="4"/>
      <c r="Z456" s="4"/>
    </row>
    <row r="457">
      <c r="A457" s="392"/>
      <c r="B457" s="392"/>
      <c r="C457" s="392"/>
      <c r="D457" s="392"/>
      <c r="E457" s="392"/>
      <c r="F457" s="229"/>
      <c r="G457" s="229"/>
      <c r="H457" s="392"/>
      <c r="I457" s="229"/>
      <c r="J457" s="229"/>
      <c r="K457" s="399"/>
      <c r="L457" s="399"/>
      <c r="M457" s="399"/>
      <c r="N457" s="229"/>
      <c r="O457" s="229"/>
      <c r="P457" s="229"/>
      <c r="Q457" s="229"/>
      <c r="R457" s="229"/>
      <c r="S457" s="229"/>
      <c r="T457" s="229"/>
      <c r="U457" s="229"/>
      <c r="V457" s="400"/>
      <c r="W457" s="229"/>
      <c r="X457" s="229"/>
      <c r="Y457" s="4"/>
      <c r="Z457" s="4"/>
    </row>
    <row r="458">
      <c r="A458" s="392"/>
      <c r="B458" s="392"/>
      <c r="C458" s="392"/>
      <c r="D458" s="392"/>
      <c r="E458" s="392"/>
      <c r="F458" s="229"/>
      <c r="G458" s="229"/>
      <c r="H458" s="392"/>
      <c r="I458" s="229"/>
      <c r="J458" s="229"/>
      <c r="K458" s="399"/>
      <c r="L458" s="399"/>
      <c r="M458" s="399"/>
      <c r="N458" s="229"/>
      <c r="O458" s="229"/>
      <c r="P458" s="229"/>
      <c r="Q458" s="229"/>
      <c r="R458" s="229"/>
      <c r="S458" s="229"/>
      <c r="T458" s="229"/>
      <c r="U458" s="229"/>
      <c r="V458" s="400"/>
      <c r="W458" s="229"/>
      <c r="X458" s="229"/>
      <c r="Y458" s="4"/>
      <c r="Z458" s="4"/>
    </row>
    <row r="459">
      <c r="A459" s="392"/>
      <c r="B459" s="392"/>
      <c r="C459" s="392"/>
      <c r="D459" s="392"/>
      <c r="E459" s="392"/>
      <c r="F459" s="229"/>
      <c r="G459" s="229"/>
      <c r="H459" s="392"/>
      <c r="I459" s="229"/>
      <c r="J459" s="229"/>
      <c r="K459" s="399"/>
      <c r="L459" s="399"/>
      <c r="M459" s="399"/>
      <c r="N459" s="229"/>
      <c r="O459" s="229"/>
      <c r="P459" s="229"/>
      <c r="Q459" s="229"/>
      <c r="R459" s="229"/>
      <c r="S459" s="229"/>
      <c r="T459" s="229"/>
      <c r="U459" s="229"/>
      <c r="V459" s="400"/>
      <c r="W459" s="229"/>
      <c r="X459" s="229"/>
      <c r="Y459" s="4"/>
      <c r="Z459" s="4"/>
    </row>
    <row r="460">
      <c r="A460" s="392"/>
      <c r="B460" s="392"/>
      <c r="C460" s="392"/>
      <c r="D460" s="392"/>
      <c r="E460" s="392"/>
      <c r="F460" s="229"/>
      <c r="G460" s="229"/>
      <c r="H460" s="392"/>
      <c r="I460" s="229"/>
      <c r="J460" s="229"/>
      <c r="K460" s="399"/>
      <c r="L460" s="399"/>
      <c r="M460" s="399"/>
      <c r="N460" s="229"/>
      <c r="O460" s="229"/>
      <c r="P460" s="229"/>
      <c r="Q460" s="229"/>
      <c r="R460" s="229"/>
      <c r="S460" s="229"/>
      <c r="T460" s="229"/>
      <c r="U460" s="229"/>
      <c r="V460" s="400"/>
      <c r="W460" s="229"/>
      <c r="X460" s="229"/>
      <c r="Y460" s="4"/>
      <c r="Z460" s="4"/>
    </row>
    <row r="461">
      <c r="A461" s="392"/>
      <c r="B461" s="392"/>
      <c r="C461" s="392"/>
      <c r="D461" s="392"/>
      <c r="E461" s="392"/>
      <c r="F461" s="229"/>
      <c r="G461" s="229"/>
      <c r="H461" s="392"/>
      <c r="I461" s="229"/>
      <c r="J461" s="229"/>
      <c r="K461" s="399"/>
      <c r="L461" s="399"/>
      <c r="M461" s="399"/>
      <c r="N461" s="229"/>
      <c r="O461" s="229"/>
      <c r="P461" s="229"/>
      <c r="Q461" s="229"/>
      <c r="R461" s="229"/>
      <c r="S461" s="229"/>
      <c r="T461" s="229"/>
      <c r="U461" s="229"/>
      <c r="V461" s="400"/>
      <c r="W461" s="229"/>
      <c r="X461" s="229"/>
      <c r="Y461" s="4"/>
      <c r="Z461" s="4"/>
    </row>
    <row r="462">
      <c r="A462" s="392"/>
      <c r="B462" s="392"/>
      <c r="C462" s="392"/>
      <c r="D462" s="392"/>
      <c r="E462" s="392"/>
      <c r="F462" s="229"/>
      <c r="G462" s="229"/>
      <c r="H462" s="392"/>
      <c r="I462" s="229"/>
      <c r="J462" s="229"/>
      <c r="K462" s="399"/>
      <c r="L462" s="399"/>
      <c r="M462" s="399"/>
      <c r="N462" s="229"/>
      <c r="O462" s="229"/>
      <c r="P462" s="229"/>
      <c r="Q462" s="229"/>
      <c r="R462" s="229"/>
      <c r="S462" s="229"/>
      <c r="T462" s="229"/>
      <c r="U462" s="229"/>
      <c r="V462" s="400"/>
      <c r="W462" s="229"/>
      <c r="X462" s="229"/>
      <c r="Y462" s="4"/>
      <c r="Z462" s="4"/>
    </row>
    <row r="463">
      <c r="A463" s="392"/>
      <c r="B463" s="392"/>
      <c r="C463" s="392"/>
      <c r="D463" s="392"/>
      <c r="E463" s="392"/>
      <c r="F463" s="229"/>
      <c r="G463" s="229"/>
      <c r="H463" s="392"/>
      <c r="I463" s="229"/>
      <c r="J463" s="229"/>
      <c r="K463" s="399"/>
      <c r="L463" s="399"/>
      <c r="M463" s="399"/>
      <c r="N463" s="229"/>
      <c r="O463" s="229"/>
      <c r="P463" s="229"/>
      <c r="Q463" s="229"/>
      <c r="R463" s="229"/>
      <c r="S463" s="229"/>
      <c r="T463" s="229"/>
      <c r="U463" s="229"/>
      <c r="V463" s="400"/>
      <c r="W463" s="229"/>
      <c r="X463" s="229"/>
      <c r="Y463" s="4"/>
      <c r="Z463" s="4"/>
    </row>
    <row r="464">
      <c r="A464" s="392"/>
      <c r="B464" s="392"/>
      <c r="C464" s="392"/>
      <c r="D464" s="392"/>
      <c r="E464" s="392"/>
      <c r="F464" s="229"/>
      <c r="G464" s="229"/>
      <c r="H464" s="392"/>
      <c r="I464" s="229"/>
      <c r="J464" s="229"/>
      <c r="K464" s="399"/>
      <c r="L464" s="399"/>
      <c r="M464" s="399"/>
      <c r="N464" s="229"/>
      <c r="O464" s="229"/>
      <c r="P464" s="229"/>
      <c r="Q464" s="229"/>
      <c r="R464" s="229"/>
      <c r="S464" s="229"/>
      <c r="T464" s="229"/>
      <c r="U464" s="229"/>
      <c r="V464" s="400"/>
      <c r="W464" s="229"/>
      <c r="X464" s="229"/>
      <c r="Y464" s="4"/>
      <c r="Z464" s="4"/>
    </row>
    <row r="465">
      <c r="A465" s="392"/>
      <c r="B465" s="392"/>
      <c r="C465" s="392"/>
      <c r="D465" s="392"/>
      <c r="E465" s="392"/>
      <c r="F465" s="229"/>
      <c r="G465" s="229"/>
      <c r="H465" s="392"/>
      <c r="I465" s="229"/>
      <c r="J465" s="229"/>
      <c r="K465" s="399"/>
      <c r="L465" s="399"/>
      <c r="M465" s="399"/>
      <c r="N465" s="229"/>
      <c r="O465" s="229"/>
      <c r="P465" s="229"/>
      <c r="Q465" s="229"/>
      <c r="R465" s="229"/>
      <c r="S465" s="229"/>
      <c r="T465" s="229"/>
      <c r="U465" s="229"/>
      <c r="V465" s="400"/>
      <c r="W465" s="229"/>
      <c r="X465" s="229"/>
      <c r="Y465" s="4"/>
      <c r="Z465" s="4"/>
    </row>
    <row r="466">
      <c r="A466" s="392"/>
      <c r="B466" s="392"/>
      <c r="C466" s="392"/>
      <c r="D466" s="392"/>
      <c r="E466" s="392"/>
      <c r="F466" s="229"/>
      <c r="G466" s="229"/>
      <c r="H466" s="392"/>
      <c r="I466" s="229"/>
      <c r="J466" s="229"/>
      <c r="K466" s="399"/>
      <c r="L466" s="399"/>
      <c r="M466" s="399"/>
      <c r="N466" s="229"/>
      <c r="O466" s="229"/>
      <c r="P466" s="229"/>
      <c r="Q466" s="229"/>
      <c r="R466" s="229"/>
      <c r="S466" s="229"/>
      <c r="T466" s="229"/>
      <c r="U466" s="229"/>
      <c r="V466" s="400"/>
      <c r="W466" s="229"/>
      <c r="X466" s="229"/>
      <c r="Y466" s="4"/>
      <c r="Z466" s="4"/>
    </row>
    <row r="467">
      <c r="A467" s="392"/>
      <c r="B467" s="392"/>
      <c r="C467" s="392"/>
      <c r="D467" s="392"/>
      <c r="E467" s="392"/>
      <c r="F467" s="229"/>
      <c r="G467" s="229"/>
      <c r="H467" s="392"/>
      <c r="I467" s="229"/>
      <c r="J467" s="229"/>
      <c r="K467" s="399"/>
      <c r="L467" s="399"/>
      <c r="M467" s="399"/>
      <c r="N467" s="229"/>
      <c r="O467" s="229"/>
      <c r="P467" s="229"/>
      <c r="Q467" s="229"/>
      <c r="R467" s="229"/>
      <c r="S467" s="229"/>
      <c r="T467" s="229"/>
      <c r="U467" s="229"/>
      <c r="V467" s="400"/>
      <c r="W467" s="229"/>
      <c r="X467" s="229"/>
      <c r="Y467" s="4"/>
      <c r="Z467" s="4"/>
    </row>
    <row r="468">
      <c r="A468" s="392"/>
      <c r="B468" s="392"/>
      <c r="C468" s="392"/>
      <c r="D468" s="392"/>
      <c r="E468" s="392"/>
      <c r="F468" s="229"/>
      <c r="G468" s="229"/>
      <c r="H468" s="392"/>
      <c r="I468" s="229"/>
      <c r="J468" s="229"/>
      <c r="K468" s="399"/>
      <c r="L468" s="399"/>
      <c r="M468" s="399"/>
      <c r="N468" s="229"/>
      <c r="O468" s="229"/>
      <c r="P468" s="229"/>
      <c r="Q468" s="229"/>
      <c r="R468" s="229"/>
      <c r="S468" s="229"/>
      <c r="T468" s="229"/>
      <c r="U468" s="229"/>
      <c r="V468" s="400"/>
      <c r="W468" s="229"/>
      <c r="X468" s="229"/>
      <c r="Y468" s="4"/>
      <c r="Z468" s="4"/>
    </row>
    <row r="469">
      <c r="A469" s="392"/>
      <c r="B469" s="392"/>
      <c r="C469" s="392"/>
      <c r="D469" s="392"/>
      <c r="E469" s="392"/>
      <c r="F469" s="229"/>
      <c r="G469" s="229"/>
      <c r="H469" s="392"/>
      <c r="I469" s="229"/>
      <c r="J469" s="229"/>
      <c r="K469" s="399"/>
      <c r="L469" s="399"/>
      <c r="M469" s="399"/>
      <c r="N469" s="229"/>
      <c r="O469" s="229"/>
      <c r="P469" s="229"/>
      <c r="Q469" s="229"/>
      <c r="R469" s="229"/>
      <c r="S469" s="229"/>
      <c r="T469" s="229"/>
      <c r="U469" s="229"/>
      <c r="V469" s="400"/>
      <c r="W469" s="229"/>
      <c r="X469" s="229"/>
      <c r="Y469" s="4"/>
      <c r="Z469" s="4"/>
    </row>
    <row r="470">
      <c r="A470" s="392"/>
      <c r="B470" s="392"/>
      <c r="C470" s="392"/>
      <c r="D470" s="392"/>
      <c r="E470" s="392"/>
      <c r="F470" s="229"/>
      <c r="G470" s="229"/>
      <c r="H470" s="392"/>
      <c r="I470" s="229"/>
      <c r="J470" s="229"/>
      <c r="K470" s="399"/>
      <c r="L470" s="399"/>
      <c r="M470" s="399"/>
      <c r="N470" s="229"/>
      <c r="O470" s="229"/>
      <c r="P470" s="229"/>
      <c r="Q470" s="229"/>
      <c r="R470" s="229"/>
      <c r="S470" s="229"/>
      <c r="T470" s="229"/>
      <c r="U470" s="229"/>
      <c r="V470" s="400"/>
      <c r="W470" s="229"/>
      <c r="X470" s="229"/>
      <c r="Y470" s="4"/>
      <c r="Z470" s="4"/>
    </row>
    <row r="471">
      <c r="A471" s="392"/>
      <c r="B471" s="392"/>
      <c r="C471" s="392"/>
      <c r="D471" s="392"/>
      <c r="E471" s="392"/>
      <c r="F471" s="229"/>
      <c r="G471" s="229"/>
      <c r="H471" s="392"/>
      <c r="I471" s="229"/>
      <c r="J471" s="229"/>
      <c r="K471" s="399"/>
      <c r="L471" s="399"/>
      <c r="M471" s="399"/>
      <c r="N471" s="229"/>
      <c r="O471" s="229"/>
      <c r="P471" s="229"/>
      <c r="Q471" s="229"/>
      <c r="R471" s="229"/>
      <c r="S471" s="229"/>
      <c r="T471" s="229"/>
      <c r="U471" s="229"/>
      <c r="V471" s="400"/>
      <c r="W471" s="229"/>
      <c r="X471" s="229"/>
      <c r="Y471" s="4"/>
      <c r="Z471" s="4"/>
    </row>
    <row r="472">
      <c r="A472" s="392"/>
      <c r="B472" s="392"/>
      <c r="C472" s="392"/>
      <c r="D472" s="392"/>
      <c r="E472" s="392"/>
      <c r="F472" s="229"/>
      <c r="G472" s="229"/>
      <c r="H472" s="392"/>
      <c r="I472" s="229"/>
      <c r="J472" s="229"/>
      <c r="K472" s="399"/>
      <c r="L472" s="399"/>
      <c r="M472" s="399"/>
      <c r="N472" s="229"/>
      <c r="O472" s="229"/>
      <c r="P472" s="229"/>
      <c r="Q472" s="229"/>
      <c r="R472" s="229"/>
      <c r="S472" s="229"/>
      <c r="T472" s="229"/>
      <c r="U472" s="229"/>
      <c r="V472" s="400"/>
      <c r="W472" s="229"/>
      <c r="X472" s="229"/>
      <c r="Y472" s="4"/>
      <c r="Z472" s="4"/>
    </row>
    <row r="473">
      <c r="A473" s="392"/>
      <c r="B473" s="392"/>
      <c r="C473" s="392"/>
      <c r="D473" s="392"/>
      <c r="E473" s="392"/>
      <c r="F473" s="229"/>
      <c r="G473" s="229"/>
      <c r="H473" s="392"/>
      <c r="I473" s="229"/>
      <c r="J473" s="229"/>
      <c r="K473" s="399"/>
      <c r="L473" s="399"/>
      <c r="M473" s="399"/>
      <c r="N473" s="229"/>
      <c r="O473" s="229"/>
      <c r="P473" s="229"/>
      <c r="Q473" s="229"/>
      <c r="R473" s="229"/>
      <c r="S473" s="229"/>
      <c r="T473" s="229"/>
      <c r="U473" s="229"/>
      <c r="V473" s="400"/>
      <c r="W473" s="229"/>
      <c r="X473" s="229"/>
      <c r="Y473" s="4"/>
      <c r="Z473" s="4"/>
    </row>
    <row r="474">
      <c r="A474" s="392"/>
      <c r="B474" s="392"/>
      <c r="C474" s="392"/>
      <c r="D474" s="392"/>
      <c r="E474" s="392"/>
      <c r="F474" s="229"/>
      <c r="G474" s="229"/>
      <c r="H474" s="392"/>
      <c r="I474" s="229"/>
      <c r="J474" s="229"/>
      <c r="K474" s="399"/>
      <c r="L474" s="399"/>
      <c r="M474" s="399"/>
      <c r="N474" s="229"/>
      <c r="O474" s="229"/>
      <c r="P474" s="229"/>
      <c r="Q474" s="229"/>
      <c r="R474" s="229"/>
      <c r="S474" s="229"/>
      <c r="T474" s="229"/>
      <c r="U474" s="229"/>
      <c r="V474" s="400"/>
      <c r="W474" s="229"/>
      <c r="X474" s="229"/>
      <c r="Y474" s="4"/>
      <c r="Z474" s="4"/>
    </row>
    <row r="475">
      <c r="A475" s="392"/>
      <c r="B475" s="392"/>
      <c r="C475" s="392"/>
      <c r="D475" s="392"/>
      <c r="E475" s="392"/>
      <c r="F475" s="229"/>
      <c r="G475" s="229"/>
      <c r="H475" s="392"/>
      <c r="I475" s="229"/>
      <c r="J475" s="229"/>
      <c r="K475" s="399"/>
      <c r="L475" s="399"/>
      <c r="M475" s="399"/>
      <c r="N475" s="229"/>
      <c r="O475" s="229"/>
      <c r="P475" s="229"/>
      <c r="Q475" s="229"/>
      <c r="R475" s="229"/>
      <c r="S475" s="229"/>
      <c r="T475" s="229"/>
      <c r="U475" s="229"/>
      <c r="V475" s="400"/>
      <c r="W475" s="229"/>
      <c r="X475" s="229"/>
      <c r="Y475" s="4"/>
      <c r="Z475" s="4"/>
    </row>
    <row r="476">
      <c r="A476" s="392"/>
      <c r="B476" s="392"/>
      <c r="C476" s="392"/>
      <c r="D476" s="392"/>
      <c r="E476" s="392"/>
      <c r="F476" s="229"/>
      <c r="G476" s="229"/>
      <c r="H476" s="392"/>
      <c r="I476" s="229"/>
      <c r="J476" s="229"/>
      <c r="K476" s="399"/>
      <c r="L476" s="399"/>
      <c r="M476" s="399"/>
      <c r="N476" s="229"/>
      <c r="O476" s="229"/>
      <c r="P476" s="229"/>
      <c r="Q476" s="229"/>
      <c r="R476" s="229"/>
      <c r="S476" s="229"/>
      <c r="T476" s="229"/>
      <c r="U476" s="229"/>
      <c r="V476" s="400"/>
      <c r="W476" s="229"/>
      <c r="X476" s="229"/>
      <c r="Y476" s="4"/>
      <c r="Z476" s="4"/>
    </row>
    <row r="477">
      <c r="A477" s="392"/>
      <c r="B477" s="392"/>
      <c r="C477" s="392"/>
      <c r="D477" s="392"/>
      <c r="E477" s="392"/>
      <c r="F477" s="229"/>
      <c r="G477" s="229"/>
      <c r="H477" s="392"/>
      <c r="I477" s="229"/>
      <c r="J477" s="229"/>
      <c r="K477" s="399"/>
      <c r="L477" s="399"/>
      <c r="M477" s="399"/>
      <c r="N477" s="229"/>
      <c r="O477" s="229"/>
      <c r="P477" s="229"/>
      <c r="Q477" s="229"/>
      <c r="R477" s="229"/>
      <c r="S477" s="229"/>
      <c r="T477" s="229"/>
      <c r="U477" s="229"/>
      <c r="V477" s="400"/>
      <c r="W477" s="229"/>
      <c r="X477" s="229"/>
      <c r="Y477" s="4"/>
      <c r="Z477" s="4"/>
    </row>
    <row r="478">
      <c r="A478" s="392"/>
      <c r="B478" s="392"/>
      <c r="C478" s="392"/>
      <c r="D478" s="392"/>
      <c r="E478" s="392"/>
      <c r="F478" s="229"/>
      <c r="G478" s="229"/>
      <c r="H478" s="392"/>
      <c r="I478" s="229"/>
      <c r="J478" s="229"/>
      <c r="K478" s="399"/>
      <c r="L478" s="399"/>
      <c r="M478" s="399"/>
      <c r="N478" s="229"/>
      <c r="O478" s="229"/>
      <c r="P478" s="229"/>
      <c r="Q478" s="229"/>
      <c r="R478" s="229"/>
      <c r="S478" s="229"/>
      <c r="T478" s="229"/>
      <c r="U478" s="229"/>
      <c r="V478" s="400"/>
      <c r="W478" s="229"/>
      <c r="X478" s="229"/>
      <c r="Y478" s="4"/>
      <c r="Z478" s="4"/>
    </row>
    <row r="479">
      <c r="A479" s="392"/>
      <c r="B479" s="392"/>
      <c r="C479" s="392"/>
      <c r="D479" s="392"/>
      <c r="E479" s="392"/>
      <c r="F479" s="229"/>
      <c r="G479" s="229"/>
      <c r="H479" s="392"/>
      <c r="I479" s="229"/>
      <c r="J479" s="229"/>
      <c r="K479" s="399"/>
      <c r="L479" s="399"/>
      <c r="M479" s="399"/>
      <c r="N479" s="229"/>
      <c r="O479" s="229"/>
      <c r="P479" s="229"/>
      <c r="Q479" s="229"/>
      <c r="R479" s="229"/>
      <c r="S479" s="229"/>
      <c r="T479" s="229"/>
      <c r="U479" s="229"/>
      <c r="V479" s="400"/>
      <c r="W479" s="229"/>
      <c r="X479" s="229"/>
      <c r="Y479" s="4"/>
      <c r="Z479" s="4"/>
    </row>
    <row r="480">
      <c r="A480" s="392"/>
      <c r="B480" s="392"/>
      <c r="C480" s="392"/>
      <c r="D480" s="392"/>
      <c r="E480" s="392"/>
      <c r="F480" s="229"/>
      <c r="G480" s="229"/>
      <c r="H480" s="392"/>
      <c r="I480" s="229"/>
      <c r="J480" s="229"/>
      <c r="K480" s="399"/>
      <c r="L480" s="399"/>
      <c r="M480" s="399"/>
      <c r="N480" s="229"/>
      <c r="O480" s="229"/>
      <c r="P480" s="229"/>
      <c r="Q480" s="229"/>
      <c r="R480" s="229"/>
      <c r="S480" s="229"/>
      <c r="T480" s="229"/>
      <c r="U480" s="229"/>
      <c r="V480" s="400"/>
      <c r="W480" s="229"/>
      <c r="X480" s="229"/>
      <c r="Y480" s="4"/>
      <c r="Z480" s="4"/>
    </row>
    <row r="481">
      <c r="A481" s="392"/>
      <c r="B481" s="392"/>
      <c r="C481" s="392"/>
      <c r="D481" s="392"/>
      <c r="E481" s="392"/>
      <c r="F481" s="229"/>
      <c r="G481" s="229"/>
      <c r="H481" s="392"/>
      <c r="I481" s="229"/>
      <c r="J481" s="229"/>
      <c r="K481" s="399"/>
      <c r="L481" s="399"/>
      <c r="M481" s="399"/>
      <c r="N481" s="229"/>
      <c r="O481" s="229"/>
      <c r="P481" s="229"/>
      <c r="Q481" s="229"/>
      <c r="R481" s="229"/>
      <c r="S481" s="229"/>
      <c r="T481" s="229"/>
      <c r="U481" s="229"/>
      <c r="V481" s="400"/>
      <c r="W481" s="229"/>
      <c r="X481" s="229"/>
      <c r="Y481" s="4"/>
      <c r="Z481" s="4"/>
    </row>
    <row r="482">
      <c r="A482" s="392"/>
      <c r="B482" s="392"/>
      <c r="C482" s="392"/>
      <c r="D482" s="392"/>
      <c r="E482" s="392"/>
      <c r="F482" s="229"/>
      <c r="G482" s="229"/>
      <c r="H482" s="392"/>
      <c r="I482" s="229"/>
      <c r="J482" s="229"/>
      <c r="K482" s="399"/>
      <c r="L482" s="399"/>
      <c r="M482" s="399"/>
      <c r="N482" s="229"/>
      <c r="O482" s="229"/>
      <c r="P482" s="229"/>
      <c r="Q482" s="229"/>
      <c r="R482" s="229"/>
      <c r="S482" s="229"/>
      <c r="T482" s="229"/>
      <c r="U482" s="229"/>
      <c r="V482" s="400"/>
      <c r="W482" s="229"/>
      <c r="X482" s="229"/>
      <c r="Y482" s="4"/>
      <c r="Z482" s="4"/>
    </row>
    <row r="483">
      <c r="A483" s="392"/>
      <c r="B483" s="392"/>
      <c r="C483" s="392"/>
      <c r="D483" s="392"/>
      <c r="E483" s="392"/>
      <c r="F483" s="229"/>
      <c r="G483" s="229"/>
      <c r="H483" s="392"/>
      <c r="I483" s="229"/>
      <c r="J483" s="229"/>
      <c r="K483" s="399"/>
      <c r="L483" s="399"/>
      <c r="M483" s="399"/>
      <c r="N483" s="229"/>
      <c r="O483" s="229"/>
      <c r="P483" s="229"/>
      <c r="Q483" s="229"/>
      <c r="R483" s="229"/>
      <c r="S483" s="229"/>
      <c r="T483" s="229"/>
      <c r="U483" s="229"/>
      <c r="V483" s="400"/>
      <c r="W483" s="229"/>
      <c r="X483" s="229"/>
      <c r="Y483" s="4"/>
      <c r="Z483" s="4"/>
    </row>
    <row r="484">
      <c r="A484" s="392"/>
      <c r="B484" s="392"/>
      <c r="C484" s="392"/>
      <c r="D484" s="392"/>
      <c r="E484" s="392"/>
      <c r="F484" s="229"/>
      <c r="G484" s="229"/>
      <c r="H484" s="392"/>
      <c r="I484" s="229"/>
      <c r="J484" s="229"/>
      <c r="K484" s="399"/>
      <c r="L484" s="399"/>
      <c r="M484" s="399"/>
      <c r="N484" s="229"/>
      <c r="O484" s="229"/>
      <c r="P484" s="229"/>
      <c r="Q484" s="229"/>
      <c r="R484" s="229"/>
      <c r="S484" s="229"/>
      <c r="T484" s="229"/>
      <c r="U484" s="229"/>
      <c r="V484" s="400"/>
      <c r="W484" s="229"/>
      <c r="X484" s="229"/>
      <c r="Y484" s="4"/>
      <c r="Z484" s="4"/>
    </row>
    <row r="485">
      <c r="A485" s="392"/>
      <c r="B485" s="392"/>
      <c r="C485" s="392"/>
      <c r="D485" s="392"/>
      <c r="E485" s="392"/>
      <c r="F485" s="229"/>
      <c r="G485" s="229"/>
      <c r="H485" s="392"/>
      <c r="I485" s="229"/>
      <c r="J485" s="229"/>
      <c r="K485" s="399"/>
      <c r="L485" s="399"/>
      <c r="M485" s="399"/>
      <c r="N485" s="229"/>
      <c r="O485" s="229"/>
      <c r="P485" s="229"/>
      <c r="Q485" s="229"/>
      <c r="R485" s="229"/>
      <c r="S485" s="229"/>
      <c r="T485" s="229"/>
      <c r="U485" s="229"/>
      <c r="V485" s="400"/>
      <c r="W485" s="229"/>
      <c r="X485" s="229"/>
      <c r="Y485" s="4"/>
      <c r="Z485" s="4"/>
    </row>
    <row r="486">
      <c r="A486" s="392"/>
      <c r="B486" s="392"/>
      <c r="C486" s="392"/>
      <c r="D486" s="392"/>
      <c r="E486" s="392"/>
      <c r="F486" s="229"/>
      <c r="G486" s="229"/>
      <c r="H486" s="392"/>
      <c r="I486" s="229"/>
      <c r="J486" s="229"/>
      <c r="K486" s="399"/>
      <c r="L486" s="399"/>
      <c r="M486" s="399"/>
      <c r="N486" s="229"/>
      <c r="O486" s="229"/>
      <c r="P486" s="229"/>
      <c r="Q486" s="229"/>
      <c r="R486" s="229"/>
      <c r="S486" s="229"/>
      <c r="T486" s="229"/>
      <c r="U486" s="229"/>
      <c r="V486" s="400"/>
      <c r="W486" s="229"/>
      <c r="X486" s="229"/>
      <c r="Y486" s="4"/>
      <c r="Z486" s="4"/>
    </row>
    <row r="487">
      <c r="A487" s="392"/>
      <c r="B487" s="392"/>
      <c r="C487" s="392"/>
      <c r="D487" s="392"/>
      <c r="E487" s="392"/>
      <c r="F487" s="229"/>
      <c r="G487" s="229"/>
      <c r="H487" s="392"/>
      <c r="I487" s="229"/>
      <c r="J487" s="229"/>
      <c r="K487" s="399"/>
      <c r="L487" s="399"/>
      <c r="M487" s="399"/>
      <c r="N487" s="229"/>
      <c r="O487" s="229"/>
      <c r="P487" s="229"/>
      <c r="Q487" s="229"/>
      <c r="R487" s="229"/>
      <c r="S487" s="229"/>
      <c r="T487" s="229"/>
      <c r="U487" s="229"/>
      <c r="V487" s="400"/>
      <c r="W487" s="229"/>
      <c r="X487" s="229"/>
      <c r="Y487" s="4"/>
      <c r="Z487" s="4"/>
    </row>
    <row r="488">
      <c r="A488" s="392"/>
      <c r="B488" s="392"/>
      <c r="C488" s="392"/>
      <c r="D488" s="392"/>
      <c r="E488" s="392"/>
      <c r="F488" s="229"/>
      <c r="G488" s="229"/>
      <c r="H488" s="392"/>
      <c r="I488" s="229"/>
      <c r="J488" s="229"/>
      <c r="K488" s="399"/>
      <c r="L488" s="399"/>
      <c r="M488" s="399"/>
      <c r="N488" s="229"/>
      <c r="O488" s="229"/>
      <c r="P488" s="229"/>
      <c r="Q488" s="229"/>
      <c r="R488" s="229"/>
      <c r="S488" s="229"/>
      <c r="T488" s="229"/>
      <c r="U488" s="229"/>
      <c r="V488" s="400"/>
      <c r="W488" s="229"/>
      <c r="X488" s="229"/>
      <c r="Y488" s="4"/>
      <c r="Z488" s="4"/>
    </row>
    <row r="489">
      <c r="A489" s="392"/>
      <c r="B489" s="392"/>
      <c r="C489" s="392"/>
      <c r="D489" s="392"/>
      <c r="E489" s="392"/>
      <c r="F489" s="229"/>
      <c r="G489" s="229"/>
      <c r="H489" s="392"/>
      <c r="I489" s="229"/>
      <c r="J489" s="229"/>
      <c r="K489" s="399"/>
      <c r="L489" s="399"/>
      <c r="M489" s="399"/>
      <c r="N489" s="229"/>
      <c r="O489" s="229"/>
      <c r="P489" s="229"/>
      <c r="Q489" s="229"/>
      <c r="R489" s="229"/>
      <c r="S489" s="229"/>
      <c r="T489" s="229"/>
      <c r="U489" s="229"/>
      <c r="V489" s="400"/>
      <c r="W489" s="229"/>
      <c r="X489" s="229"/>
      <c r="Y489" s="4"/>
      <c r="Z489" s="4"/>
    </row>
    <row r="490">
      <c r="A490" s="392"/>
      <c r="B490" s="392"/>
      <c r="C490" s="392"/>
      <c r="D490" s="392"/>
      <c r="E490" s="392"/>
      <c r="F490" s="229"/>
      <c r="G490" s="229"/>
      <c r="H490" s="392"/>
      <c r="I490" s="229"/>
      <c r="J490" s="229"/>
      <c r="K490" s="399"/>
      <c r="L490" s="399"/>
      <c r="M490" s="399"/>
      <c r="N490" s="229"/>
      <c r="O490" s="229"/>
      <c r="P490" s="229"/>
      <c r="Q490" s="229"/>
      <c r="R490" s="229"/>
      <c r="S490" s="229"/>
      <c r="T490" s="229"/>
      <c r="U490" s="229"/>
      <c r="V490" s="400"/>
      <c r="W490" s="229"/>
      <c r="X490" s="229"/>
      <c r="Y490" s="4"/>
      <c r="Z490" s="4"/>
    </row>
    <row r="491">
      <c r="A491" s="392"/>
      <c r="B491" s="392"/>
      <c r="C491" s="392"/>
      <c r="D491" s="392"/>
      <c r="E491" s="392"/>
      <c r="F491" s="229"/>
      <c r="G491" s="229"/>
      <c r="H491" s="392"/>
      <c r="I491" s="229"/>
      <c r="J491" s="229"/>
      <c r="K491" s="399"/>
      <c r="L491" s="399"/>
      <c r="M491" s="399"/>
      <c r="N491" s="229"/>
      <c r="O491" s="229"/>
      <c r="P491" s="229"/>
      <c r="Q491" s="229"/>
      <c r="R491" s="229"/>
      <c r="S491" s="229"/>
      <c r="T491" s="229"/>
      <c r="U491" s="229"/>
      <c r="V491" s="400"/>
      <c r="W491" s="229"/>
      <c r="X491" s="229"/>
      <c r="Y491" s="4"/>
      <c r="Z491" s="4"/>
    </row>
    <row r="492">
      <c r="A492" s="392"/>
      <c r="B492" s="392"/>
      <c r="C492" s="392"/>
      <c r="D492" s="392"/>
      <c r="E492" s="392"/>
      <c r="F492" s="229"/>
      <c r="G492" s="229"/>
      <c r="H492" s="392"/>
      <c r="I492" s="229"/>
      <c r="J492" s="229"/>
      <c r="K492" s="399"/>
      <c r="L492" s="399"/>
      <c r="M492" s="399"/>
      <c r="N492" s="229"/>
      <c r="O492" s="229"/>
      <c r="P492" s="229"/>
      <c r="Q492" s="229"/>
      <c r="R492" s="229"/>
      <c r="S492" s="229"/>
      <c r="T492" s="229"/>
      <c r="U492" s="229"/>
      <c r="V492" s="400"/>
      <c r="W492" s="229"/>
      <c r="X492" s="229"/>
      <c r="Y492" s="4"/>
      <c r="Z492" s="4"/>
    </row>
    <row r="493">
      <c r="A493" s="392"/>
      <c r="B493" s="392"/>
      <c r="C493" s="392"/>
      <c r="D493" s="392"/>
      <c r="E493" s="392"/>
      <c r="F493" s="229"/>
      <c r="G493" s="229"/>
      <c r="H493" s="392"/>
      <c r="I493" s="229"/>
      <c r="J493" s="229"/>
      <c r="K493" s="399"/>
      <c r="L493" s="399"/>
      <c r="M493" s="399"/>
      <c r="N493" s="229"/>
      <c r="O493" s="229"/>
      <c r="P493" s="229"/>
      <c r="Q493" s="229"/>
      <c r="R493" s="229"/>
      <c r="S493" s="229"/>
      <c r="T493" s="229"/>
      <c r="U493" s="229"/>
      <c r="V493" s="400"/>
      <c r="W493" s="229"/>
      <c r="X493" s="229"/>
      <c r="Y493" s="4"/>
      <c r="Z493" s="4"/>
    </row>
    <row r="494">
      <c r="A494" s="392"/>
      <c r="B494" s="392"/>
      <c r="C494" s="392"/>
      <c r="D494" s="392"/>
      <c r="E494" s="392"/>
      <c r="F494" s="229"/>
      <c r="G494" s="229"/>
      <c r="H494" s="392"/>
      <c r="I494" s="229"/>
      <c r="J494" s="229"/>
      <c r="K494" s="399"/>
      <c r="L494" s="399"/>
      <c r="M494" s="399"/>
      <c r="N494" s="229"/>
      <c r="O494" s="229"/>
      <c r="P494" s="229"/>
      <c r="Q494" s="229"/>
      <c r="R494" s="229"/>
      <c r="S494" s="229"/>
      <c r="T494" s="229"/>
      <c r="U494" s="229"/>
      <c r="V494" s="400"/>
      <c r="W494" s="229"/>
      <c r="X494" s="229"/>
      <c r="Y494" s="4"/>
      <c r="Z494" s="4"/>
    </row>
    <row r="495">
      <c r="A495" s="392"/>
      <c r="B495" s="392"/>
      <c r="C495" s="392"/>
      <c r="D495" s="392"/>
      <c r="E495" s="392"/>
      <c r="F495" s="229"/>
      <c r="G495" s="229"/>
      <c r="H495" s="392"/>
      <c r="I495" s="229"/>
      <c r="J495" s="229"/>
      <c r="K495" s="399"/>
      <c r="L495" s="399"/>
      <c r="M495" s="399"/>
      <c r="N495" s="229"/>
      <c r="O495" s="229"/>
      <c r="P495" s="229"/>
      <c r="Q495" s="229"/>
      <c r="R495" s="229"/>
      <c r="S495" s="229"/>
      <c r="T495" s="229"/>
      <c r="U495" s="229"/>
      <c r="V495" s="400"/>
      <c r="W495" s="229"/>
      <c r="X495" s="229"/>
      <c r="Y495" s="4"/>
      <c r="Z495" s="4"/>
    </row>
    <row r="496">
      <c r="A496" s="392"/>
      <c r="B496" s="392"/>
      <c r="C496" s="392"/>
      <c r="D496" s="392"/>
      <c r="E496" s="392"/>
      <c r="F496" s="229"/>
      <c r="G496" s="229"/>
      <c r="H496" s="392"/>
      <c r="I496" s="229"/>
      <c r="J496" s="229"/>
      <c r="K496" s="399"/>
      <c r="L496" s="399"/>
      <c r="M496" s="399"/>
      <c r="N496" s="229"/>
      <c r="O496" s="229"/>
      <c r="P496" s="229"/>
      <c r="Q496" s="229"/>
      <c r="R496" s="229"/>
      <c r="S496" s="229"/>
      <c r="T496" s="229"/>
      <c r="U496" s="229"/>
      <c r="V496" s="400"/>
      <c r="W496" s="229"/>
      <c r="X496" s="229"/>
      <c r="Y496" s="4"/>
      <c r="Z496" s="4"/>
    </row>
    <row r="497">
      <c r="A497" s="392"/>
      <c r="B497" s="392"/>
      <c r="C497" s="392"/>
      <c r="D497" s="392"/>
      <c r="E497" s="392"/>
      <c r="F497" s="229"/>
      <c r="G497" s="229"/>
      <c r="H497" s="392"/>
      <c r="I497" s="229"/>
      <c r="J497" s="229"/>
      <c r="K497" s="399"/>
      <c r="L497" s="399"/>
      <c r="M497" s="399"/>
      <c r="N497" s="229"/>
      <c r="O497" s="229"/>
      <c r="P497" s="229"/>
      <c r="Q497" s="229"/>
      <c r="R497" s="229"/>
      <c r="S497" s="229"/>
      <c r="T497" s="229"/>
      <c r="U497" s="229"/>
      <c r="V497" s="400"/>
      <c r="W497" s="229"/>
      <c r="X497" s="229"/>
      <c r="Y497" s="4"/>
      <c r="Z497" s="4"/>
    </row>
    <row r="498">
      <c r="A498" s="392"/>
      <c r="B498" s="392"/>
      <c r="C498" s="392"/>
      <c r="D498" s="392"/>
      <c r="E498" s="392"/>
      <c r="F498" s="229"/>
      <c r="G498" s="229"/>
      <c r="H498" s="392"/>
      <c r="I498" s="229"/>
      <c r="J498" s="229"/>
      <c r="K498" s="399"/>
      <c r="L498" s="399"/>
      <c r="M498" s="399"/>
      <c r="N498" s="229"/>
      <c r="O498" s="229"/>
      <c r="P498" s="229"/>
      <c r="Q498" s="229"/>
      <c r="R498" s="229"/>
      <c r="S498" s="229"/>
      <c r="T498" s="229"/>
      <c r="U498" s="229"/>
      <c r="V498" s="400"/>
      <c r="W498" s="229"/>
      <c r="X498" s="229"/>
      <c r="Y498" s="4"/>
      <c r="Z498" s="4"/>
    </row>
    <row r="499">
      <c r="A499" s="392"/>
      <c r="B499" s="392"/>
      <c r="C499" s="392"/>
      <c r="D499" s="392"/>
      <c r="E499" s="392"/>
      <c r="F499" s="229"/>
      <c r="G499" s="229"/>
      <c r="H499" s="392"/>
      <c r="I499" s="229"/>
      <c r="J499" s="229"/>
      <c r="K499" s="399"/>
      <c r="L499" s="399"/>
      <c r="M499" s="399"/>
      <c r="N499" s="229"/>
      <c r="O499" s="229"/>
      <c r="P499" s="229"/>
      <c r="Q499" s="229"/>
      <c r="R499" s="229"/>
      <c r="S499" s="229"/>
      <c r="T499" s="229"/>
      <c r="U499" s="229"/>
      <c r="V499" s="400"/>
      <c r="W499" s="229"/>
      <c r="X499" s="229"/>
      <c r="Y499" s="4"/>
      <c r="Z499" s="4"/>
    </row>
    <row r="500">
      <c r="A500" s="392"/>
      <c r="B500" s="392"/>
      <c r="C500" s="392"/>
      <c r="D500" s="392"/>
      <c r="E500" s="392"/>
      <c r="F500" s="229"/>
      <c r="G500" s="229"/>
      <c r="H500" s="392"/>
      <c r="I500" s="229"/>
      <c r="J500" s="229"/>
      <c r="K500" s="399"/>
      <c r="L500" s="399"/>
      <c r="M500" s="399"/>
      <c r="N500" s="229"/>
      <c r="O500" s="229"/>
      <c r="P500" s="229"/>
      <c r="Q500" s="229"/>
      <c r="R500" s="229"/>
      <c r="S500" s="229"/>
      <c r="T500" s="229"/>
      <c r="U500" s="229"/>
      <c r="V500" s="400"/>
      <c r="W500" s="229"/>
      <c r="X500" s="229"/>
      <c r="Y500" s="4"/>
      <c r="Z500" s="4"/>
    </row>
    <row r="501">
      <c r="A501" s="392"/>
      <c r="B501" s="392"/>
      <c r="C501" s="392"/>
      <c r="D501" s="392"/>
      <c r="E501" s="392"/>
      <c r="F501" s="229"/>
      <c r="G501" s="229"/>
      <c r="H501" s="392"/>
      <c r="I501" s="229"/>
      <c r="J501" s="229"/>
      <c r="K501" s="399"/>
      <c r="L501" s="399"/>
      <c r="M501" s="399"/>
      <c r="N501" s="229"/>
      <c r="O501" s="229"/>
      <c r="P501" s="229"/>
      <c r="Q501" s="229"/>
      <c r="R501" s="229"/>
      <c r="S501" s="229"/>
      <c r="T501" s="229"/>
      <c r="U501" s="229"/>
      <c r="V501" s="400"/>
      <c r="W501" s="229"/>
      <c r="X501" s="229"/>
      <c r="Y501" s="4"/>
      <c r="Z501" s="4"/>
    </row>
    <row r="502">
      <c r="A502" s="392"/>
      <c r="B502" s="392"/>
      <c r="C502" s="392"/>
      <c r="D502" s="392"/>
      <c r="E502" s="392"/>
      <c r="F502" s="229"/>
      <c r="G502" s="229"/>
      <c r="H502" s="392"/>
      <c r="I502" s="229"/>
      <c r="J502" s="229"/>
      <c r="K502" s="399"/>
      <c r="L502" s="399"/>
      <c r="M502" s="399"/>
      <c r="N502" s="229"/>
      <c r="O502" s="229"/>
      <c r="P502" s="229"/>
      <c r="Q502" s="229"/>
      <c r="R502" s="229"/>
      <c r="S502" s="229"/>
      <c r="T502" s="229"/>
      <c r="U502" s="229"/>
      <c r="V502" s="400"/>
      <c r="W502" s="229"/>
      <c r="X502" s="229"/>
      <c r="Y502" s="4"/>
      <c r="Z502" s="4"/>
    </row>
    <row r="503">
      <c r="A503" s="392"/>
      <c r="B503" s="392"/>
      <c r="C503" s="392"/>
      <c r="D503" s="392"/>
      <c r="E503" s="392"/>
      <c r="F503" s="229"/>
      <c r="G503" s="229"/>
      <c r="H503" s="392"/>
      <c r="I503" s="229"/>
      <c r="J503" s="229"/>
      <c r="K503" s="399"/>
      <c r="L503" s="399"/>
      <c r="M503" s="399"/>
      <c r="N503" s="229"/>
      <c r="O503" s="229"/>
      <c r="P503" s="229"/>
      <c r="Q503" s="229"/>
      <c r="R503" s="229"/>
      <c r="S503" s="229"/>
      <c r="T503" s="229"/>
      <c r="U503" s="229"/>
      <c r="V503" s="400"/>
      <c r="W503" s="229"/>
      <c r="X503" s="229"/>
      <c r="Y503" s="4"/>
      <c r="Z503" s="4"/>
    </row>
    <row r="504">
      <c r="A504" s="392"/>
      <c r="B504" s="392"/>
      <c r="C504" s="392"/>
      <c r="D504" s="392"/>
      <c r="E504" s="392"/>
      <c r="F504" s="229"/>
      <c r="G504" s="229"/>
      <c r="H504" s="392"/>
      <c r="I504" s="229"/>
      <c r="J504" s="229"/>
      <c r="K504" s="399"/>
      <c r="L504" s="399"/>
      <c r="M504" s="399"/>
      <c r="N504" s="229"/>
      <c r="O504" s="229"/>
      <c r="P504" s="229"/>
      <c r="Q504" s="229"/>
      <c r="R504" s="229"/>
      <c r="S504" s="229"/>
      <c r="T504" s="229"/>
      <c r="U504" s="229"/>
      <c r="V504" s="400"/>
      <c r="W504" s="229"/>
      <c r="X504" s="229"/>
      <c r="Y504" s="4"/>
      <c r="Z504" s="4"/>
    </row>
    <row r="505">
      <c r="A505" s="392"/>
      <c r="B505" s="392"/>
      <c r="C505" s="392"/>
      <c r="D505" s="392"/>
      <c r="E505" s="392"/>
      <c r="F505" s="229"/>
      <c r="G505" s="229"/>
      <c r="H505" s="392"/>
      <c r="I505" s="229"/>
      <c r="J505" s="229"/>
      <c r="K505" s="399"/>
      <c r="L505" s="399"/>
      <c r="M505" s="399"/>
      <c r="N505" s="229"/>
      <c r="O505" s="229"/>
      <c r="P505" s="229"/>
      <c r="Q505" s="229"/>
      <c r="R505" s="229"/>
      <c r="S505" s="229"/>
      <c r="T505" s="229"/>
      <c r="U505" s="229"/>
      <c r="V505" s="400"/>
      <c r="W505" s="229"/>
      <c r="X505" s="229"/>
      <c r="Y505" s="4"/>
      <c r="Z505" s="4"/>
    </row>
    <row r="506">
      <c r="A506" s="392"/>
      <c r="B506" s="392"/>
      <c r="C506" s="392"/>
      <c r="D506" s="392"/>
      <c r="E506" s="392"/>
      <c r="F506" s="229"/>
      <c r="G506" s="229"/>
      <c r="H506" s="392"/>
      <c r="I506" s="229"/>
      <c r="J506" s="229"/>
      <c r="K506" s="399"/>
      <c r="L506" s="399"/>
      <c r="M506" s="399"/>
      <c r="N506" s="229"/>
      <c r="O506" s="229"/>
      <c r="P506" s="229"/>
      <c r="Q506" s="229"/>
      <c r="R506" s="229"/>
      <c r="S506" s="229"/>
      <c r="T506" s="229"/>
      <c r="U506" s="229"/>
      <c r="V506" s="400"/>
      <c r="W506" s="229"/>
      <c r="X506" s="229"/>
      <c r="Y506" s="4"/>
      <c r="Z506" s="4"/>
    </row>
    <row r="507">
      <c r="A507" s="392"/>
      <c r="B507" s="392"/>
      <c r="C507" s="392"/>
      <c r="D507" s="392"/>
      <c r="E507" s="392"/>
      <c r="F507" s="229"/>
      <c r="G507" s="229"/>
      <c r="H507" s="392"/>
      <c r="I507" s="229"/>
      <c r="J507" s="229"/>
      <c r="K507" s="399"/>
      <c r="L507" s="399"/>
      <c r="M507" s="399"/>
      <c r="N507" s="229"/>
      <c r="O507" s="229"/>
      <c r="P507" s="229"/>
      <c r="Q507" s="229"/>
      <c r="R507" s="229"/>
      <c r="S507" s="229"/>
      <c r="T507" s="229"/>
      <c r="U507" s="229"/>
      <c r="V507" s="400"/>
      <c r="W507" s="229"/>
      <c r="X507" s="229"/>
      <c r="Y507" s="4"/>
      <c r="Z507" s="4"/>
    </row>
    <row r="508">
      <c r="A508" s="392"/>
      <c r="B508" s="392"/>
      <c r="C508" s="392"/>
      <c r="D508" s="392"/>
      <c r="E508" s="392"/>
      <c r="F508" s="229"/>
      <c r="G508" s="229"/>
      <c r="H508" s="392"/>
      <c r="I508" s="229"/>
      <c r="J508" s="229"/>
      <c r="K508" s="399"/>
      <c r="L508" s="399"/>
      <c r="M508" s="399"/>
      <c r="N508" s="229"/>
      <c r="O508" s="229"/>
      <c r="P508" s="229"/>
      <c r="Q508" s="229"/>
      <c r="R508" s="229"/>
      <c r="S508" s="229"/>
      <c r="T508" s="229"/>
      <c r="U508" s="229"/>
      <c r="V508" s="400"/>
      <c r="W508" s="229"/>
      <c r="X508" s="229"/>
      <c r="Y508" s="4"/>
      <c r="Z508" s="4"/>
    </row>
    <row r="509">
      <c r="A509" s="392"/>
      <c r="B509" s="392"/>
      <c r="C509" s="392"/>
      <c r="D509" s="392"/>
      <c r="E509" s="392"/>
      <c r="F509" s="229"/>
      <c r="G509" s="229"/>
      <c r="H509" s="392"/>
      <c r="I509" s="229"/>
      <c r="J509" s="229"/>
      <c r="K509" s="399"/>
      <c r="L509" s="399"/>
      <c r="M509" s="399"/>
      <c r="N509" s="229"/>
      <c r="O509" s="229"/>
      <c r="P509" s="229"/>
      <c r="Q509" s="229"/>
      <c r="R509" s="229"/>
      <c r="S509" s="229"/>
      <c r="T509" s="229"/>
      <c r="U509" s="229"/>
      <c r="V509" s="400"/>
      <c r="W509" s="229"/>
      <c r="X509" s="229"/>
      <c r="Y509" s="4"/>
      <c r="Z509" s="4"/>
    </row>
    <row r="510">
      <c r="A510" s="392"/>
      <c r="B510" s="392"/>
      <c r="C510" s="392"/>
      <c r="D510" s="392"/>
      <c r="E510" s="392"/>
      <c r="F510" s="229"/>
      <c r="G510" s="229"/>
      <c r="H510" s="392"/>
      <c r="I510" s="229"/>
      <c r="J510" s="229"/>
      <c r="K510" s="399"/>
      <c r="L510" s="399"/>
      <c r="M510" s="399"/>
      <c r="N510" s="229"/>
      <c r="O510" s="229"/>
      <c r="P510" s="229"/>
      <c r="Q510" s="229"/>
      <c r="R510" s="229"/>
      <c r="S510" s="229"/>
      <c r="T510" s="229"/>
      <c r="U510" s="229"/>
      <c r="V510" s="400"/>
      <c r="W510" s="229"/>
      <c r="X510" s="229"/>
      <c r="Y510" s="4"/>
      <c r="Z510" s="4"/>
    </row>
    <row r="511">
      <c r="A511" s="392"/>
      <c r="B511" s="392"/>
      <c r="C511" s="392"/>
      <c r="D511" s="392"/>
      <c r="E511" s="392"/>
      <c r="F511" s="229"/>
      <c r="G511" s="229"/>
      <c r="H511" s="392"/>
      <c r="I511" s="229"/>
      <c r="J511" s="229"/>
      <c r="K511" s="399"/>
      <c r="L511" s="399"/>
      <c r="M511" s="399"/>
      <c r="N511" s="229"/>
      <c r="O511" s="229"/>
      <c r="P511" s="229"/>
      <c r="Q511" s="229"/>
      <c r="R511" s="229"/>
      <c r="S511" s="229"/>
      <c r="T511" s="229"/>
      <c r="U511" s="229"/>
      <c r="V511" s="400"/>
      <c r="W511" s="229"/>
      <c r="X511" s="229"/>
      <c r="Y511" s="4"/>
      <c r="Z511" s="4"/>
    </row>
    <row r="512">
      <c r="A512" s="392"/>
      <c r="B512" s="392"/>
      <c r="C512" s="392"/>
      <c r="D512" s="392"/>
      <c r="E512" s="392"/>
      <c r="F512" s="229"/>
      <c r="G512" s="229"/>
      <c r="H512" s="392"/>
      <c r="I512" s="229"/>
      <c r="J512" s="229"/>
      <c r="K512" s="399"/>
      <c r="L512" s="399"/>
      <c r="M512" s="399"/>
      <c r="N512" s="229"/>
      <c r="O512" s="229"/>
      <c r="P512" s="229"/>
      <c r="Q512" s="229"/>
      <c r="R512" s="229"/>
      <c r="S512" s="229"/>
      <c r="T512" s="229"/>
      <c r="U512" s="229"/>
      <c r="V512" s="400"/>
      <c r="W512" s="229"/>
      <c r="X512" s="229"/>
      <c r="Y512" s="4"/>
      <c r="Z512" s="4"/>
    </row>
    <row r="513">
      <c r="A513" s="392"/>
      <c r="B513" s="392"/>
      <c r="C513" s="392"/>
      <c r="D513" s="392"/>
      <c r="E513" s="392"/>
      <c r="F513" s="229"/>
      <c r="G513" s="229"/>
      <c r="H513" s="392"/>
      <c r="I513" s="229"/>
      <c r="J513" s="229"/>
      <c r="K513" s="399"/>
      <c r="L513" s="399"/>
      <c r="M513" s="399"/>
      <c r="N513" s="229"/>
      <c r="O513" s="229"/>
      <c r="P513" s="229"/>
      <c r="Q513" s="229"/>
      <c r="R513" s="229"/>
      <c r="S513" s="229"/>
      <c r="T513" s="229"/>
      <c r="U513" s="229"/>
      <c r="V513" s="400"/>
      <c r="W513" s="229"/>
      <c r="X513" s="229"/>
      <c r="Y513" s="4"/>
      <c r="Z513" s="4"/>
    </row>
    <row r="514">
      <c r="A514" s="392"/>
      <c r="B514" s="392"/>
      <c r="C514" s="392"/>
      <c r="D514" s="392"/>
      <c r="E514" s="392"/>
      <c r="F514" s="229"/>
      <c r="G514" s="229"/>
      <c r="H514" s="392"/>
      <c r="I514" s="229"/>
      <c r="J514" s="229"/>
      <c r="K514" s="399"/>
      <c r="L514" s="399"/>
      <c r="M514" s="399"/>
      <c r="N514" s="229"/>
      <c r="O514" s="229"/>
      <c r="P514" s="229"/>
      <c r="Q514" s="229"/>
      <c r="R514" s="229"/>
      <c r="S514" s="229"/>
      <c r="T514" s="229"/>
      <c r="U514" s="229"/>
      <c r="V514" s="400"/>
      <c r="W514" s="229"/>
      <c r="X514" s="229"/>
      <c r="Y514" s="4"/>
      <c r="Z514" s="4"/>
    </row>
    <row r="515">
      <c r="A515" s="392"/>
      <c r="B515" s="392"/>
      <c r="C515" s="392"/>
      <c r="D515" s="392"/>
      <c r="E515" s="392"/>
      <c r="F515" s="229"/>
      <c r="G515" s="229"/>
      <c r="H515" s="392"/>
      <c r="I515" s="229"/>
      <c r="J515" s="229"/>
      <c r="K515" s="399"/>
      <c r="L515" s="399"/>
      <c r="M515" s="399"/>
      <c r="N515" s="229"/>
      <c r="O515" s="229"/>
      <c r="P515" s="229"/>
      <c r="Q515" s="229"/>
      <c r="R515" s="229"/>
      <c r="S515" s="229"/>
      <c r="T515" s="229"/>
      <c r="U515" s="229"/>
      <c r="V515" s="400"/>
      <c r="W515" s="229"/>
      <c r="X515" s="229"/>
      <c r="Y515" s="4"/>
      <c r="Z515" s="4"/>
    </row>
    <row r="516">
      <c r="A516" s="392"/>
      <c r="B516" s="392"/>
      <c r="C516" s="392"/>
      <c r="D516" s="392"/>
      <c r="E516" s="392"/>
      <c r="F516" s="229"/>
      <c r="G516" s="229"/>
      <c r="H516" s="392"/>
      <c r="I516" s="229"/>
      <c r="J516" s="229"/>
      <c r="K516" s="399"/>
      <c r="L516" s="399"/>
      <c r="M516" s="399"/>
      <c r="N516" s="229"/>
      <c r="O516" s="229"/>
      <c r="P516" s="229"/>
      <c r="Q516" s="229"/>
      <c r="R516" s="229"/>
      <c r="S516" s="229"/>
      <c r="T516" s="229"/>
      <c r="U516" s="229"/>
      <c r="V516" s="400"/>
      <c r="W516" s="229"/>
      <c r="X516" s="229"/>
      <c r="Y516" s="4"/>
      <c r="Z516" s="4"/>
    </row>
    <row r="517">
      <c r="A517" s="392"/>
      <c r="B517" s="392"/>
      <c r="C517" s="392"/>
      <c r="D517" s="392"/>
      <c r="E517" s="392"/>
      <c r="F517" s="229"/>
      <c r="G517" s="229"/>
      <c r="H517" s="392"/>
      <c r="I517" s="229"/>
      <c r="J517" s="229"/>
      <c r="K517" s="399"/>
      <c r="L517" s="399"/>
      <c r="M517" s="399"/>
      <c r="N517" s="229"/>
      <c r="O517" s="229"/>
      <c r="P517" s="229"/>
      <c r="Q517" s="229"/>
      <c r="R517" s="229"/>
      <c r="S517" s="229"/>
      <c r="T517" s="229"/>
      <c r="U517" s="229"/>
      <c r="V517" s="400"/>
      <c r="W517" s="229"/>
      <c r="X517" s="229"/>
      <c r="Y517" s="4"/>
      <c r="Z517" s="4"/>
    </row>
    <row r="518">
      <c r="A518" s="392"/>
      <c r="B518" s="392"/>
      <c r="C518" s="392"/>
      <c r="D518" s="392"/>
      <c r="E518" s="392"/>
      <c r="F518" s="229"/>
      <c r="G518" s="229"/>
      <c r="H518" s="392"/>
      <c r="I518" s="229"/>
      <c r="J518" s="229"/>
      <c r="K518" s="399"/>
      <c r="L518" s="399"/>
      <c r="M518" s="399"/>
      <c r="N518" s="229"/>
      <c r="O518" s="229"/>
      <c r="P518" s="229"/>
      <c r="Q518" s="229"/>
      <c r="R518" s="229"/>
      <c r="S518" s="229"/>
      <c r="T518" s="229"/>
      <c r="U518" s="229"/>
      <c r="V518" s="400"/>
      <c r="W518" s="229"/>
      <c r="X518" s="229"/>
      <c r="Y518" s="4"/>
      <c r="Z518" s="4"/>
    </row>
    <row r="519">
      <c r="A519" s="392"/>
      <c r="B519" s="392"/>
      <c r="C519" s="392"/>
      <c r="D519" s="392"/>
      <c r="E519" s="392"/>
      <c r="F519" s="229"/>
      <c r="G519" s="229"/>
      <c r="H519" s="392"/>
      <c r="I519" s="229"/>
      <c r="J519" s="229"/>
      <c r="K519" s="399"/>
      <c r="L519" s="399"/>
      <c r="M519" s="399"/>
      <c r="N519" s="229"/>
      <c r="O519" s="229"/>
      <c r="P519" s="229"/>
      <c r="Q519" s="229"/>
      <c r="R519" s="229"/>
      <c r="S519" s="229"/>
      <c r="T519" s="229"/>
      <c r="U519" s="229"/>
      <c r="V519" s="400"/>
      <c r="W519" s="229"/>
      <c r="X519" s="229"/>
      <c r="Y519" s="4"/>
      <c r="Z519" s="4"/>
    </row>
    <row r="520">
      <c r="A520" s="392"/>
      <c r="B520" s="392"/>
      <c r="C520" s="392"/>
      <c r="D520" s="392"/>
      <c r="E520" s="392"/>
      <c r="F520" s="229"/>
      <c r="G520" s="229"/>
      <c r="H520" s="392"/>
      <c r="I520" s="229"/>
      <c r="J520" s="229"/>
      <c r="K520" s="399"/>
      <c r="L520" s="399"/>
      <c r="M520" s="399"/>
      <c r="N520" s="229"/>
      <c r="O520" s="229"/>
      <c r="P520" s="229"/>
      <c r="Q520" s="229"/>
      <c r="R520" s="229"/>
      <c r="S520" s="229"/>
      <c r="T520" s="229"/>
      <c r="U520" s="229"/>
      <c r="V520" s="400"/>
      <c r="W520" s="229"/>
      <c r="X520" s="229"/>
      <c r="Y520" s="4"/>
      <c r="Z520" s="4"/>
    </row>
    <row r="521">
      <c r="A521" s="392"/>
      <c r="B521" s="392"/>
      <c r="C521" s="392"/>
      <c r="D521" s="392"/>
      <c r="E521" s="392"/>
      <c r="F521" s="229"/>
      <c r="G521" s="229"/>
      <c r="H521" s="392"/>
      <c r="I521" s="229"/>
      <c r="J521" s="229"/>
      <c r="K521" s="399"/>
      <c r="L521" s="399"/>
      <c r="M521" s="399"/>
      <c r="N521" s="229"/>
      <c r="O521" s="229"/>
      <c r="P521" s="229"/>
      <c r="Q521" s="229"/>
      <c r="R521" s="229"/>
      <c r="S521" s="229"/>
      <c r="T521" s="229"/>
      <c r="U521" s="229"/>
      <c r="V521" s="400"/>
      <c r="W521" s="229"/>
      <c r="X521" s="229"/>
      <c r="Y521" s="4"/>
      <c r="Z521" s="4"/>
    </row>
    <row r="522">
      <c r="A522" s="392"/>
      <c r="B522" s="392"/>
      <c r="C522" s="392"/>
      <c r="D522" s="392"/>
      <c r="E522" s="392"/>
      <c r="F522" s="229"/>
      <c r="G522" s="229"/>
      <c r="H522" s="392"/>
      <c r="I522" s="229"/>
      <c r="J522" s="229"/>
      <c r="K522" s="399"/>
      <c r="L522" s="399"/>
      <c r="M522" s="399"/>
      <c r="N522" s="229"/>
      <c r="O522" s="229"/>
      <c r="P522" s="229"/>
      <c r="Q522" s="229"/>
      <c r="R522" s="229"/>
      <c r="S522" s="229"/>
      <c r="T522" s="229"/>
      <c r="U522" s="229"/>
      <c r="V522" s="400"/>
      <c r="W522" s="229"/>
      <c r="X522" s="229"/>
      <c r="Y522" s="4"/>
      <c r="Z522" s="4"/>
    </row>
    <row r="523">
      <c r="A523" s="392"/>
      <c r="B523" s="392"/>
      <c r="C523" s="392"/>
      <c r="D523" s="392"/>
      <c r="E523" s="392"/>
      <c r="F523" s="229"/>
      <c r="G523" s="229"/>
      <c r="H523" s="392"/>
      <c r="I523" s="229"/>
      <c r="J523" s="229"/>
      <c r="K523" s="399"/>
      <c r="L523" s="399"/>
      <c r="M523" s="399"/>
      <c r="N523" s="229"/>
      <c r="O523" s="229"/>
      <c r="P523" s="229"/>
      <c r="Q523" s="229"/>
      <c r="R523" s="229"/>
      <c r="S523" s="229"/>
      <c r="T523" s="229"/>
      <c r="U523" s="229"/>
      <c r="V523" s="400"/>
      <c r="W523" s="229"/>
      <c r="X523" s="229"/>
      <c r="Y523" s="4"/>
      <c r="Z523" s="4"/>
    </row>
    <row r="524">
      <c r="A524" s="392"/>
      <c r="B524" s="392"/>
      <c r="C524" s="392"/>
      <c r="D524" s="392"/>
      <c r="E524" s="392"/>
      <c r="F524" s="229"/>
      <c r="G524" s="229"/>
      <c r="H524" s="392"/>
      <c r="I524" s="229"/>
      <c r="J524" s="229"/>
      <c r="K524" s="399"/>
      <c r="L524" s="399"/>
      <c r="M524" s="399"/>
      <c r="N524" s="229"/>
      <c r="O524" s="229"/>
      <c r="P524" s="229"/>
      <c r="Q524" s="229"/>
      <c r="R524" s="229"/>
      <c r="S524" s="229"/>
      <c r="T524" s="229"/>
      <c r="U524" s="229"/>
      <c r="V524" s="400"/>
      <c r="W524" s="229"/>
      <c r="X524" s="229"/>
      <c r="Y524" s="4"/>
      <c r="Z524" s="4"/>
    </row>
    <row r="525">
      <c r="A525" s="392"/>
      <c r="B525" s="392"/>
      <c r="C525" s="392"/>
      <c r="D525" s="392"/>
      <c r="E525" s="392"/>
      <c r="F525" s="229"/>
      <c r="G525" s="229"/>
      <c r="H525" s="392"/>
      <c r="I525" s="229"/>
      <c r="J525" s="229"/>
      <c r="K525" s="399"/>
      <c r="L525" s="399"/>
      <c r="M525" s="399"/>
      <c r="N525" s="229"/>
      <c r="O525" s="229"/>
      <c r="P525" s="229"/>
      <c r="Q525" s="229"/>
      <c r="R525" s="229"/>
      <c r="S525" s="229"/>
      <c r="T525" s="229"/>
      <c r="U525" s="229"/>
      <c r="V525" s="400"/>
      <c r="W525" s="229"/>
      <c r="X525" s="229"/>
      <c r="Y525" s="4"/>
      <c r="Z525" s="4"/>
    </row>
    <row r="526">
      <c r="A526" s="392"/>
      <c r="B526" s="392"/>
      <c r="C526" s="392"/>
      <c r="D526" s="392"/>
      <c r="E526" s="392"/>
      <c r="F526" s="229"/>
      <c r="G526" s="229"/>
      <c r="H526" s="392"/>
      <c r="I526" s="229"/>
      <c r="J526" s="229"/>
      <c r="K526" s="399"/>
      <c r="L526" s="399"/>
      <c r="M526" s="399"/>
      <c r="N526" s="229"/>
      <c r="O526" s="229"/>
      <c r="P526" s="229"/>
      <c r="Q526" s="229"/>
      <c r="R526" s="229"/>
      <c r="S526" s="229"/>
      <c r="T526" s="229"/>
      <c r="U526" s="229"/>
      <c r="V526" s="400"/>
      <c r="W526" s="229"/>
      <c r="X526" s="229"/>
      <c r="Y526" s="4"/>
      <c r="Z526" s="4"/>
    </row>
    <row r="527">
      <c r="A527" s="392"/>
      <c r="B527" s="392"/>
      <c r="C527" s="392"/>
      <c r="D527" s="392"/>
      <c r="E527" s="392"/>
      <c r="F527" s="229"/>
      <c r="G527" s="229"/>
      <c r="H527" s="392"/>
      <c r="I527" s="229"/>
      <c r="J527" s="229"/>
      <c r="K527" s="399"/>
      <c r="L527" s="399"/>
      <c r="M527" s="399"/>
      <c r="N527" s="229"/>
      <c r="O527" s="229"/>
      <c r="P527" s="229"/>
      <c r="Q527" s="229"/>
      <c r="R527" s="229"/>
      <c r="S527" s="229"/>
      <c r="T527" s="229"/>
      <c r="U527" s="229"/>
      <c r="V527" s="400"/>
      <c r="W527" s="229"/>
      <c r="X527" s="229"/>
      <c r="Y527" s="4"/>
      <c r="Z527" s="4"/>
    </row>
    <row r="528">
      <c r="A528" s="392"/>
      <c r="B528" s="392"/>
      <c r="C528" s="392"/>
      <c r="D528" s="392"/>
      <c r="E528" s="392"/>
      <c r="F528" s="229"/>
      <c r="G528" s="229"/>
      <c r="H528" s="392"/>
      <c r="I528" s="229"/>
      <c r="J528" s="229"/>
      <c r="K528" s="399"/>
      <c r="L528" s="399"/>
      <c r="M528" s="399"/>
      <c r="N528" s="229"/>
      <c r="O528" s="229"/>
      <c r="P528" s="229"/>
      <c r="Q528" s="229"/>
      <c r="R528" s="229"/>
      <c r="S528" s="229"/>
      <c r="T528" s="229"/>
      <c r="U528" s="229"/>
      <c r="V528" s="400"/>
      <c r="W528" s="229"/>
      <c r="X528" s="229"/>
      <c r="Y528" s="4"/>
      <c r="Z528" s="4"/>
    </row>
    <row r="529">
      <c r="A529" s="392"/>
      <c r="B529" s="392"/>
      <c r="C529" s="392"/>
      <c r="D529" s="392"/>
      <c r="E529" s="392"/>
      <c r="F529" s="229"/>
      <c r="G529" s="229"/>
      <c r="H529" s="392"/>
      <c r="I529" s="229"/>
      <c r="J529" s="229"/>
      <c r="K529" s="399"/>
      <c r="L529" s="399"/>
      <c r="M529" s="399"/>
      <c r="N529" s="229"/>
      <c r="O529" s="229"/>
      <c r="P529" s="229"/>
      <c r="Q529" s="229"/>
      <c r="R529" s="229"/>
      <c r="S529" s="229"/>
      <c r="T529" s="229"/>
      <c r="U529" s="229"/>
      <c r="V529" s="400"/>
      <c r="W529" s="229"/>
      <c r="X529" s="229"/>
      <c r="Y529" s="4"/>
      <c r="Z529" s="4"/>
    </row>
    <row r="530">
      <c r="A530" s="392"/>
      <c r="B530" s="392"/>
      <c r="C530" s="392"/>
      <c r="D530" s="392"/>
      <c r="E530" s="392"/>
      <c r="F530" s="229"/>
      <c r="G530" s="229"/>
      <c r="H530" s="392"/>
      <c r="I530" s="229"/>
      <c r="J530" s="229"/>
      <c r="K530" s="399"/>
      <c r="L530" s="399"/>
      <c r="M530" s="399"/>
      <c r="N530" s="229"/>
      <c r="O530" s="229"/>
      <c r="P530" s="229"/>
      <c r="Q530" s="229"/>
      <c r="R530" s="229"/>
      <c r="S530" s="229"/>
      <c r="T530" s="229"/>
      <c r="U530" s="229"/>
      <c r="V530" s="400"/>
      <c r="W530" s="229"/>
      <c r="X530" s="229"/>
      <c r="Y530" s="4"/>
      <c r="Z530" s="4"/>
    </row>
    <row r="531">
      <c r="A531" s="392"/>
      <c r="B531" s="392"/>
      <c r="C531" s="392"/>
      <c r="D531" s="392"/>
      <c r="E531" s="392"/>
      <c r="F531" s="229"/>
      <c r="G531" s="229"/>
      <c r="H531" s="392"/>
      <c r="I531" s="229"/>
      <c r="J531" s="229"/>
      <c r="K531" s="399"/>
      <c r="L531" s="399"/>
      <c r="M531" s="399"/>
      <c r="N531" s="229"/>
      <c r="O531" s="229"/>
      <c r="P531" s="229"/>
      <c r="Q531" s="229"/>
      <c r="R531" s="229"/>
      <c r="S531" s="229"/>
      <c r="T531" s="229"/>
      <c r="U531" s="229"/>
      <c r="V531" s="400"/>
      <c r="W531" s="229"/>
      <c r="X531" s="229"/>
      <c r="Y531" s="4"/>
      <c r="Z531" s="4"/>
    </row>
    <row r="532">
      <c r="A532" s="392"/>
      <c r="B532" s="392"/>
      <c r="C532" s="392"/>
      <c r="D532" s="392"/>
      <c r="E532" s="392"/>
      <c r="F532" s="229"/>
      <c r="G532" s="229"/>
      <c r="H532" s="392"/>
      <c r="I532" s="229"/>
      <c r="J532" s="229"/>
      <c r="K532" s="399"/>
      <c r="L532" s="399"/>
      <c r="M532" s="399"/>
      <c r="N532" s="229"/>
      <c r="O532" s="229"/>
      <c r="P532" s="229"/>
      <c r="Q532" s="229"/>
      <c r="R532" s="229"/>
      <c r="S532" s="229"/>
      <c r="T532" s="229"/>
      <c r="U532" s="229"/>
      <c r="V532" s="400"/>
      <c r="W532" s="229"/>
      <c r="X532" s="229"/>
      <c r="Y532" s="4"/>
      <c r="Z532" s="4"/>
    </row>
    <row r="533">
      <c r="A533" s="392"/>
      <c r="B533" s="392"/>
      <c r="C533" s="392"/>
      <c r="D533" s="392"/>
      <c r="E533" s="392"/>
      <c r="F533" s="229"/>
      <c r="G533" s="229"/>
      <c r="H533" s="392"/>
      <c r="I533" s="229"/>
      <c r="J533" s="229"/>
      <c r="K533" s="399"/>
      <c r="L533" s="399"/>
      <c r="M533" s="399"/>
      <c r="N533" s="229"/>
      <c r="O533" s="229"/>
      <c r="P533" s="229"/>
      <c r="Q533" s="229"/>
      <c r="R533" s="229"/>
      <c r="S533" s="229"/>
      <c r="T533" s="229"/>
      <c r="U533" s="229"/>
      <c r="V533" s="400"/>
      <c r="W533" s="229"/>
      <c r="X533" s="229"/>
      <c r="Y533" s="4"/>
      <c r="Z533" s="4"/>
    </row>
    <row r="534">
      <c r="A534" s="392"/>
      <c r="B534" s="392"/>
      <c r="C534" s="392"/>
      <c r="D534" s="392"/>
      <c r="E534" s="392"/>
      <c r="F534" s="229"/>
      <c r="G534" s="229"/>
      <c r="H534" s="392"/>
      <c r="I534" s="229"/>
      <c r="J534" s="229"/>
      <c r="K534" s="399"/>
      <c r="L534" s="399"/>
      <c r="M534" s="399"/>
      <c r="N534" s="229"/>
      <c r="O534" s="229"/>
      <c r="P534" s="229"/>
      <c r="Q534" s="229"/>
      <c r="R534" s="229"/>
      <c r="S534" s="229"/>
      <c r="T534" s="229"/>
      <c r="U534" s="229"/>
      <c r="V534" s="400"/>
      <c r="W534" s="229"/>
      <c r="X534" s="229"/>
      <c r="Y534" s="4"/>
      <c r="Z534" s="4"/>
    </row>
    <row r="535">
      <c r="A535" s="392"/>
      <c r="B535" s="392"/>
      <c r="C535" s="392"/>
      <c r="D535" s="392"/>
      <c r="E535" s="392"/>
      <c r="F535" s="229"/>
      <c r="G535" s="229"/>
      <c r="H535" s="392"/>
      <c r="I535" s="229"/>
      <c r="J535" s="229"/>
      <c r="K535" s="399"/>
      <c r="L535" s="399"/>
      <c r="M535" s="399"/>
      <c r="N535" s="229"/>
      <c r="O535" s="229"/>
      <c r="P535" s="229"/>
      <c r="Q535" s="229"/>
      <c r="R535" s="229"/>
      <c r="S535" s="229"/>
      <c r="T535" s="229"/>
      <c r="U535" s="229"/>
      <c r="V535" s="400"/>
      <c r="W535" s="229"/>
      <c r="X535" s="229"/>
      <c r="Y535" s="4"/>
      <c r="Z535" s="4"/>
    </row>
    <row r="536">
      <c r="A536" s="392"/>
      <c r="B536" s="392"/>
      <c r="C536" s="392"/>
      <c r="D536" s="392"/>
      <c r="E536" s="392"/>
      <c r="F536" s="229"/>
      <c r="G536" s="229"/>
      <c r="H536" s="392"/>
      <c r="I536" s="229"/>
      <c r="J536" s="229"/>
      <c r="K536" s="399"/>
      <c r="L536" s="399"/>
      <c r="M536" s="399"/>
      <c r="N536" s="229"/>
      <c r="O536" s="229"/>
      <c r="P536" s="229"/>
      <c r="Q536" s="229"/>
      <c r="R536" s="229"/>
      <c r="S536" s="229"/>
      <c r="T536" s="229"/>
      <c r="U536" s="229"/>
      <c r="V536" s="400"/>
      <c r="W536" s="229"/>
      <c r="X536" s="229"/>
      <c r="Y536" s="4"/>
      <c r="Z536" s="4"/>
    </row>
    <row r="537">
      <c r="A537" s="392"/>
      <c r="B537" s="392"/>
      <c r="C537" s="392"/>
      <c r="D537" s="392"/>
      <c r="E537" s="392"/>
      <c r="F537" s="229"/>
      <c r="G537" s="229"/>
      <c r="H537" s="392"/>
      <c r="I537" s="229"/>
      <c r="J537" s="229"/>
      <c r="K537" s="399"/>
      <c r="L537" s="399"/>
      <c r="M537" s="399"/>
      <c r="N537" s="229"/>
      <c r="O537" s="229"/>
      <c r="P537" s="229"/>
      <c r="Q537" s="229"/>
      <c r="R537" s="229"/>
      <c r="S537" s="229"/>
      <c r="T537" s="229"/>
      <c r="U537" s="229"/>
      <c r="V537" s="400"/>
      <c r="W537" s="229"/>
      <c r="X537" s="229"/>
      <c r="Y537" s="4"/>
      <c r="Z537" s="4"/>
    </row>
    <row r="538">
      <c r="A538" s="392"/>
      <c r="B538" s="392"/>
      <c r="C538" s="392"/>
      <c r="D538" s="392"/>
      <c r="E538" s="392"/>
      <c r="F538" s="229"/>
      <c r="G538" s="229"/>
      <c r="H538" s="392"/>
      <c r="I538" s="229"/>
      <c r="J538" s="229"/>
      <c r="K538" s="399"/>
      <c r="L538" s="399"/>
      <c r="M538" s="399"/>
      <c r="N538" s="229"/>
      <c r="O538" s="229"/>
      <c r="P538" s="229"/>
      <c r="Q538" s="229"/>
      <c r="R538" s="229"/>
      <c r="S538" s="229"/>
      <c r="T538" s="229"/>
      <c r="U538" s="229"/>
      <c r="V538" s="400"/>
      <c r="W538" s="229"/>
      <c r="X538" s="229"/>
      <c r="Y538" s="4"/>
      <c r="Z538" s="4"/>
    </row>
    <row r="539">
      <c r="A539" s="392"/>
      <c r="B539" s="392"/>
      <c r="C539" s="392"/>
      <c r="D539" s="392"/>
      <c r="E539" s="392"/>
      <c r="F539" s="229"/>
      <c r="G539" s="229"/>
      <c r="H539" s="392"/>
      <c r="I539" s="229"/>
      <c r="J539" s="229"/>
      <c r="K539" s="399"/>
      <c r="L539" s="399"/>
      <c r="M539" s="399"/>
      <c r="N539" s="229"/>
      <c r="O539" s="229"/>
      <c r="P539" s="229"/>
      <c r="Q539" s="229"/>
      <c r="R539" s="229"/>
      <c r="S539" s="229"/>
      <c r="T539" s="229"/>
      <c r="U539" s="229"/>
      <c r="V539" s="400"/>
      <c r="W539" s="229"/>
      <c r="X539" s="229"/>
      <c r="Y539" s="4"/>
      <c r="Z539" s="4"/>
    </row>
    <row r="540">
      <c r="A540" s="392"/>
      <c r="B540" s="392"/>
      <c r="C540" s="392"/>
      <c r="D540" s="392"/>
      <c r="E540" s="392"/>
      <c r="F540" s="229"/>
      <c r="G540" s="229"/>
      <c r="H540" s="392"/>
      <c r="I540" s="229"/>
      <c r="J540" s="229"/>
      <c r="K540" s="399"/>
      <c r="L540" s="399"/>
      <c r="M540" s="399"/>
      <c r="N540" s="229"/>
      <c r="O540" s="229"/>
      <c r="P540" s="229"/>
      <c r="Q540" s="229"/>
      <c r="R540" s="229"/>
      <c r="S540" s="229"/>
      <c r="T540" s="229"/>
      <c r="U540" s="229"/>
      <c r="V540" s="400"/>
      <c r="W540" s="229"/>
      <c r="X540" s="229"/>
      <c r="Y540" s="4"/>
      <c r="Z540" s="4"/>
    </row>
    <row r="541">
      <c r="A541" s="392"/>
      <c r="B541" s="392"/>
      <c r="C541" s="392"/>
      <c r="D541" s="392"/>
      <c r="E541" s="392"/>
      <c r="F541" s="229"/>
      <c r="G541" s="229"/>
      <c r="H541" s="392"/>
      <c r="I541" s="229"/>
      <c r="J541" s="229"/>
      <c r="K541" s="399"/>
      <c r="L541" s="399"/>
      <c r="M541" s="399"/>
      <c r="N541" s="229"/>
      <c r="O541" s="229"/>
      <c r="P541" s="229"/>
      <c r="Q541" s="229"/>
      <c r="R541" s="229"/>
      <c r="S541" s="229"/>
      <c r="T541" s="229"/>
      <c r="U541" s="229"/>
      <c r="V541" s="400"/>
      <c r="W541" s="229"/>
      <c r="X541" s="229"/>
      <c r="Y541" s="4"/>
      <c r="Z541" s="4"/>
    </row>
    <row r="542">
      <c r="A542" s="392"/>
      <c r="B542" s="392"/>
      <c r="C542" s="392"/>
      <c r="D542" s="392"/>
      <c r="E542" s="392"/>
      <c r="F542" s="229"/>
      <c r="G542" s="229"/>
      <c r="H542" s="392"/>
      <c r="I542" s="229"/>
      <c r="J542" s="229"/>
      <c r="K542" s="399"/>
      <c r="L542" s="399"/>
      <c r="M542" s="399"/>
      <c r="N542" s="229"/>
      <c r="O542" s="229"/>
      <c r="P542" s="229"/>
      <c r="Q542" s="229"/>
      <c r="R542" s="229"/>
      <c r="S542" s="229"/>
      <c r="T542" s="229"/>
      <c r="U542" s="229"/>
      <c r="V542" s="400"/>
      <c r="W542" s="229"/>
      <c r="X542" s="229"/>
      <c r="Y542" s="4"/>
      <c r="Z542" s="4"/>
    </row>
    <row r="543">
      <c r="A543" s="392"/>
      <c r="B543" s="392"/>
      <c r="C543" s="392"/>
      <c r="D543" s="392"/>
      <c r="E543" s="392"/>
      <c r="F543" s="229"/>
      <c r="G543" s="229"/>
      <c r="H543" s="392"/>
      <c r="I543" s="229"/>
      <c r="J543" s="229"/>
      <c r="K543" s="399"/>
      <c r="L543" s="399"/>
      <c r="M543" s="399"/>
      <c r="N543" s="229"/>
      <c r="O543" s="229"/>
      <c r="P543" s="229"/>
      <c r="Q543" s="229"/>
      <c r="R543" s="229"/>
      <c r="S543" s="229"/>
      <c r="T543" s="229"/>
      <c r="U543" s="229"/>
      <c r="V543" s="400"/>
      <c r="W543" s="229"/>
      <c r="X543" s="229"/>
      <c r="Y543" s="4"/>
      <c r="Z543" s="4"/>
    </row>
    <row r="544">
      <c r="A544" s="392"/>
      <c r="B544" s="392"/>
      <c r="C544" s="392"/>
      <c r="D544" s="392"/>
      <c r="E544" s="392"/>
      <c r="F544" s="229"/>
      <c r="G544" s="229"/>
      <c r="H544" s="392"/>
      <c r="I544" s="229"/>
      <c r="J544" s="229"/>
      <c r="K544" s="399"/>
      <c r="L544" s="399"/>
      <c r="M544" s="399"/>
      <c r="N544" s="229"/>
      <c r="O544" s="229"/>
      <c r="P544" s="229"/>
      <c r="Q544" s="229"/>
      <c r="R544" s="229"/>
      <c r="S544" s="229"/>
      <c r="T544" s="229"/>
      <c r="U544" s="229"/>
      <c r="V544" s="400"/>
      <c r="W544" s="229"/>
      <c r="X544" s="229"/>
      <c r="Y544" s="4"/>
      <c r="Z544" s="4"/>
    </row>
    <row r="545">
      <c r="A545" s="392"/>
      <c r="B545" s="392"/>
      <c r="C545" s="392"/>
      <c r="D545" s="392"/>
      <c r="E545" s="392"/>
      <c r="F545" s="229"/>
      <c r="G545" s="229"/>
      <c r="H545" s="392"/>
      <c r="I545" s="229"/>
      <c r="J545" s="229"/>
      <c r="K545" s="399"/>
      <c r="L545" s="399"/>
      <c r="M545" s="399"/>
      <c r="N545" s="229"/>
      <c r="O545" s="229"/>
      <c r="P545" s="229"/>
      <c r="Q545" s="229"/>
      <c r="R545" s="229"/>
      <c r="S545" s="229"/>
      <c r="T545" s="229"/>
      <c r="U545" s="229"/>
      <c r="V545" s="400"/>
      <c r="W545" s="229"/>
      <c r="X545" s="229"/>
      <c r="Y545" s="4"/>
      <c r="Z545" s="4"/>
    </row>
    <row r="546">
      <c r="A546" s="392"/>
      <c r="B546" s="392"/>
      <c r="C546" s="392"/>
      <c r="D546" s="392"/>
      <c r="E546" s="392"/>
      <c r="F546" s="229"/>
      <c r="G546" s="229"/>
      <c r="H546" s="392"/>
      <c r="I546" s="229"/>
      <c r="J546" s="229"/>
      <c r="K546" s="399"/>
      <c r="L546" s="399"/>
      <c r="M546" s="399"/>
      <c r="N546" s="229"/>
      <c r="O546" s="229"/>
      <c r="P546" s="229"/>
      <c r="Q546" s="229"/>
      <c r="R546" s="229"/>
      <c r="S546" s="229"/>
      <c r="T546" s="229"/>
      <c r="U546" s="229"/>
      <c r="V546" s="400"/>
      <c r="W546" s="229"/>
      <c r="X546" s="229"/>
      <c r="Y546" s="4"/>
      <c r="Z546" s="4"/>
    </row>
    <row r="547">
      <c r="A547" s="392"/>
      <c r="B547" s="392"/>
      <c r="C547" s="392"/>
      <c r="D547" s="392"/>
      <c r="E547" s="392"/>
      <c r="F547" s="229"/>
      <c r="G547" s="229"/>
      <c r="H547" s="392"/>
      <c r="I547" s="229"/>
      <c r="J547" s="229"/>
      <c r="K547" s="399"/>
      <c r="L547" s="399"/>
      <c r="M547" s="399"/>
      <c r="N547" s="229"/>
      <c r="O547" s="229"/>
      <c r="P547" s="229"/>
      <c r="Q547" s="229"/>
      <c r="R547" s="229"/>
      <c r="S547" s="229"/>
      <c r="T547" s="229"/>
      <c r="U547" s="229"/>
      <c r="V547" s="400"/>
      <c r="W547" s="229"/>
      <c r="X547" s="229"/>
      <c r="Y547" s="4"/>
      <c r="Z547" s="4"/>
    </row>
    <row r="548">
      <c r="A548" s="392"/>
      <c r="B548" s="392"/>
      <c r="C548" s="392"/>
      <c r="D548" s="392"/>
      <c r="E548" s="392"/>
      <c r="F548" s="229"/>
      <c r="G548" s="229"/>
      <c r="H548" s="392"/>
      <c r="I548" s="229"/>
      <c r="J548" s="229"/>
      <c r="K548" s="399"/>
      <c r="L548" s="399"/>
      <c r="M548" s="399"/>
      <c r="N548" s="229"/>
      <c r="O548" s="229"/>
      <c r="P548" s="229"/>
      <c r="Q548" s="229"/>
      <c r="R548" s="229"/>
      <c r="S548" s="229"/>
      <c r="T548" s="229"/>
      <c r="U548" s="229"/>
      <c r="V548" s="400"/>
      <c r="W548" s="229"/>
      <c r="X548" s="229"/>
      <c r="Y548" s="4"/>
      <c r="Z548" s="4"/>
    </row>
    <row r="549">
      <c r="A549" s="392"/>
      <c r="B549" s="392"/>
      <c r="C549" s="392"/>
      <c r="D549" s="392"/>
      <c r="E549" s="392"/>
      <c r="F549" s="229"/>
      <c r="G549" s="229"/>
      <c r="H549" s="392"/>
      <c r="I549" s="229"/>
      <c r="J549" s="229"/>
      <c r="K549" s="399"/>
      <c r="L549" s="399"/>
      <c r="M549" s="399"/>
      <c r="N549" s="229"/>
      <c r="O549" s="229"/>
      <c r="P549" s="229"/>
      <c r="Q549" s="229"/>
      <c r="R549" s="229"/>
      <c r="S549" s="229"/>
      <c r="T549" s="229"/>
      <c r="U549" s="229"/>
      <c r="V549" s="400"/>
      <c r="W549" s="229"/>
      <c r="X549" s="229"/>
      <c r="Y549" s="4"/>
      <c r="Z549" s="4"/>
    </row>
    <row r="550">
      <c r="A550" s="392"/>
      <c r="B550" s="392"/>
      <c r="C550" s="392"/>
      <c r="D550" s="392"/>
      <c r="E550" s="392"/>
      <c r="F550" s="229"/>
      <c r="G550" s="229"/>
      <c r="H550" s="392"/>
      <c r="I550" s="229"/>
      <c r="J550" s="229"/>
      <c r="K550" s="399"/>
      <c r="L550" s="399"/>
      <c r="M550" s="399"/>
      <c r="N550" s="229"/>
      <c r="O550" s="229"/>
      <c r="P550" s="229"/>
      <c r="Q550" s="229"/>
      <c r="R550" s="229"/>
      <c r="S550" s="229"/>
      <c r="T550" s="229"/>
      <c r="U550" s="229"/>
      <c r="V550" s="400"/>
      <c r="W550" s="229"/>
      <c r="X550" s="229"/>
      <c r="Y550" s="4"/>
      <c r="Z550" s="4"/>
    </row>
    <row r="551">
      <c r="A551" s="392"/>
      <c r="B551" s="392"/>
      <c r="C551" s="392"/>
      <c r="D551" s="392"/>
      <c r="E551" s="392"/>
      <c r="F551" s="229"/>
      <c r="G551" s="229"/>
      <c r="H551" s="392"/>
      <c r="I551" s="229"/>
      <c r="J551" s="229"/>
      <c r="K551" s="399"/>
      <c r="L551" s="399"/>
      <c r="M551" s="399"/>
      <c r="N551" s="229"/>
      <c r="O551" s="229"/>
      <c r="P551" s="229"/>
      <c r="Q551" s="229"/>
      <c r="R551" s="229"/>
      <c r="S551" s="229"/>
      <c r="T551" s="229"/>
      <c r="U551" s="229"/>
      <c r="V551" s="400"/>
      <c r="W551" s="229"/>
      <c r="X551" s="229"/>
      <c r="Y551" s="4"/>
      <c r="Z551" s="4"/>
    </row>
    <row r="552">
      <c r="A552" s="392"/>
      <c r="B552" s="392"/>
      <c r="C552" s="392"/>
      <c r="D552" s="392"/>
      <c r="E552" s="392"/>
      <c r="F552" s="229"/>
      <c r="G552" s="229"/>
      <c r="H552" s="392"/>
      <c r="I552" s="229"/>
      <c r="J552" s="229"/>
      <c r="K552" s="399"/>
      <c r="L552" s="399"/>
      <c r="M552" s="399"/>
      <c r="N552" s="229"/>
      <c r="O552" s="229"/>
      <c r="P552" s="229"/>
      <c r="Q552" s="229"/>
      <c r="R552" s="229"/>
      <c r="S552" s="229"/>
      <c r="T552" s="229"/>
      <c r="U552" s="229"/>
      <c r="V552" s="400"/>
      <c r="W552" s="229"/>
      <c r="X552" s="229"/>
      <c r="Y552" s="4"/>
      <c r="Z552" s="4"/>
    </row>
    <row r="553">
      <c r="A553" s="392"/>
      <c r="B553" s="392"/>
      <c r="C553" s="392"/>
      <c r="D553" s="392"/>
      <c r="E553" s="392"/>
      <c r="F553" s="229"/>
      <c r="G553" s="229"/>
      <c r="H553" s="392"/>
      <c r="I553" s="229"/>
      <c r="J553" s="229"/>
      <c r="K553" s="399"/>
      <c r="L553" s="399"/>
      <c r="M553" s="399"/>
      <c r="N553" s="229"/>
      <c r="O553" s="229"/>
      <c r="P553" s="229"/>
      <c r="Q553" s="229"/>
      <c r="R553" s="229"/>
      <c r="S553" s="229"/>
      <c r="T553" s="229"/>
      <c r="U553" s="229"/>
      <c r="V553" s="400"/>
      <c r="W553" s="229"/>
      <c r="X553" s="229"/>
      <c r="Y553" s="4"/>
      <c r="Z553" s="4"/>
    </row>
    <row r="554">
      <c r="A554" s="392"/>
      <c r="B554" s="392"/>
      <c r="C554" s="392"/>
      <c r="D554" s="392"/>
      <c r="E554" s="392"/>
      <c r="F554" s="229"/>
      <c r="G554" s="229"/>
      <c r="H554" s="392"/>
      <c r="I554" s="229"/>
      <c r="J554" s="229"/>
      <c r="K554" s="399"/>
      <c r="L554" s="399"/>
      <c r="M554" s="399"/>
      <c r="N554" s="229"/>
      <c r="O554" s="229"/>
      <c r="P554" s="229"/>
      <c r="Q554" s="229"/>
      <c r="R554" s="229"/>
      <c r="S554" s="229"/>
      <c r="T554" s="229"/>
      <c r="U554" s="229"/>
      <c r="V554" s="400"/>
      <c r="W554" s="229"/>
      <c r="X554" s="229"/>
      <c r="Y554" s="4"/>
      <c r="Z554" s="4"/>
    </row>
    <row r="555">
      <c r="A555" s="392"/>
      <c r="B555" s="392"/>
      <c r="C555" s="392"/>
      <c r="D555" s="392"/>
      <c r="E555" s="392"/>
      <c r="F555" s="229"/>
      <c r="G555" s="229"/>
      <c r="H555" s="392"/>
      <c r="I555" s="229"/>
      <c r="J555" s="229"/>
      <c r="K555" s="399"/>
      <c r="L555" s="399"/>
      <c r="M555" s="399"/>
      <c r="N555" s="229"/>
      <c r="O555" s="229"/>
      <c r="P555" s="229"/>
      <c r="Q555" s="229"/>
      <c r="R555" s="229"/>
      <c r="S555" s="229"/>
      <c r="T555" s="229"/>
      <c r="U555" s="229"/>
      <c r="V555" s="400"/>
      <c r="W555" s="229"/>
      <c r="X555" s="229"/>
      <c r="Y555" s="4"/>
      <c r="Z555" s="4"/>
    </row>
    <row r="556">
      <c r="A556" s="392"/>
      <c r="B556" s="392"/>
      <c r="C556" s="392"/>
      <c r="D556" s="392"/>
      <c r="E556" s="392"/>
      <c r="F556" s="229"/>
      <c r="G556" s="229"/>
      <c r="H556" s="392"/>
      <c r="I556" s="229"/>
      <c r="J556" s="229"/>
      <c r="K556" s="399"/>
      <c r="L556" s="399"/>
      <c r="M556" s="399"/>
      <c r="N556" s="229"/>
      <c r="O556" s="229"/>
      <c r="P556" s="229"/>
      <c r="Q556" s="229"/>
      <c r="R556" s="229"/>
      <c r="S556" s="229"/>
      <c r="T556" s="229"/>
      <c r="U556" s="229"/>
      <c r="V556" s="400"/>
      <c r="W556" s="229"/>
      <c r="X556" s="229"/>
      <c r="Y556" s="4"/>
      <c r="Z556" s="4"/>
    </row>
    <row r="557">
      <c r="A557" s="392"/>
      <c r="B557" s="392"/>
      <c r="C557" s="392"/>
      <c r="D557" s="392"/>
      <c r="E557" s="392"/>
      <c r="F557" s="229"/>
      <c r="G557" s="229"/>
      <c r="H557" s="392"/>
      <c r="I557" s="229"/>
      <c r="J557" s="229"/>
      <c r="K557" s="399"/>
      <c r="L557" s="399"/>
      <c r="M557" s="399"/>
      <c r="N557" s="229"/>
      <c r="O557" s="229"/>
      <c r="P557" s="229"/>
      <c r="Q557" s="229"/>
      <c r="R557" s="229"/>
      <c r="S557" s="229"/>
      <c r="T557" s="229"/>
      <c r="U557" s="229"/>
      <c r="V557" s="400"/>
      <c r="W557" s="229"/>
      <c r="X557" s="229"/>
      <c r="Y557" s="4"/>
      <c r="Z557" s="4"/>
    </row>
    <row r="558">
      <c r="A558" s="392"/>
      <c r="B558" s="392"/>
      <c r="C558" s="392"/>
      <c r="D558" s="392"/>
      <c r="E558" s="392"/>
      <c r="F558" s="229"/>
      <c r="G558" s="229"/>
      <c r="H558" s="392"/>
      <c r="I558" s="229"/>
      <c r="J558" s="229"/>
      <c r="K558" s="399"/>
      <c r="L558" s="399"/>
      <c r="M558" s="399"/>
      <c r="N558" s="229"/>
      <c r="O558" s="229"/>
      <c r="P558" s="229"/>
      <c r="Q558" s="229"/>
      <c r="R558" s="229"/>
      <c r="S558" s="229"/>
      <c r="T558" s="229"/>
      <c r="U558" s="229"/>
      <c r="V558" s="400"/>
      <c r="W558" s="229"/>
      <c r="X558" s="229"/>
      <c r="Y558" s="4"/>
      <c r="Z558" s="4"/>
    </row>
    <row r="559">
      <c r="A559" s="392"/>
      <c r="B559" s="392"/>
      <c r="C559" s="392"/>
      <c r="D559" s="392"/>
      <c r="E559" s="392"/>
      <c r="F559" s="229"/>
      <c r="G559" s="229"/>
      <c r="H559" s="392"/>
      <c r="I559" s="229"/>
      <c r="J559" s="229"/>
      <c r="K559" s="399"/>
      <c r="L559" s="399"/>
      <c r="M559" s="399"/>
      <c r="N559" s="229"/>
      <c r="O559" s="229"/>
      <c r="P559" s="229"/>
      <c r="Q559" s="229"/>
      <c r="R559" s="229"/>
      <c r="S559" s="229"/>
      <c r="T559" s="229"/>
      <c r="U559" s="229"/>
      <c r="V559" s="400"/>
      <c r="W559" s="229"/>
      <c r="X559" s="229"/>
      <c r="Y559" s="4"/>
      <c r="Z559" s="4"/>
    </row>
    <row r="560">
      <c r="A560" s="392"/>
      <c r="B560" s="392"/>
      <c r="C560" s="392"/>
      <c r="D560" s="392"/>
      <c r="E560" s="392"/>
      <c r="F560" s="229"/>
      <c r="G560" s="229"/>
      <c r="H560" s="392"/>
      <c r="I560" s="229"/>
      <c r="J560" s="229"/>
      <c r="K560" s="399"/>
      <c r="L560" s="399"/>
      <c r="M560" s="399"/>
      <c r="N560" s="229"/>
      <c r="O560" s="229"/>
      <c r="P560" s="229"/>
      <c r="Q560" s="229"/>
      <c r="R560" s="229"/>
      <c r="S560" s="229"/>
      <c r="T560" s="229"/>
      <c r="U560" s="229"/>
      <c r="V560" s="400"/>
      <c r="W560" s="229"/>
      <c r="X560" s="229"/>
      <c r="Y560" s="4"/>
      <c r="Z560" s="4"/>
    </row>
    <row r="561">
      <c r="A561" s="392"/>
      <c r="B561" s="392"/>
      <c r="C561" s="392"/>
      <c r="D561" s="392"/>
      <c r="E561" s="392"/>
      <c r="F561" s="229"/>
      <c r="G561" s="229"/>
      <c r="H561" s="392"/>
      <c r="I561" s="229"/>
      <c r="J561" s="229"/>
      <c r="K561" s="399"/>
      <c r="L561" s="399"/>
      <c r="M561" s="399"/>
      <c r="N561" s="229"/>
      <c r="O561" s="229"/>
      <c r="P561" s="229"/>
      <c r="Q561" s="229"/>
      <c r="R561" s="229"/>
      <c r="S561" s="229"/>
      <c r="T561" s="229"/>
      <c r="U561" s="229"/>
      <c r="V561" s="400"/>
      <c r="W561" s="229"/>
      <c r="X561" s="229"/>
      <c r="Y561" s="4"/>
      <c r="Z561" s="4"/>
    </row>
    <row r="562">
      <c r="A562" s="392"/>
      <c r="B562" s="392"/>
      <c r="C562" s="392"/>
      <c r="D562" s="392"/>
      <c r="E562" s="392"/>
      <c r="F562" s="229"/>
      <c r="G562" s="229"/>
      <c r="H562" s="392"/>
      <c r="I562" s="229"/>
      <c r="J562" s="229"/>
      <c r="K562" s="399"/>
      <c r="L562" s="399"/>
      <c r="M562" s="399"/>
      <c r="N562" s="229"/>
      <c r="O562" s="229"/>
      <c r="P562" s="229"/>
      <c r="Q562" s="229"/>
      <c r="R562" s="229"/>
      <c r="S562" s="229"/>
      <c r="T562" s="229"/>
      <c r="U562" s="229"/>
      <c r="V562" s="400"/>
      <c r="W562" s="229"/>
      <c r="X562" s="229"/>
      <c r="Y562" s="4"/>
      <c r="Z562" s="4"/>
    </row>
    <row r="563">
      <c r="A563" s="392"/>
      <c r="B563" s="392"/>
      <c r="C563" s="392"/>
      <c r="D563" s="392"/>
      <c r="E563" s="392"/>
      <c r="F563" s="229"/>
      <c r="G563" s="229"/>
      <c r="H563" s="392"/>
      <c r="I563" s="229"/>
      <c r="J563" s="229"/>
      <c r="K563" s="399"/>
      <c r="L563" s="399"/>
      <c r="M563" s="399"/>
      <c r="N563" s="229"/>
      <c r="O563" s="229"/>
      <c r="P563" s="229"/>
      <c r="Q563" s="229"/>
      <c r="R563" s="229"/>
      <c r="S563" s="229"/>
      <c r="T563" s="229"/>
      <c r="U563" s="229"/>
      <c r="V563" s="400"/>
      <c r="W563" s="229"/>
      <c r="X563" s="229"/>
      <c r="Y563" s="4"/>
      <c r="Z563" s="4"/>
    </row>
    <row r="564">
      <c r="A564" s="392"/>
      <c r="B564" s="392"/>
      <c r="C564" s="392"/>
      <c r="D564" s="392"/>
      <c r="E564" s="392"/>
      <c r="F564" s="229"/>
      <c r="G564" s="229"/>
      <c r="H564" s="392"/>
      <c r="I564" s="229"/>
      <c r="J564" s="229"/>
      <c r="K564" s="399"/>
      <c r="L564" s="399"/>
      <c r="M564" s="399"/>
      <c r="N564" s="229"/>
      <c r="O564" s="229"/>
      <c r="P564" s="229"/>
      <c r="Q564" s="229"/>
      <c r="R564" s="229"/>
      <c r="S564" s="229"/>
      <c r="T564" s="229"/>
      <c r="U564" s="229"/>
      <c r="V564" s="400"/>
      <c r="W564" s="229"/>
      <c r="X564" s="229"/>
      <c r="Y564" s="4"/>
      <c r="Z564" s="4"/>
    </row>
    <row r="565">
      <c r="A565" s="392"/>
      <c r="B565" s="392"/>
      <c r="C565" s="392"/>
      <c r="D565" s="392"/>
      <c r="E565" s="392"/>
      <c r="F565" s="229"/>
      <c r="G565" s="229"/>
      <c r="H565" s="392"/>
      <c r="I565" s="229"/>
      <c r="J565" s="229"/>
      <c r="K565" s="399"/>
      <c r="L565" s="399"/>
      <c r="M565" s="399"/>
      <c r="N565" s="229"/>
      <c r="O565" s="229"/>
      <c r="P565" s="229"/>
      <c r="Q565" s="229"/>
      <c r="R565" s="229"/>
      <c r="S565" s="229"/>
      <c r="T565" s="229"/>
      <c r="U565" s="229"/>
      <c r="V565" s="400"/>
      <c r="W565" s="229"/>
      <c r="X565" s="229"/>
      <c r="Y565" s="4"/>
      <c r="Z565" s="4"/>
    </row>
    <row r="566">
      <c r="A566" s="392"/>
      <c r="B566" s="392"/>
      <c r="C566" s="392"/>
      <c r="D566" s="392"/>
      <c r="E566" s="392"/>
      <c r="F566" s="229"/>
      <c r="G566" s="229"/>
      <c r="H566" s="392"/>
      <c r="I566" s="229"/>
      <c r="J566" s="229"/>
      <c r="K566" s="399"/>
      <c r="L566" s="399"/>
      <c r="M566" s="399"/>
      <c r="N566" s="229"/>
      <c r="O566" s="229"/>
      <c r="P566" s="229"/>
      <c r="Q566" s="229"/>
      <c r="R566" s="229"/>
      <c r="S566" s="229"/>
      <c r="T566" s="229"/>
      <c r="U566" s="229"/>
      <c r="V566" s="400"/>
      <c r="W566" s="229"/>
      <c r="X566" s="229"/>
      <c r="Y566" s="4"/>
      <c r="Z566" s="4"/>
    </row>
    <row r="567">
      <c r="A567" s="392"/>
      <c r="B567" s="392"/>
      <c r="C567" s="392"/>
      <c r="D567" s="392"/>
      <c r="E567" s="392"/>
      <c r="F567" s="229"/>
      <c r="G567" s="229"/>
      <c r="H567" s="392"/>
      <c r="I567" s="229"/>
      <c r="J567" s="229"/>
      <c r="K567" s="399"/>
      <c r="L567" s="399"/>
      <c r="M567" s="399"/>
      <c r="N567" s="229"/>
      <c r="O567" s="229"/>
      <c r="P567" s="229"/>
      <c r="Q567" s="229"/>
      <c r="R567" s="229"/>
      <c r="S567" s="229"/>
      <c r="T567" s="229"/>
      <c r="U567" s="229"/>
      <c r="V567" s="400"/>
      <c r="W567" s="229"/>
      <c r="X567" s="229"/>
      <c r="Y567" s="4"/>
      <c r="Z567" s="4"/>
    </row>
    <row r="568">
      <c r="A568" s="392"/>
      <c r="B568" s="392"/>
      <c r="C568" s="392"/>
      <c r="D568" s="392"/>
      <c r="E568" s="392"/>
      <c r="F568" s="229"/>
      <c r="G568" s="229"/>
      <c r="H568" s="392"/>
      <c r="I568" s="229"/>
      <c r="J568" s="229"/>
      <c r="K568" s="399"/>
      <c r="L568" s="399"/>
      <c r="M568" s="399"/>
      <c r="N568" s="229"/>
      <c r="O568" s="229"/>
      <c r="P568" s="229"/>
      <c r="Q568" s="229"/>
      <c r="R568" s="229"/>
      <c r="S568" s="229"/>
      <c r="T568" s="229"/>
      <c r="U568" s="229"/>
      <c r="V568" s="400"/>
      <c r="W568" s="229"/>
      <c r="X568" s="229"/>
      <c r="Y568" s="4"/>
      <c r="Z568" s="4"/>
    </row>
    <row r="569">
      <c r="A569" s="392"/>
      <c r="B569" s="392"/>
      <c r="C569" s="392"/>
      <c r="D569" s="392"/>
      <c r="E569" s="392"/>
      <c r="F569" s="229"/>
      <c r="G569" s="229"/>
      <c r="H569" s="392"/>
      <c r="I569" s="229"/>
      <c r="J569" s="229"/>
      <c r="K569" s="399"/>
      <c r="L569" s="399"/>
      <c r="M569" s="399"/>
      <c r="N569" s="229"/>
      <c r="O569" s="229"/>
      <c r="P569" s="229"/>
      <c r="Q569" s="229"/>
      <c r="R569" s="229"/>
      <c r="S569" s="229"/>
      <c r="T569" s="229"/>
      <c r="U569" s="229"/>
      <c r="V569" s="400"/>
      <c r="W569" s="229"/>
      <c r="X569" s="229"/>
      <c r="Y569" s="4"/>
      <c r="Z569" s="4"/>
    </row>
    <row r="570">
      <c r="A570" s="392"/>
      <c r="B570" s="392"/>
      <c r="C570" s="392"/>
      <c r="D570" s="392"/>
      <c r="E570" s="392"/>
      <c r="F570" s="229"/>
      <c r="G570" s="229"/>
      <c r="H570" s="392"/>
      <c r="I570" s="229"/>
      <c r="J570" s="229"/>
      <c r="K570" s="399"/>
      <c r="L570" s="399"/>
      <c r="M570" s="399"/>
      <c r="N570" s="229"/>
      <c r="O570" s="229"/>
      <c r="P570" s="229"/>
      <c r="Q570" s="229"/>
      <c r="R570" s="229"/>
      <c r="S570" s="229"/>
      <c r="T570" s="229"/>
      <c r="U570" s="229"/>
      <c r="V570" s="400"/>
      <c r="W570" s="229"/>
      <c r="X570" s="229"/>
      <c r="Y570" s="4"/>
      <c r="Z570" s="4"/>
    </row>
    <row r="571">
      <c r="A571" s="392"/>
      <c r="B571" s="392"/>
      <c r="C571" s="392"/>
      <c r="D571" s="392"/>
      <c r="E571" s="392"/>
      <c r="F571" s="229"/>
      <c r="G571" s="229"/>
      <c r="H571" s="392"/>
      <c r="I571" s="229"/>
      <c r="J571" s="229"/>
      <c r="K571" s="399"/>
      <c r="L571" s="399"/>
      <c r="M571" s="399"/>
      <c r="N571" s="229"/>
      <c r="O571" s="229"/>
      <c r="P571" s="229"/>
      <c r="Q571" s="229"/>
      <c r="R571" s="229"/>
      <c r="S571" s="229"/>
      <c r="T571" s="229"/>
      <c r="U571" s="229"/>
      <c r="V571" s="400"/>
      <c r="W571" s="229"/>
      <c r="X571" s="229"/>
      <c r="Y571" s="4"/>
      <c r="Z571" s="4"/>
    </row>
    <row r="572">
      <c r="A572" s="392"/>
      <c r="B572" s="392"/>
      <c r="C572" s="392"/>
      <c r="D572" s="392"/>
      <c r="E572" s="392"/>
      <c r="F572" s="229"/>
      <c r="G572" s="229"/>
      <c r="H572" s="392"/>
      <c r="I572" s="229"/>
      <c r="J572" s="229"/>
      <c r="K572" s="399"/>
      <c r="L572" s="399"/>
      <c r="M572" s="399"/>
      <c r="N572" s="229"/>
      <c r="O572" s="229"/>
      <c r="P572" s="229"/>
      <c r="Q572" s="229"/>
      <c r="R572" s="229"/>
      <c r="S572" s="229"/>
      <c r="T572" s="229"/>
      <c r="U572" s="229"/>
      <c r="V572" s="400"/>
      <c r="W572" s="229"/>
      <c r="X572" s="229"/>
      <c r="Y572" s="4"/>
      <c r="Z572" s="4"/>
    </row>
    <row r="573">
      <c r="A573" s="392"/>
      <c r="B573" s="392"/>
      <c r="C573" s="392"/>
      <c r="D573" s="392"/>
      <c r="E573" s="392"/>
      <c r="F573" s="229"/>
      <c r="G573" s="229"/>
      <c r="H573" s="392"/>
      <c r="I573" s="229"/>
      <c r="J573" s="229"/>
      <c r="K573" s="399"/>
      <c r="L573" s="399"/>
      <c r="M573" s="399"/>
      <c r="N573" s="229"/>
      <c r="O573" s="229"/>
      <c r="P573" s="229"/>
      <c r="Q573" s="229"/>
      <c r="R573" s="229"/>
      <c r="S573" s="229"/>
      <c r="T573" s="229"/>
      <c r="U573" s="229"/>
      <c r="V573" s="400"/>
      <c r="W573" s="229"/>
      <c r="X573" s="229"/>
      <c r="Y573" s="4"/>
      <c r="Z573" s="4"/>
    </row>
    <row r="574">
      <c r="A574" s="392"/>
      <c r="B574" s="392"/>
      <c r="C574" s="392"/>
      <c r="D574" s="392"/>
      <c r="E574" s="392"/>
      <c r="F574" s="229"/>
      <c r="G574" s="229"/>
      <c r="H574" s="392"/>
      <c r="I574" s="229"/>
      <c r="J574" s="229"/>
      <c r="K574" s="399"/>
      <c r="L574" s="399"/>
      <c r="M574" s="399"/>
      <c r="N574" s="229"/>
      <c r="O574" s="229"/>
      <c r="P574" s="229"/>
      <c r="Q574" s="229"/>
      <c r="R574" s="229"/>
      <c r="S574" s="229"/>
      <c r="T574" s="229"/>
      <c r="U574" s="229"/>
      <c r="V574" s="400"/>
      <c r="W574" s="229"/>
      <c r="X574" s="229"/>
      <c r="Y574" s="4"/>
      <c r="Z574" s="4"/>
    </row>
    <row r="575">
      <c r="A575" s="392"/>
      <c r="B575" s="392"/>
      <c r="C575" s="392"/>
      <c r="D575" s="392"/>
      <c r="E575" s="392"/>
      <c r="F575" s="229"/>
      <c r="G575" s="229"/>
      <c r="H575" s="392"/>
      <c r="I575" s="229"/>
      <c r="J575" s="229"/>
      <c r="K575" s="399"/>
      <c r="L575" s="399"/>
      <c r="M575" s="399"/>
      <c r="N575" s="229"/>
      <c r="O575" s="229"/>
      <c r="P575" s="229"/>
      <c r="Q575" s="229"/>
      <c r="R575" s="229"/>
      <c r="S575" s="229"/>
      <c r="T575" s="229"/>
      <c r="U575" s="229"/>
      <c r="V575" s="400"/>
      <c r="W575" s="229"/>
      <c r="X575" s="229"/>
      <c r="Y575" s="4"/>
      <c r="Z575" s="4"/>
    </row>
    <row r="576">
      <c r="A576" s="392"/>
      <c r="B576" s="392"/>
      <c r="C576" s="392"/>
      <c r="D576" s="392"/>
      <c r="E576" s="392"/>
      <c r="F576" s="229"/>
      <c r="G576" s="229"/>
      <c r="H576" s="392"/>
      <c r="I576" s="229"/>
      <c r="J576" s="229"/>
      <c r="K576" s="399"/>
      <c r="L576" s="399"/>
      <c r="M576" s="399"/>
      <c r="N576" s="229"/>
      <c r="O576" s="229"/>
      <c r="P576" s="229"/>
      <c r="Q576" s="229"/>
      <c r="R576" s="229"/>
      <c r="S576" s="229"/>
      <c r="T576" s="229"/>
      <c r="U576" s="229"/>
      <c r="V576" s="400"/>
      <c r="W576" s="229"/>
      <c r="X576" s="229"/>
      <c r="Y576" s="4"/>
      <c r="Z576" s="4"/>
    </row>
    <row r="577">
      <c r="A577" s="392"/>
      <c r="B577" s="392"/>
      <c r="C577" s="392"/>
      <c r="D577" s="392"/>
      <c r="E577" s="392"/>
      <c r="F577" s="229"/>
      <c r="G577" s="229"/>
      <c r="H577" s="392"/>
      <c r="I577" s="229"/>
      <c r="J577" s="229"/>
      <c r="K577" s="399"/>
      <c r="L577" s="399"/>
      <c r="M577" s="399"/>
      <c r="N577" s="229"/>
      <c r="O577" s="229"/>
      <c r="P577" s="229"/>
      <c r="Q577" s="229"/>
      <c r="R577" s="229"/>
      <c r="S577" s="229"/>
      <c r="T577" s="229"/>
      <c r="U577" s="229"/>
      <c r="V577" s="400"/>
      <c r="W577" s="229"/>
      <c r="X577" s="229"/>
      <c r="Y577" s="4"/>
      <c r="Z577" s="4"/>
    </row>
    <row r="578">
      <c r="A578" s="392"/>
      <c r="B578" s="392"/>
      <c r="C578" s="392"/>
      <c r="D578" s="392"/>
      <c r="E578" s="392"/>
      <c r="F578" s="229"/>
      <c r="G578" s="229"/>
      <c r="H578" s="392"/>
      <c r="I578" s="229"/>
      <c r="J578" s="229"/>
      <c r="K578" s="399"/>
      <c r="L578" s="399"/>
      <c r="M578" s="399"/>
      <c r="N578" s="229"/>
      <c r="O578" s="229"/>
      <c r="P578" s="229"/>
      <c r="Q578" s="229"/>
      <c r="R578" s="229"/>
      <c r="S578" s="229"/>
      <c r="T578" s="229"/>
      <c r="U578" s="229"/>
      <c r="V578" s="400"/>
      <c r="W578" s="229"/>
      <c r="X578" s="229"/>
      <c r="Y578" s="4"/>
      <c r="Z578" s="4"/>
    </row>
    <row r="579">
      <c r="A579" s="392"/>
      <c r="B579" s="392"/>
      <c r="C579" s="392"/>
      <c r="D579" s="392"/>
      <c r="E579" s="392"/>
      <c r="F579" s="229"/>
      <c r="G579" s="229"/>
      <c r="H579" s="392"/>
      <c r="I579" s="229"/>
      <c r="J579" s="229"/>
      <c r="K579" s="399"/>
      <c r="L579" s="399"/>
      <c r="M579" s="399"/>
      <c r="N579" s="229"/>
      <c r="O579" s="229"/>
      <c r="P579" s="229"/>
      <c r="Q579" s="229"/>
      <c r="R579" s="229"/>
      <c r="S579" s="229"/>
      <c r="T579" s="229"/>
      <c r="U579" s="229"/>
      <c r="V579" s="400"/>
      <c r="W579" s="229"/>
      <c r="X579" s="229"/>
      <c r="Y579" s="4"/>
      <c r="Z579" s="4"/>
    </row>
    <row r="580">
      <c r="A580" s="392"/>
      <c r="B580" s="392"/>
      <c r="C580" s="392"/>
      <c r="D580" s="392"/>
      <c r="E580" s="392"/>
      <c r="F580" s="229"/>
      <c r="G580" s="229"/>
      <c r="H580" s="392"/>
      <c r="I580" s="229"/>
      <c r="J580" s="229"/>
      <c r="K580" s="399"/>
      <c r="L580" s="399"/>
      <c r="M580" s="399"/>
      <c r="N580" s="229"/>
      <c r="O580" s="229"/>
      <c r="P580" s="229"/>
      <c r="Q580" s="229"/>
      <c r="R580" s="229"/>
      <c r="S580" s="229"/>
      <c r="T580" s="229"/>
      <c r="U580" s="229"/>
      <c r="V580" s="400"/>
      <c r="W580" s="229"/>
      <c r="X580" s="229"/>
      <c r="Y580" s="4"/>
      <c r="Z580" s="4"/>
    </row>
    <row r="581">
      <c r="A581" s="392"/>
      <c r="B581" s="392"/>
      <c r="C581" s="392"/>
      <c r="D581" s="392"/>
      <c r="E581" s="392"/>
      <c r="F581" s="229"/>
      <c r="G581" s="229"/>
      <c r="H581" s="392"/>
      <c r="I581" s="229"/>
      <c r="J581" s="229"/>
      <c r="K581" s="399"/>
      <c r="L581" s="399"/>
      <c r="M581" s="399"/>
      <c r="N581" s="229"/>
      <c r="O581" s="229"/>
      <c r="P581" s="229"/>
      <c r="Q581" s="229"/>
      <c r="R581" s="229"/>
      <c r="S581" s="229"/>
      <c r="T581" s="229"/>
      <c r="U581" s="229"/>
      <c r="V581" s="400"/>
      <c r="W581" s="229"/>
      <c r="X581" s="229"/>
      <c r="Y581" s="4"/>
      <c r="Z581" s="4"/>
    </row>
    <row r="582">
      <c r="A582" s="392"/>
      <c r="B582" s="392"/>
      <c r="C582" s="392"/>
      <c r="D582" s="392"/>
      <c r="E582" s="392"/>
      <c r="F582" s="229"/>
      <c r="G582" s="229"/>
      <c r="H582" s="392"/>
      <c r="I582" s="229"/>
      <c r="J582" s="229"/>
      <c r="K582" s="399"/>
      <c r="L582" s="399"/>
      <c r="M582" s="399"/>
      <c r="N582" s="229"/>
      <c r="O582" s="229"/>
      <c r="P582" s="229"/>
      <c r="Q582" s="229"/>
      <c r="R582" s="229"/>
      <c r="S582" s="229"/>
      <c r="T582" s="229"/>
      <c r="U582" s="229"/>
      <c r="V582" s="400"/>
      <c r="W582" s="229"/>
      <c r="X582" s="229"/>
      <c r="Y582" s="4"/>
      <c r="Z582" s="4"/>
    </row>
    <row r="583">
      <c r="A583" s="392"/>
      <c r="B583" s="392"/>
      <c r="C583" s="392"/>
      <c r="D583" s="392"/>
      <c r="E583" s="392"/>
      <c r="F583" s="229"/>
      <c r="G583" s="229"/>
      <c r="H583" s="392"/>
      <c r="I583" s="229"/>
      <c r="J583" s="229"/>
      <c r="K583" s="399"/>
      <c r="L583" s="399"/>
      <c r="M583" s="399"/>
      <c r="N583" s="229"/>
      <c r="O583" s="229"/>
      <c r="P583" s="229"/>
      <c r="Q583" s="229"/>
      <c r="R583" s="229"/>
      <c r="S583" s="229"/>
      <c r="T583" s="229"/>
      <c r="U583" s="229"/>
      <c r="V583" s="400"/>
      <c r="W583" s="229"/>
      <c r="X583" s="229"/>
      <c r="Y583" s="4"/>
      <c r="Z583" s="4"/>
    </row>
    <row r="584">
      <c r="A584" s="392"/>
      <c r="B584" s="392"/>
      <c r="C584" s="392"/>
      <c r="D584" s="392"/>
      <c r="E584" s="392"/>
      <c r="F584" s="229"/>
      <c r="G584" s="229"/>
      <c r="H584" s="392"/>
      <c r="I584" s="229"/>
      <c r="J584" s="229"/>
      <c r="K584" s="399"/>
      <c r="L584" s="399"/>
      <c r="M584" s="399"/>
      <c r="N584" s="229"/>
      <c r="O584" s="229"/>
      <c r="P584" s="229"/>
      <c r="Q584" s="229"/>
      <c r="R584" s="229"/>
      <c r="S584" s="229"/>
      <c r="T584" s="229"/>
      <c r="U584" s="229"/>
      <c r="V584" s="400"/>
      <c r="W584" s="229"/>
      <c r="X584" s="229"/>
      <c r="Y584" s="4"/>
      <c r="Z584" s="4"/>
    </row>
    <row r="585">
      <c r="A585" s="392"/>
      <c r="B585" s="392"/>
      <c r="C585" s="392"/>
      <c r="D585" s="392"/>
      <c r="E585" s="392"/>
      <c r="F585" s="229"/>
      <c r="G585" s="229"/>
      <c r="H585" s="392"/>
      <c r="I585" s="229"/>
      <c r="J585" s="229"/>
      <c r="K585" s="399"/>
      <c r="L585" s="399"/>
      <c r="M585" s="399"/>
      <c r="N585" s="229"/>
      <c r="O585" s="229"/>
      <c r="P585" s="229"/>
      <c r="Q585" s="229"/>
      <c r="R585" s="229"/>
      <c r="S585" s="229"/>
      <c r="T585" s="229"/>
      <c r="U585" s="229"/>
      <c r="V585" s="400"/>
      <c r="W585" s="229"/>
      <c r="X585" s="229"/>
      <c r="Y585" s="4"/>
      <c r="Z585" s="4"/>
    </row>
    <row r="586">
      <c r="A586" s="392"/>
      <c r="B586" s="392"/>
      <c r="C586" s="392"/>
      <c r="D586" s="392"/>
      <c r="E586" s="392"/>
      <c r="F586" s="229"/>
      <c r="G586" s="229"/>
      <c r="H586" s="392"/>
      <c r="I586" s="229"/>
      <c r="J586" s="229"/>
      <c r="K586" s="399"/>
      <c r="L586" s="399"/>
      <c r="M586" s="399"/>
      <c r="N586" s="229"/>
      <c r="O586" s="229"/>
      <c r="P586" s="229"/>
      <c r="Q586" s="229"/>
      <c r="R586" s="229"/>
      <c r="S586" s="229"/>
      <c r="T586" s="229"/>
      <c r="U586" s="229"/>
      <c r="V586" s="400"/>
      <c r="W586" s="229"/>
      <c r="X586" s="229"/>
      <c r="Y586" s="4"/>
      <c r="Z586" s="4"/>
    </row>
    <row r="587">
      <c r="A587" s="392"/>
      <c r="B587" s="392"/>
      <c r="C587" s="392"/>
      <c r="D587" s="392"/>
      <c r="E587" s="392"/>
      <c r="F587" s="229"/>
      <c r="G587" s="229"/>
      <c r="H587" s="392"/>
      <c r="I587" s="229"/>
      <c r="J587" s="229"/>
      <c r="K587" s="399"/>
      <c r="L587" s="399"/>
      <c r="M587" s="399"/>
      <c r="N587" s="229"/>
      <c r="O587" s="229"/>
      <c r="P587" s="229"/>
      <c r="Q587" s="229"/>
      <c r="R587" s="229"/>
      <c r="S587" s="229"/>
      <c r="T587" s="229"/>
      <c r="U587" s="229"/>
      <c r="V587" s="400"/>
      <c r="W587" s="229"/>
      <c r="X587" s="229"/>
      <c r="Y587" s="4"/>
      <c r="Z587" s="4"/>
    </row>
    <row r="588">
      <c r="A588" s="392"/>
      <c r="B588" s="392"/>
      <c r="C588" s="392"/>
      <c r="D588" s="392"/>
      <c r="E588" s="392"/>
      <c r="F588" s="229"/>
      <c r="G588" s="229"/>
      <c r="H588" s="392"/>
      <c r="I588" s="229"/>
      <c r="J588" s="229"/>
      <c r="K588" s="399"/>
      <c r="L588" s="399"/>
      <c r="M588" s="399"/>
      <c r="N588" s="229"/>
      <c r="O588" s="229"/>
      <c r="P588" s="229"/>
      <c r="Q588" s="229"/>
      <c r="R588" s="229"/>
      <c r="S588" s="229"/>
      <c r="T588" s="229"/>
      <c r="U588" s="229"/>
      <c r="V588" s="400"/>
      <c r="W588" s="229"/>
      <c r="X588" s="229"/>
      <c r="Y588" s="4"/>
      <c r="Z588" s="4"/>
    </row>
    <row r="589">
      <c r="A589" s="392"/>
      <c r="B589" s="392"/>
      <c r="C589" s="392"/>
      <c r="D589" s="392"/>
      <c r="E589" s="392"/>
      <c r="F589" s="229"/>
      <c r="G589" s="229"/>
      <c r="H589" s="392"/>
      <c r="I589" s="229"/>
      <c r="J589" s="229"/>
      <c r="K589" s="399"/>
      <c r="L589" s="399"/>
      <c r="M589" s="399"/>
      <c r="N589" s="229"/>
      <c r="O589" s="229"/>
      <c r="P589" s="229"/>
      <c r="Q589" s="229"/>
      <c r="R589" s="229"/>
      <c r="S589" s="229"/>
      <c r="T589" s="229"/>
      <c r="U589" s="229"/>
      <c r="V589" s="400"/>
      <c r="W589" s="229"/>
      <c r="X589" s="229"/>
      <c r="Y589" s="4"/>
      <c r="Z589" s="4"/>
    </row>
    <row r="590">
      <c r="A590" s="392"/>
      <c r="B590" s="392"/>
      <c r="C590" s="392"/>
      <c r="D590" s="392"/>
      <c r="E590" s="392"/>
      <c r="F590" s="229"/>
      <c r="G590" s="229"/>
      <c r="H590" s="392"/>
      <c r="I590" s="229"/>
      <c r="J590" s="229"/>
      <c r="K590" s="399"/>
      <c r="L590" s="399"/>
      <c r="M590" s="399"/>
      <c r="N590" s="229"/>
      <c r="O590" s="229"/>
      <c r="P590" s="229"/>
      <c r="Q590" s="229"/>
      <c r="R590" s="229"/>
      <c r="S590" s="229"/>
      <c r="T590" s="229"/>
      <c r="U590" s="229"/>
      <c r="V590" s="400"/>
      <c r="W590" s="229"/>
      <c r="X590" s="229"/>
      <c r="Y590" s="4"/>
      <c r="Z590" s="4"/>
    </row>
    <row r="591">
      <c r="A591" s="392"/>
      <c r="B591" s="392"/>
      <c r="C591" s="392"/>
      <c r="D591" s="392"/>
      <c r="E591" s="392"/>
      <c r="F591" s="229"/>
      <c r="G591" s="229"/>
      <c r="H591" s="392"/>
      <c r="I591" s="229"/>
      <c r="J591" s="229"/>
      <c r="K591" s="399"/>
      <c r="L591" s="399"/>
      <c r="M591" s="399"/>
      <c r="N591" s="229"/>
      <c r="O591" s="229"/>
      <c r="P591" s="229"/>
      <c r="Q591" s="229"/>
      <c r="R591" s="229"/>
      <c r="S591" s="229"/>
      <c r="T591" s="229"/>
      <c r="U591" s="229"/>
      <c r="V591" s="400"/>
      <c r="W591" s="229"/>
      <c r="X591" s="229"/>
      <c r="Y591" s="4"/>
      <c r="Z591" s="4"/>
    </row>
    <row r="592">
      <c r="A592" s="392"/>
      <c r="B592" s="392"/>
      <c r="C592" s="392"/>
      <c r="D592" s="392"/>
      <c r="E592" s="392"/>
      <c r="F592" s="229"/>
      <c r="G592" s="229"/>
      <c r="H592" s="392"/>
      <c r="I592" s="229"/>
      <c r="J592" s="229"/>
      <c r="K592" s="399"/>
      <c r="L592" s="399"/>
      <c r="M592" s="399"/>
      <c r="N592" s="229"/>
      <c r="O592" s="229"/>
      <c r="P592" s="229"/>
      <c r="Q592" s="229"/>
      <c r="R592" s="229"/>
      <c r="S592" s="229"/>
      <c r="T592" s="229"/>
      <c r="U592" s="229"/>
      <c r="V592" s="400"/>
      <c r="W592" s="229"/>
      <c r="X592" s="229"/>
      <c r="Y592" s="4"/>
      <c r="Z592" s="4"/>
    </row>
    <row r="593">
      <c r="A593" s="392"/>
      <c r="B593" s="392"/>
      <c r="C593" s="392"/>
      <c r="D593" s="392"/>
      <c r="E593" s="392"/>
      <c r="F593" s="229"/>
      <c r="G593" s="229"/>
      <c r="H593" s="392"/>
      <c r="I593" s="229"/>
      <c r="J593" s="229"/>
      <c r="K593" s="399"/>
      <c r="L593" s="399"/>
      <c r="M593" s="399"/>
      <c r="N593" s="229"/>
      <c r="O593" s="229"/>
      <c r="P593" s="229"/>
      <c r="Q593" s="229"/>
      <c r="R593" s="229"/>
      <c r="S593" s="229"/>
      <c r="T593" s="229"/>
      <c r="U593" s="229"/>
      <c r="V593" s="400"/>
      <c r="W593" s="229"/>
      <c r="X593" s="229"/>
      <c r="Y593" s="4"/>
      <c r="Z593" s="4"/>
    </row>
    <row r="594">
      <c r="A594" s="392"/>
      <c r="B594" s="392"/>
      <c r="C594" s="392"/>
      <c r="D594" s="392"/>
      <c r="E594" s="392"/>
      <c r="F594" s="229"/>
      <c r="G594" s="229"/>
      <c r="H594" s="392"/>
      <c r="I594" s="229"/>
      <c r="J594" s="229"/>
      <c r="K594" s="399"/>
      <c r="L594" s="399"/>
      <c r="M594" s="399"/>
      <c r="N594" s="229"/>
      <c r="O594" s="229"/>
      <c r="P594" s="229"/>
      <c r="Q594" s="229"/>
      <c r="R594" s="229"/>
      <c r="S594" s="229"/>
      <c r="T594" s="229"/>
      <c r="U594" s="229"/>
      <c r="V594" s="400"/>
      <c r="W594" s="229"/>
      <c r="X594" s="229"/>
      <c r="Y594" s="4"/>
      <c r="Z594" s="4"/>
    </row>
    <row r="595">
      <c r="A595" s="392"/>
      <c r="B595" s="392"/>
      <c r="C595" s="392"/>
      <c r="D595" s="392"/>
      <c r="E595" s="392"/>
      <c r="F595" s="229"/>
      <c r="G595" s="229"/>
      <c r="H595" s="392"/>
      <c r="I595" s="229"/>
      <c r="J595" s="229"/>
      <c r="K595" s="399"/>
      <c r="L595" s="399"/>
      <c r="M595" s="399"/>
      <c r="N595" s="229"/>
      <c r="O595" s="229"/>
      <c r="P595" s="229"/>
      <c r="Q595" s="229"/>
      <c r="R595" s="229"/>
      <c r="S595" s="229"/>
      <c r="T595" s="229"/>
      <c r="U595" s="229"/>
      <c r="V595" s="400"/>
      <c r="W595" s="229"/>
      <c r="X595" s="229"/>
      <c r="Y595" s="4"/>
      <c r="Z595" s="4"/>
    </row>
    <row r="596">
      <c r="A596" s="392"/>
      <c r="B596" s="392"/>
      <c r="C596" s="392"/>
      <c r="D596" s="392"/>
      <c r="E596" s="392"/>
      <c r="F596" s="229"/>
      <c r="G596" s="229"/>
      <c r="H596" s="392"/>
      <c r="I596" s="229"/>
      <c r="J596" s="229"/>
      <c r="K596" s="399"/>
      <c r="L596" s="399"/>
      <c r="M596" s="399"/>
      <c r="N596" s="229"/>
      <c r="O596" s="229"/>
      <c r="P596" s="229"/>
      <c r="Q596" s="229"/>
      <c r="R596" s="229"/>
      <c r="S596" s="229"/>
      <c r="T596" s="229"/>
      <c r="U596" s="229"/>
      <c r="V596" s="400"/>
      <c r="W596" s="229"/>
      <c r="X596" s="229"/>
      <c r="Y596" s="4"/>
      <c r="Z596" s="4"/>
    </row>
    <row r="597">
      <c r="A597" s="392"/>
      <c r="B597" s="392"/>
      <c r="C597" s="392"/>
      <c r="D597" s="392"/>
      <c r="E597" s="392"/>
      <c r="F597" s="229"/>
      <c r="G597" s="229"/>
      <c r="H597" s="392"/>
      <c r="I597" s="229"/>
      <c r="J597" s="229"/>
      <c r="K597" s="399"/>
      <c r="L597" s="399"/>
      <c r="M597" s="399"/>
      <c r="N597" s="229"/>
      <c r="O597" s="229"/>
      <c r="P597" s="229"/>
      <c r="Q597" s="229"/>
      <c r="R597" s="229"/>
      <c r="S597" s="229"/>
      <c r="T597" s="229"/>
      <c r="U597" s="229"/>
      <c r="V597" s="400"/>
      <c r="W597" s="229"/>
      <c r="X597" s="229"/>
      <c r="Y597" s="4"/>
      <c r="Z597" s="4"/>
    </row>
    <row r="598">
      <c r="A598" s="392"/>
      <c r="B598" s="392"/>
      <c r="C598" s="392"/>
      <c r="D598" s="392"/>
      <c r="E598" s="392"/>
      <c r="F598" s="229"/>
      <c r="G598" s="229"/>
      <c r="H598" s="392"/>
      <c r="I598" s="229"/>
      <c r="J598" s="229"/>
      <c r="K598" s="399"/>
      <c r="L598" s="399"/>
      <c r="M598" s="399"/>
      <c r="N598" s="229"/>
      <c r="O598" s="229"/>
      <c r="P598" s="229"/>
      <c r="Q598" s="229"/>
      <c r="R598" s="229"/>
      <c r="S598" s="229"/>
      <c r="T598" s="229"/>
      <c r="U598" s="229"/>
      <c r="V598" s="400"/>
      <c r="W598" s="229"/>
      <c r="X598" s="229"/>
      <c r="Y598" s="4"/>
      <c r="Z598" s="4"/>
    </row>
    <row r="599">
      <c r="A599" s="392"/>
      <c r="B599" s="392"/>
      <c r="C599" s="392"/>
      <c r="D599" s="392"/>
      <c r="E599" s="392"/>
      <c r="F599" s="229"/>
      <c r="G599" s="229"/>
      <c r="H599" s="392"/>
      <c r="I599" s="229"/>
      <c r="J599" s="229"/>
      <c r="K599" s="399"/>
      <c r="L599" s="399"/>
      <c r="M599" s="399"/>
      <c r="N599" s="229"/>
      <c r="O599" s="229"/>
      <c r="P599" s="229"/>
      <c r="Q599" s="229"/>
      <c r="R599" s="229"/>
      <c r="S599" s="229"/>
      <c r="T599" s="229"/>
      <c r="U599" s="229"/>
      <c r="V599" s="400"/>
      <c r="W599" s="229"/>
      <c r="X599" s="229"/>
      <c r="Y599" s="4"/>
      <c r="Z599" s="4"/>
    </row>
    <row r="600">
      <c r="A600" s="392"/>
      <c r="B600" s="392"/>
      <c r="C600" s="392"/>
      <c r="D600" s="392"/>
      <c r="E600" s="392"/>
      <c r="F600" s="229"/>
      <c r="G600" s="229"/>
      <c r="H600" s="392"/>
      <c r="I600" s="229"/>
      <c r="J600" s="229"/>
      <c r="K600" s="399"/>
      <c r="L600" s="399"/>
      <c r="M600" s="399"/>
      <c r="N600" s="229"/>
      <c r="O600" s="229"/>
      <c r="P600" s="229"/>
      <c r="Q600" s="229"/>
      <c r="R600" s="229"/>
      <c r="S600" s="229"/>
      <c r="T600" s="229"/>
      <c r="U600" s="229"/>
      <c r="V600" s="400"/>
      <c r="W600" s="229"/>
      <c r="X600" s="229"/>
      <c r="Y600" s="4"/>
      <c r="Z600" s="4"/>
    </row>
    <row r="601">
      <c r="A601" s="392"/>
      <c r="B601" s="392"/>
      <c r="C601" s="392"/>
      <c r="D601" s="392"/>
      <c r="E601" s="392"/>
      <c r="F601" s="229"/>
      <c r="G601" s="229"/>
      <c r="H601" s="392"/>
      <c r="I601" s="229"/>
      <c r="J601" s="229"/>
      <c r="K601" s="399"/>
      <c r="L601" s="399"/>
      <c r="M601" s="399"/>
      <c r="N601" s="229"/>
      <c r="O601" s="229"/>
      <c r="P601" s="229"/>
      <c r="Q601" s="229"/>
      <c r="R601" s="229"/>
      <c r="S601" s="229"/>
      <c r="T601" s="229"/>
      <c r="U601" s="229"/>
      <c r="V601" s="400"/>
      <c r="W601" s="229"/>
      <c r="X601" s="229"/>
      <c r="Y601" s="4"/>
      <c r="Z601" s="4"/>
    </row>
    <row r="602">
      <c r="A602" s="392"/>
      <c r="B602" s="392"/>
      <c r="C602" s="392"/>
      <c r="D602" s="392"/>
      <c r="E602" s="392"/>
      <c r="F602" s="229"/>
      <c r="G602" s="229"/>
      <c r="H602" s="392"/>
      <c r="I602" s="229"/>
      <c r="J602" s="229"/>
      <c r="K602" s="399"/>
      <c r="L602" s="399"/>
      <c r="M602" s="399"/>
      <c r="N602" s="229"/>
      <c r="O602" s="229"/>
      <c r="P602" s="229"/>
      <c r="Q602" s="229"/>
      <c r="R602" s="229"/>
      <c r="S602" s="229"/>
      <c r="T602" s="229"/>
      <c r="U602" s="229"/>
      <c r="V602" s="400"/>
      <c r="W602" s="229"/>
      <c r="X602" s="229"/>
      <c r="Y602" s="4"/>
      <c r="Z602" s="4"/>
    </row>
    <row r="603">
      <c r="A603" s="392"/>
      <c r="B603" s="392"/>
      <c r="C603" s="392"/>
      <c r="D603" s="392"/>
      <c r="E603" s="392"/>
      <c r="F603" s="229"/>
      <c r="G603" s="229"/>
      <c r="H603" s="392"/>
      <c r="I603" s="229"/>
      <c r="J603" s="229"/>
      <c r="K603" s="399"/>
      <c r="L603" s="399"/>
      <c r="M603" s="399"/>
      <c r="N603" s="229"/>
      <c r="O603" s="229"/>
      <c r="P603" s="229"/>
      <c r="Q603" s="229"/>
      <c r="R603" s="229"/>
      <c r="S603" s="229"/>
      <c r="T603" s="229"/>
      <c r="U603" s="229"/>
      <c r="V603" s="400"/>
      <c r="W603" s="229"/>
      <c r="X603" s="229"/>
      <c r="Y603" s="4"/>
      <c r="Z603" s="4"/>
    </row>
    <row r="604">
      <c r="A604" s="392"/>
      <c r="B604" s="392"/>
      <c r="C604" s="392"/>
      <c r="D604" s="392"/>
      <c r="E604" s="392"/>
      <c r="F604" s="229"/>
      <c r="G604" s="229"/>
      <c r="H604" s="392"/>
      <c r="I604" s="229"/>
      <c r="J604" s="229"/>
      <c r="K604" s="399"/>
      <c r="L604" s="399"/>
      <c r="M604" s="399"/>
      <c r="N604" s="229"/>
      <c r="O604" s="229"/>
      <c r="P604" s="229"/>
      <c r="Q604" s="229"/>
      <c r="R604" s="229"/>
      <c r="S604" s="229"/>
      <c r="T604" s="229"/>
      <c r="U604" s="229"/>
      <c r="V604" s="400"/>
      <c r="W604" s="229"/>
      <c r="X604" s="229"/>
      <c r="Y604" s="4"/>
      <c r="Z604" s="4"/>
    </row>
    <row r="605">
      <c r="A605" s="392"/>
      <c r="B605" s="392"/>
      <c r="C605" s="392"/>
      <c r="D605" s="392"/>
      <c r="E605" s="392"/>
      <c r="F605" s="229"/>
      <c r="G605" s="229"/>
      <c r="H605" s="392"/>
      <c r="I605" s="229"/>
      <c r="J605" s="229"/>
      <c r="K605" s="399"/>
      <c r="L605" s="399"/>
      <c r="M605" s="399"/>
      <c r="N605" s="229"/>
      <c r="O605" s="229"/>
      <c r="P605" s="229"/>
      <c r="Q605" s="229"/>
      <c r="R605" s="229"/>
      <c r="S605" s="229"/>
      <c r="T605" s="229"/>
      <c r="U605" s="229"/>
      <c r="V605" s="400"/>
      <c r="W605" s="229"/>
      <c r="X605" s="229"/>
      <c r="Y605" s="4"/>
      <c r="Z605" s="4"/>
    </row>
    <row r="606">
      <c r="A606" s="392"/>
      <c r="B606" s="392"/>
      <c r="C606" s="392"/>
      <c r="D606" s="392"/>
      <c r="E606" s="392"/>
      <c r="F606" s="229"/>
      <c r="G606" s="229"/>
      <c r="H606" s="392"/>
      <c r="I606" s="229"/>
      <c r="J606" s="229"/>
      <c r="K606" s="399"/>
      <c r="L606" s="399"/>
      <c r="M606" s="399"/>
      <c r="N606" s="229"/>
      <c r="O606" s="229"/>
      <c r="P606" s="229"/>
      <c r="Q606" s="229"/>
      <c r="R606" s="229"/>
      <c r="S606" s="229"/>
      <c r="T606" s="229"/>
      <c r="U606" s="229"/>
      <c r="V606" s="400"/>
      <c r="W606" s="229"/>
      <c r="X606" s="229"/>
      <c r="Y606" s="4"/>
      <c r="Z606" s="4"/>
    </row>
    <row r="607">
      <c r="A607" s="392"/>
      <c r="B607" s="392"/>
      <c r="C607" s="392"/>
      <c r="D607" s="392"/>
      <c r="E607" s="392"/>
      <c r="F607" s="229"/>
      <c r="G607" s="229"/>
      <c r="H607" s="392"/>
      <c r="I607" s="229"/>
      <c r="J607" s="229"/>
      <c r="K607" s="399"/>
      <c r="L607" s="399"/>
      <c r="M607" s="399"/>
      <c r="N607" s="229"/>
      <c r="O607" s="229"/>
      <c r="P607" s="229"/>
      <c r="Q607" s="229"/>
      <c r="R607" s="229"/>
      <c r="S607" s="229"/>
      <c r="T607" s="229"/>
      <c r="U607" s="229"/>
      <c r="V607" s="400"/>
      <c r="W607" s="229"/>
      <c r="X607" s="229"/>
      <c r="Y607" s="4"/>
      <c r="Z607" s="4"/>
    </row>
    <row r="608">
      <c r="A608" s="392"/>
      <c r="B608" s="392"/>
      <c r="C608" s="392"/>
      <c r="D608" s="392"/>
      <c r="E608" s="392"/>
      <c r="F608" s="229"/>
      <c r="G608" s="229"/>
      <c r="H608" s="392"/>
      <c r="I608" s="229"/>
      <c r="J608" s="229"/>
      <c r="K608" s="399"/>
      <c r="L608" s="399"/>
      <c r="M608" s="399"/>
      <c r="N608" s="229"/>
      <c r="O608" s="229"/>
      <c r="P608" s="229"/>
      <c r="Q608" s="229"/>
      <c r="R608" s="229"/>
      <c r="S608" s="229"/>
      <c r="T608" s="229"/>
      <c r="U608" s="229"/>
      <c r="V608" s="400"/>
      <c r="W608" s="229"/>
      <c r="X608" s="229"/>
      <c r="Y608" s="4"/>
      <c r="Z608" s="4"/>
    </row>
    <row r="609">
      <c r="A609" s="392"/>
      <c r="B609" s="392"/>
      <c r="C609" s="392"/>
      <c r="D609" s="392"/>
      <c r="E609" s="392"/>
      <c r="F609" s="229"/>
      <c r="G609" s="229"/>
      <c r="H609" s="392"/>
      <c r="I609" s="229"/>
      <c r="J609" s="229"/>
      <c r="K609" s="399"/>
      <c r="L609" s="399"/>
      <c r="M609" s="399"/>
      <c r="N609" s="229"/>
      <c r="O609" s="229"/>
      <c r="P609" s="229"/>
      <c r="Q609" s="229"/>
      <c r="R609" s="229"/>
      <c r="S609" s="229"/>
      <c r="T609" s="229"/>
      <c r="U609" s="229"/>
      <c r="V609" s="400"/>
      <c r="W609" s="229"/>
      <c r="X609" s="229"/>
      <c r="Y609" s="4"/>
      <c r="Z609" s="4"/>
    </row>
    <row r="610">
      <c r="A610" s="392"/>
      <c r="B610" s="392"/>
      <c r="C610" s="392"/>
      <c r="D610" s="392"/>
      <c r="E610" s="392"/>
      <c r="F610" s="229"/>
      <c r="G610" s="229"/>
      <c r="H610" s="392"/>
      <c r="I610" s="229"/>
      <c r="J610" s="229"/>
      <c r="K610" s="399"/>
      <c r="L610" s="399"/>
      <c r="M610" s="399"/>
      <c r="N610" s="229"/>
      <c r="O610" s="229"/>
      <c r="P610" s="229"/>
      <c r="Q610" s="229"/>
      <c r="R610" s="229"/>
      <c r="S610" s="229"/>
      <c r="T610" s="229"/>
      <c r="U610" s="229"/>
      <c r="V610" s="400"/>
      <c r="W610" s="229"/>
      <c r="X610" s="229"/>
      <c r="Y610" s="4"/>
      <c r="Z610" s="4"/>
    </row>
    <row r="611">
      <c r="A611" s="392"/>
      <c r="B611" s="392"/>
      <c r="C611" s="392"/>
      <c r="D611" s="392"/>
      <c r="E611" s="392"/>
      <c r="F611" s="229"/>
      <c r="G611" s="229"/>
      <c r="H611" s="392"/>
      <c r="I611" s="229"/>
      <c r="J611" s="229"/>
      <c r="K611" s="399"/>
      <c r="L611" s="399"/>
      <c r="M611" s="399"/>
      <c r="N611" s="229"/>
      <c r="O611" s="229"/>
      <c r="P611" s="229"/>
      <c r="Q611" s="229"/>
      <c r="R611" s="229"/>
      <c r="S611" s="229"/>
      <c r="T611" s="229"/>
      <c r="U611" s="229"/>
      <c r="V611" s="400"/>
      <c r="W611" s="229"/>
      <c r="X611" s="229"/>
      <c r="Y611" s="4"/>
      <c r="Z611" s="4"/>
    </row>
    <row r="612">
      <c r="A612" s="392"/>
      <c r="B612" s="392"/>
      <c r="C612" s="392"/>
      <c r="D612" s="392"/>
      <c r="E612" s="392"/>
      <c r="F612" s="229"/>
      <c r="G612" s="229"/>
      <c r="H612" s="392"/>
      <c r="I612" s="229"/>
      <c r="J612" s="229"/>
      <c r="K612" s="399"/>
      <c r="L612" s="399"/>
      <c r="M612" s="399"/>
      <c r="N612" s="229"/>
      <c r="O612" s="229"/>
      <c r="P612" s="229"/>
      <c r="Q612" s="229"/>
      <c r="R612" s="229"/>
      <c r="S612" s="229"/>
      <c r="T612" s="229"/>
      <c r="U612" s="229"/>
      <c r="V612" s="400"/>
      <c r="W612" s="229"/>
      <c r="X612" s="229"/>
      <c r="Y612" s="4"/>
      <c r="Z612" s="4"/>
    </row>
    <row r="613">
      <c r="A613" s="392"/>
      <c r="B613" s="392"/>
      <c r="C613" s="392"/>
      <c r="D613" s="392"/>
      <c r="E613" s="392"/>
      <c r="F613" s="229"/>
      <c r="G613" s="229"/>
      <c r="H613" s="392"/>
      <c r="I613" s="229"/>
      <c r="J613" s="229"/>
      <c r="K613" s="399"/>
      <c r="L613" s="399"/>
      <c r="M613" s="399"/>
      <c r="N613" s="229"/>
      <c r="O613" s="229"/>
      <c r="P613" s="229"/>
      <c r="Q613" s="229"/>
      <c r="R613" s="229"/>
      <c r="S613" s="229"/>
      <c r="T613" s="229"/>
      <c r="U613" s="229"/>
      <c r="V613" s="400"/>
      <c r="W613" s="229"/>
      <c r="X613" s="229"/>
      <c r="Y613" s="4"/>
      <c r="Z613" s="4"/>
    </row>
    <row r="614">
      <c r="A614" s="392"/>
      <c r="B614" s="392"/>
      <c r="C614" s="392"/>
      <c r="D614" s="392"/>
      <c r="E614" s="392"/>
      <c r="F614" s="229"/>
      <c r="G614" s="229"/>
      <c r="H614" s="392"/>
      <c r="I614" s="229"/>
      <c r="J614" s="229"/>
      <c r="K614" s="399"/>
      <c r="L614" s="399"/>
      <c r="M614" s="399"/>
      <c r="N614" s="229"/>
      <c r="O614" s="229"/>
      <c r="P614" s="229"/>
      <c r="Q614" s="229"/>
      <c r="R614" s="229"/>
      <c r="S614" s="229"/>
      <c r="T614" s="229"/>
      <c r="U614" s="229"/>
      <c r="V614" s="400"/>
      <c r="W614" s="229"/>
      <c r="X614" s="229"/>
      <c r="Y614" s="4"/>
      <c r="Z614" s="4"/>
    </row>
    <row r="615">
      <c r="A615" s="392"/>
      <c r="B615" s="392"/>
      <c r="C615" s="392"/>
      <c r="D615" s="392"/>
      <c r="E615" s="392"/>
      <c r="F615" s="229"/>
      <c r="G615" s="229"/>
      <c r="H615" s="392"/>
      <c r="I615" s="229"/>
      <c r="J615" s="229"/>
      <c r="K615" s="399"/>
      <c r="L615" s="399"/>
      <c r="M615" s="399"/>
      <c r="N615" s="229"/>
      <c r="O615" s="229"/>
      <c r="P615" s="229"/>
      <c r="Q615" s="229"/>
      <c r="R615" s="229"/>
      <c r="S615" s="229"/>
      <c r="T615" s="229"/>
      <c r="U615" s="229"/>
      <c r="V615" s="400"/>
      <c r="W615" s="229"/>
      <c r="X615" s="229"/>
      <c r="Y615" s="4"/>
      <c r="Z615" s="4"/>
    </row>
    <row r="616">
      <c r="A616" s="392"/>
      <c r="B616" s="392"/>
      <c r="C616" s="392"/>
      <c r="D616" s="392"/>
      <c r="E616" s="392"/>
      <c r="F616" s="229"/>
      <c r="G616" s="229"/>
      <c r="H616" s="392"/>
      <c r="I616" s="229"/>
      <c r="J616" s="229"/>
      <c r="K616" s="399"/>
      <c r="L616" s="399"/>
      <c r="M616" s="399"/>
      <c r="N616" s="229"/>
      <c r="O616" s="229"/>
      <c r="P616" s="229"/>
      <c r="Q616" s="229"/>
      <c r="R616" s="229"/>
      <c r="S616" s="229"/>
      <c r="T616" s="229"/>
      <c r="U616" s="229"/>
      <c r="V616" s="400"/>
      <c r="W616" s="229"/>
      <c r="X616" s="229"/>
      <c r="Y616" s="4"/>
      <c r="Z616" s="4"/>
    </row>
    <row r="617">
      <c r="A617" s="392"/>
      <c r="B617" s="392"/>
      <c r="C617" s="392"/>
      <c r="D617" s="392"/>
      <c r="E617" s="392"/>
      <c r="F617" s="229"/>
      <c r="G617" s="229"/>
      <c r="H617" s="392"/>
      <c r="I617" s="229"/>
      <c r="J617" s="229"/>
      <c r="K617" s="399"/>
      <c r="L617" s="399"/>
      <c r="M617" s="399"/>
      <c r="N617" s="229"/>
      <c r="O617" s="229"/>
      <c r="P617" s="229"/>
      <c r="Q617" s="229"/>
      <c r="R617" s="229"/>
      <c r="S617" s="229"/>
      <c r="T617" s="229"/>
      <c r="U617" s="229"/>
      <c r="V617" s="400"/>
      <c r="W617" s="229"/>
      <c r="X617" s="229"/>
      <c r="Y617" s="4"/>
      <c r="Z617" s="4"/>
    </row>
    <row r="618">
      <c r="A618" s="392"/>
      <c r="B618" s="392"/>
      <c r="C618" s="392"/>
      <c r="D618" s="392"/>
      <c r="E618" s="392"/>
      <c r="F618" s="229"/>
      <c r="G618" s="229"/>
      <c r="H618" s="392"/>
      <c r="I618" s="229"/>
      <c r="J618" s="229"/>
      <c r="K618" s="399"/>
      <c r="L618" s="399"/>
      <c r="M618" s="399"/>
      <c r="N618" s="229"/>
      <c r="O618" s="229"/>
      <c r="P618" s="229"/>
      <c r="Q618" s="229"/>
      <c r="R618" s="229"/>
      <c r="S618" s="229"/>
      <c r="T618" s="229"/>
      <c r="U618" s="229"/>
      <c r="V618" s="400"/>
      <c r="W618" s="229"/>
      <c r="X618" s="229"/>
      <c r="Y618" s="4"/>
      <c r="Z618" s="4"/>
    </row>
    <row r="619">
      <c r="A619" s="392"/>
      <c r="B619" s="392"/>
      <c r="C619" s="392"/>
      <c r="D619" s="392"/>
      <c r="E619" s="392"/>
      <c r="F619" s="229"/>
      <c r="G619" s="229"/>
      <c r="H619" s="392"/>
      <c r="I619" s="229"/>
      <c r="J619" s="229"/>
      <c r="K619" s="399"/>
      <c r="L619" s="399"/>
      <c r="M619" s="399"/>
      <c r="N619" s="229"/>
      <c r="O619" s="229"/>
      <c r="P619" s="229"/>
      <c r="Q619" s="229"/>
      <c r="R619" s="229"/>
      <c r="S619" s="229"/>
      <c r="T619" s="229"/>
      <c r="U619" s="229"/>
      <c r="V619" s="400"/>
      <c r="W619" s="229"/>
      <c r="X619" s="229"/>
      <c r="Y619" s="4"/>
      <c r="Z619" s="4"/>
    </row>
    <row r="620">
      <c r="A620" s="392"/>
      <c r="B620" s="392"/>
      <c r="C620" s="392"/>
      <c r="D620" s="392"/>
      <c r="E620" s="392"/>
      <c r="F620" s="229"/>
      <c r="G620" s="229"/>
      <c r="H620" s="392"/>
      <c r="I620" s="229"/>
      <c r="J620" s="229"/>
      <c r="K620" s="399"/>
      <c r="L620" s="399"/>
      <c r="M620" s="399"/>
      <c r="N620" s="229"/>
      <c r="O620" s="229"/>
      <c r="P620" s="229"/>
      <c r="Q620" s="229"/>
      <c r="R620" s="229"/>
      <c r="S620" s="229"/>
      <c r="T620" s="229"/>
      <c r="U620" s="229"/>
      <c r="V620" s="400"/>
      <c r="W620" s="229"/>
      <c r="X620" s="229"/>
      <c r="Y620" s="4"/>
      <c r="Z620" s="4"/>
    </row>
    <row r="621">
      <c r="A621" s="392"/>
      <c r="B621" s="392"/>
      <c r="C621" s="392"/>
      <c r="D621" s="392"/>
      <c r="E621" s="392"/>
      <c r="F621" s="229"/>
      <c r="G621" s="229"/>
      <c r="H621" s="392"/>
      <c r="I621" s="229"/>
      <c r="J621" s="229"/>
      <c r="K621" s="399"/>
      <c r="L621" s="399"/>
      <c r="M621" s="399"/>
      <c r="N621" s="229"/>
      <c r="O621" s="229"/>
      <c r="P621" s="229"/>
      <c r="Q621" s="229"/>
      <c r="R621" s="229"/>
      <c r="S621" s="229"/>
      <c r="T621" s="229"/>
      <c r="U621" s="229"/>
      <c r="V621" s="400"/>
      <c r="W621" s="229"/>
      <c r="X621" s="229"/>
      <c r="Y621" s="4"/>
      <c r="Z621" s="4"/>
    </row>
    <row r="622">
      <c r="A622" s="392"/>
      <c r="B622" s="392"/>
      <c r="C622" s="392"/>
      <c r="D622" s="392"/>
      <c r="E622" s="392"/>
      <c r="F622" s="229"/>
      <c r="G622" s="229"/>
      <c r="H622" s="392"/>
      <c r="I622" s="229"/>
      <c r="J622" s="229"/>
      <c r="K622" s="399"/>
      <c r="L622" s="399"/>
      <c r="M622" s="399"/>
      <c r="N622" s="229"/>
      <c r="O622" s="229"/>
      <c r="P622" s="229"/>
      <c r="Q622" s="229"/>
      <c r="R622" s="229"/>
      <c r="S622" s="229"/>
      <c r="T622" s="229"/>
      <c r="U622" s="229"/>
      <c r="V622" s="400"/>
      <c r="W622" s="229"/>
      <c r="X622" s="229"/>
      <c r="Y622" s="4"/>
      <c r="Z622" s="4"/>
    </row>
    <row r="623">
      <c r="A623" s="392"/>
      <c r="B623" s="392"/>
      <c r="C623" s="392"/>
      <c r="D623" s="392"/>
      <c r="E623" s="392"/>
      <c r="F623" s="229"/>
      <c r="G623" s="229"/>
      <c r="H623" s="392"/>
      <c r="I623" s="229"/>
      <c r="J623" s="229"/>
      <c r="K623" s="399"/>
      <c r="L623" s="399"/>
      <c r="M623" s="399"/>
      <c r="N623" s="229"/>
      <c r="O623" s="229"/>
      <c r="P623" s="229"/>
      <c r="Q623" s="229"/>
      <c r="R623" s="229"/>
      <c r="S623" s="229"/>
      <c r="T623" s="229"/>
      <c r="U623" s="229"/>
      <c r="V623" s="400"/>
      <c r="W623" s="229"/>
      <c r="X623" s="229"/>
      <c r="Y623" s="4"/>
      <c r="Z623" s="4"/>
    </row>
    <row r="624">
      <c r="A624" s="392"/>
      <c r="B624" s="392"/>
      <c r="C624" s="392"/>
      <c r="D624" s="392"/>
      <c r="E624" s="392"/>
      <c r="F624" s="229"/>
      <c r="G624" s="229"/>
      <c r="H624" s="392"/>
      <c r="I624" s="229"/>
      <c r="J624" s="229"/>
      <c r="K624" s="399"/>
      <c r="L624" s="399"/>
      <c r="M624" s="399"/>
      <c r="N624" s="229"/>
      <c r="O624" s="229"/>
      <c r="P624" s="229"/>
      <c r="Q624" s="229"/>
      <c r="R624" s="229"/>
      <c r="S624" s="229"/>
      <c r="T624" s="229"/>
      <c r="U624" s="229"/>
      <c r="V624" s="400"/>
      <c r="W624" s="229"/>
      <c r="X624" s="229"/>
      <c r="Y624" s="4"/>
      <c r="Z624" s="4"/>
    </row>
    <row r="625">
      <c r="A625" s="392"/>
      <c r="B625" s="392"/>
      <c r="C625" s="392"/>
      <c r="D625" s="392"/>
      <c r="E625" s="392"/>
      <c r="F625" s="229"/>
      <c r="G625" s="229"/>
      <c r="H625" s="392"/>
      <c r="I625" s="229"/>
      <c r="J625" s="229"/>
      <c r="K625" s="399"/>
      <c r="L625" s="399"/>
      <c r="M625" s="399"/>
      <c r="N625" s="229"/>
      <c r="O625" s="229"/>
      <c r="P625" s="229"/>
      <c r="Q625" s="229"/>
      <c r="R625" s="229"/>
      <c r="S625" s="229"/>
      <c r="T625" s="229"/>
      <c r="U625" s="229"/>
      <c r="V625" s="400"/>
      <c r="W625" s="229"/>
      <c r="X625" s="229"/>
      <c r="Y625" s="4"/>
      <c r="Z625" s="4"/>
    </row>
    <row r="626">
      <c r="A626" s="392"/>
      <c r="B626" s="392"/>
      <c r="C626" s="392"/>
      <c r="D626" s="392"/>
      <c r="E626" s="392"/>
      <c r="F626" s="229"/>
      <c r="G626" s="229"/>
      <c r="H626" s="392"/>
      <c r="I626" s="229"/>
      <c r="J626" s="229"/>
      <c r="K626" s="399"/>
      <c r="L626" s="399"/>
      <c r="M626" s="399"/>
      <c r="N626" s="229"/>
      <c r="O626" s="229"/>
      <c r="P626" s="229"/>
      <c r="Q626" s="229"/>
      <c r="R626" s="229"/>
      <c r="S626" s="229"/>
      <c r="T626" s="229"/>
      <c r="U626" s="229"/>
      <c r="V626" s="400"/>
      <c r="W626" s="229"/>
      <c r="X626" s="229"/>
      <c r="Y626" s="4"/>
      <c r="Z626" s="4"/>
    </row>
    <row r="627">
      <c r="A627" s="392"/>
      <c r="B627" s="392"/>
      <c r="C627" s="392"/>
      <c r="D627" s="392"/>
      <c r="E627" s="392"/>
      <c r="F627" s="229"/>
      <c r="G627" s="229"/>
      <c r="H627" s="392"/>
      <c r="I627" s="229"/>
      <c r="J627" s="229"/>
      <c r="K627" s="399"/>
      <c r="L627" s="399"/>
      <c r="M627" s="399"/>
      <c r="N627" s="229"/>
      <c r="O627" s="229"/>
      <c r="P627" s="229"/>
      <c r="Q627" s="229"/>
      <c r="R627" s="229"/>
      <c r="S627" s="229"/>
      <c r="T627" s="229"/>
      <c r="U627" s="229"/>
      <c r="V627" s="400"/>
      <c r="W627" s="229"/>
      <c r="X627" s="229"/>
      <c r="Y627" s="4"/>
      <c r="Z627" s="4"/>
    </row>
    <row r="628">
      <c r="A628" s="392"/>
      <c r="B628" s="392"/>
      <c r="C628" s="392"/>
      <c r="D628" s="392"/>
      <c r="E628" s="392"/>
      <c r="F628" s="229"/>
      <c r="G628" s="229"/>
      <c r="H628" s="392"/>
      <c r="I628" s="229"/>
      <c r="J628" s="229"/>
      <c r="K628" s="399"/>
      <c r="L628" s="399"/>
      <c r="M628" s="399"/>
      <c r="N628" s="229"/>
      <c r="O628" s="229"/>
      <c r="P628" s="229"/>
      <c r="Q628" s="229"/>
      <c r="R628" s="229"/>
      <c r="S628" s="229"/>
      <c r="T628" s="229"/>
      <c r="U628" s="229"/>
      <c r="V628" s="400"/>
      <c r="W628" s="229"/>
      <c r="X628" s="229"/>
      <c r="Y628" s="4"/>
      <c r="Z628" s="4"/>
    </row>
    <row r="629">
      <c r="A629" s="392"/>
      <c r="B629" s="392"/>
      <c r="C629" s="392"/>
      <c r="D629" s="392"/>
      <c r="E629" s="392"/>
      <c r="F629" s="229"/>
      <c r="G629" s="229"/>
      <c r="H629" s="392"/>
      <c r="I629" s="229"/>
      <c r="J629" s="229"/>
      <c r="K629" s="399"/>
      <c r="L629" s="399"/>
      <c r="M629" s="399"/>
      <c r="N629" s="229"/>
      <c r="O629" s="229"/>
      <c r="P629" s="229"/>
      <c r="Q629" s="229"/>
      <c r="R629" s="229"/>
      <c r="S629" s="229"/>
      <c r="T629" s="229"/>
      <c r="U629" s="229"/>
      <c r="V629" s="400"/>
      <c r="W629" s="229"/>
      <c r="X629" s="229"/>
      <c r="Y629" s="4"/>
      <c r="Z629" s="4"/>
    </row>
    <row r="630">
      <c r="A630" s="392"/>
      <c r="B630" s="392"/>
      <c r="C630" s="392"/>
      <c r="D630" s="392"/>
      <c r="E630" s="392"/>
      <c r="F630" s="229"/>
      <c r="G630" s="229"/>
      <c r="H630" s="392"/>
      <c r="I630" s="229"/>
      <c r="J630" s="229"/>
      <c r="K630" s="399"/>
      <c r="L630" s="399"/>
      <c r="M630" s="399"/>
      <c r="N630" s="229"/>
      <c r="O630" s="229"/>
      <c r="P630" s="229"/>
      <c r="Q630" s="229"/>
      <c r="R630" s="229"/>
      <c r="S630" s="229"/>
      <c r="T630" s="229"/>
      <c r="U630" s="229"/>
      <c r="V630" s="400"/>
      <c r="W630" s="229"/>
      <c r="X630" s="229"/>
      <c r="Y630" s="4"/>
      <c r="Z630" s="4"/>
    </row>
    <row r="631">
      <c r="A631" s="392"/>
      <c r="B631" s="392"/>
      <c r="C631" s="392"/>
      <c r="D631" s="392"/>
      <c r="E631" s="392"/>
      <c r="F631" s="229"/>
      <c r="G631" s="229"/>
      <c r="H631" s="392"/>
      <c r="I631" s="229"/>
      <c r="J631" s="229"/>
      <c r="K631" s="399"/>
      <c r="L631" s="399"/>
      <c r="M631" s="399"/>
      <c r="N631" s="229"/>
      <c r="O631" s="229"/>
      <c r="P631" s="229"/>
      <c r="Q631" s="229"/>
      <c r="R631" s="229"/>
      <c r="S631" s="229"/>
      <c r="T631" s="229"/>
      <c r="U631" s="229"/>
      <c r="V631" s="400"/>
      <c r="W631" s="229"/>
      <c r="X631" s="229"/>
      <c r="Y631" s="4"/>
      <c r="Z631" s="4"/>
    </row>
    <row r="632">
      <c r="A632" s="392"/>
      <c r="B632" s="392"/>
      <c r="C632" s="392"/>
      <c r="D632" s="392"/>
      <c r="E632" s="392"/>
      <c r="F632" s="229"/>
      <c r="G632" s="229"/>
      <c r="H632" s="392"/>
      <c r="I632" s="229"/>
      <c r="J632" s="229"/>
      <c r="K632" s="399"/>
      <c r="L632" s="399"/>
      <c r="M632" s="399"/>
      <c r="N632" s="229"/>
      <c r="O632" s="229"/>
      <c r="P632" s="229"/>
      <c r="Q632" s="229"/>
      <c r="R632" s="229"/>
      <c r="S632" s="229"/>
      <c r="T632" s="229"/>
      <c r="U632" s="229"/>
      <c r="V632" s="400"/>
      <c r="W632" s="229"/>
      <c r="X632" s="229"/>
      <c r="Y632" s="4"/>
      <c r="Z632" s="4"/>
    </row>
    <row r="633">
      <c r="A633" s="392"/>
      <c r="B633" s="392"/>
      <c r="C633" s="392"/>
      <c r="D633" s="392"/>
      <c r="E633" s="392"/>
      <c r="F633" s="229"/>
      <c r="G633" s="229"/>
      <c r="H633" s="392"/>
      <c r="I633" s="229"/>
      <c r="J633" s="229"/>
      <c r="K633" s="399"/>
      <c r="L633" s="399"/>
      <c r="M633" s="399"/>
      <c r="N633" s="229"/>
      <c r="O633" s="229"/>
      <c r="P633" s="229"/>
      <c r="Q633" s="229"/>
      <c r="R633" s="229"/>
      <c r="S633" s="229"/>
      <c r="T633" s="229"/>
      <c r="U633" s="229"/>
      <c r="V633" s="400"/>
      <c r="W633" s="229"/>
      <c r="X633" s="229"/>
      <c r="Y633" s="4"/>
      <c r="Z633" s="4"/>
    </row>
    <row r="634">
      <c r="A634" s="392"/>
      <c r="B634" s="392"/>
      <c r="C634" s="392"/>
      <c r="D634" s="392"/>
      <c r="E634" s="392"/>
      <c r="F634" s="229"/>
      <c r="G634" s="229"/>
      <c r="H634" s="392"/>
      <c r="I634" s="229"/>
      <c r="J634" s="229"/>
      <c r="K634" s="399"/>
      <c r="L634" s="399"/>
      <c r="M634" s="399"/>
      <c r="N634" s="229"/>
      <c r="O634" s="229"/>
      <c r="P634" s="229"/>
      <c r="Q634" s="229"/>
      <c r="R634" s="229"/>
      <c r="S634" s="229"/>
      <c r="T634" s="229"/>
      <c r="U634" s="229"/>
      <c r="V634" s="400"/>
      <c r="W634" s="229"/>
      <c r="X634" s="229"/>
      <c r="Y634" s="4"/>
      <c r="Z634" s="4"/>
    </row>
    <row r="635">
      <c r="A635" s="392"/>
      <c r="B635" s="392"/>
      <c r="C635" s="392"/>
      <c r="D635" s="392"/>
      <c r="E635" s="392"/>
      <c r="F635" s="229"/>
      <c r="G635" s="229"/>
      <c r="H635" s="392"/>
      <c r="I635" s="229"/>
      <c r="J635" s="229"/>
      <c r="K635" s="399"/>
      <c r="L635" s="399"/>
      <c r="M635" s="399"/>
      <c r="N635" s="229"/>
      <c r="O635" s="229"/>
      <c r="P635" s="229"/>
      <c r="Q635" s="229"/>
      <c r="R635" s="229"/>
      <c r="S635" s="229"/>
      <c r="T635" s="229"/>
      <c r="U635" s="229"/>
      <c r="V635" s="400"/>
      <c r="W635" s="229"/>
      <c r="X635" s="229"/>
      <c r="Y635" s="4"/>
      <c r="Z635" s="4"/>
    </row>
    <row r="636">
      <c r="A636" s="392"/>
      <c r="B636" s="392"/>
      <c r="C636" s="392"/>
      <c r="D636" s="392"/>
      <c r="E636" s="392"/>
      <c r="F636" s="229"/>
      <c r="G636" s="229"/>
      <c r="H636" s="392"/>
      <c r="I636" s="229"/>
      <c r="J636" s="229"/>
      <c r="K636" s="399"/>
      <c r="L636" s="399"/>
      <c r="M636" s="399"/>
      <c r="N636" s="229"/>
      <c r="O636" s="229"/>
      <c r="P636" s="229"/>
      <c r="Q636" s="229"/>
      <c r="R636" s="229"/>
      <c r="S636" s="229"/>
      <c r="T636" s="229"/>
      <c r="U636" s="229"/>
      <c r="V636" s="400"/>
      <c r="W636" s="229"/>
      <c r="X636" s="229"/>
      <c r="Y636" s="4"/>
      <c r="Z636" s="4"/>
    </row>
    <row r="637">
      <c r="A637" s="392"/>
      <c r="B637" s="392"/>
      <c r="C637" s="392"/>
      <c r="D637" s="392"/>
      <c r="E637" s="392"/>
      <c r="F637" s="229"/>
      <c r="G637" s="229"/>
      <c r="H637" s="392"/>
      <c r="I637" s="229"/>
      <c r="J637" s="229"/>
      <c r="K637" s="399"/>
      <c r="L637" s="399"/>
      <c r="M637" s="399"/>
      <c r="N637" s="229"/>
      <c r="O637" s="229"/>
      <c r="P637" s="229"/>
      <c r="Q637" s="229"/>
      <c r="R637" s="229"/>
      <c r="S637" s="229"/>
      <c r="T637" s="229"/>
      <c r="U637" s="229"/>
      <c r="V637" s="400"/>
      <c r="W637" s="229"/>
      <c r="X637" s="229"/>
      <c r="Y637" s="4"/>
      <c r="Z637" s="4"/>
    </row>
    <row r="638">
      <c r="A638" s="392"/>
      <c r="B638" s="392"/>
      <c r="C638" s="392"/>
      <c r="D638" s="392"/>
      <c r="E638" s="392"/>
      <c r="F638" s="229"/>
      <c r="G638" s="229"/>
      <c r="H638" s="392"/>
      <c r="I638" s="229"/>
      <c r="J638" s="229"/>
      <c r="K638" s="399"/>
      <c r="L638" s="399"/>
      <c r="M638" s="399"/>
      <c r="N638" s="229"/>
      <c r="O638" s="229"/>
      <c r="P638" s="229"/>
      <c r="Q638" s="229"/>
      <c r="R638" s="229"/>
      <c r="S638" s="229"/>
      <c r="T638" s="229"/>
      <c r="U638" s="229"/>
      <c r="V638" s="400"/>
      <c r="W638" s="229"/>
      <c r="X638" s="229"/>
      <c r="Y638" s="4"/>
      <c r="Z638" s="4"/>
    </row>
    <row r="639">
      <c r="A639" s="392"/>
      <c r="B639" s="392"/>
      <c r="C639" s="392"/>
      <c r="D639" s="392"/>
      <c r="E639" s="392"/>
      <c r="F639" s="229"/>
      <c r="G639" s="229"/>
      <c r="H639" s="392"/>
      <c r="I639" s="229"/>
      <c r="J639" s="229"/>
      <c r="K639" s="399"/>
      <c r="L639" s="399"/>
      <c r="M639" s="399"/>
      <c r="N639" s="229"/>
      <c r="O639" s="229"/>
      <c r="P639" s="229"/>
      <c r="Q639" s="229"/>
      <c r="R639" s="229"/>
      <c r="S639" s="229"/>
      <c r="T639" s="229"/>
      <c r="U639" s="229"/>
      <c r="V639" s="400"/>
      <c r="W639" s="229"/>
      <c r="X639" s="229"/>
      <c r="Y639" s="4"/>
      <c r="Z639" s="4"/>
    </row>
    <row r="640">
      <c r="A640" s="392"/>
      <c r="B640" s="392"/>
      <c r="C640" s="392"/>
      <c r="D640" s="392"/>
      <c r="E640" s="392"/>
      <c r="F640" s="229"/>
      <c r="G640" s="229"/>
      <c r="H640" s="392"/>
      <c r="I640" s="229"/>
      <c r="J640" s="229"/>
      <c r="K640" s="399"/>
      <c r="L640" s="399"/>
      <c r="M640" s="399"/>
      <c r="N640" s="229"/>
      <c r="O640" s="229"/>
      <c r="P640" s="229"/>
      <c r="Q640" s="229"/>
      <c r="R640" s="229"/>
      <c r="S640" s="229"/>
      <c r="T640" s="229"/>
      <c r="U640" s="229"/>
      <c r="V640" s="400"/>
      <c r="W640" s="229"/>
      <c r="X640" s="229"/>
      <c r="Y640" s="4"/>
      <c r="Z640" s="4"/>
    </row>
    <row r="641">
      <c r="A641" s="392"/>
      <c r="B641" s="392"/>
      <c r="C641" s="392"/>
      <c r="D641" s="392"/>
      <c r="E641" s="392"/>
      <c r="F641" s="229"/>
      <c r="G641" s="229"/>
      <c r="H641" s="392"/>
      <c r="I641" s="229"/>
      <c r="J641" s="229"/>
      <c r="K641" s="399"/>
      <c r="L641" s="399"/>
      <c r="M641" s="399"/>
      <c r="N641" s="229"/>
      <c r="O641" s="229"/>
      <c r="P641" s="229"/>
      <c r="Q641" s="229"/>
      <c r="R641" s="229"/>
      <c r="S641" s="229"/>
      <c r="T641" s="229"/>
      <c r="U641" s="229"/>
      <c r="V641" s="400"/>
      <c r="W641" s="229"/>
      <c r="X641" s="229"/>
      <c r="Y641" s="4"/>
      <c r="Z641" s="4"/>
    </row>
    <row r="642">
      <c r="A642" s="392"/>
      <c r="B642" s="392"/>
      <c r="C642" s="392"/>
      <c r="D642" s="392"/>
      <c r="E642" s="392"/>
      <c r="F642" s="229"/>
      <c r="G642" s="229"/>
      <c r="H642" s="392"/>
      <c r="I642" s="229"/>
      <c r="J642" s="229"/>
      <c r="K642" s="399"/>
      <c r="L642" s="399"/>
      <c r="M642" s="399"/>
      <c r="N642" s="229"/>
      <c r="O642" s="229"/>
      <c r="P642" s="229"/>
      <c r="Q642" s="229"/>
      <c r="R642" s="229"/>
      <c r="S642" s="229"/>
      <c r="T642" s="229"/>
      <c r="U642" s="229"/>
      <c r="V642" s="400"/>
      <c r="W642" s="229"/>
      <c r="X642" s="229"/>
      <c r="Y642" s="4"/>
      <c r="Z642" s="4"/>
    </row>
    <row r="643">
      <c r="A643" s="392"/>
      <c r="B643" s="392"/>
      <c r="C643" s="392"/>
      <c r="D643" s="392"/>
      <c r="E643" s="392"/>
      <c r="F643" s="229"/>
      <c r="G643" s="229"/>
      <c r="H643" s="392"/>
      <c r="I643" s="229"/>
      <c r="J643" s="229"/>
      <c r="K643" s="399"/>
      <c r="L643" s="399"/>
      <c r="M643" s="399"/>
      <c r="N643" s="229"/>
      <c r="O643" s="229"/>
      <c r="P643" s="229"/>
      <c r="Q643" s="229"/>
      <c r="R643" s="229"/>
      <c r="S643" s="229"/>
      <c r="T643" s="229"/>
      <c r="U643" s="229"/>
      <c r="V643" s="400"/>
      <c r="W643" s="229"/>
      <c r="X643" s="229"/>
      <c r="Y643" s="4"/>
      <c r="Z643" s="4"/>
    </row>
    <row r="644">
      <c r="A644" s="392"/>
      <c r="B644" s="392"/>
      <c r="C644" s="392"/>
      <c r="D644" s="392"/>
      <c r="E644" s="392"/>
      <c r="F644" s="229"/>
      <c r="G644" s="229"/>
      <c r="H644" s="392"/>
      <c r="I644" s="229"/>
      <c r="J644" s="229"/>
      <c r="K644" s="399"/>
      <c r="L644" s="399"/>
      <c r="M644" s="399"/>
      <c r="N644" s="229"/>
      <c r="O644" s="229"/>
      <c r="P644" s="229"/>
      <c r="Q644" s="229"/>
      <c r="R644" s="229"/>
      <c r="S644" s="229"/>
      <c r="T644" s="229"/>
      <c r="U644" s="229"/>
      <c r="V644" s="400"/>
      <c r="W644" s="229"/>
      <c r="X644" s="229"/>
      <c r="Y644" s="4"/>
      <c r="Z644" s="4"/>
    </row>
    <row r="645">
      <c r="A645" s="392"/>
      <c r="B645" s="392"/>
      <c r="C645" s="392"/>
      <c r="D645" s="392"/>
      <c r="E645" s="392"/>
      <c r="F645" s="229"/>
      <c r="G645" s="229"/>
      <c r="H645" s="392"/>
      <c r="I645" s="229"/>
      <c r="J645" s="229"/>
      <c r="K645" s="399"/>
      <c r="L645" s="399"/>
      <c r="M645" s="399"/>
      <c r="N645" s="229"/>
      <c r="O645" s="229"/>
      <c r="P645" s="229"/>
      <c r="Q645" s="229"/>
      <c r="R645" s="229"/>
      <c r="S645" s="229"/>
      <c r="T645" s="229"/>
      <c r="U645" s="229"/>
      <c r="V645" s="400"/>
      <c r="W645" s="229"/>
      <c r="X645" s="229"/>
      <c r="Y645" s="4"/>
      <c r="Z645" s="4"/>
    </row>
    <row r="646">
      <c r="A646" s="392"/>
      <c r="B646" s="392"/>
      <c r="C646" s="392"/>
      <c r="D646" s="392"/>
      <c r="E646" s="392"/>
      <c r="F646" s="229"/>
      <c r="G646" s="229"/>
      <c r="H646" s="392"/>
      <c r="I646" s="229"/>
      <c r="J646" s="229"/>
      <c r="K646" s="399"/>
      <c r="L646" s="399"/>
      <c r="M646" s="399"/>
      <c r="N646" s="229"/>
      <c r="O646" s="229"/>
      <c r="P646" s="229"/>
      <c r="Q646" s="229"/>
      <c r="R646" s="229"/>
      <c r="S646" s="229"/>
      <c r="T646" s="229"/>
      <c r="U646" s="229"/>
      <c r="V646" s="400"/>
      <c r="W646" s="229"/>
      <c r="X646" s="229"/>
      <c r="Y646" s="4"/>
      <c r="Z646" s="4"/>
    </row>
    <row r="647">
      <c r="A647" s="392"/>
      <c r="B647" s="392"/>
      <c r="C647" s="392"/>
      <c r="D647" s="392"/>
      <c r="E647" s="392"/>
      <c r="F647" s="229"/>
      <c r="G647" s="229"/>
      <c r="H647" s="392"/>
      <c r="I647" s="229"/>
      <c r="J647" s="229"/>
      <c r="K647" s="399"/>
      <c r="L647" s="399"/>
      <c r="M647" s="399"/>
      <c r="N647" s="229"/>
      <c r="O647" s="229"/>
      <c r="P647" s="229"/>
      <c r="Q647" s="229"/>
      <c r="R647" s="229"/>
      <c r="S647" s="229"/>
      <c r="T647" s="229"/>
      <c r="U647" s="229"/>
      <c r="V647" s="400"/>
      <c r="W647" s="229"/>
      <c r="X647" s="229"/>
      <c r="Y647" s="4"/>
      <c r="Z647" s="4"/>
    </row>
    <row r="648">
      <c r="A648" s="392"/>
      <c r="B648" s="392"/>
      <c r="C648" s="392"/>
      <c r="D648" s="392"/>
      <c r="E648" s="392"/>
      <c r="F648" s="229"/>
      <c r="G648" s="229"/>
      <c r="H648" s="392"/>
      <c r="I648" s="229"/>
      <c r="J648" s="229"/>
      <c r="K648" s="399"/>
      <c r="L648" s="399"/>
      <c r="M648" s="399"/>
      <c r="N648" s="229"/>
      <c r="O648" s="229"/>
      <c r="P648" s="229"/>
      <c r="Q648" s="229"/>
      <c r="R648" s="229"/>
      <c r="S648" s="229"/>
      <c r="T648" s="229"/>
      <c r="U648" s="229"/>
      <c r="V648" s="400"/>
      <c r="W648" s="229"/>
      <c r="X648" s="229"/>
      <c r="Y648" s="4"/>
      <c r="Z648" s="4"/>
    </row>
    <row r="649">
      <c r="A649" s="392"/>
      <c r="B649" s="392"/>
      <c r="C649" s="392"/>
      <c r="D649" s="392"/>
      <c r="E649" s="392"/>
      <c r="F649" s="229"/>
      <c r="G649" s="229"/>
      <c r="H649" s="392"/>
      <c r="I649" s="229"/>
      <c r="J649" s="229"/>
      <c r="K649" s="399"/>
      <c r="L649" s="399"/>
      <c r="M649" s="399"/>
      <c r="N649" s="229"/>
      <c r="O649" s="229"/>
      <c r="P649" s="229"/>
      <c r="Q649" s="229"/>
      <c r="R649" s="229"/>
      <c r="S649" s="229"/>
      <c r="T649" s="229"/>
      <c r="U649" s="229"/>
      <c r="V649" s="400"/>
      <c r="W649" s="229"/>
      <c r="X649" s="229"/>
      <c r="Y649" s="4"/>
      <c r="Z649" s="4"/>
    </row>
    <row r="650">
      <c r="A650" s="392"/>
      <c r="B650" s="392"/>
      <c r="C650" s="392"/>
      <c r="D650" s="392"/>
      <c r="E650" s="392"/>
      <c r="F650" s="229"/>
      <c r="G650" s="229"/>
      <c r="H650" s="392"/>
      <c r="I650" s="229"/>
      <c r="J650" s="229"/>
      <c r="K650" s="399"/>
      <c r="L650" s="399"/>
      <c r="M650" s="399"/>
      <c r="N650" s="229"/>
      <c r="O650" s="229"/>
      <c r="P650" s="229"/>
      <c r="Q650" s="229"/>
      <c r="R650" s="229"/>
      <c r="S650" s="229"/>
      <c r="T650" s="229"/>
      <c r="U650" s="229"/>
      <c r="V650" s="400"/>
      <c r="W650" s="229"/>
      <c r="X650" s="229"/>
      <c r="Y650" s="4"/>
      <c r="Z650" s="4"/>
    </row>
    <row r="651">
      <c r="A651" s="392"/>
      <c r="B651" s="392"/>
      <c r="C651" s="392"/>
      <c r="D651" s="392"/>
      <c r="E651" s="392"/>
      <c r="F651" s="229"/>
      <c r="G651" s="229"/>
      <c r="H651" s="392"/>
      <c r="I651" s="229"/>
      <c r="J651" s="229"/>
      <c r="K651" s="399"/>
      <c r="L651" s="399"/>
      <c r="M651" s="399"/>
      <c r="N651" s="229"/>
      <c r="O651" s="229"/>
      <c r="P651" s="229"/>
      <c r="Q651" s="229"/>
      <c r="R651" s="229"/>
      <c r="S651" s="229"/>
      <c r="T651" s="229"/>
      <c r="U651" s="229"/>
      <c r="V651" s="400"/>
      <c r="W651" s="229"/>
      <c r="X651" s="229"/>
      <c r="Y651" s="4"/>
      <c r="Z651" s="4"/>
    </row>
    <row r="652">
      <c r="A652" s="392"/>
      <c r="B652" s="392"/>
      <c r="C652" s="392"/>
      <c r="D652" s="392"/>
      <c r="E652" s="392"/>
      <c r="F652" s="229"/>
      <c r="G652" s="229"/>
      <c r="H652" s="392"/>
      <c r="I652" s="229"/>
      <c r="J652" s="229"/>
      <c r="K652" s="399"/>
      <c r="L652" s="399"/>
      <c r="M652" s="399"/>
      <c r="N652" s="229"/>
      <c r="O652" s="229"/>
      <c r="P652" s="229"/>
      <c r="Q652" s="229"/>
      <c r="R652" s="229"/>
      <c r="S652" s="229"/>
      <c r="T652" s="229"/>
      <c r="U652" s="229"/>
      <c r="V652" s="400"/>
      <c r="W652" s="229"/>
      <c r="X652" s="229"/>
      <c r="Y652" s="4"/>
      <c r="Z652" s="4"/>
    </row>
    <row r="653">
      <c r="A653" s="392"/>
      <c r="B653" s="392"/>
      <c r="C653" s="392"/>
      <c r="D653" s="392"/>
      <c r="E653" s="392"/>
      <c r="F653" s="229"/>
      <c r="G653" s="229"/>
      <c r="H653" s="392"/>
      <c r="I653" s="229"/>
      <c r="J653" s="229"/>
      <c r="K653" s="399"/>
      <c r="L653" s="399"/>
      <c r="M653" s="399"/>
      <c r="N653" s="229"/>
      <c r="O653" s="229"/>
      <c r="P653" s="229"/>
      <c r="Q653" s="229"/>
      <c r="R653" s="229"/>
      <c r="S653" s="229"/>
      <c r="T653" s="229"/>
      <c r="U653" s="229"/>
      <c r="V653" s="400"/>
      <c r="W653" s="229"/>
      <c r="X653" s="229"/>
      <c r="Y653" s="4"/>
      <c r="Z653" s="4"/>
    </row>
    <row r="654">
      <c r="A654" s="392"/>
      <c r="B654" s="392"/>
      <c r="C654" s="392"/>
      <c r="D654" s="392"/>
      <c r="E654" s="392"/>
      <c r="F654" s="229"/>
      <c r="G654" s="229"/>
      <c r="H654" s="392"/>
      <c r="I654" s="229"/>
      <c r="J654" s="229"/>
      <c r="K654" s="399"/>
      <c r="L654" s="399"/>
      <c r="M654" s="399"/>
      <c r="N654" s="229"/>
      <c r="O654" s="229"/>
      <c r="P654" s="229"/>
      <c r="Q654" s="229"/>
      <c r="R654" s="229"/>
      <c r="S654" s="229"/>
      <c r="T654" s="229"/>
      <c r="U654" s="229"/>
      <c r="V654" s="400"/>
      <c r="W654" s="229"/>
      <c r="X654" s="229"/>
      <c r="Y654" s="4"/>
      <c r="Z654" s="4"/>
    </row>
    <row r="655">
      <c r="A655" s="392"/>
      <c r="B655" s="392"/>
      <c r="C655" s="392"/>
      <c r="D655" s="392"/>
      <c r="E655" s="392"/>
      <c r="F655" s="229"/>
      <c r="G655" s="229"/>
      <c r="H655" s="392"/>
      <c r="I655" s="229"/>
      <c r="J655" s="229"/>
      <c r="K655" s="399"/>
      <c r="L655" s="399"/>
      <c r="M655" s="399"/>
      <c r="N655" s="229"/>
      <c r="O655" s="229"/>
      <c r="P655" s="229"/>
      <c r="Q655" s="229"/>
      <c r="R655" s="229"/>
      <c r="S655" s="229"/>
      <c r="T655" s="229"/>
      <c r="U655" s="229"/>
      <c r="V655" s="400"/>
      <c r="W655" s="229"/>
      <c r="X655" s="229"/>
      <c r="Y655" s="4"/>
      <c r="Z655" s="4"/>
    </row>
    <row r="656">
      <c r="A656" s="392"/>
      <c r="B656" s="392"/>
      <c r="C656" s="392"/>
      <c r="D656" s="392"/>
      <c r="E656" s="392"/>
      <c r="F656" s="229"/>
      <c r="G656" s="229"/>
      <c r="H656" s="392"/>
      <c r="I656" s="229"/>
      <c r="J656" s="229"/>
      <c r="K656" s="399"/>
      <c r="L656" s="399"/>
      <c r="M656" s="399"/>
      <c r="N656" s="229"/>
      <c r="O656" s="229"/>
      <c r="P656" s="229"/>
      <c r="Q656" s="229"/>
      <c r="R656" s="229"/>
      <c r="S656" s="229"/>
      <c r="T656" s="229"/>
      <c r="U656" s="229"/>
      <c r="V656" s="400"/>
      <c r="W656" s="229"/>
      <c r="X656" s="229"/>
      <c r="Y656" s="4"/>
      <c r="Z656" s="4"/>
    </row>
    <row r="657">
      <c r="A657" s="392"/>
      <c r="B657" s="392"/>
      <c r="C657" s="392"/>
      <c r="D657" s="392"/>
      <c r="E657" s="392"/>
      <c r="F657" s="229"/>
      <c r="G657" s="229"/>
      <c r="H657" s="392"/>
      <c r="I657" s="229"/>
      <c r="J657" s="229"/>
      <c r="K657" s="399"/>
      <c r="L657" s="399"/>
      <c r="M657" s="399"/>
      <c r="N657" s="229"/>
      <c r="O657" s="229"/>
      <c r="P657" s="229"/>
      <c r="Q657" s="229"/>
      <c r="R657" s="229"/>
      <c r="S657" s="229"/>
      <c r="T657" s="229"/>
      <c r="U657" s="229"/>
      <c r="V657" s="400"/>
      <c r="W657" s="229"/>
      <c r="X657" s="229"/>
      <c r="Y657" s="4"/>
      <c r="Z657" s="4"/>
    </row>
    <row r="658">
      <c r="A658" s="392"/>
      <c r="B658" s="392"/>
      <c r="C658" s="392"/>
      <c r="D658" s="392"/>
      <c r="E658" s="392"/>
      <c r="F658" s="229"/>
      <c r="G658" s="229"/>
      <c r="H658" s="392"/>
      <c r="I658" s="229"/>
      <c r="J658" s="229"/>
      <c r="K658" s="399"/>
      <c r="L658" s="399"/>
      <c r="M658" s="399"/>
      <c r="N658" s="229"/>
      <c r="O658" s="229"/>
      <c r="P658" s="229"/>
      <c r="Q658" s="229"/>
      <c r="R658" s="229"/>
      <c r="S658" s="229"/>
      <c r="T658" s="229"/>
      <c r="U658" s="229"/>
      <c r="V658" s="400"/>
      <c r="W658" s="229"/>
      <c r="X658" s="229"/>
      <c r="Y658" s="4"/>
      <c r="Z658" s="4"/>
    </row>
    <row r="659">
      <c r="A659" s="392"/>
      <c r="B659" s="392"/>
      <c r="C659" s="392"/>
      <c r="D659" s="392"/>
      <c r="E659" s="392"/>
      <c r="F659" s="229"/>
      <c r="G659" s="229"/>
      <c r="H659" s="392"/>
      <c r="I659" s="229"/>
      <c r="J659" s="229"/>
      <c r="K659" s="399"/>
      <c r="L659" s="399"/>
      <c r="M659" s="399"/>
      <c r="N659" s="229"/>
      <c r="O659" s="229"/>
      <c r="P659" s="229"/>
      <c r="Q659" s="229"/>
      <c r="R659" s="229"/>
      <c r="S659" s="229"/>
      <c r="T659" s="229"/>
      <c r="U659" s="229"/>
      <c r="V659" s="400"/>
      <c r="W659" s="229"/>
      <c r="X659" s="229"/>
      <c r="Y659" s="4"/>
      <c r="Z659" s="4"/>
    </row>
    <row r="660">
      <c r="A660" s="392"/>
      <c r="B660" s="392"/>
      <c r="C660" s="392"/>
      <c r="D660" s="392"/>
      <c r="E660" s="392"/>
      <c r="F660" s="229"/>
      <c r="G660" s="229"/>
      <c r="H660" s="392"/>
      <c r="I660" s="229"/>
      <c r="J660" s="229"/>
      <c r="K660" s="399"/>
      <c r="L660" s="399"/>
      <c r="M660" s="399"/>
      <c r="N660" s="229"/>
      <c r="O660" s="229"/>
      <c r="P660" s="229"/>
      <c r="Q660" s="229"/>
      <c r="R660" s="229"/>
      <c r="S660" s="229"/>
      <c r="T660" s="229"/>
      <c r="U660" s="229"/>
      <c r="V660" s="400"/>
      <c r="W660" s="229"/>
      <c r="X660" s="229"/>
      <c r="Y660" s="4"/>
      <c r="Z660" s="4"/>
    </row>
    <row r="661">
      <c r="A661" s="392"/>
      <c r="B661" s="392"/>
      <c r="C661" s="392"/>
      <c r="D661" s="392"/>
      <c r="E661" s="392"/>
      <c r="F661" s="229"/>
      <c r="G661" s="229"/>
      <c r="H661" s="392"/>
      <c r="I661" s="229"/>
      <c r="J661" s="229"/>
      <c r="K661" s="399"/>
      <c r="L661" s="399"/>
      <c r="M661" s="399"/>
      <c r="N661" s="229"/>
      <c r="O661" s="229"/>
      <c r="P661" s="229"/>
      <c r="Q661" s="229"/>
      <c r="R661" s="229"/>
      <c r="S661" s="229"/>
      <c r="T661" s="229"/>
      <c r="U661" s="229"/>
      <c r="V661" s="400"/>
      <c r="W661" s="229"/>
      <c r="X661" s="229"/>
      <c r="Y661" s="4"/>
      <c r="Z661" s="4"/>
    </row>
    <row r="662">
      <c r="A662" s="392"/>
      <c r="B662" s="392"/>
      <c r="C662" s="392"/>
      <c r="D662" s="392"/>
      <c r="E662" s="392"/>
      <c r="F662" s="229"/>
      <c r="G662" s="229"/>
      <c r="H662" s="392"/>
      <c r="I662" s="229"/>
      <c r="J662" s="229"/>
      <c r="K662" s="399"/>
      <c r="L662" s="399"/>
      <c r="M662" s="399"/>
      <c r="N662" s="229"/>
      <c r="O662" s="229"/>
      <c r="P662" s="229"/>
      <c r="Q662" s="229"/>
      <c r="R662" s="229"/>
      <c r="S662" s="229"/>
      <c r="T662" s="229"/>
      <c r="U662" s="229"/>
      <c r="V662" s="400"/>
      <c r="W662" s="229"/>
      <c r="X662" s="229"/>
      <c r="Y662" s="4"/>
      <c r="Z662" s="4"/>
    </row>
    <row r="663">
      <c r="A663" s="392"/>
      <c r="B663" s="392"/>
      <c r="C663" s="392"/>
      <c r="D663" s="392"/>
      <c r="E663" s="392"/>
      <c r="F663" s="229"/>
      <c r="G663" s="229"/>
      <c r="H663" s="392"/>
      <c r="I663" s="229"/>
      <c r="J663" s="229"/>
      <c r="K663" s="399"/>
      <c r="L663" s="399"/>
      <c r="M663" s="399"/>
      <c r="N663" s="229"/>
      <c r="O663" s="229"/>
      <c r="P663" s="229"/>
      <c r="Q663" s="229"/>
      <c r="R663" s="229"/>
      <c r="S663" s="229"/>
      <c r="T663" s="229"/>
      <c r="U663" s="229"/>
      <c r="V663" s="400"/>
      <c r="W663" s="229"/>
      <c r="X663" s="229"/>
      <c r="Y663" s="4"/>
      <c r="Z663" s="4"/>
    </row>
    <row r="664">
      <c r="A664" s="392"/>
      <c r="B664" s="392"/>
      <c r="C664" s="392"/>
      <c r="D664" s="392"/>
      <c r="E664" s="392"/>
      <c r="F664" s="229"/>
      <c r="G664" s="229"/>
      <c r="H664" s="392"/>
      <c r="I664" s="229"/>
      <c r="J664" s="229"/>
      <c r="K664" s="399"/>
      <c r="L664" s="399"/>
      <c r="M664" s="399"/>
      <c r="N664" s="229"/>
      <c r="O664" s="229"/>
      <c r="P664" s="229"/>
      <c r="Q664" s="229"/>
      <c r="R664" s="229"/>
      <c r="S664" s="229"/>
      <c r="T664" s="229"/>
      <c r="U664" s="229"/>
      <c r="V664" s="400"/>
      <c r="W664" s="229"/>
      <c r="X664" s="229"/>
      <c r="Y664" s="4"/>
      <c r="Z664" s="4"/>
    </row>
    <row r="665">
      <c r="A665" s="392"/>
      <c r="B665" s="392"/>
      <c r="C665" s="392"/>
      <c r="D665" s="392"/>
      <c r="E665" s="392"/>
      <c r="F665" s="229"/>
      <c r="G665" s="229"/>
      <c r="H665" s="392"/>
      <c r="I665" s="229"/>
      <c r="J665" s="229"/>
      <c r="K665" s="399"/>
      <c r="L665" s="399"/>
      <c r="M665" s="399"/>
      <c r="N665" s="229"/>
      <c r="O665" s="229"/>
      <c r="P665" s="229"/>
      <c r="Q665" s="229"/>
      <c r="R665" s="229"/>
      <c r="S665" s="229"/>
      <c r="T665" s="229"/>
      <c r="U665" s="229"/>
      <c r="V665" s="400"/>
      <c r="W665" s="229"/>
      <c r="X665" s="229"/>
      <c r="Y665" s="4"/>
      <c r="Z665" s="4"/>
    </row>
    <row r="666">
      <c r="A666" s="392"/>
      <c r="B666" s="392"/>
      <c r="C666" s="392"/>
      <c r="D666" s="392"/>
      <c r="E666" s="392"/>
      <c r="F666" s="229"/>
      <c r="G666" s="229"/>
      <c r="H666" s="392"/>
      <c r="I666" s="229"/>
      <c r="J666" s="229"/>
      <c r="K666" s="399"/>
      <c r="L666" s="399"/>
      <c r="M666" s="399"/>
      <c r="N666" s="229"/>
      <c r="O666" s="229"/>
      <c r="P666" s="229"/>
      <c r="Q666" s="229"/>
      <c r="R666" s="229"/>
      <c r="S666" s="229"/>
      <c r="T666" s="229"/>
      <c r="U666" s="229"/>
      <c r="V666" s="400"/>
      <c r="W666" s="229"/>
      <c r="X666" s="229"/>
      <c r="Y666" s="4"/>
      <c r="Z666" s="4"/>
    </row>
    <row r="667">
      <c r="A667" s="392"/>
      <c r="B667" s="392"/>
      <c r="C667" s="392"/>
      <c r="D667" s="392"/>
      <c r="E667" s="392"/>
      <c r="F667" s="229"/>
      <c r="G667" s="229"/>
      <c r="H667" s="392"/>
      <c r="I667" s="229"/>
      <c r="J667" s="229"/>
      <c r="K667" s="399"/>
      <c r="L667" s="399"/>
      <c r="M667" s="399"/>
      <c r="N667" s="229"/>
      <c r="O667" s="229"/>
      <c r="P667" s="229"/>
      <c r="Q667" s="229"/>
      <c r="R667" s="229"/>
      <c r="S667" s="229"/>
      <c r="T667" s="229"/>
      <c r="U667" s="229"/>
      <c r="V667" s="400"/>
      <c r="W667" s="229"/>
      <c r="X667" s="229"/>
      <c r="Y667" s="4"/>
      <c r="Z667" s="4"/>
    </row>
    <row r="668">
      <c r="A668" s="392"/>
      <c r="B668" s="392"/>
      <c r="C668" s="392"/>
      <c r="D668" s="392"/>
      <c r="E668" s="392"/>
      <c r="F668" s="229"/>
      <c r="G668" s="229"/>
      <c r="H668" s="392"/>
      <c r="I668" s="229"/>
      <c r="J668" s="229"/>
      <c r="K668" s="399"/>
      <c r="L668" s="399"/>
      <c r="M668" s="399"/>
      <c r="N668" s="229"/>
      <c r="O668" s="229"/>
      <c r="P668" s="229"/>
      <c r="Q668" s="229"/>
      <c r="R668" s="229"/>
      <c r="S668" s="229"/>
      <c r="T668" s="229"/>
      <c r="U668" s="229"/>
      <c r="V668" s="400"/>
      <c r="W668" s="229"/>
      <c r="X668" s="229"/>
      <c r="Y668" s="4"/>
      <c r="Z668" s="4"/>
    </row>
    <row r="669">
      <c r="A669" s="392"/>
      <c r="B669" s="392"/>
      <c r="C669" s="392"/>
      <c r="D669" s="392"/>
      <c r="E669" s="392"/>
      <c r="F669" s="229"/>
      <c r="G669" s="229"/>
      <c r="H669" s="392"/>
      <c r="I669" s="229"/>
      <c r="J669" s="229"/>
      <c r="K669" s="399"/>
      <c r="L669" s="399"/>
      <c r="M669" s="399"/>
      <c r="N669" s="229"/>
      <c r="O669" s="229"/>
      <c r="P669" s="229"/>
      <c r="Q669" s="229"/>
      <c r="R669" s="229"/>
      <c r="S669" s="229"/>
      <c r="T669" s="229"/>
      <c r="U669" s="229"/>
      <c r="V669" s="400"/>
      <c r="W669" s="229"/>
      <c r="X669" s="229"/>
      <c r="Y669" s="4"/>
      <c r="Z669" s="4"/>
    </row>
    <row r="670">
      <c r="A670" s="392"/>
      <c r="B670" s="392"/>
      <c r="C670" s="392"/>
      <c r="D670" s="392"/>
      <c r="E670" s="392"/>
      <c r="F670" s="229"/>
      <c r="G670" s="229"/>
      <c r="H670" s="392"/>
      <c r="I670" s="229"/>
      <c r="J670" s="229"/>
      <c r="K670" s="399"/>
      <c r="L670" s="399"/>
      <c r="M670" s="399"/>
      <c r="N670" s="229"/>
      <c r="O670" s="229"/>
      <c r="P670" s="229"/>
      <c r="Q670" s="229"/>
      <c r="R670" s="229"/>
      <c r="S670" s="229"/>
      <c r="T670" s="229"/>
      <c r="U670" s="229"/>
      <c r="V670" s="400"/>
      <c r="W670" s="229"/>
      <c r="X670" s="229"/>
      <c r="Y670" s="4"/>
      <c r="Z670" s="4"/>
    </row>
    <row r="671">
      <c r="A671" s="392"/>
      <c r="B671" s="392"/>
      <c r="C671" s="392"/>
      <c r="D671" s="392"/>
      <c r="E671" s="392"/>
      <c r="F671" s="229"/>
      <c r="G671" s="229"/>
      <c r="H671" s="392"/>
      <c r="I671" s="229"/>
      <c r="J671" s="229"/>
      <c r="K671" s="399"/>
      <c r="L671" s="399"/>
      <c r="M671" s="399"/>
      <c r="N671" s="229"/>
      <c r="O671" s="229"/>
      <c r="P671" s="229"/>
      <c r="Q671" s="229"/>
      <c r="R671" s="229"/>
      <c r="S671" s="229"/>
      <c r="T671" s="229"/>
      <c r="U671" s="229"/>
      <c r="V671" s="400"/>
      <c r="W671" s="229"/>
      <c r="X671" s="229"/>
      <c r="Y671" s="4"/>
      <c r="Z671" s="4"/>
    </row>
    <row r="672">
      <c r="A672" s="392"/>
      <c r="B672" s="392"/>
      <c r="C672" s="392"/>
      <c r="D672" s="392"/>
      <c r="E672" s="392"/>
      <c r="F672" s="229"/>
      <c r="G672" s="229"/>
      <c r="H672" s="392"/>
      <c r="I672" s="229"/>
      <c r="J672" s="229"/>
      <c r="K672" s="399"/>
      <c r="L672" s="399"/>
      <c r="M672" s="399"/>
      <c r="N672" s="229"/>
      <c r="O672" s="229"/>
      <c r="P672" s="229"/>
      <c r="Q672" s="229"/>
      <c r="R672" s="229"/>
      <c r="S672" s="229"/>
      <c r="T672" s="229"/>
      <c r="U672" s="229"/>
      <c r="V672" s="400"/>
      <c r="W672" s="229"/>
      <c r="X672" s="229"/>
      <c r="Y672" s="4"/>
      <c r="Z672" s="4"/>
    </row>
    <row r="673">
      <c r="A673" s="392"/>
      <c r="B673" s="392"/>
      <c r="C673" s="392"/>
      <c r="D673" s="392"/>
      <c r="E673" s="392"/>
      <c r="F673" s="229"/>
      <c r="G673" s="229"/>
      <c r="H673" s="392"/>
      <c r="I673" s="229"/>
      <c r="J673" s="229"/>
      <c r="K673" s="399"/>
      <c r="L673" s="399"/>
      <c r="M673" s="399"/>
      <c r="N673" s="229"/>
      <c r="O673" s="229"/>
      <c r="P673" s="229"/>
      <c r="Q673" s="229"/>
      <c r="R673" s="229"/>
      <c r="S673" s="229"/>
      <c r="T673" s="229"/>
      <c r="U673" s="229"/>
      <c r="V673" s="400"/>
      <c r="W673" s="229"/>
      <c r="X673" s="229"/>
      <c r="Y673" s="4"/>
      <c r="Z673" s="4"/>
    </row>
    <row r="674">
      <c r="A674" s="392"/>
      <c r="B674" s="392"/>
      <c r="C674" s="392"/>
      <c r="D674" s="392"/>
      <c r="E674" s="392"/>
      <c r="F674" s="229"/>
      <c r="G674" s="229"/>
      <c r="H674" s="392"/>
      <c r="I674" s="229"/>
      <c r="J674" s="229"/>
      <c r="K674" s="399"/>
      <c r="L674" s="399"/>
      <c r="M674" s="399"/>
      <c r="N674" s="229"/>
      <c r="O674" s="229"/>
      <c r="P674" s="229"/>
      <c r="Q674" s="229"/>
      <c r="R674" s="229"/>
      <c r="S674" s="229"/>
      <c r="T674" s="229"/>
      <c r="U674" s="229"/>
      <c r="V674" s="400"/>
      <c r="W674" s="229"/>
      <c r="X674" s="229"/>
      <c r="Y674" s="4"/>
      <c r="Z674" s="4"/>
    </row>
    <row r="675">
      <c r="A675" s="392"/>
      <c r="B675" s="392"/>
      <c r="C675" s="392"/>
      <c r="D675" s="392"/>
      <c r="E675" s="392"/>
      <c r="F675" s="229"/>
      <c r="G675" s="229"/>
      <c r="H675" s="392"/>
      <c r="I675" s="229"/>
      <c r="J675" s="229"/>
      <c r="K675" s="399"/>
      <c r="L675" s="399"/>
      <c r="M675" s="399"/>
      <c r="N675" s="229"/>
      <c r="O675" s="229"/>
      <c r="P675" s="229"/>
      <c r="Q675" s="229"/>
      <c r="R675" s="229"/>
      <c r="S675" s="229"/>
      <c r="T675" s="229"/>
      <c r="U675" s="229"/>
      <c r="V675" s="400"/>
      <c r="W675" s="229"/>
      <c r="X675" s="229"/>
      <c r="Y675" s="4"/>
      <c r="Z675" s="4"/>
    </row>
    <row r="676">
      <c r="A676" s="392"/>
      <c r="B676" s="392"/>
      <c r="C676" s="392"/>
      <c r="D676" s="392"/>
      <c r="E676" s="392"/>
      <c r="F676" s="229"/>
      <c r="G676" s="229"/>
      <c r="H676" s="392"/>
      <c r="I676" s="229"/>
      <c r="J676" s="229"/>
      <c r="K676" s="399"/>
      <c r="L676" s="399"/>
      <c r="M676" s="399"/>
      <c r="N676" s="229"/>
      <c r="O676" s="229"/>
      <c r="P676" s="229"/>
      <c r="Q676" s="229"/>
      <c r="R676" s="229"/>
      <c r="S676" s="229"/>
      <c r="T676" s="229"/>
      <c r="U676" s="229"/>
      <c r="V676" s="400"/>
      <c r="W676" s="229"/>
      <c r="X676" s="229"/>
      <c r="Y676" s="4"/>
      <c r="Z676" s="4"/>
    </row>
    <row r="677">
      <c r="A677" s="392"/>
      <c r="B677" s="392"/>
      <c r="C677" s="392"/>
      <c r="D677" s="392"/>
      <c r="E677" s="392"/>
      <c r="F677" s="229"/>
      <c r="G677" s="229"/>
      <c r="H677" s="392"/>
      <c r="I677" s="229"/>
      <c r="J677" s="229"/>
      <c r="K677" s="399"/>
      <c r="L677" s="399"/>
      <c r="M677" s="399"/>
      <c r="N677" s="229"/>
      <c r="O677" s="229"/>
      <c r="P677" s="229"/>
      <c r="Q677" s="229"/>
      <c r="R677" s="229"/>
      <c r="S677" s="229"/>
      <c r="T677" s="229"/>
      <c r="U677" s="229"/>
      <c r="V677" s="400"/>
      <c r="W677" s="229"/>
      <c r="X677" s="229"/>
      <c r="Y677" s="4"/>
      <c r="Z677" s="4"/>
    </row>
    <row r="678">
      <c r="A678" s="392"/>
      <c r="B678" s="392"/>
      <c r="C678" s="392"/>
      <c r="D678" s="392"/>
      <c r="E678" s="392"/>
      <c r="F678" s="229"/>
      <c r="G678" s="229"/>
      <c r="H678" s="392"/>
      <c r="I678" s="229"/>
      <c r="J678" s="229"/>
      <c r="K678" s="399"/>
      <c r="L678" s="399"/>
      <c r="M678" s="399"/>
      <c r="N678" s="229"/>
      <c r="O678" s="229"/>
      <c r="P678" s="229"/>
      <c r="Q678" s="229"/>
      <c r="R678" s="229"/>
      <c r="S678" s="229"/>
      <c r="T678" s="229"/>
      <c r="U678" s="229"/>
      <c r="V678" s="400"/>
      <c r="W678" s="229"/>
      <c r="X678" s="229"/>
      <c r="Y678" s="4"/>
      <c r="Z678" s="4"/>
    </row>
    <row r="679">
      <c r="A679" s="392"/>
      <c r="B679" s="392"/>
      <c r="C679" s="392"/>
      <c r="D679" s="392"/>
      <c r="E679" s="392"/>
      <c r="F679" s="229"/>
      <c r="G679" s="229"/>
      <c r="H679" s="392"/>
      <c r="I679" s="229"/>
      <c r="J679" s="229"/>
      <c r="K679" s="399"/>
      <c r="L679" s="399"/>
      <c r="M679" s="399"/>
      <c r="N679" s="229"/>
      <c r="O679" s="229"/>
      <c r="P679" s="229"/>
      <c r="Q679" s="229"/>
      <c r="R679" s="229"/>
      <c r="S679" s="229"/>
      <c r="T679" s="229"/>
      <c r="U679" s="229"/>
      <c r="V679" s="400"/>
      <c r="W679" s="229"/>
      <c r="X679" s="229"/>
      <c r="Y679" s="4"/>
      <c r="Z679" s="4"/>
    </row>
    <row r="680">
      <c r="A680" s="392"/>
      <c r="B680" s="392"/>
      <c r="C680" s="392"/>
      <c r="D680" s="392"/>
      <c r="E680" s="392"/>
      <c r="F680" s="229"/>
      <c r="G680" s="229"/>
      <c r="H680" s="392"/>
      <c r="I680" s="229"/>
      <c r="J680" s="229"/>
      <c r="K680" s="399"/>
      <c r="L680" s="399"/>
      <c r="M680" s="399"/>
      <c r="N680" s="229"/>
      <c r="O680" s="229"/>
      <c r="P680" s="229"/>
      <c r="Q680" s="229"/>
      <c r="R680" s="229"/>
      <c r="S680" s="229"/>
      <c r="T680" s="229"/>
      <c r="U680" s="229"/>
      <c r="V680" s="400"/>
      <c r="W680" s="229"/>
      <c r="X680" s="229"/>
      <c r="Y680" s="4"/>
      <c r="Z680" s="4"/>
    </row>
    <row r="681">
      <c r="A681" s="392"/>
      <c r="B681" s="392"/>
      <c r="C681" s="392"/>
      <c r="D681" s="392"/>
      <c r="E681" s="392"/>
      <c r="F681" s="229"/>
      <c r="G681" s="229"/>
      <c r="H681" s="392"/>
      <c r="I681" s="229"/>
      <c r="J681" s="229"/>
      <c r="K681" s="399"/>
      <c r="L681" s="399"/>
      <c r="M681" s="399"/>
      <c r="N681" s="229"/>
      <c r="O681" s="229"/>
      <c r="P681" s="229"/>
      <c r="Q681" s="229"/>
      <c r="R681" s="229"/>
      <c r="S681" s="229"/>
      <c r="T681" s="229"/>
      <c r="U681" s="229"/>
      <c r="V681" s="400"/>
      <c r="W681" s="229"/>
      <c r="X681" s="229"/>
      <c r="Y681" s="4"/>
      <c r="Z681" s="4"/>
    </row>
    <row r="682">
      <c r="A682" s="392"/>
      <c r="B682" s="392"/>
      <c r="C682" s="392"/>
      <c r="D682" s="392"/>
      <c r="E682" s="392"/>
      <c r="F682" s="229"/>
      <c r="G682" s="229"/>
      <c r="H682" s="392"/>
      <c r="I682" s="229"/>
      <c r="J682" s="229"/>
      <c r="K682" s="399"/>
      <c r="L682" s="399"/>
      <c r="M682" s="399"/>
      <c r="N682" s="229"/>
      <c r="O682" s="229"/>
      <c r="P682" s="229"/>
      <c r="Q682" s="229"/>
      <c r="R682" s="229"/>
      <c r="S682" s="229"/>
      <c r="T682" s="229"/>
      <c r="U682" s="229"/>
      <c r="V682" s="400"/>
      <c r="W682" s="229"/>
      <c r="X682" s="229"/>
      <c r="Y682" s="4"/>
      <c r="Z682" s="4"/>
    </row>
    <row r="683">
      <c r="A683" s="392"/>
      <c r="B683" s="392"/>
      <c r="C683" s="392"/>
      <c r="D683" s="392"/>
      <c r="E683" s="392"/>
      <c r="F683" s="229"/>
      <c r="G683" s="229"/>
      <c r="H683" s="392"/>
      <c r="I683" s="229"/>
      <c r="J683" s="229"/>
      <c r="K683" s="399"/>
      <c r="L683" s="399"/>
      <c r="M683" s="399"/>
      <c r="N683" s="229"/>
      <c r="O683" s="229"/>
      <c r="P683" s="229"/>
      <c r="Q683" s="229"/>
      <c r="R683" s="229"/>
      <c r="S683" s="229"/>
      <c r="T683" s="229"/>
      <c r="U683" s="229"/>
      <c r="V683" s="400"/>
      <c r="W683" s="229"/>
      <c r="X683" s="229"/>
      <c r="Y683" s="4"/>
      <c r="Z683" s="4"/>
    </row>
    <row r="684">
      <c r="A684" s="392"/>
      <c r="B684" s="392"/>
      <c r="C684" s="392"/>
      <c r="D684" s="392"/>
      <c r="E684" s="392"/>
      <c r="F684" s="229"/>
      <c r="G684" s="229"/>
      <c r="H684" s="392"/>
      <c r="I684" s="229"/>
      <c r="J684" s="229"/>
      <c r="K684" s="399"/>
      <c r="L684" s="399"/>
      <c r="M684" s="399"/>
      <c r="N684" s="229"/>
      <c r="O684" s="229"/>
      <c r="P684" s="229"/>
      <c r="Q684" s="229"/>
      <c r="R684" s="229"/>
      <c r="S684" s="229"/>
      <c r="T684" s="229"/>
      <c r="U684" s="229"/>
      <c r="V684" s="400"/>
      <c r="W684" s="229"/>
      <c r="X684" s="229"/>
      <c r="Y684" s="4"/>
      <c r="Z684" s="4"/>
    </row>
    <row r="685">
      <c r="A685" s="392"/>
      <c r="B685" s="392"/>
      <c r="C685" s="392"/>
      <c r="D685" s="392"/>
      <c r="E685" s="392"/>
      <c r="F685" s="229"/>
      <c r="G685" s="229"/>
      <c r="H685" s="392"/>
      <c r="I685" s="229"/>
      <c r="J685" s="229"/>
      <c r="K685" s="399"/>
      <c r="L685" s="399"/>
      <c r="M685" s="399"/>
      <c r="N685" s="229"/>
      <c r="O685" s="229"/>
      <c r="P685" s="229"/>
      <c r="Q685" s="229"/>
      <c r="R685" s="229"/>
      <c r="S685" s="229"/>
      <c r="T685" s="229"/>
      <c r="U685" s="229"/>
      <c r="V685" s="400"/>
      <c r="W685" s="229"/>
      <c r="X685" s="229"/>
      <c r="Y685" s="4"/>
      <c r="Z685" s="4"/>
    </row>
    <row r="686">
      <c r="A686" s="392"/>
      <c r="B686" s="392"/>
      <c r="C686" s="392"/>
      <c r="D686" s="392"/>
      <c r="E686" s="392"/>
      <c r="F686" s="229"/>
      <c r="G686" s="229"/>
      <c r="H686" s="392"/>
      <c r="I686" s="229"/>
      <c r="J686" s="229"/>
      <c r="K686" s="399"/>
      <c r="L686" s="399"/>
      <c r="M686" s="399"/>
      <c r="N686" s="229"/>
      <c r="O686" s="229"/>
      <c r="P686" s="229"/>
      <c r="Q686" s="229"/>
      <c r="R686" s="229"/>
      <c r="S686" s="229"/>
      <c r="T686" s="229"/>
      <c r="U686" s="229"/>
      <c r="V686" s="400"/>
      <c r="W686" s="229"/>
      <c r="X686" s="229"/>
      <c r="Y686" s="4"/>
      <c r="Z686" s="4"/>
    </row>
    <row r="687">
      <c r="A687" s="392"/>
      <c r="B687" s="392"/>
      <c r="C687" s="392"/>
      <c r="D687" s="392"/>
      <c r="E687" s="392"/>
      <c r="F687" s="229"/>
      <c r="G687" s="229"/>
      <c r="H687" s="392"/>
      <c r="I687" s="229"/>
      <c r="J687" s="229"/>
      <c r="K687" s="399"/>
      <c r="L687" s="399"/>
      <c r="M687" s="399"/>
      <c r="N687" s="229"/>
      <c r="O687" s="229"/>
      <c r="P687" s="229"/>
      <c r="Q687" s="229"/>
      <c r="R687" s="229"/>
      <c r="S687" s="229"/>
      <c r="T687" s="229"/>
      <c r="U687" s="229"/>
      <c r="V687" s="400"/>
      <c r="W687" s="229"/>
      <c r="X687" s="229"/>
      <c r="Y687" s="4"/>
      <c r="Z687" s="4"/>
    </row>
    <row r="688">
      <c r="A688" s="392"/>
      <c r="B688" s="392"/>
      <c r="C688" s="392"/>
      <c r="D688" s="392"/>
      <c r="E688" s="392"/>
      <c r="F688" s="229"/>
      <c r="G688" s="229"/>
      <c r="H688" s="392"/>
      <c r="I688" s="229"/>
      <c r="J688" s="229"/>
      <c r="K688" s="399"/>
      <c r="L688" s="399"/>
      <c r="M688" s="399"/>
      <c r="N688" s="229"/>
      <c r="O688" s="229"/>
      <c r="P688" s="229"/>
      <c r="Q688" s="229"/>
      <c r="R688" s="229"/>
      <c r="S688" s="229"/>
      <c r="T688" s="229"/>
      <c r="U688" s="229"/>
      <c r="V688" s="400"/>
      <c r="W688" s="229"/>
      <c r="X688" s="229"/>
      <c r="Y688" s="4"/>
      <c r="Z688" s="4"/>
    </row>
    <row r="689">
      <c r="A689" s="392"/>
      <c r="B689" s="392"/>
      <c r="C689" s="392"/>
      <c r="D689" s="392"/>
      <c r="E689" s="392"/>
      <c r="F689" s="229"/>
      <c r="G689" s="229"/>
      <c r="H689" s="392"/>
      <c r="I689" s="229"/>
      <c r="J689" s="229"/>
      <c r="K689" s="399"/>
      <c r="L689" s="399"/>
      <c r="M689" s="399"/>
      <c r="N689" s="229"/>
      <c r="O689" s="229"/>
      <c r="P689" s="229"/>
      <c r="Q689" s="229"/>
      <c r="R689" s="229"/>
      <c r="S689" s="229"/>
      <c r="T689" s="229"/>
      <c r="U689" s="229"/>
      <c r="V689" s="400"/>
      <c r="W689" s="229"/>
      <c r="X689" s="229"/>
      <c r="Y689" s="4"/>
      <c r="Z689" s="4"/>
    </row>
    <row r="690">
      <c r="A690" s="392"/>
      <c r="B690" s="392"/>
      <c r="C690" s="392"/>
      <c r="D690" s="392"/>
      <c r="E690" s="392"/>
      <c r="F690" s="229"/>
      <c r="G690" s="229"/>
      <c r="H690" s="392"/>
      <c r="I690" s="229"/>
      <c r="J690" s="229"/>
      <c r="K690" s="399"/>
      <c r="L690" s="399"/>
      <c r="M690" s="399"/>
      <c r="N690" s="229"/>
      <c r="O690" s="229"/>
      <c r="P690" s="229"/>
      <c r="Q690" s="229"/>
      <c r="R690" s="229"/>
      <c r="S690" s="229"/>
      <c r="T690" s="229"/>
      <c r="U690" s="229"/>
      <c r="V690" s="400"/>
      <c r="W690" s="229"/>
      <c r="X690" s="229"/>
      <c r="Y690" s="4"/>
      <c r="Z690" s="4"/>
    </row>
    <row r="691">
      <c r="A691" s="392"/>
      <c r="B691" s="392"/>
      <c r="C691" s="392"/>
      <c r="D691" s="392"/>
      <c r="E691" s="392"/>
      <c r="F691" s="229"/>
      <c r="G691" s="229"/>
      <c r="H691" s="392"/>
      <c r="I691" s="229"/>
      <c r="J691" s="229"/>
      <c r="K691" s="399"/>
      <c r="L691" s="399"/>
      <c r="M691" s="399"/>
      <c r="N691" s="229"/>
      <c r="O691" s="229"/>
      <c r="P691" s="229"/>
      <c r="Q691" s="229"/>
      <c r="R691" s="229"/>
      <c r="S691" s="229"/>
      <c r="T691" s="229"/>
      <c r="U691" s="229"/>
      <c r="V691" s="400"/>
      <c r="W691" s="229"/>
      <c r="X691" s="229"/>
      <c r="Y691" s="4"/>
      <c r="Z691" s="4"/>
    </row>
    <row r="692">
      <c r="A692" s="392"/>
      <c r="B692" s="392"/>
      <c r="C692" s="392"/>
      <c r="D692" s="392"/>
      <c r="E692" s="392"/>
      <c r="F692" s="229"/>
      <c r="G692" s="229"/>
      <c r="H692" s="392"/>
      <c r="I692" s="229"/>
      <c r="J692" s="229"/>
      <c r="K692" s="399"/>
      <c r="L692" s="399"/>
      <c r="M692" s="399"/>
      <c r="N692" s="229"/>
      <c r="O692" s="229"/>
      <c r="P692" s="229"/>
      <c r="Q692" s="229"/>
      <c r="R692" s="229"/>
      <c r="S692" s="229"/>
      <c r="T692" s="229"/>
      <c r="U692" s="229"/>
      <c r="V692" s="400"/>
      <c r="W692" s="229"/>
      <c r="X692" s="229"/>
      <c r="Y692" s="4"/>
      <c r="Z692" s="4"/>
    </row>
    <row r="693">
      <c r="A693" s="392"/>
      <c r="B693" s="392"/>
      <c r="C693" s="392"/>
      <c r="D693" s="392"/>
      <c r="E693" s="392"/>
      <c r="F693" s="229"/>
      <c r="G693" s="229"/>
      <c r="H693" s="392"/>
      <c r="I693" s="229"/>
      <c r="J693" s="229"/>
      <c r="K693" s="399"/>
      <c r="L693" s="399"/>
      <c r="M693" s="399"/>
      <c r="N693" s="229"/>
      <c r="O693" s="229"/>
      <c r="P693" s="229"/>
      <c r="Q693" s="229"/>
      <c r="R693" s="229"/>
      <c r="S693" s="229"/>
      <c r="T693" s="229"/>
      <c r="U693" s="229"/>
      <c r="V693" s="400"/>
      <c r="W693" s="229"/>
      <c r="X693" s="229"/>
      <c r="Y693" s="4"/>
      <c r="Z693" s="4"/>
    </row>
    <row r="694">
      <c r="A694" s="392"/>
      <c r="B694" s="392"/>
      <c r="C694" s="392"/>
      <c r="D694" s="392"/>
      <c r="E694" s="392"/>
      <c r="F694" s="229"/>
      <c r="G694" s="229"/>
      <c r="H694" s="392"/>
      <c r="I694" s="229"/>
      <c r="J694" s="229"/>
      <c r="K694" s="399"/>
      <c r="L694" s="399"/>
      <c r="M694" s="399"/>
      <c r="N694" s="229"/>
      <c r="O694" s="229"/>
      <c r="P694" s="229"/>
      <c r="Q694" s="229"/>
      <c r="R694" s="229"/>
      <c r="S694" s="229"/>
      <c r="T694" s="229"/>
      <c r="U694" s="229"/>
      <c r="V694" s="400"/>
      <c r="W694" s="229"/>
      <c r="X694" s="229"/>
      <c r="Y694" s="4"/>
      <c r="Z694" s="4"/>
    </row>
    <row r="695">
      <c r="A695" s="392"/>
      <c r="B695" s="392"/>
      <c r="C695" s="392"/>
      <c r="D695" s="392"/>
      <c r="E695" s="392"/>
      <c r="F695" s="229"/>
      <c r="G695" s="229"/>
      <c r="H695" s="392"/>
      <c r="I695" s="229"/>
      <c r="J695" s="229"/>
      <c r="K695" s="399"/>
      <c r="L695" s="399"/>
      <c r="M695" s="399"/>
      <c r="N695" s="229"/>
      <c r="O695" s="229"/>
      <c r="P695" s="229"/>
      <c r="Q695" s="229"/>
      <c r="R695" s="229"/>
      <c r="S695" s="229"/>
      <c r="T695" s="229"/>
      <c r="U695" s="229"/>
      <c r="V695" s="400"/>
      <c r="W695" s="229"/>
      <c r="X695" s="229"/>
      <c r="Y695" s="4"/>
      <c r="Z695" s="4"/>
    </row>
    <row r="696">
      <c r="A696" s="392"/>
      <c r="B696" s="392"/>
      <c r="C696" s="392"/>
      <c r="D696" s="392"/>
      <c r="E696" s="392"/>
      <c r="F696" s="229"/>
      <c r="G696" s="229"/>
      <c r="H696" s="392"/>
      <c r="I696" s="229"/>
      <c r="J696" s="229"/>
      <c r="K696" s="399"/>
      <c r="L696" s="399"/>
      <c r="M696" s="399"/>
      <c r="N696" s="229"/>
      <c r="O696" s="229"/>
      <c r="P696" s="229"/>
      <c r="Q696" s="229"/>
      <c r="R696" s="229"/>
      <c r="S696" s="229"/>
      <c r="T696" s="229"/>
      <c r="U696" s="229"/>
      <c r="V696" s="400"/>
      <c r="W696" s="229"/>
      <c r="X696" s="229"/>
      <c r="Y696" s="4"/>
      <c r="Z696" s="4"/>
    </row>
    <row r="697">
      <c r="A697" s="392"/>
      <c r="B697" s="392"/>
      <c r="C697" s="392"/>
      <c r="D697" s="392"/>
      <c r="E697" s="392"/>
      <c r="F697" s="229"/>
      <c r="G697" s="229"/>
      <c r="H697" s="392"/>
      <c r="I697" s="229"/>
      <c r="J697" s="229"/>
      <c r="K697" s="399"/>
      <c r="L697" s="399"/>
      <c r="M697" s="399"/>
      <c r="N697" s="229"/>
      <c r="O697" s="229"/>
      <c r="P697" s="229"/>
      <c r="Q697" s="229"/>
      <c r="R697" s="229"/>
      <c r="S697" s="229"/>
      <c r="T697" s="229"/>
      <c r="U697" s="229"/>
      <c r="V697" s="400"/>
      <c r="W697" s="229"/>
      <c r="X697" s="229"/>
      <c r="Y697" s="4"/>
      <c r="Z697" s="4"/>
    </row>
    <row r="698">
      <c r="A698" s="392"/>
      <c r="B698" s="392"/>
      <c r="C698" s="392"/>
      <c r="D698" s="392"/>
      <c r="E698" s="392"/>
      <c r="F698" s="229"/>
      <c r="G698" s="229"/>
      <c r="H698" s="392"/>
      <c r="I698" s="229"/>
      <c r="J698" s="229"/>
      <c r="K698" s="399"/>
      <c r="L698" s="399"/>
      <c r="M698" s="399"/>
      <c r="N698" s="229"/>
      <c r="O698" s="229"/>
      <c r="P698" s="229"/>
      <c r="Q698" s="229"/>
      <c r="R698" s="229"/>
      <c r="S698" s="229"/>
      <c r="T698" s="229"/>
      <c r="U698" s="229"/>
      <c r="V698" s="400"/>
      <c r="W698" s="229"/>
      <c r="X698" s="229"/>
      <c r="Y698" s="4"/>
      <c r="Z698" s="4"/>
    </row>
    <row r="699">
      <c r="A699" s="392"/>
      <c r="B699" s="392"/>
      <c r="C699" s="392"/>
      <c r="D699" s="392"/>
      <c r="E699" s="392"/>
      <c r="F699" s="229"/>
      <c r="G699" s="229"/>
      <c r="H699" s="392"/>
      <c r="I699" s="229"/>
      <c r="J699" s="229"/>
      <c r="K699" s="399"/>
      <c r="L699" s="399"/>
      <c r="M699" s="399"/>
      <c r="N699" s="229"/>
      <c r="O699" s="229"/>
      <c r="P699" s="229"/>
      <c r="Q699" s="229"/>
      <c r="R699" s="229"/>
      <c r="S699" s="229"/>
      <c r="T699" s="229"/>
      <c r="U699" s="229"/>
      <c r="V699" s="400"/>
      <c r="W699" s="229"/>
      <c r="X699" s="229"/>
      <c r="Y699" s="4"/>
      <c r="Z699" s="4"/>
    </row>
    <row r="700">
      <c r="A700" s="392"/>
      <c r="B700" s="392"/>
      <c r="C700" s="392"/>
      <c r="D700" s="392"/>
      <c r="E700" s="392"/>
      <c r="F700" s="229"/>
      <c r="G700" s="229"/>
      <c r="H700" s="392"/>
      <c r="I700" s="229"/>
      <c r="J700" s="229"/>
      <c r="K700" s="399"/>
      <c r="L700" s="399"/>
      <c r="M700" s="399"/>
      <c r="N700" s="229"/>
      <c r="O700" s="229"/>
      <c r="P700" s="229"/>
      <c r="Q700" s="229"/>
      <c r="R700" s="229"/>
      <c r="S700" s="229"/>
      <c r="T700" s="229"/>
      <c r="U700" s="229"/>
      <c r="V700" s="400"/>
      <c r="W700" s="229"/>
      <c r="X700" s="229"/>
      <c r="Y700" s="4"/>
      <c r="Z700" s="4"/>
    </row>
    <row r="701">
      <c r="A701" s="392"/>
      <c r="B701" s="392"/>
      <c r="C701" s="392"/>
      <c r="D701" s="392"/>
      <c r="E701" s="392"/>
      <c r="F701" s="229"/>
      <c r="G701" s="229"/>
      <c r="H701" s="392"/>
      <c r="I701" s="229"/>
      <c r="J701" s="229"/>
      <c r="K701" s="399"/>
      <c r="L701" s="399"/>
      <c r="M701" s="399"/>
      <c r="N701" s="229"/>
      <c r="O701" s="229"/>
      <c r="P701" s="229"/>
      <c r="Q701" s="229"/>
      <c r="R701" s="229"/>
      <c r="S701" s="229"/>
      <c r="T701" s="229"/>
      <c r="U701" s="229"/>
      <c r="V701" s="400"/>
      <c r="W701" s="229"/>
      <c r="X701" s="229"/>
      <c r="Y701" s="4"/>
      <c r="Z701" s="4"/>
    </row>
    <row r="702">
      <c r="A702" s="392"/>
      <c r="B702" s="392"/>
      <c r="C702" s="392"/>
      <c r="D702" s="392"/>
      <c r="E702" s="392"/>
      <c r="F702" s="229"/>
      <c r="G702" s="229"/>
      <c r="H702" s="392"/>
      <c r="I702" s="229"/>
      <c r="J702" s="229"/>
      <c r="K702" s="399"/>
      <c r="L702" s="399"/>
      <c r="M702" s="399"/>
      <c r="N702" s="229"/>
      <c r="O702" s="229"/>
      <c r="P702" s="229"/>
      <c r="Q702" s="229"/>
      <c r="R702" s="229"/>
      <c r="S702" s="229"/>
      <c r="T702" s="229"/>
      <c r="U702" s="229"/>
      <c r="V702" s="400"/>
      <c r="W702" s="229"/>
      <c r="X702" s="229"/>
      <c r="Y702" s="4"/>
      <c r="Z702" s="4"/>
    </row>
    <row r="703">
      <c r="A703" s="392"/>
      <c r="B703" s="392"/>
      <c r="C703" s="392"/>
      <c r="D703" s="392"/>
      <c r="E703" s="392"/>
      <c r="F703" s="229"/>
      <c r="G703" s="229"/>
      <c r="H703" s="392"/>
      <c r="I703" s="229"/>
      <c r="J703" s="229"/>
      <c r="K703" s="399"/>
      <c r="L703" s="399"/>
      <c r="M703" s="399"/>
      <c r="N703" s="229"/>
      <c r="O703" s="229"/>
      <c r="P703" s="229"/>
      <c r="Q703" s="229"/>
      <c r="R703" s="229"/>
      <c r="S703" s="229"/>
      <c r="T703" s="229"/>
      <c r="U703" s="229"/>
      <c r="V703" s="400"/>
      <c r="W703" s="229"/>
      <c r="X703" s="229"/>
      <c r="Y703" s="4"/>
      <c r="Z703" s="4"/>
    </row>
    <row r="704">
      <c r="A704" s="392"/>
      <c r="B704" s="392"/>
      <c r="C704" s="392"/>
      <c r="D704" s="392"/>
      <c r="E704" s="392"/>
      <c r="F704" s="229"/>
      <c r="G704" s="229"/>
      <c r="H704" s="392"/>
      <c r="I704" s="229"/>
      <c r="J704" s="229"/>
      <c r="K704" s="399"/>
      <c r="L704" s="399"/>
      <c r="M704" s="399"/>
      <c r="N704" s="229"/>
      <c r="O704" s="229"/>
      <c r="P704" s="229"/>
      <c r="Q704" s="229"/>
      <c r="R704" s="229"/>
      <c r="S704" s="229"/>
      <c r="T704" s="229"/>
      <c r="U704" s="229"/>
      <c r="V704" s="400"/>
      <c r="W704" s="229"/>
      <c r="X704" s="229"/>
      <c r="Y704" s="4"/>
      <c r="Z704" s="4"/>
    </row>
    <row r="705">
      <c r="A705" s="392"/>
      <c r="B705" s="392"/>
      <c r="C705" s="392"/>
      <c r="D705" s="392"/>
      <c r="E705" s="392"/>
      <c r="F705" s="229"/>
      <c r="G705" s="229"/>
      <c r="H705" s="392"/>
      <c r="I705" s="229"/>
      <c r="J705" s="229"/>
      <c r="K705" s="399"/>
      <c r="L705" s="399"/>
      <c r="M705" s="399"/>
      <c r="N705" s="229"/>
      <c r="O705" s="229"/>
      <c r="P705" s="229"/>
      <c r="Q705" s="229"/>
      <c r="R705" s="229"/>
      <c r="S705" s="229"/>
      <c r="T705" s="229"/>
      <c r="U705" s="229"/>
      <c r="V705" s="400"/>
      <c r="W705" s="229"/>
      <c r="X705" s="229"/>
      <c r="Y705" s="4"/>
      <c r="Z705" s="4"/>
    </row>
    <row r="706">
      <c r="A706" s="392"/>
      <c r="B706" s="392"/>
      <c r="C706" s="392"/>
      <c r="D706" s="392"/>
      <c r="E706" s="392"/>
      <c r="F706" s="229"/>
      <c r="G706" s="229"/>
      <c r="H706" s="392"/>
      <c r="I706" s="229"/>
      <c r="J706" s="229"/>
      <c r="K706" s="399"/>
      <c r="L706" s="399"/>
      <c r="M706" s="399"/>
      <c r="N706" s="229"/>
      <c r="O706" s="229"/>
      <c r="P706" s="229"/>
      <c r="Q706" s="229"/>
      <c r="R706" s="229"/>
      <c r="S706" s="229"/>
      <c r="T706" s="229"/>
      <c r="U706" s="229"/>
      <c r="V706" s="400"/>
      <c r="W706" s="229"/>
      <c r="X706" s="229"/>
      <c r="Y706" s="4"/>
      <c r="Z706" s="4"/>
    </row>
    <row r="707">
      <c r="A707" s="392"/>
      <c r="B707" s="392"/>
      <c r="C707" s="392"/>
      <c r="D707" s="392"/>
      <c r="E707" s="392"/>
      <c r="F707" s="229"/>
      <c r="G707" s="229"/>
      <c r="H707" s="392"/>
      <c r="I707" s="229"/>
      <c r="J707" s="229"/>
      <c r="K707" s="399"/>
      <c r="L707" s="399"/>
      <c r="M707" s="399"/>
      <c r="N707" s="229"/>
      <c r="O707" s="229"/>
      <c r="P707" s="229"/>
      <c r="Q707" s="229"/>
      <c r="R707" s="229"/>
      <c r="S707" s="229"/>
      <c r="T707" s="229"/>
      <c r="U707" s="229"/>
      <c r="V707" s="400"/>
      <c r="W707" s="229"/>
      <c r="X707" s="229"/>
      <c r="Y707" s="4"/>
      <c r="Z707" s="4"/>
    </row>
    <row r="708">
      <c r="A708" s="392"/>
      <c r="B708" s="392"/>
      <c r="C708" s="392"/>
      <c r="D708" s="392"/>
      <c r="E708" s="392"/>
      <c r="F708" s="229"/>
      <c r="G708" s="229"/>
      <c r="H708" s="392"/>
      <c r="I708" s="229"/>
      <c r="J708" s="229"/>
      <c r="K708" s="399"/>
      <c r="L708" s="399"/>
      <c r="M708" s="399"/>
      <c r="N708" s="229"/>
      <c r="O708" s="229"/>
      <c r="P708" s="229"/>
      <c r="Q708" s="229"/>
      <c r="R708" s="229"/>
      <c r="S708" s="229"/>
      <c r="T708" s="229"/>
      <c r="U708" s="229"/>
      <c r="V708" s="400"/>
      <c r="W708" s="229"/>
      <c r="X708" s="229"/>
      <c r="Y708" s="4"/>
      <c r="Z708" s="4"/>
    </row>
    <row r="709">
      <c r="A709" s="392"/>
      <c r="B709" s="392"/>
      <c r="C709" s="392"/>
      <c r="D709" s="392"/>
      <c r="E709" s="392"/>
      <c r="F709" s="229"/>
      <c r="G709" s="229"/>
      <c r="H709" s="392"/>
      <c r="I709" s="229"/>
      <c r="J709" s="229"/>
      <c r="K709" s="399"/>
      <c r="L709" s="399"/>
      <c r="M709" s="399"/>
      <c r="N709" s="229"/>
      <c r="O709" s="229"/>
      <c r="P709" s="229"/>
      <c r="Q709" s="229"/>
      <c r="R709" s="229"/>
      <c r="S709" s="229"/>
      <c r="T709" s="229"/>
      <c r="U709" s="229"/>
      <c r="V709" s="400"/>
      <c r="W709" s="229"/>
      <c r="X709" s="229"/>
      <c r="Y709" s="4"/>
      <c r="Z709" s="4"/>
    </row>
    <row r="710">
      <c r="A710" s="392"/>
      <c r="B710" s="392"/>
      <c r="C710" s="392"/>
      <c r="D710" s="392"/>
      <c r="E710" s="392"/>
      <c r="F710" s="229"/>
      <c r="G710" s="229"/>
      <c r="H710" s="392"/>
      <c r="I710" s="229"/>
      <c r="J710" s="229"/>
      <c r="K710" s="399"/>
      <c r="L710" s="399"/>
      <c r="M710" s="399"/>
      <c r="N710" s="229"/>
      <c r="O710" s="229"/>
      <c r="P710" s="229"/>
      <c r="Q710" s="229"/>
      <c r="R710" s="229"/>
      <c r="S710" s="229"/>
      <c r="T710" s="229"/>
      <c r="U710" s="229"/>
      <c r="V710" s="400"/>
      <c r="W710" s="229"/>
      <c r="X710" s="229"/>
      <c r="Y710" s="4"/>
      <c r="Z710" s="4"/>
    </row>
    <row r="711">
      <c r="A711" s="392"/>
      <c r="B711" s="392"/>
      <c r="C711" s="392"/>
      <c r="D711" s="392"/>
      <c r="E711" s="392"/>
      <c r="F711" s="229"/>
      <c r="G711" s="229"/>
      <c r="H711" s="392"/>
      <c r="I711" s="229"/>
      <c r="J711" s="229"/>
      <c r="K711" s="399"/>
      <c r="L711" s="399"/>
      <c r="M711" s="399"/>
      <c r="N711" s="229"/>
      <c r="O711" s="229"/>
      <c r="P711" s="229"/>
      <c r="Q711" s="229"/>
      <c r="R711" s="229"/>
      <c r="S711" s="229"/>
      <c r="T711" s="229"/>
      <c r="U711" s="229"/>
      <c r="V711" s="400"/>
      <c r="W711" s="229"/>
      <c r="X711" s="229"/>
      <c r="Y711" s="4"/>
      <c r="Z711" s="4"/>
    </row>
    <row r="712">
      <c r="A712" s="392"/>
      <c r="B712" s="392"/>
      <c r="C712" s="392"/>
      <c r="D712" s="392"/>
      <c r="E712" s="392"/>
      <c r="F712" s="229"/>
      <c r="G712" s="229"/>
      <c r="H712" s="392"/>
      <c r="I712" s="229"/>
      <c r="J712" s="229"/>
      <c r="K712" s="399"/>
      <c r="L712" s="399"/>
      <c r="M712" s="399"/>
      <c r="N712" s="229"/>
      <c r="O712" s="229"/>
      <c r="P712" s="229"/>
      <c r="Q712" s="229"/>
      <c r="R712" s="229"/>
      <c r="S712" s="229"/>
      <c r="T712" s="229"/>
      <c r="U712" s="229"/>
      <c r="V712" s="400"/>
      <c r="W712" s="229"/>
      <c r="X712" s="229"/>
      <c r="Y712" s="4"/>
      <c r="Z712" s="4"/>
    </row>
    <row r="713">
      <c r="A713" s="392"/>
      <c r="B713" s="392"/>
      <c r="C713" s="392"/>
      <c r="D713" s="392"/>
      <c r="E713" s="392"/>
      <c r="F713" s="229"/>
      <c r="G713" s="229"/>
      <c r="H713" s="392"/>
      <c r="I713" s="229"/>
      <c r="J713" s="229"/>
      <c r="K713" s="399"/>
      <c r="L713" s="399"/>
      <c r="M713" s="399"/>
      <c r="N713" s="229"/>
      <c r="O713" s="229"/>
      <c r="P713" s="229"/>
      <c r="Q713" s="229"/>
      <c r="R713" s="229"/>
      <c r="S713" s="229"/>
      <c r="T713" s="229"/>
      <c r="U713" s="229"/>
      <c r="V713" s="400"/>
      <c r="W713" s="229"/>
      <c r="X713" s="229"/>
      <c r="Y713" s="4"/>
      <c r="Z713" s="4"/>
    </row>
    <row r="714">
      <c r="A714" s="392"/>
      <c r="B714" s="392"/>
      <c r="C714" s="392"/>
      <c r="D714" s="392"/>
      <c r="E714" s="392"/>
      <c r="F714" s="229"/>
      <c r="G714" s="229"/>
      <c r="H714" s="392"/>
      <c r="I714" s="229"/>
      <c r="J714" s="229"/>
      <c r="K714" s="399"/>
      <c r="L714" s="399"/>
      <c r="M714" s="399"/>
      <c r="N714" s="229"/>
      <c r="O714" s="229"/>
      <c r="P714" s="229"/>
      <c r="Q714" s="229"/>
      <c r="R714" s="229"/>
      <c r="S714" s="229"/>
      <c r="T714" s="229"/>
      <c r="U714" s="229"/>
      <c r="V714" s="400"/>
      <c r="W714" s="229"/>
      <c r="X714" s="229"/>
      <c r="Y714" s="4"/>
      <c r="Z714" s="4"/>
    </row>
    <row r="715">
      <c r="A715" s="392"/>
      <c r="B715" s="392"/>
      <c r="C715" s="392"/>
      <c r="D715" s="392"/>
      <c r="E715" s="392"/>
      <c r="F715" s="229"/>
      <c r="G715" s="229"/>
      <c r="H715" s="392"/>
      <c r="I715" s="229"/>
      <c r="J715" s="229"/>
      <c r="K715" s="399"/>
      <c r="L715" s="399"/>
      <c r="M715" s="399"/>
      <c r="N715" s="229"/>
      <c r="O715" s="229"/>
      <c r="P715" s="229"/>
      <c r="Q715" s="229"/>
      <c r="R715" s="229"/>
      <c r="S715" s="229"/>
      <c r="T715" s="229"/>
      <c r="U715" s="229"/>
      <c r="V715" s="400"/>
      <c r="W715" s="229"/>
      <c r="X715" s="229"/>
      <c r="Y715" s="4"/>
      <c r="Z715" s="4"/>
    </row>
    <row r="716">
      <c r="A716" s="392"/>
      <c r="B716" s="392"/>
      <c r="C716" s="392"/>
      <c r="D716" s="392"/>
      <c r="E716" s="392"/>
      <c r="F716" s="229"/>
      <c r="G716" s="229"/>
      <c r="H716" s="392"/>
      <c r="I716" s="229"/>
      <c r="J716" s="229"/>
      <c r="K716" s="399"/>
      <c r="L716" s="399"/>
      <c r="M716" s="399"/>
      <c r="N716" s="229"/>
      <c r="O716" s="229"/>
      <c r="P716" s="229"/>
      <c r="Q716" s="229"/>
      <c r="R716" s="229"/>
      <c r="S716" s="229"/>
      <c r="T716" s="229"/>
      <c r="U716" s="229"/>
      <c r="V716" s="400"/>
      <c r="W716" s="229"/>
      <c r="X716" s="229"/>
      <c r="Y716" s="4"/>
      <c r="Z716" s="4"/>
    </row>
    <row r="717">
      <c r="A717" s="392"/>
      <c r="B717" s="392"/>
      <c r="C717" s="392"/>
      <c r="D717" s="392"/>
      <c r="E717" s="392"/>
      <c r="F717" s="229"/>
      <c r="G717" s="229"/>
      <c r="H717" s="392"/>
      <c r="I717" s="229"/>
      <c r="J717" s="229"/>
      <c r="K717" s="399"/>
      <c r="L717" s="399"/>
      <c r="M717" s="399"/>
      <c r="N717" s="229"/>
      <c r="O717" s="229"/>
      <c r="P717" s="229"/>
      <c r="Q717" s="229"/>
      <c r="R717" s="229"/>
      <c r="S717" s="229"/>
      <c r="T717" s="229"/>
      <c r="U717" s="229"/>
      <c r="V717" s="400"/>
      <c r="W717" s="229"/>
      <c r="X717" s="229"/>
      <c r="Y717" s="4"/>
      <c r="Z717" s="4"/>
    </row>
    <row r="718">
      <c r="A718" s="392"/>
      <c r="B718" s="392"/>
      <c r="C718" s="392"/>
      <c r="D718" s="392"/>
      <c r="E718" s="392"/>
      <c r="F718" s="229"/>
      <c r="G718" s="229"/>
      <c r="H718" s="392"/>
      <c r="I718" s="229"/>
      <c r="J718" s="229"/>
      <c r="K718" s="399"/>
      <c r="L718" s="399"/>
      <c r="M718" s="399"/>
      <c r="N718" s="229"/>
      <c r="O718" s="229"/>
      <c r="P718" s="229"/>
      <c r="Q718" s="229"/>
      <c r="R718" s="229"/>
      <c r="S718" s="229"/>
      <c r="T718" s="229"/>
      <c r="U718" s="229"/>
      <c r="V718" s="400"/>
      <c r="W718" s="229"/>
      <c r="X718" s="229"/>
      <c r="Y718" s="4"/>
      <c r="Z718" s="4"/>
    </row>
    <row r="719">
      <c r="A719" s="392"/>
      <c r="B719" s="392"/>
      <c r="C719" s="392"/>
      <c r="D719" s="392"/>
      <c r="E719" s="392"/>
      <c r="F719" s="229"/>
      <c r="G719" s="229"/>
      <c r="H719" s="392"/>
      <c r="I719" s="229"/>
      <c r="J719" s="229"/>
      <c r="K719" s="399"/>
      <c r="L719" s="399"/>
      <c r="M719" s="399"/>
      <c r="N719" s="229"/>
      <c r="O719" s="229"/>
      <c r="P719" s="229"/>
      <c r="Q719" s="229"/>
      <c r="R719" s="229"/>
      <c r="S719" s="229"/>
      <c r="T719" s="229"/>
      <c r="U719" s="229"/>
      <c r="V719" s="400"/>
      <c r="W719" s="229"/>
      <c r="X719" s="229"/>
      <c r="Y719" s="4"/>
      <c r="Z719" s="4"/>
    </row>
    <row r="720">
      <c r="A720" s="392"/>
      <c r="B720" s="392"/>
      <c r="C720" s="392"/>
      <c r="D720" s="392"/>
      <c r="E720" s="392"/>
      <c r="F720" s="229"/>
      <c r="G720" s="229"/>
      <c r="H720" s="392"/>
      <c r="I720" s="229"/>
      <c r="J720" s="229"/>
      <c r="K720" s="399"/>
      <c r="L720" s="399"/>
      <c r="M720" s="399"/>
      <c r="N720" s="229"/>
      <c r="O720" s="229"/>
      <c r="P720" s="229"/>
      <c r="Q720" s="229"/>
      <c r="R720" s="229"/>
      <c r="S720" s="229"/>
      <c r="T720" s="229"/>
      <c r="U720" s="229"/>
      <c r="V720" s="400"/>
      <c r="W720" s="229"/>
      <c r="X720" s="229"/>
      <c r="Y720" s="4"/>
      <c r="Z720" s="4"/>
    </row>
    <row r="721">
      <c r="A721" s="392"/>
      <c r="B721" s="392"/>
      <c r="C721" s="392"/>
      <c r="D721" s="392"/>
      <c r="E721" s="392"/>
      <c r="F721" s="229"/>
      <c r="G721" s="229"/>
      <c r="H721" s="392"/>
      <c r="I721" s="229"/>
      <c r="J721" s="229"/>
      <c r="K721" s="399"/>
      <c r="L721" s="399"/>
      <c r="M721" s="399"/>
      <c r="N721" s="229"/>
      <c r="O721" s="229"/>
      <c r="P721" s="229"/>
      <c r="Q721" s="229"/>
      <c r="R721" s="229"/>
      <c r="S721" s="229"/>
      <c r="T721" s="229"/>
      <c r="U721" s="229"/>
      <c r="V721" s="400"/>
      <c r="W721" s="229"/>
      <c r="X721" s="229"/>
      <c r="Y721" s="4"/>
      <c r="Z721" s="4"/>
    </row>
    <row r="722">
      <c r="A722" s="392"/>
      <c r="B722" s="392"/>
      <c r="C722" s="392"/>
      <c r="D722" s="392"/>
      <c r="E722" s="392"/>
      <c r="F722" s="229"/>
      <c r="G722" s="229"/>
      <c r="H722" s="392"/>
      <c r="I722" s="229"/>
      <c r="J722" s="229"/>
      <c r="K722" s="399"/>
      <c r="L722" s="399"/>
      <c r="M722" s="399"/>
      <c r="N722" s="229"/>
      <c r="O722" s="229"/>
      <c r="P722" s="229"/>
      <c r="Q722" s="229"/>
      <c r="R722" s="229"/>
      <c r="S722" s="229"/>
      <c r="T722" s="229"/>
      <c r="U722" s="229"/>
      <c r="V722" s="400"/>
      <c r="W722" s="229"/>
      <c r="X722" s="229"/>
      <c r="Y722" s="4"/>
      <c r="Z722" s="4"/>
    </row>
    <row r="723">
      <c r="A723" s="392"/>
      <c r="B723" s="392"/>
      <c r="C723" s="392"/>
      <c r="D723" s="392"/>
      <c r="E723" s="392"/>
      <c r="F723" s="229"/>
      <c r="G723" s="229"/>
      <c r="H723" s="392"/>
      <c r="I723" s="229"/>
      <c r="J723" s="229"/>
      <c r="K723" s="399"/>
      <c r="L723" s="399"/>
      <c r="M723" s="399"/>
      <c r="N723" s="229"/>
      <c r="O723" s="229"/>
      <c r="P723" s="229"/>
      <c r="Q723" s="229"/>
      <c r="R723" s="229"/>
      <c r="S723" s="229"/>
      <c r="T723" s="229"/>
      <c r="U723" s="229"/>
      <c r="V723" s="400"/>
      <c r="W723" s="229"/>
      <c r="X723" s="229"/>
      <c r="Y723" s="4"/>
      <c r="Z723" s="4"/>
    </row>
    <row r="724">
      <c r="A724" s="392"/>
      <c r="B724" s="392"/>
      <c r="C724" s="392"/>
      <c r="D724" s="392"/>
      <c r="E724" s="392"/>
      <c r="F724" s="229"/>
      <c r="G724" s="229"/>
      <c r="H724" s="392"/>
      <c r="I724" s="229"/>
      <c r="J724" s="229"/>
      <c r="K724" s="399"/>
      <c r="L724" s="399"/>
      <c r="M724" s="399"/>
      <c r="N724" s="229"/>
      <c r="O724" s="229"/>
      <c r="P724" s="229"/>
      <c r="Q724" s="229"/>
      <c r="R724" s="229"/>
      <c r="S724" s="229"/>
      <c r="T724" s="229"/>
      <c r="U724" s="229"/>
      <c r="V724" s="400"/>
      <c r="W724" s="229"/>
      <c r="X724" s="229"/>
      <c r="Y724" s="4"/>
      <c r="Z724" s="4"/>
    </row>
    <row r="725">
      <c r="A725" s="392"/>
      <c r="B725" s="392"/>
      <c r="C725" s="392"/>
      <c r="D725" s="392"/>
      <c r="E725" s="392"/>
      <c r="F725" s="229"/>
      <c r="G725" s="229"/>
      <c r="H725" s="392"/>
      <c r="I725" s="229"/>
      <c r="J725" s="229"/>
      <c r="K725" s="399"/>
      <c r="L725" s="399"/>
      <c r="M725" s="399"/>
      <c r="N725" s="229"/>
      <c r="O725" s="229"/>
      <c r="P725" s="229"/>
      <c r="Q725" s="229"/>
      <c r="R725" s="229"/>
      <c r="S725" s="229"/>
      <c r="T725" s="229"/>
      <c r="U725" s="229"/>
      <c r="V725" s="400"/>
      <c r="W725" s="229"/>
      <c r="X725" s="229"/>
      <c r="Y725" s="4"/>
      <c r="Z725" s="4"/>
    </row>
    <row r="726">
      <c r="A726" s="392"/>
      <c r="B726" s="392"/>
      <c r="C726" s="392"/>
      <c r="D726" s="392"/>
      <c r="E726" s="392"/>
      <c r="F726" s="229"/>
      <c r="G726" s="229"/>
      <c r="H726" s="392"/>
      <c r="I726" s="229"/>
      <c r="J726" s="229"/>
      <c r="K726" s="399"/>
      <c r="L726" s="399"/>
      <c r="M726" s="399"/>
      <c r="N726" s="229"/>
      <c r="O726" s="229"/>
      <c r="P726" s="229"/>
      <c r="Q726" s="229"/>
      <c r="R726" s="229"/>
      <c r="S726" s="229"/>
      <c r="T726" s="229"/>
      <c r="U726" s="229"/>
      <c r="V726" s="400"/>
      <c r="W726" s="229"/>
      <c r="X726" s="229"/>
      <c r="Y726" s="4"/>
      <c r="Z726" s="4"/>
    </row>
    <row r="727">
      <c r="A727" s="392"/>
      <c r="B727" s="392"/>
      <c r="C727" s="392"/>
      <c r="D727" s="392"/>
      <c r="E727" s="392"/>
      <c r="F727" s="229"/>
      <c r="G727" s="229"/>
      <c r="H727" s="392"/>
      <c r="I727" s="229"/>
      <c r="J727" s="229"/>
      <c r="K727" s="399"/>
      <c r="L727" s="399"/>
      <c r="M727" s="399"/>
      <c r="N727" s="229"/>
      <c r="O727" s="229"/>
      <c r="P727" s="229"/>
      <c r="Q727" s="229"/>
      <c r="R727" s="229"/>
      <c r="S727" s="229"/>
      <c r="T727" s="229"/>
      <c r="U727" s="229"/>
      <c r="V727" s="400"/>
      <c r="W727" s="229"/>
      <c r="X727" s="229"/>
      <c r="Y727" s="4"/>
      <c r="Z727" s="4"/>
    </row>
    <row r="728">
      <c r="A728" s="392"/>
      <c r="B728" s="392"/>
      <c r="C728" s="392"/>
      <c r="D728" s="392"/>
      <c r="E728" s="392"/>
      <c r="F728" s="229"/>
      <c r="G728" s="229"/>
      <c r="H728" s="392"/>
      <c r="I728" s="229"/>
      <c r="J728" s="229"/>
      <c r="K728" s="399"/>
      <c r="L728" s="399"/>
      <c r="M728" s="399"/>
      <c r="N728" s="229"/>
      <c r="O728" s="229"/>
      <c r="P728" s="229"/>
      <c r="Q728" s="229"/>
      <c r="R728" s="229"/>
      <c r="S728" s="229"/>
      <c r="T728" s="229"/>
      <c r="U728" s="229"/>
      <c r="V728" s="400"/>
      <c r="W728" s="229"/>
      <c r="X728" s="229"/>
      <c r="Y728" s="4"/>
      <c r="Z728" s="4"/>
    </row>
    <row r="729">
      <c r="A729" s="392"/>
      <c r="B729" s="392"/>
      <c r="C729" s="392"/>
      <c r="D729" s="392"/>
      <c r="E729" s="392"/>
      <c r="F729" s="229"/>
      <c r="G729" s="229"/>
      <c r="H729" s="392"/>
      <c r="I729" s="229"/>
      <c r="J729" s="229"/>
      <c r="K729" s="399"/>
      <c r="L729" s="399"/>
      <c r="M729" s="399"/>
      <c r="N729" s="229"/>
      <c r="O729" s="229"/>
      <c r="P729" s="229"/>
      <c r="Q729" s="229"/>
      <c r="R729" s="229"/>
      <c r="S729" s="229"/>
      <c r="T729" s="229"/>
      <c r="U729" s="229"/>
      <c r="V729" s="400"/>
      <c r="W729" s="229"/>
      <c r="X729" s="229"/>
      <c r="Y729" s="4"/>
      <c r="Z729" s="4"/>
    </row>
    <row r="730">
      <c r="A730" s="392"/>
      <c r="B730" s="392"/>
      <c r="C730" s="392"/>
      <c r="D730" s="392"/>
      <c r="E730" s="392"/>
      <c r="F730" s="229"/>
      <c r="G730" s="229"/>
      <c r="H730" s="392"/>
      <c r="I730" s="229"/>
      <c r="J730" s="229"/>
      <c r="K730" s="399"/>
      <c r="L730" s="399"/>
      <c r="M730" s="399"/>
      <c r="N730" s="229"/>
      <c r="O730" s="229"/>
      <c r="P730" s="229"/>
      <c r="Q730" s="229"/>
      <c r="R730" s="229"/>
      <c r="S730" s="229"/>
      <c r="T730" s="229"/>
      <c r="U730" s="229"/>
      <c r="V730" s="400"/>
      <c r="W730" s="229"/>
      <c r="X730" s="229"/>
      <c r="Y730" s="4"/>
      <c r="Z730" s="4"/>
    </row>
    <row r="731">
      <c r="A731" s="392"/>
      <c r="B731" s="392"/>
      <c r="C731" s="392"/>
      <c r="D731" s="392"/>
      <c r="E731" s="392"/>
      <c r="F731" s="229"/>
      <c r="G731" s="229"/>
      <c r="H731" s="392"/>
      <c r="I731" s="229"/>
      <c r="J731" s="229"/>
      <c r="K731" s="399"/>
      <c r="L731" s="399"/>
      <c r="M731" s="399"/>
      <c r="N731" s="229"/>
      <c r="O731" s="229"/>
      <c r="P731" s="229"/>
      <c r="Q731" s="229"/>
      <c r="R731" s="229"/>
      <c r="S731" s="229"/>
      <c r="T731" s="229"/>
      <c r="U731" s="229"/>
      <c r="V731" s="400"/>
      <c r="W731" s="229"/>
      <c r="X731" s="229"/>
      <c r="Y731" s="4"/>
      <c r="Z731" s="4"/>
    </row>
    <row r="732">
      <c r="A732" s="392"/>
      <c r="B732" s="392"/>
      <c r="C732" s="392"/>
      <c r="D732" s="392"/>
      <c r="E732" s="392"/>
      <c r="F732" s="229"/>
      <c r="G732" s="229"/>
      <c r="H732" s="392"/>
      <c r="I732" s="229"/>
      <c r="J732" s="229"/>
      <c r="K732" s="399"/>
      <c r="L732" s="399"/>
      <c r="M732" s="399"/>
      <c r="N732" s="229"/>
      <c r="O732" s="229"/>
      <c r="P732" s="229"/>
      <c r="Q732" s="229"/>
      <c r="R732" s="229"/>
      <c r="S732" s="229"/>
      <c r="T732" s="229"/>
      <c r="U732" s="229"/>
      <c r="V732" s="400"/>
      <c r="W732" s="229"/>
      <c r="X732" s="229"/>
      <c r="Y732" s="4"/>
      <c r="Z732" s="4"/>
    </row>
    <row r="733">
      <c r="A733" s="392"/>
      <c r="B733" s="392"/>
      <c r="C733" s="392"/>
      <c r="D733" s="392"/>
      <c r="E733" s="392"/>
      <c r="F733" s="229"/>
      <c r="G733" s="229"/>
      <c r="H733" s="392"/>
      <c r="I733" s="229"/>
      <c r="J733" s="229"/>
      <c r="K733" s="399"/>
      <c r="L733" s="399"/>
      <c r="M733" s="399"/>
      <c r="N733" s="229"/>
      <c r="O733" s="229"/>
      <c r="P733" s="229"/>
      <c r="Q733" s="229"/>
      <c r="R733" s="229"/>
      <c r="S733" s="229"/>
      <c r="T733" s="229"/>
      <c r="U733" s="229"/>
      <c r="V733" s="400"/>
      <c r="W733" s="229"/>
      <c r="X733" s="229"/>
      <c r="Y733" s="4"/>
      <c r="Z733" s="4"/>
    </row>
    <row r="734">
      <c r="A734" s="392"/>
      <c r="B734" s="392"/>
      <c r="C734" s="392"/>
      <c r="D734" s="392"/>
      <c r="E734" s="392"/>
      <c r="F734" s="229"/>
      <c r="G734" s="229"/>
      <c r="H734" s="392"/>
      <c r="I734" s="229"/>
      <c r="J734" s="229"/>
      <c r="K734" s="399"/>
      <c r="L734" s="399"/>
      <c r="M734" s="399"/>
      <c r="N734" s="229"/>
      <c r="O734" s="229"/>
      <c r="P734" s="229"/>
      <c r="Q734" s="229"/>
      <c r="R734" s="229"/>
      <c r="S734" s="229"/>
      <c r="T734" s="229"/>
      <c r="U734" s="229"/>
      <c r="V734" s="400"/>
      <c r="W734" s="229"/>
      <c r="X734" s="229"/>
      <c r="Y734" s="4"/>
      <c r="Z734" s="4"/>
    </row>
    <row r="735">
      <c r="A735" s="392"/>
      <c r="B735" s="392"/>
      <c r="C735" s="392"/>
      <c r="D735" s="392"/>
      <c r="E735" s="392"/>
      <c r="F735" s="229"/>
      <c r="G735" s="229"/>
      <c r="H735" s="392"/>
      <c r="I735" s="229"/>
      <c r="J735" s="229"/>
      <c r="K735" s="399"/>
      <c r="L735" s="399"/>
      <c r="M735" s="399"/>
      <c r="N735" s="229"/>
      <c r="O735" s="229"/>
      <c r="P735" s="229"/>
      <c r="Q735" s="229"/>
      <c r="R735" s="229"/>
      <c r="S735" s="229"/>
      <c r="T735" s="229"/>
      <c r="U735" s="229"/>
      <c r="V735" s="400"/>
      <c r="W735" s="229"/>
      <c r="X735" s="229"/>
      <c r="Y735" s="4"/>
      <c r="Z735" s="4"/>
    </row>
    <row r="736">
      <c r="A736" s="392"/>
      <c r="B736" s="392"/>
      <c r="C736" s="392"/>
      <c r="D736" s="392"/>
      <c r="E736" s="392"/>
      <c r="F736" s="229"/>
      <c r="G736" s="229"/>
      <c r="H736" s="392"/>
      <c r="I736" s="229"/>
      <c r="J736" s="229"/>
      <c r="K736" s="399"/>
      <c r="L736" s="399"/>
      <c r="M736" s="399"/>
      <c r="N736" s="229"/>
      <c r="O736" s="229"/>
      <c r="P736" s="229"/>
      <c r="Q736" s="229"/>
      <c r="R736" s="229"/>
      <c r="S736" s="229"/>
      <c r="T736" s="229"/>
      <c r="U736" s="229"/>
      <c r="V736" s="400"/>
      <c r="W736" s="229"/>
      <c r="X736" s="229"/>
      <c r="Y736" s="4"/>
      <c r="Z736" s="4"/>
    </row>
    <row r="737">
      <c r="A737" s="392"/>
      <c r="B737" s="392"/>
      <c r="C737" s="392"/>
      <c r="D737" s="392"/>
      <c r="E737" s="392"/>
      <c r="F737" s="229"/>
      <c r="G737" s="229"/>
      <c r="H737" s="392"/>
      <c r="I737" s="229"/>
      <c r="J737" s="229"/>
      <c r="K737" s="399"/>
      <c r="L737" s="399"/>
      <c r="M737" s="399"/>
      <c r="N737" s="229"/>
      <c r="O737" s="229"/>
      <c r="P737" s="229"/>
      <c r="Q737" s="229"/>
      <c r="R737" s="229"/>
      <c r="S737" s="229"/>
      <c r="T737" s="229"/>
      <c r="U737" s="229"/>
      <c r="V737" s="400"/>
      <c r="W737" s="229"/>
      <c r="X737" s="229"/>
      <c r="Y737" s="4"/>
      <c r="Z737" s="4"/>
    </row>
    <row r="738">
      <c r="A738" s="392"/>
      <c r="B738" s="392"/>
      <c r="C738" s="392"/>
      <c r="D738" s="392"/>
      <c r="E738" s="392"/>
      <c r="F738" s="229"/>
      <c r="G738" s="229"/>
      <c r="H738" s="392"/>
      <c r="I738" s="229"/>
      <c r="J738" s="229"/>
      <c r="K738" s="399"/>
      <c r="L738" s="399"/>
      <c r="M738" s="399"/>
      <c r="N738" s="229"/>
      <c r="O738" s="229"/>
      <c r="P738" s="229"/>
      <c r="Q738" s="229"/>
      <c r="R738" s="229"/>
      <c r="S738" s="229"/>
      <c r="T738" s="229"/>
      <c r="U738" s="229"/>
      <c r="V738" s="400"/>
      <c r="W738" s="229"/>
      <c r="X738" s="229"/>
      <c r="Y738" s="4"/>
      <c r="Z738" s="4"/>
    </row>
    <row r="739">
      <c r="A739" s="392"/>
      <c r="B739" s="392"/>
      <c r="C739" s="392"/>
      <c r="D739" s="392"/>
      <c r="E739" s="392"/>
      <c r="F739" s="229"/>
      <c r="G739" s="229"/>
      <c r="H739" s="392"/>
      <c r="I739" s="229"/>
      <c r="J739" s="229"/>
      <c r="K739" s="399"/>
      <c r="L739" s="399"/>
      <c r="M739" s="399"/>
      <c r="N739" s="229"/>
      <c r="O739" s="229"/>
      <c r="P739" s="229"/>
      <c r="Q739" s="229"/>
      <c r="R739" s="229"/>
      <c r="S739" s="229"/>
      <c r="T739" s="229"/>
      <c r="U739" s="229"/>
      <c r="V739" s="400"/>
      <c r="W739" s="229"/>
      <c r="X739" s="229"/>
      <c r="Y739" s="4"/>
      <c r="Z739" s="4"/>
    </row>
    <row r="740">
      <c r="A740" s="392"/>
      <c r="B740" s="392"/>
      <c r="C740" s="392"/>
      <c r="D740" s="392"/>
      <c r="E740" s="392"/>
      <c r="F740" s="229"/>
      <c r="G740" s="229"/>
      <c r="H740" s="392"/>
      <c r="I740" s="229"/>
      <c r="J740" s="229"/>
      <c r="K740" s="399"/>
      <c r="L740" s="399"/>
      <c r="M740" s="399"/>
      <c r="N740" s="229"/>
      <c r="O740" s="229"/>
      <c r="P740" s="229"/>
      <c r="Q740" s="229"/>
      <c r="R740" s="229"/>
      <c r="S740" s="229"/>
      <c r="T740" s="229"/>
      <c r="U740" s="229"/>
      <c r="V740" s="400"/>
      <c r="W740" s="229"/>
      <c r="X740" s="229"/>
      <c r="Y740" s="4"/>
      <c r="Z740" s="4"/>
    </row>
    <row r="741">
      <c r="A741" s="392"/>
      <c r="B741" s="392"/>
      <c r="C741" s="392"/>
      <c r="D741" s="392"/>
      <c r="E741" s="392"/>
      <c r="F741" s="229"/>
      <c r="G741" s="229"/>
      <c r="H741" s="392"/>
      <c r="I741" s="229"/>
      <c r="J741" s="229"/>
      <c r="K741" s="399"/>
      <c r="L741" s="399"/>
      <c r="M741" s="399"/>
      <c r="N741" s="229"/>
      <c r="O741" s="229"/>
      <c r="P741" s="229"/>
      <c r="Q741" s="229"/>
      <c r="R741" s="229"/>
      <c r="S741" s="229"/>
      <c r="T741" s="229"/>
      <c r="U741" s="229"/>
      <c r="V741" s="400"/>
      <c r="W741" s="229"/>
      <c r="X741" s="229"/>
      <c r="Y741" s="4"/>
      <c r="Z741" s="4"/>
    </row>
    <row r="742">
      <c r="A742" s="392"/>
      <c r="B742" s="392"/>
      <c r="C742" s="392"/>
      <c r="D742" s="392"/>
      <c r="E742" s="392"/>
      <c r="F742" s="229"/>
      <c r="G742" s="229"/>
      <c r="H742" s="392"/>
      <c r="I742" s="229"/>
      <c r="J742" s="229"/>
      <c r="K742" s="399"/>
      <c r="L742" s="399"/>
      <c r="M742" s="399"/>
      <c r="N742" s="229"/>
      <c r="O742" s="229"/>
      <c r="P742" s="229"/>
      <c r="Q742" s="229"/>
      <c r="R742" s="229"/>
      <c r="S742" s="229"/>
      <c r="T742" s="229"/>
      <c r="U742" s="229"/>
      <c r="V742" s="400"/>
      <c r="W742" s="229"/>
      <c r="X742" s="229"/>
      <c r="Y742" s="4"/>
      <c r="Z742" s="4"/>
    </row>
    <row r="743">
      <c r="A743" s="392"/>
      <c r="B743" s="392"/>
      <c r="C743" s="392"/>
      <c r="D743" s="392"/>
      <c r="E743" s="392"/>
      <c r="F743" s="229"/>
      <c r="G743" s="229"/>
      <c r="H743" s="392"/>
      <c r="I743" s="229"/>
      <c r="J743" s="229"/>
      <c r="K743" s="399"/>
      <c r="L743" s="399"/>
      <c r="M743" s="399"/>
      <c r="N743" s="229"/>
      <c r="O743" s="229"/>
      <c r="P743" s="229"/>
      <c r="Q743" s="229"/>
      <c r="R743" s="229"/>
      <c r="S743" s="229"/>
      <c r="T743" s="229"/>
      <c r="U743" s="229"/>
      <c r="V743" s="400"/>
      <c r="W743" s="229"/>
      <c r="X743" s="229"/>
      <c r="Y743" s="4"/>
      <c r="Z743" s="4"/>
    </row>
    <row r="744">
      <c r="A744" s="392"/>
      <c r="B744" s="392"/>
      <c r="C744" s="392"/>
      <c r="D744" s="392"/>
      <c r="E744" s="392"/>
      <c r="F744" s="229"/>
      <c r="G744" s="229"/>
      <c r="H744" s="392"/>
      <c r="I744" s="229"/>
      <c r="J744" s="229"/>
      <c r="K744" s="399"/>
      <c r="L744" s="399"/>
      <c r="M744" s="399"/>
      <c r="N744" s="229"/>
      <c r="O744" s="229"/>
      <c r="P744" s="229"/>
      <c r="Q744" s="229"/>
      <c r="R744" s="229"/>
      <c r="S744" s="229"/>
      <c r="T744" s="229"/>
      <c r="U744" s="229"/>
      <c r="V744" s="400"/>
      <c r="W744" s="229"/>
      <c r="X744" s="229"/>
      <c r="Y744" s="4"/>
      <c r="Z744" s="4"/>
    </row>
    <row r="745">
      <c r="A745" s="392"/>
      <c r="B745" s="392"/>
      <c r="C745" s="392"/>
      <c r="D745" s="392"/>
      <c r="E745" s="392"/>
      <c r="F745" s="229"/>
      <c r="G745" s="229"/>
      <c r="H745" s="392"/>
      <c r="I745" s="229"/>
      <c r="J745" s="229"/>
      <c r="K745" s="399"/>
      <c r="L745" s="399"/>
      <c r="M745" s="399"/>
      <c r="N745" s="229"/>
      <c r="O745" s="229"/>
      <c r="P745" s="229"/>
      <c r="Q745" s="229"/>
      <c r="R745" s="229"/>
      <c r="S745" s="229"/>
      <c r="T745" s="229"/>
      <c r="U745" s="229"/>
      <c r="V745" s="400"/>
      <c r="W745" s="229"/>
      <c r="X745" s="229"/>
      <c r="Y745" s="4"/>
      <c r="Z745" s="4"/>
    </row>
    <row r="746">
      <c r="A746" s="392"/>
      <c r="B746" s="392"/>
      <c r="C746" s="392"/>
      <c r="D746" s="392"/>
      <c r="E746" s="392"/>
      <c r="F746" s="229"/>
      <c r="G746" s="229"/>
      <c r="H746" s="392"/>
      <c r="I746" s="229"/>
      <c r="J746" s="229"/>
      <c r="K746" s="399"/>
      <c r="L746" s="399"/>
      <c r="M746" s="399"/>
      <c r="N746" s="229"/>
      <c r="O746" s="229"/>
      <c r="P746" s="229"/>
      <c r="Q746" s="229"/>
      <c r="R746" s="229"/>
      <c r="S746" s="229"/>
      <c r="T746" s="229"/>
      <c r="U746" s="229"/>
      <c r="V746" s="400"/>
      <c r="W746" s="229"/>
      <c r="X746" s="229"/>
      <c r="Y746" s="4"/>
      <c r="Z746" s="4"/>
    </row>
    <row r="747">
      <c r="A747" s="392"/>
      <c r="B747" s="392"/>
      <c r="C747" s="392"/>
      <c r="D747" s="392"/>
      <c r="E747" s="392"/>
      <c r="F747" s="229"/>
      <c r="G747" s="229"/>
      <c r="H747" s="392"/>
      <c r="I747" s="229"/>
      <c r="J747" s="229"/>
      <c r="K747" s="399"/>
      <c r="L747" s="399"/>
      <c r="M747" s="399"/>
      <c r="N747" s="229"/>
      <c r="O747" s="229"/>
      <c r="P747" s="229"/>
      <c r="Q747" s="229"/>
      <c r="R747" s="229"/>
      <c r="S747" s="229"/>
      <c r="T747" s="229"/>
      <c r="U747" s="229"/>
      <c r="V747" s="400"/>
      <c r="W747" s="229"/>
      <c r="X747" s="229"/>
      <c r="Y747" s="4"/>
      <c r="Z747" s="4"/>
    </row>
    <row r="748">
      <c r="A748" s="392"/>
      <c r="B748" s="392"/>
      <c r="C748" s="392"/>
      <c r="D748" s="392"/>
      <c r="E748" s="392"/>
      <c r="F748" s="229"/>
      <c r="G748" s="229"/>
      <c r="H748" s="392"/>
      <c r="I748" s="229"/>
      <c r="J748" s="229"/>
      <c r="K748" s="399"/>
      <c r="L748" s="399"/>
      <c r="M748" s="399"/>
      <c r="N748" s="229"/>
      <c r="O748" s="229"/>
      <c r="P748" s="229"/>
      <c r="Q748" s="229"/>
      <c r="R748" s="229"/>
      <c r="S748" s="229"/>
      <c r="T748" s="229"/>
      <c r="U748" s="229"/>
      <c r="V748" s="400"/>
      <c r="W748" s="229"/>
      <c r="X748" s="229"/>
      <c r="Y748" s="4"/>
      <c r="Z748" s="4"/>
    </row>
    <row r="749">
      <c r="A749" s="392"/>
      <c r="B749" s="392"/>
      <c r="C749" s="392"/>
      <c r="D749" s="392"/>
      <c r="E749" s="392"/>
      <c r="F749" s="229"/>
      <c r="G749" s="229"/>
      <c r="H749" s="392"/>
      <c r="I749" s="229"/>
      <c r="J749" s="229"/>
      <c r="K749" s="399"/>
      <c r="L749" s="399"/>
      <c r="M749" s="399"/>
      <c r="N749" s="229"/>
      <c r="O749" s="229"/>
      <c r="P749" s="229"/>
      <c r="Q749" s="229"/>
      <c r="R749" s="229"/>
      <c r="S749" s="229"/>
      <c r="T749" s="229"/>
      <c r="U749" s="229"/>
      <c r="V749" s="400"/>
      <c r="W749" s="229"/>
      <c r="X749" s="229"/>
      <c r="Y749" s="4"/>
      <c r="Z749" s="4"/>
    </row>
    <row r="750">
      <c r="A750" s="392"/>
      <c r="B750" s="392"/>
      <c r="C750" s="392"/>
      <c r="D750" s="392"/>
      <c r="E750" s="392"/>
      <c r="F750" s="229"/>
      <c r="G750" s="229"/>
      <c r="H750" s="392"/>
      <c r="I750" s="229"/>
      <c r="J750" s="229"/>
      <c r="K750" s="399"/>
      <c r="L750" s="399"/>
      <c r="M750" s="399"/>
      <c r="N750" s="229"/>
      <c r="O750" s="229"/>
      <c r="P750" s="229"/>
      <c r="Q750" s="229"/>
      <c r="R750" s="229"/>
      <c r="S750" s="229"/>
      <c r="T750" s="229"/>
      <c r="U750" s="229"/>
      <c r="V750" s="400"/>
      <c r="W750" s="229"/>
      <c r="X750" s="229"/>
      <c r="Y750" s="4"/>
      <c r="Z750" s="4"/>
    </row>
    <row r="751">
      <c r="A751" s="392"/>
      <c r="B751" s="392"/>
      <c r="C751" s="392"/>
      <c r="D751" s="392"/>
      <c r="E751" s="392"/>
      <c r="F751" s="229"/>
      <c r="G751" s="229"/>
      <c r="H751" s="392"/>
      <c r="I751" s="229"/>
      <c r="J751" s="229"/>
      <c r="K751" s="399"/>
      <c r="L751" s="399"/>
      <c r="M751" s="399"/>
      <c r="N751" s="229"/>
      <c r="O751" s="229"/>
      <c r="P751" s="229"/>
      <c r="Q751" s="229"/>
      <c r="R751" s="229"/>
      <c r="S751" s="229"/>
      <c r="T751" s="229"/>
      <c r="U751" s="229"/>
      <c r="V751" s="400"/>
      <c r="W751" s="229"/>
      <c r="X751" s="229"/>
      <c r="Y751" s="4"/>
      <c r="Z751" s="4"/>
    </row>
    <row r="752">
      <c r="A752" s="392"/>
      <c r="B752" s="392"/>
      <c r="C752" s="392"/>
      <c r="D752" s="392"/>
      <c r="E752" s="392"/>
      <c r="F752" s="229"/>
      <c r="G752" s="229"/>
      <c r="H752" s="392"/>
      <c r="I752" s="229"/>
      <c r="J752" s="229"/>
      <c r="K752" s="399"/>
      <c r="L752" s="399"/>
      <c r="M752" s="399"/>
      <c r="N752" s="229"/>
      <c r="O752" s="229"/>
      <c r="P752" s="229"/>
      <c r="Q752" s="229"/>
      <c r="R752" s="229"/>
      <c r="S752" s="229"/>
      <c r="T752" s="229"/>
      <c r="U752" s="229"/>
      <c r="V752" s="400"/>
      <c r="W752" s="229"/>
      <c r="X752" s="229"/>
      <c r="Y752" s="4"/>
      <c r="Z752" s="4"/>
    </row>
    <row r="753">
      <c r="A753" s="392"/>
      <c r="B753" s="392"/>
      <c r="C753" s="392"/>
      <c r="D753" s="392"/>
      <c r="E753" s="392"/>
      <c r="F753" s="229"/>
      <c r="G753" s="229"/>
      <c r="H753" s="392"/>
      <c r="I753" s="229"/>
      <c r="J753" s="229"/>
      <c r="K753" s="399"/>
      <c r="L753" s="399"/>
      <c r="M753" s="399"/>
      <c r="N753" s="229"/>
      <c r="O753" s="229"/>
      <c r="P753" s="229"/>
      <c r="Q753" s="229"/>
      <c r="R753" s="229"/>
      <c r="S753" s="229"/>
      <c r="T753" s="229"/>
      <c r="U753" s="229"/>
      <c r="V753" s="400"/>
      <c r="W753" s="229"/>
      <c r="X753" s="229"/>
      <c r="Y753" s="4"/>
      <c r="Z753" s="4"/>
    </row>
    <row r="754">
      <c r="A754" s="392"/>
      <c r="B754" s="392"/>
      <c r="C754" s="392"/>
      <c r="D754" s="392"/>
      <c r="E754" s="392"/>
      <c r="F754" s="229"/>
      <c r="G754" s="229"/>
      <c r="H754" s="392"/>
      <c r="I754" s="229"/>
      <c r="J754" s="229"/>
      <c r="K754" s="399"/>
      <c r="L754" s="399"/>
      <c r="M754" s="399"/>
      <c r="N754" s="229"/>
      <c r="O754" s="229"/>
      <c r="P754" s="229"/>
      <c r="Q754" s="229"/>
      <c r="R754" s="229"/>
      <c r="S754" s="229"/>
      <c r="T754" s="229"/>
      <c r="U754" s="229"/>
      <c r="V754" s="400"/>
      <c r="W754" s="229"/>
      <c r="X754" s="229"/>
      <c r="Y754" s="4"/>
      <c r="Z754" s="4"/>
    </row>
    <row r="755">
      <c r="A755" s="392"/>
      <c r="B755" s="392"/>
      <c r="C755" s="392"/>
      <c r="D755" s="392"/>
      <c r="E755" s="392"/>
      <c r="F755" s="229"/>
      <c r="G755" s="229"/>
      <c r="H755" s="392"/>
      <c r="I755" s="229"/>
      <c r="J755" s="229"/>
      <c r="K755" s="399"/>
      <c r="L755" s="399"/>
      <c r="M755" s="399"/>
      <c r="N755" s="229"/>
      <c r="O755" s="229"/>
      <c r="P755" s="229"/>
      <c r="Q755" s="229"/>
      <c r="R755" s="229"/>
      <c r="S755" s="229"/>
      <c r="T755" s="229"/>
      <c r="U755" s="229"/>
      <c r="V755" s="400"/>
      <c r="W755" s="229"/>
      <c r="X755" s="229"/>
      <c r="Y755" s="4"/>
      <c r="Z755" s="4"/>
    </row>
    <row r="756">
      <c r="A756" s="392"/>
      <c r="B756" s="392"/>
      <c r="C756" s="392"/>
      <c r="D756" s="392"/>
      <c r="E756" s="392"/>
      <c r="F756" s="229"/>
      <c r="G756" s="229"/>
      <c r="H756" s="392"/>
      <c r="I756" s="229"/>
      <c r="J756" s="229"/>
      <c r="K756" s="399"/>
      <c r="L756" s="399"/>
      <c r="M756" s="399"/>
      <c r="N756" s="229"/>
      <c r="O756" s="229"/>
      <c r="P756" s="229"/>
      <c r="Q756" s="229"/>
      <c r="R756" s="229"/>
      <c r="S756" s="229"/>
      <c r="T756" s="229"/>
      <c r="U756" s="229"/>
      <c r="V756" s="400"/>
      <c r="W756" s="229"/>
      <c r="X756" s="229"/>
      <c r="Y756" s="4"/>
      <c r="Z756" s="4"/>
    </row>
    <row r="757">
      <c r="A757" s="392"/>
      <c r="B757" s="392"/>
      <c r="C757" s="392"/>
      <c r="D757" s="392"/>
      <c r="E757" s="392"/>
      <c r="F757" s="229"/>
      <c r="G757" s="229"/>
      <c r="H757" s="392"/>
      <c r="I757" s="229"/>
      <c r="J757" s="229"/>
      <c r="K757" s="399"/>
      <c r="L757" s="399"/>
      <c r="M757" s="399"/>
      <c r="N757" s="229"/>
      <c r="O757" s="229"/>
      <c r="P757" s="229"/>
      <c r="Q757" s="229"/>
      <c r="R757" s="229"/>
      <c r="S757" s="229"/>
      <c r="T757" s="229"/>
      <c r="U757" s="229"/>
      <c r="V757" s="400"/>
      <c r="W757" s="229"/>
      <c r="X757" s="229"/>
      <c r="Y757" s="4"/>
      <c r="Z757" s="4"/>
    </row>
    <row r="758">
      <c r="A758" s="392"/>
      <c r="B758" s="392"/>
      <c r="C758" s="392"/>
      <c r="D758" s="392"/>
      <c r="E758" s="392"/>
      <c r="F758" s="229"/>
      <c r="G758" s="229"/>
      <c r="H758" s="392"/>
      <c r="I758" s="229"/>
      <c r="J758" s="229"/>
      <c r="K758" s="399"/>
      <c r="L758" s="399"/>
      <c r="M758" s="399"/>
      <c r="N758" s="229"/>
      <c r="O758" s="229"/>
      <c r="P758" s="229"/>
      <c r="Q758" s="229"/>
      <c r="R758" s="229"/>
      <c r="S758" s="229"/>
      <c r="T758" s="229"/>
      <c r="U758" s="229"/>
      <c r="V758" s="400"/>
      <c r="W758" s="229"/>
      <c r="X758" s="229"/>
      <c r="Y758" s="4"/>
      <c r="Z758" s="4"/>
    </row>
    <row r="759">
      <c r="A759" s="392"/>
      <c r="B759" s="392"/>
      <c r="C759" s="392"/>
      <c r="D759" s="392"/>
      <c r="E759" s="392"/>
      <c r="F759" s="229"/>
      <c r="G759" s="229"/>
      <c r="H759" s="392"/>
      <c r="I759" s="229"/>
      <c r="J759" s="229"/>
      <c r="K759" s="399"/>
      <c r="L759" s="399"/>
      <c r="M759" s="399"/>
      <c r="N759" s="229"/>
      <c r="O759" s="229"/>
      <c r="P759" s="229"/>
      <c r="Q759" s="229"/>
      <c r="R759" s="229"/>
      <c r="S759" s="229"/>
      <c r="T759" s="229"/>
      <c r="U759" s="229"/>
      <c r="V759" s="400"/>
      <c r="W759" s="229"/>
      <c r="X759" s="229"/>
      <c r="Y759" s="4"/>
      <c r="Z759" s="4"/>
    </row>
    <row r="760">
      <c r="A760" s="392"/>
      <c r="B760" s="392"/>
      <c r="C760" s="392"/>
      <c r="D760" s="392"/>
      <c r="E760" s="392"/>
      <c r="F760" s="229"/>
      <c r="G760" s="229"/>
      <c r="H760" s="392"/>
      <c r="I760" s="229"/>
      <c r="J760" s="229"/>
      <c r="K760" s="399"/>
      <c r="L760" s="399"/>
      <c r="M760" s="399"/>
      <c r="N760" s="229"/>
      <c r="O760" s="229"/>
      <c r="P760" s="229"/>
      <c r="Q760" s="229"/>
      <c r="R760" s="229"/>
      <c r="S760" s="229"/>
      <c r="T760" s="229"/>
      <c r="U760" s="229"/>
      <c r="V760" s="400"/>
      <c r="W760" s="229"/>
      <c r="X760" s="229"/>
      <c r="Y760" s="4"/>
      <c r="Z760" s="4"/>
    </row>
    <row r="761">
      <c r="A761" s="392"/>
      <c r="B761" s="392"/>
      <c r="C761" s="392"/>
      <c r="D761" s="392"/>
      <c r="E761" s="392"/>
      <c r="F761" s="229"/>
      <c r="G761" s="229"/>
      <c r="H761" s="392"/>
      <c r="I761" s="229"/>
      <c r="J761" s="229"/>
      <c r="K761" s="399"/>
      <c r="L761" s="399"/>
      <c r="M761" s="399"/>
      <c r="N761" s="229"/>
      <c r="O761" s="229"/>
      <c r="P761" s="229"/>
      <c r="Q761" s="229"/>
      <c r="R761" s="229"/>
      <c r="S761" s="229"/>
      <c r="T761" s="229"/>
      <c r="U761" s="229"/>
      <c r="V761" s="400"/>
      <c r="W761" s="229"/>
      <c r="X761" s="229"/>
      <c r="Y761" s="4"/>
      <c r="Z761" s="4"/>
    </row>
    <row r="762">
      <c r="A762" s="392"/>
      <c r="B762" s="392"/>
      <c r="C762" s="392"/>
      <c r="D762" s="392"/>
      <c r="E762" s="392"/>
      <c r="F762" s="229"/>
      <c r="G762" s="229"/>
      <c r="H762" s="392"/>
      <c r="I762" s="229"/>
      <c r="J762" s="229"/>
      <c r="K762" s="399"/>
      <c r="L762" s="399"/>
      <c r="M762" s="399"/>
      <c r="N762" s="229"/>
      <c r="O762" s="229"/>
      <c r="P762" s="229"/>
      <c r="Q762" s="229"/>
      <c r="R762" s="229"/>
      <c r="S762" s="229"/>
      <c r="T762" s="229"/>
      <c r="U762" s="229"/>
      <c r="V762" s="400"/>
      <c r="W762" s="229"/>
      <c r="X762" s="229"/>
      <c r="Y762" s="4"/>
      <c r="Z762" s="4"/>
    </row>
    <row r="763">
      <c r="A763" s="392"/>
      <c r="B763" s="392"/>
      <c r="C763" s="392"/>
      <c r="D763" s="392"/>
      <c r="E763" s="392"/>
      <c r="F763" s="229"/>
      <c r="G763" s="229"/>
      <c r="H763" s="392"/>
      <c r="I763" s="229"/>
      <c r="J763" s="229"/>
      <c r="K763" s="399"/>
      <c r="L763" s="399"/>
      <c r="M763" s="399"/>
      <c r="N763" s="229"/>
      <c r="O763" s="229"/>
      <c r="P763" s="229"/>
      <c r="Q763" s="229"/>
      <c r="R763" s="229"/>
      <c r="S763" s="229"/>
      <c r="T763" s="229"/>
      <c r="U763" s="229"/>
      <c r="V763" s="400"/>
      <c r="W763" s="229"/>
      <c r="X763" s="229"/>
      <c r="Y763" s="4"/>
      <c r="Z763" s="4"/>
    </row>
    <row r="764">
      <c r="A764" s="392"/>
      <c r="B764" s="392"/>
      <c r="C764" s="392"/>
      <c r="D764" s="392"/>
      <c r="E764" s="392"/>
      <c r="F764" s="229"/>
      <c r="G764" s="229"/>
      <c r="H764" s="392"/>
      <c r="I764" s="229"/>
      <c r="J764" s="229"/>
      <c r="K764" s="399"/>
      <c r="L764" s="399"/>
      <c r="M764" s="399"/>
      <c r="N764" s="229"/>
      <c r="O764" s="229"/>
      <c r="P764" s="229"/>
      <c r="Q764" s="229"/>
      <c r="R764" s="229"/>
      <c r="S764" s="229"/>
      <c r="T764" s="229"/>
      <c r="U764" s="229"/>
      <c r="V764" s="400"/>
      <c r="W764" s="229"/>
      <c r="X764" s="229"/>
      <c r="Y764" s="4"/>
      <c r="Z764" s="4"/>
    </row>
    <row r="765">
      <c r="A765" s="392"/>
      <c r="B765" s="392"/>
      <c r="C765" s="392"/>
      <c r="D765" s="392"/>
      <c r="E765" s="392"/>
      <c r="F765" s="229"/>
      <c r="G765" s="229"/>
      <c r="H765" s="392"/>
      <c r="I765" s="229"/>
      <c r="J765" s="229"/>
      <c r="K765" s="399"/>
      <c r="L765" s="399"/>
      <c r="M765" s="399"/>
      <c r="N765" s="229"/>
      <c r="O765" s="229"/>
      <c r="P765" s="229"/>
      <c r="Q765" s="229"/>
      <c r="R765" s="229"/>
      <c r="S765" s="229"/>
      <c r="T765" s="229"/>
      <c r="U765" s="229"/>
      <c r="V765" s="400"/>
      <c r="W765" s="229"/>
      <c r="X765" s="229"/>
      <c r="Y765" s="4"/>
      <c r="Z765" s="4"/>
    </row>
    <row r="766">
      <c r="A766" s="392"/>
      <c r="B766" s="392"/>
      <c r="C766" s="392"/>
      <c r="D766" s="392"/>
      <c r="E766" s="392"/>
      <c r="F766" s="229"/>
      <c r="G766" s="229"/>
      <c r="H766" s="392"/>
      <c r="I766" s="229"/>
      <c r="J766" s="229"/>
      <c r="K766" s="399"/>
      <c r="L766" s="399"/>
      <c r="M766" s="399"/>
      <c r="N766" s="229"/>
      <c r="O766" s="229"/>
      <c r="P766" s="229"/>
      <c r="Q766" s="229"/>
      <c r="R766" s="229"/>
      <c r="S766" s="229"/>
      <c r="T766" s="229"/>
      <c r="U766" s="229"/>
      <c r="V766" s="400"/>
      <c r="W766" s="229"/>
      <c r="X766" s="229"/>
      <c r="Y766" s="4"/>
      <c r="Z766" s="4"/>
    </row>
    <row r="767">
      <c r="A767" s="392"/>
      <c r="B767" s="392"/>
      <c r="C767" s="392"/>
      <c r="D767" s="392"/>
      <c r="E767" s="392"/>
      <c r="F767" s="229"/>
      <c r="G767" s="229"/>
      <c r="H767" s="392"/>
      <c r="I767" s="229"/>
      <c r="J767" s="229"/>
      <c r="K767" s="399"/>
      <c r="L767" s="399"/>
      <c r="M767" s="399"/>
      <c r="N767" s="229"/>
      <c r="O767" s="229"/>
      <c r="P767" s="229"/>
      <c r="Q767" s="229"/>
      <c r="R767" s="229"/>
      <c r="S767" s="229"/>
      <c r="T767" s="229"/>
      <c r="U767" s="229"/>
      <c r="V767" s="400"/>
      <c r="W767" s="229"/>
      <c r="X767" s="229"/>
      <c r="Y767" s="4"/>
      <c r="Z767" s="4"/>
    </row>
    <row r="768">
      <c r="A768" s="392"/>
      <c r="B768" s="392"/>
      <c r="C768" s="392"/>
      <c r="D768" s="392"/>
      <c r="E768" s="392"/>
      <c r="F768" s="229"/>
      <c r="G768" s="229"/>
      <c r="H768" s="392"/>
      <c r="I768" s="229"/>
      <c r="J768" s="229"/>
      <c r="K768" s="399"/>
      <c r="L768" s="399"/>
      <c r="M768" s="399"/>
      <c r="N768" s="229"/>
      <c r="O768" s="229"/>
      <c r="P768" s="229"/>
      <c r="Q768" s="229"/>
      <c r="R768" s="229"/>
      <c r="S768" s="229"/>
      <c r="T768" s="229"/>
      <c r="U768" s="229"/>
      <c r="V768" s="400"/>
      <c r="W768" s="229"/>
      <c r="X768" s="229"/>
      <c r="Y768" s="4"/>
      <c r="Z768" s="4"/>
    </row>
    <row r="769">
      <c r="A769" s="392"/>
      <c r="B769" s="392"/>
      <c r="C769" s="392"/>
      <c r="D769" s="392"/>
      <c r="E769" s="392"/>
      <c r="F769" s="229"/>
      <c r="G769" s="229"/>
      <c r="H769" s="392"/>
      <c r="I769" s="229"/>
      <c r="J769" s="229"/>
      <c r="K769" s="399"/>
      <c r="L769" s="399"/>
      <c r="M769" s="399"/>
      <c r="N769" s="229"/>
      <c r="O769" s="229"/>
      <c r="P769" s="229"/>
      <c r="Q769" s="229"/>
      <c r="R769" s="229"/>
      <c r="S769" s="229"/>
      <c r="T769" s="229"/>
      <c r="U769" s="229"/>
      <c r="V769" s="400"/>
      <c r="W769" s="229"/>
      <c r="X769" s="229"/>
      <c r="Y769" s="4"/>
      <c r="Z769" s="4"/>
    </row>
    <row r="770">
      <c r="A770" s="392"/>
      <c r="B770" s="392"/>
      <c r="C770" s="392"/>
      <c r="D770" s="392"/>
      <c r="E770" s="392"/>
      <c r="F770" s="229"/>
      <c r="G770" s="229"/>
      <c r="H770" s="392"/>
      <c r="I770" s="229"/>
      <c r="J770" s="229"/>
      <c r="K770" s="399"/>
      <c r="L770" s="399"/>
      <c r="M770" s="399"/>
      <c r="N770" s="229"/>
      <c r="O770" s="229"/>
      <c r="P770" s="229"/>
      <c r="Q770" s="229"/>
      <c r="R770" s="229"/>
      <c r="S770" s="229"/>
      <c r="T770" s="229"/>
      <c r="U770" s="229"/>
      <c r="V770" s="400"/>
      <c r="W770" s="229"/>
      <c r="X770" s="229"/>
      <c r="Y770" s="4"/>
      <c r="Z770" s="4"/>
    </row>
    <row r="771">
      <c r="A771" s="392"/>
      <c r="B771" s="392"/>
      <c r="C771" s="392"/>
      <c r="D771" s="392"/>
      <c r="E771" s="392"/>
      <c r="F771" s="229"/>
      <c r="G771" s="229"/>
      <c r="H771" s="392"/>
      <c r="I771" s="229"/>
      <c r="J771" s="229"/>
      <c r="K771" s="399"/>
      <c r="L771" s="399"/>
      <c r="M771" s="399"/>
      <c r="N771" s="229"/>
      <c r="O771" s="229"/>
      <c r="P771" s="229"/>
      <c r="Q771" s="229"/>
      <c r="R771" s="229"/>
      <c r="S771" s="229"/>
      <c r="T771" s="229"/>
      <c r="U771" s="229"/>
      <c r="V771" s="400"/>
      <c r="W771" s="229"/>
      <c r="X771" s="229"/>
      <c r="Y771" s="4"/>
      <c r="Z771" s="4"/>
    </row>
    <row r="772">
      <c r="A772" s="392"/>
      <c r="B772" s="392"/>
      <c r="C772" s="392"/>
      <c r="D772" s="392"/>
      <c r="E772" s="392"/>
      <c r="F772" s="229"/>
      <c r="G772" s="229"/>
      <c r="H772" s="392"/>
      <c r="I772" s="229"/>
      <c r="J772" s="229"/>
      <c r="K772" s="399"/>
      <c r="L772" s="399"/>
      <c r="M772" s="399"/>
      <c r="N772" s="229"/>
      <c r="O772" s="229"/>
      <c r="P772" s="229"/>
      <c r="Q772" s="229"/>
      <c r="R772" s="229"/>
      <c r="S772" s="229"/>
      <c r="T772" s="229"/>
      <c r="U772" s="229"/>
      <c r="V772" s="400"/>
      <c r="W772" s="229"/>
      <c r="X772" s="229"/>
      <c r="Y772" s="4"/>
      <c r="Z772" s="4"/>
    </row>
    <row r="773">
      <c r="A773" s="392"/>
      <c r="B773" s="392"/>
      <c r="C773" s="392"/>
      <c r="D773" s="392"/>
      <c r="E773" s="392"/>
      <c r="F773" s="229"/>
      <c r="G773" s="229"/>
      <c r="H773" s="392"/>
      <c r="I773" s="229"/>
      <c r="J773" s="229"/>
      <c r="K773" s="399"/>
      <c r="L773" s="399"/>
      <c r="M773" s="399"/>
      <c r="N773" s="229"/>
      <c r="O773" s="229"/>
      <c r="P773" s="229"/>
      <c r="Q773" s="229"/>
      <c r="R773" s="229"/>
      <c r="S773" s="229"/>
      <c r="T773" s="229"/>
      <c r="U773" s="229"/>
      <c r="V773" s="400"/>
      <c r="W773" s="229"/>
      <c r="X773" s="229"/>
      <c r="Y773" s="4"/>
      <c r="Z773" s="4"/>
    </row>
    <row r="774">
      <c r="A774" s="392"/>
      <c r="B774" s="392"/>
      <c r="C774" s="392"/>
      <c r="D774" s="392"/>
      <c r="E774" s="392"/>
      <c r="F774" s="229"/>
      <c r="G774" s="229"/>
      <c r="H774" s="392"/>
      <c r="I774" s="229"/>
      <c r="J774" s="229"/>
      <c r="K774" s="399"/>
      <c r="L774" s="399"/>
      <c r="M774" s="399"/>
      <c r="N774" s="229"/>
      <c r="O774" s="229"/>
      <c r="P774" s="229"/>
      <c r="Q774" s="229"/>
      <c r="R774" s="229"/>
      <c r="S774" s="229"/>
      <c r="T774" s="229"/>
      <c r="U774" s="229"/>
      <c r="V774" s="400"/>
      <c r="W774" s="229"/>
      <c r="X774" s="229"/>
      <c r="Y774" s="4"/>
      <c r="Z774" s="4"/>
    </row>
    <row r="775">
      <c r="A775" s="392"/>
      <c r="B775" s="392"/>
      <c r="C775" s="392"/>
      <c r="D775" s="392"/>
      <c r="E775" s="392"/>
      <c r="F775" s="229"/>
      <c r="G775" s="229"/>
      <c r="H775" s="392"/>
      <c r="I775" s="229"/>
      <c r="J775" s="229"/>
      <c r="K775" s="399"/>
      <c r="L775" s="399"/>
      <c r="M775" s="399"/>
      <c r="N775" s="229"/>
      <c r="O775" s="229"/>
      <c r="P775" s="229"/>
      <c r="Q775" s="229"/>
      <c r="R775" s="229"/>
      <c r="S775" s="229"/>
      <c r="T775" s="229"/>
      <c r="U775" s="229"/>
      <c r="V775" s="400"/>
      <c r="W775" s="229"/>
      <c r="X775" s="229"/>
      <c r="Y775" s="4"/>
      <c r="Z775" s="4"/>
    </row>
    <row r="776">
      <c r="A776" s="392"/>
      <c r="B776" s="392"/>
      <c r="C776" s="392"/>
      <c r="D776" s="392"/>
      <c r="E776" s="392"/>
      <c r="F776" s="229"/>
      <c r="G776" s="229"/>
      <c r="H776" s="392"/>
      <c r="I776" s="229"/>
      <c r="J776" s="229"/>
      <c r="K776" s="399"/>
      <c r="L776" s="399"/>
      <c r="M776" s="399"/>
      <c r="N776" s="229"/>
      <c r="O776" s="229"/>
      <c r="P776" s="229"/>
      <c r="Q776" s="229"/>
      <c r="R776" s="229"/>
      <c r="S776" s="229"/>
      <c r="T776" s="229"/>
      <c r="U776" s="229"/>
      <c r="V776" s="400"/>
      <c r="W776" s="229"/>
      <c r="X776" s="229"/>
      <c r="Y776" s="4"/>
      <c r="Z776" s="4"/>
    </row>
    <row r="777">
      <c r="A777" s="392"/>
      <c r="B777" s="392"/>
      <c r="C777" s="392"/>
      <c r="D777" s="392"/>
      <c r="E777" s="392"/>
      <c r="F777" s="229"/>
      <c r="G777" s="229"/>
      <c r="H777" s="392"/>
      <c r="I777" s="229"/>
      <c r="J777" s="229"/>
      <c r="K777" s="399"/>
      <c r="L777" s="399"/>
      <c r="M777" s="399"/>
      <c r="N777" s="229"/>
      <c r="O777" s="229"/>
      <c r="P777" s="229"/>
      <c r="Q777" s="229"/>
      <c r="R777" s="229"/>
      <c r="S777" s="229"/>
      <c r="T777" s="229"/>
      <c r="U777" s="229"/>
      <c r="V777" s="400"/>
      <c r="W777" s="229"/>
      <c r="X777" s="229"/>
      <c r="Y777" s="4"/>
      <c r="Z777" s="4"/>
    </row>
    <row r="778">
      <c r="A778" s="392"/>
      <c r="B778" s="392"/>
      <c r="C778" s="392"/>
      <c r="D778" s="392"/>
      <c r="E778" s="392"/>
      <c r="F778" s="229"/>
      <c r="G778" s="229"/>
      <c r="H778" s="392"/>
      <c r="I778" s="229"/>
      <c r="J778" s="229"/>
      <c r="K778" s="399"/>
      <c r="L778" s="399"/>
      <c r="M778" s="399"/>
      <c r="N778" s="229"/>
      <c r="O778" s="229"/>
      <c r="P778" s="229"/>
      <c r="Q778" s="229"/>
      <c r="R778" s="229"/>
      <c r="S778" s="229"/>
      <c r="T778" s="229"/>
      <c r="U778" s="229"/>
      <c r="V778" s="400"/>
      <c r="W778" s="229"/>
      <c r="X778" s="229"/>
      <c r="Y778" s="4"/>
      <c r="Z778" s="4"/>
    </row>
    <row r="779">
      <c r="A779" s="392"/>
      <c r="B779" s="392"/>
      <c r="C779" s="392"/>
      <c r="D779" s="392"/>
      <c r="E779" s="392"/>
      <c r="F779" s="229"/>
      <c r="G779" s="229"/>
      <c r="H779" s="392"/>
      <c r="I779" s="229"/>
      <c r="J779" s="229"/>
      <c r="K779" s="399"/>
      <c r="L779" s="399"/>
      <c r="M779" s="399"/>
      <c r="N779" s="229"/>
      <c r="O779" s="229"/>
      <c r="P779" s="229"/>
      <c r="Q779" s="229"/>
      <c r="R779" s="229"/>
      <c r="S779" s="229"/>
      <c r="T779" s="229"/>
      <c r="U779" s="229"/>
      <c r="V779" s="400"/>
      <c r="W779" s="229"/>
      <c r="X779" s="229"/>
      <c r="Y779" s="4"/>
      <c r="Z779" s="4"/>
    </row>
    <row r="780">
      <c r="A780" s="392"/>
      <c r="B780" s="392"/>
      <c r="C780" s="392"/>
      <c r="D780" s="392"/>
      <c r="E780" s="392"/>
      <c r="F780" s="229"/>
      <c r="G780" s="229"/>
      <c r="H780" s="392"/>
      <c r="I780" s="229"/>
      <c r="J780" s="229"/>
      <c r="K780" s="399"/>
      <c r="L780" s="399"/>
      <c r="M780" s="399"/>
      <c r="N780" s="229"/>
      <c r="O780" s="229"/>
      <c r="P780" s="229"/>
      <c r="Q780" s="229"/>
      <c r="R780" s="229"/>
      <c r="S780" s="229"/>
      <c r="T780" s="229"/>
      <c r="U780" s="229"/>
      <c r="V780" s="400"/>
      <c r="W780" s="229"/>
      <c r="X780" s="229"/>
      <c r="Y780" s="4"/>
      <c r="Z780" s="4"/>
    </row>
    <row r="781">
      <c r="A781" s="392"/>
      <c r="B781" s="392"/>
      <c r="C781" s="392"/>
      <c r="D781" s="392"/>
      <c r="E781" s="392"/>
      <c r="F781" s="229"/>
      <c r="G781" s="229"/>
      <c r="H781" s="392"/>
      <c r="I781" s="229"/>
      <c r="J781" s="229"/>
      <c r="K781" s="399"/>
      <c r="L781" s="399"/>
      <c r="M781" s="399"/>
      <c r="N781" s="229"/>
      <c r="O781" s="229"/>
      <c r="P781" s="229"/>
      <c r="Q781" s="229"/>
      <c r="R781" s="229"/>
      <c r="S781" s="229"/>
      <c r="T781" s="229"/>
      <c r="U781" s="229"/>
      <c r="V781" s="400"/>
      <c r="W781" s="229"/>
      <c r="X781" s="229"/>
      <c r="Y781" s="4"/>
      <c r="Z781" s="4"/>
    </row>
    <row r="782">
      <c r="A782" s="392"/>
      <c r="B782" s="392"/>
      <c r="C782" s="392"/>
      <c r="D782" s="392"/>
      <c r="E782" s="392"/>
      <c r="F782" s="229"/>
      <c r="G782" s="229"/>
      <c r="H782" s="392"/>
      <c r="I782" s="229"/>
      <c r="J782" s="229"/>
      <c r="K782" s="399"/>
      <c r="L782" s="399"/>
      <c r="M782" s="399"/>
      <c r="N782" s="229"/>
      <c r="O782" s="229"/>
      <c r="P782" s="229"/>
      <c r="Q782" s="229"/>
      <c r="R782" s="229"/>
      <c r="S782" s="229"/>
      <c r="T782" s="229"/>
      <c r="U782" s="229"/>
      <c r="V782" s="400"/>
      <c r="W782" s="229"/>
      <c r="X782" s="229"/>
      <c r="Y782" s="4"/>
      <c r="Z782" s="4"/>
    </row>
    <row r="783">
      <c r="A783" s="392"/>
      <c r="B783" s="392"/>
      <c r="C783" s="392"/>
      <c r="D783" s="392"/>
      <c r="E783" s="392"/>
      <c r="F783" s="229"/>
      <c r="G783" s="229"/>
      <c r="H783" s="392"/>
      <c r="I783" s="229"/>
      <c r="J783" s="229"/>
      <c r="K783" s="399"/>
      <c r="L783" s="399"/>
      <c r="M783" s="399"/>
      <c r="N783" s="229"/>
      <c r="O783" s="229"/>
      <c r="P783" s="229"/>
      <c r="Q783" s="229"/>
      <c r="R783" s="229"/>
      <c r="S783" s="229"/>
      <c r="T783" s="229"/>
      <c r="U783" s="229"/>
      <c r="V783" s="400"/>
      <c r="W783" s="229"/>
      <c r="X783" s="229"/>
      <c r="Y783" s="4"/>
      <c r="Z783" s="4"/>
    </row>
    <row r="784">
      <c r="A784" s="392"/>
      <c r="B784" s="392"/>
      <c r="C784" s="392"/>
      <c r="D784" s="392"/>
      <c r="E784" s="392"/>
      <c r="F784" s="229"/>
      <c r="G784" s="229"/>
      <c r="H784" s="392"/>
      <c r="I784" s="229"/>
      <c r="J784" s="229"/>
      <c r="K784" s="399"/>
      <c r="L784" s="399"/>
      <c r="M784" s="399"/>
      <c r="N784" s="229"/>
      <c r="O784" s="229"/>
      <c r="P784" s="229"/>
      <c r="Q784" s="229"/>
      <c r="R784" s="229"/>
      <c r="S784" s="229"/>
      <c r="T784" s="229"/>
      <c r="U784" s="229"/>
      <c r="V784" s="400"/>
      <c r="W784" s="229"/>
      <c r="X784" s="229"/>
      <c r="Y784" s="4"/>
      <c r="Z784" s="4"/>
    </row>
    <row r="785">
      <c r="A785" s="392"/>
      <c r="B785" s="392"/>
      <c r="C785" s="392"/>
      <c r="D785" s="392"/>
      <c r="E785" s="392"/>
      <c r="F785" s="229"/>
      <c r="G785" s="229"/>
      <c r="H785" s="392"/>
      <c r="I785" s="229"/>
      <c r="J785" s="229"/>
      <c r="K785" s="399"/>
      <c r="L785" s="399"/>
      <c r="M785" s="399"/>
      <c r="N785" s="229"/>
      <c r="O785" s="229"/>
      <c r="P785" s="229"/>
      <c r="Q785" s="229"/>
      <c r="R785" s="229"/>
      <c r="S785" s="229"/>
      <c r="T785" s="229"/>
      <c r="U785" s="229"/>
      <c r="V785" s="400"/>
      <c r="W785" s="229"/>
      <c r="X785" s="229"/>
      <c r="Y785" s="4"/>
      <c r="Z785" s="4"/>
    </row>
    <row r="786">
      <c r="A786" s="392"/>
      <c r="B786" s="392"/>
      <c r="C786" s="392"/>
      <c r="D786" s="392"/>
      <c r="E786" s="392"/>
      <c r="F786" s="229"/>
      <c r="G786" s="229"/>
      <c r="H786" s="392"/>
      <c r="I786" s="229"/>
      <c r="J786" s="229"/>
      <c r="K786" s="399"/>
      <c r="L786" s="399"/>
      <c r="M786" s="399"/>
      <c r="N786" s="229"/>
      <c r="O786" s="229"/>
      <c r="P786" s="229"/>
      <c r="Q786" s="229"/>
      <c r="R786" s="229"/>
      <c r="S786" s="229"/>
      <c r="T786" s="229"/>
      <c r="U786" s="229"/>
      <c r="V786" s="400"/>
      <c r="W786" s="229"/>
      <c r="X786" s="229"/>
      <c r="Y786" s="4"/>
      <c r="Z786" s="4"/>
    </row>
    <row r="787">
      <c r="A787" s="392"/>
      <c r="B787" s="392"/>
      <c r="C787" s="392"/>
      <c r="D787" s="392"/>
      <c r="E787" s="392"/>
      <c r="F787" s="229"/>
      <c r="G787" s="229"/>
      <c r="H787" s="392"/>
      <c r="I787" s="229"/>
      <c r="J787" s="229"/>
      <c r="K787" s="399"/>
      <c r="L787" s="399"/>
      <c r="M787" s="399"/>
      <c r="N787" s="229"/>
      <c r="O787" s="229"/>
      <c r="P787" s="229"/>
      <c r="Q787" s="229"/>
      <c r="R787" s="229"/>
      <c r="S787" s="229"/>
      <c r="T787" s="229"/>
      <c r="U787" s="229"/>
      <c r="V787" s="400"/>
      <c r="W787" s="229"/>
      <c r="X787" s="229"/>
      <c r="Y787" s="4"/>
      <c r="Z787" s="4"/>
    </row>
    <row r="788">
      <c r="A788" s="392"/>
      <c r="B788" s="392"/>
      <c r="C788" s="392"/>
      <c r="D788" s="392"/>
      <c r="E788" s="392"/>
      <c r="F788" s="229"/>
      <c r="G788" s="229"/>
      <c r="H788" s="392"/>
      <c r="I788" s="229"/>
      <c r="J788" s="229"/>
      <c r="K788" s="399"/>
      <c r="L788" s="399"/>
      <c r="M788" s="399"/>
      <c r="N788" s="229"/>
      <c r="O788" s="229"/>
      <c r="P788" s="229"/>
      <c r="Q788" s="229"/>
      <c r="R788" s="229"/>
      <c r="S788" s="229"/>
      <c r="T788" s="229"/>
      <c r="U788" s="229"/>
      <c r="V788" s="400"/>
      <c r="W788" s="229"/>
      <c r="X788" s="229"/>
      <c r="Y788" s="4"/>
      <c r="Z788" s="4"/>
    </row>
    <row r="789">
      <c r="A789" s="392"/>
      <c r="B789" s="392"/>
      <c r="C789" s="392"/>
      <c r="D789" s="392"/>
      <c r="E789" s="392"/>
      <c r="F789" s="229"/>
      <c r="G789" s="229"/>
      <c r="H789" s="392"/>
      <c r="I789" s="229"/>
      <c r="J789" s="229"/>
      <c r="K789" s="399"/>
      <c r="L789" s="399"/>
      <c r="M789" s="399"/>
      <c r="N789" s="229"/>
      <c r="O789" s="229"/>
      <c r="P789" s="229"/>
      <c r="Q789" s="229"/>
      <c r="R789" s="229"/>
      <c r="S789" s="229"/>
      <c r="T789" s="229"/>
      <c r="U789" s="229"/>
      <c r="V789" s="400"/>
      <c r="W789" s="229"/>
      <c r="X789" s="229"/>
      <c r="Y789" s="4"/>
      <c r="Z789" s="4"/>
    </row>
    <row r="790">
      <c r="A790" s="392"/>
      <c r="B790" s="392"/>
      <c r="C790" s="392"/>
      <c r="D790" s="392"/>
      <c r="E790" s="392"/>
      <c r="F790" s="229"/>
      <c r="G790" s="229"/>
      <c r="H790" s="392"/>
      <c r="I790" s="229"/>
      <c r="J790" s="229"/>
      <c r="K790" s="399"/>
      <c r="L790" s="399"/>
      <c r="M790" s="399"/>
      <c r="N790" s="229"/>
      <c r="O790" s="229"/>
      <c r="P790" s="229"/>
      <c r="Q790" s="229"/>
      <c r="R790" s="229"/>
      <c r="S790" s="229"/>
      <c r="T790" s="229"/>
      <c r="U790" s="229"/>
      <c r="V790" s="400"/>
      <c r="W790" s="229"/>
      <c r="X790" s="229"/>
      <c r="Y790" s="4"/>
      <c r="Z790" s="4"/>
    </row>
    <row r="791">
      <c r="A791" s="392"/>
      <c r="B791" s="392"/>
      <c r="C791" s="392"/>
      <c r="D791" s="392"/>
      <c r="E791" s="392"/>
      <c r="F791" s="229"/>
      <c r="G791" s="229"/>
      <c r="H791" s="392"/>
      <c r="I791" s="229"/>
      <c r="J791" s="229"/>
      <c r="K791" s="399"/>
      <c r="L791" s="399"/>
      <c r="M791" s="399"/>
      <c r="N791" s="229"/>
      <c r="O791" s="229"/>
      <c r="P791" s="229"/>
      <c r="Q791" s="229"/>
      <c r="R791" s="229"/>
      <c r="S791" s="229"/>
      <c r="T791" s="229"/>
      <c r="U791" s="229"/>
      <c r="V791" s="400"/>
      <c r="W791" s="229"/>
      <c r="X791" s="229"/>
      <c r="Y791" s="4"/>
      <c r="Z791" s="4"/>
    </row>
    <row r="792">
      <c r="A792" s="392"/>
      <c r="B792" s="392"/>
      <c r="C792" s="392"/>
      <c r="D792" s="392"/>
      <c r="E792" s="392"/>
      <c r="F792" s="229"/>
      <c r="G792" s="229"/>
      <c r="H792" s="392"/>
      <c r="I792" s="229"/>
      <c r="J792" s="229"/>
      <c r="K792" s="399"/>
      <c r="L792" s="399"/>
      <c r="M792" s="399"/>
      <c r="N792" s="229"/>
      <c r="O792" s="229"/>
      <c r="P792" s="229"/>
      <c r="Q792" s="229"/>
      <c r="R792" s="229"/>
      <c r="S792" s="229"/>
      <c r="T792" s="229"/>
      <c r="U792" s="229"/>
      <c r="V792" s="400"/>
      <c r="W792" s="229"/>
      <c r="X792" s="229"/>
      <c r="Y792" s="4"/>
      <c r="Z792" s="4"/>
    </row>
    <row r="793">
      <c r="A793" s="392"/>
      <c r="B793" s="392"/>
      <c r="C793" s="392"/>
      <c r="D793" s="392"/>
      <c r="E793" s="392"/>
      <c r="F793" s="229"/>
      <c r="G793" s="229"/>
      <c r="H793" s="392"/>
      <c r="I793" s="229"/>
      <c r="J793" s="229"/>
      <c r="K793" s="399"/>
      <c r="L793" s="399"/>
      <c r="M793" s="399"/>
      <c r="N793" s="229"/>
      <c r="O793" s="229"/>
      <c r="P793" s="229"/>
      <c r="Q793" s="229"/>
      <c r="R793" s="229"/>
      <c r="S793" s="229"/>
      <c r="T793" s="229"/>
      <c r="U793" s="229"/>
      <c r="V793" s="400"/>
      <c r="W793" s="229"/>
      <c r="X793" s="229"/>
      <c r="Y793" s="4"/>
      <c r="Z793" s="4"/>
    </row>
    <row r="794">
      <c r="A794" s="392"/>
      <c r="B794" s="392"/>
      <c r="C794" s="392"/>
      <c r="D794" s="392"/>
      <c r="E794" s="392"/>
      <c r="F794" s="229"/>
      <c r="G794" s="229"/>
      <c r="H794" s="392"/>
      <c r="I794" s="229"/>
      <c r="J794" s="229"/>
      <c r="K794" s="399"/>
      <c r="L794" s="399"/>
      <c r="M794" s="399"/>
      <c r="N794" s="229"/>
      <c r="O794" s="229"/>
      <c r="P794" s="229"/>
      <c r="Q794" s="229"/>
      <c r="R794" s="229"/>
      <c r="S794" s="229"/>
      <c r="T794" s="229"/>
      <c r="U794" s="229"/>
      <c r="V794" s="400"/>
      <c r="W794" s="229"/>
      <c r="X794" s="229"/>
      <c r="Y794" s="4"/>
      <c r="Z794" s="4"/>
    </row>
    <row r="795">
      <c r="A795" s="392"/>
      <c r="B795" s="392"/>
      <c r="C795" s="392"/>
      <c r="D795" s="392"/>
      <c r="E795" s="392"/>
      <c r="F795" s="229"/>
      <c r="G795" s="229"/>
      <c r="H795" s="392"/>
      <c r="I795" s="229"/>
      <c r="J795" s="229"/>
      <c r="K795" s="399"/>
      <c r="L795" s="399"/>
      <c r="M795" s="399"/>
      <c r="N795" s="229"/>
      <c r="O795" s="229"/>
      <c r="P795" s="229"/>
      <c r="Q795" s="229"/>
      <c r="R795" s="229"/>
      <c r="S795" s="229"/>
      <c r="T795" s="229"/>
      <c r="U795" s="229"/>
      <c r="V795" s="400"/>
      <c r="W795" s="229"/>
      <c r="X795" s="229"/>
      <c r="Y795" s="4"/>
      <c r="Z795" s="4"/>
    </row>
    <row r="796">
      <c r="A796" s="392"/>
      <c r="B796" s="392"/>
      <c r="C796" s="392"/>
      <c r="D796" s="392"/>
      <c r="E796" s="392"/>
      <c r="F796" s="229"/>
      <c r="G796" s="229"/>
      <c r="H796" s="392"/>
      <c r="I796" s="229"/>
      <c r="J796" s="229"/>
      <c r="K796" s="399"/>
      <c r="L796" s="399"/>
      <c r="M796" s="399"/>
      <c r="N796" s="229"/>
      <c r="O796" s="229"/>
      <c r="P796" s="229"/>
      <c r="Q796" s="229"/>
      <c r="R796" s="229"/>
      <c r="S796" s="229"/>
      <c r="T796" s="229"/>
      <c r="U796" s="229"/>
      <c r="V796" s="400"/>
      <c r="W796" s="229"/>
      <c r="X796" s="229"/>
      <c r="Y796" s="4"/>
      <c r="Z796" s="4"/>
    </row>
    <row r="797">
      <c r="A797" s="392"/>
      <c r="B797" s="392"/>
      <c r="C797" s="392"/>
      <c r="D797" s="392"/>
      <c r="E797" s="392"/>
      <c r="F797" s="229"/>
      <c r="G797" s="229"/>
      <c r="H797" s="392"/>
      <c r="I797" s="229"/>
      <c r="J797" s="229"/>
      <c r="K797" s="399"/>
      <c r="L797" s="399"/>
      <c r="M797" s="399"/>
      <c r="N797" s="229"/>
      <c r="O797" s="229"/>
      <c r="P797" s="229"/>
      <c r="Q797" s="229"/>
      <c r="R797" s="229"/>
      <c r="S797" s="229"/>
      <c r="T797" s="229"/>
      <c r="U797" s="229"/>
      <c r="V797" s="400"/>
      <c r="W797" s="229"/>
      <c r="X797" s="229"/>
      <c r="Y797" s="4"/>
      <c r="Z797" s="4"/>
    </row>
    <row r="798">
      <c r="A798" s="392"/>
      <c r="B798" s="392"/>
      <c r="C798" s="392"/>
      <c r="D798" s="392"/>
      <c r="E798" s="392"/>
      <c r="F798" s="229"/>
      <c r="G798" s="229"/>
      <c r="H798" s="392"/>
      <c r="I798" s="229"/>
      <c r="J798" s="229"/>
      <c r="K798" s="399"/>
      <c r="L798" s="399"/>
      <c r="M798" s="399"/>
      <c r="N798" s="229"/>
      <c r="O798" s="229"/>
      <c r="P798" s="229"/>
      <c r="Q798" s="229"/>
      <c r="R798" s="229"/>
      <c r="S798" s="229"/>
      <c r="T798" s="229"/>
      <c r="U798" s="229"/>
      <c r="V798" s="400"/>
      <c r="W798" s="229"/>
      <c r="X798" s="229"/>
      <c r="Y798" s="4"/>
      <c r="Z798" s="4"/>
    </row>
    <row r="799">
      <c r="A799" s="392"/>
      <c r="B799" s="392"/>
      <c r="C799" s="392"/>
      <c r="D799" s="392"/>
      <c r="E799" s="392"/>
      <c r="F799" s="229"/>
      <c r="G799" s="229"/>
      <c r="H799" s="392"/>
      <c r="I799" s="229"/>
      <c r="J799" s="229"/>
      <c r="K799" s="399"/>
      <c r="L799" s="399"/>
      <c r="M799" s="399"/>
      <c r="N799" s="229"/>
      <c r="O799" s="229"/>
      <c r="P799" s="229"/>
      <c r="Q799" s="229"/>
      <c r="R799" s="229"/>
      <c r="S799" s="229"/>
      <c r="T799" s="229"/>
      <c r="U799" s="229"/>
      <c r="V799" s="400"/>
      <c r="W799" s="229"/>
      <c r="X799" s="229"/>
      <c r="Y799" s="4"/>
      <c r="Z799" s="4"/>
    </row>
    <row r="800">
      <c r="A800" s="392"/>
      <c r="B800" s="392"/>
      <c r="C800" s="392"/>
      <c r="D800" s="392"/>
      <c r="E800" s="392"/>
      <c r="F800" s="229"/>
      <c r="G800" s="229"/>
      <c r="H800" s="392"/>
      <c r="I800" s="229"/>
      <c r="J800" s="229"/>
      <c r="K800" s="399"/>
      <c r="L800" s="399"/>
      <c r="M800" s="399"/>
      <c r="N800" s="229"/>
      <c r="O800" s="229"/>
      <c r="P800" s="229"/>
      <c r="Q800" s="229"/>
      <c r="R800" s="229"/>
      <c r="S800" s="229"/>
      <c r="T800" s="229"/>
      <c r="U800" s="229"/>
      <c r="V800" s="400"/>
      <c r="W800" s="229"/>
      <c r="X800" s="229"/>
      <c r="Y800" s="4"/>
      <c r="Z800" s="4"/>
    </row>
    <row r="801">
      <c r="A801" s="392"/>
      <c r="B801" s="392"/>
      <c r="C801" s="392"/>
      <c r="D801" s="392"/>
      <c r="E801" s="392"/>
      <c r="F801" s="229"/>
      <c r="G801" s="229"/>
      <c r="H801" s="392"/>
      <c r="I801" s="229"/>
      <c r="J801" s="229"/>
      <c r="K801" s="399"/>
      <c r="L801" s="399"/>
      <c r="M801" s="399"/>
      <c r="N801" s="229"/>
      <c r="O801" s="229"/>
      <c r="P801" s="229"/>
      <c r="Q801" s="229"/>
      <c r="R801" s="229"/>
      <c r="S801" s="229"/>
      <c r="T801" s="229"/>
      <c r="U801" s="229"/>
      <c r="V801" s="400"/>
      <c r="W801" s="229"/>
      <c r="X801" s="229"/>
      <c r="Y801" s="4"/>
      <c r="Z801" s="4"/>
    </row>
    <row r="802">
      <c r="A802" s="392"/>
      <c r="B802" s="392"/>
      <c r="C802" s="392"/>
      <c r="D802" s="392"/>
      <c r="E802" s="392"/>
      <c r="F802" s="229"/>
      <c r="G802" s="229"/>
      <c r="H802" s="392"/>
      <c r="I802" s="229"/>
      <c r="J802" s="229"/>
      <c r="K802" s="399"/>
      <c r="L802" s="399"/>
      <c r="M802" s="399"/>
      <c r="N802" s="229"/>
      <c r="O802" s="229"/>
      <c r="P802" s="229"/>
      <c r="Q802" s="229"/>
      <c r="R802" s="229"/>
      <c r="S802" s="229"/>
      <c r="T802" s="229"/>
      <c r="U802" s="229"/>
      <c r="V802" s="400"/>
      <c r="W802" s="229"/>
      <c r="X802" s="229"/>
      <c r="Y802" s="4"/>
      <c r="Z802" s="4"/>
    </row>
    <row r="803">
      <c r="A803" s="392"/>
      <c r="B803" s="392"/>
      <c r="C803" s="392"/>
      <c r="D803" s="392"/>
      <c r="E803" s="392"/>
      <c r="F803" s="229"/>
      <c r="G803" s="229"/>
      <c r="H803" s="392"/>
      <c r="I803" s="229"/>
      <c r="J803" s="229"/>
      <c r="K803" s="399"/>
      <c r="L803" s="399"/>
      <c r="M803" s="399"/>
      <c r="N803" s="229"/>
      <c r="O803" s="229"/>
      <c r="P803" s="229"/>
      <c r="Q803" s="229"/>
      <c r="R803" s="229"/>
      <c r="S803" s="229"/>
      <c r="T803" s="229"/>
      <c r="U803" s="229"/>
      <c r="V803" s="400"/>
      <c r="W803" s="229"/>
      <c r="X803" s="229"/>
      <c r="Y803" s="4"/>
      <c r="Z803" s="4"/>
    </row>
    <row r="804">
      <c r="A804" s="392"/>
      <c r="B804" s="392"/>
      <c r="C804" s="392"/>
      <c r="D804" s="392"/>
      <c r="E804" s="392"/>
      <c r="F804" s="229"/>
      <c r="G804" s="229"/>
      <c r="H804" s="392"/>
      <c r="I804" s="229"/>
      <c r="J804" s="229"/>
      <c r="K804" s="399"/>
      <c r="L804" s="399"/>
      <c r="M804" s="399"/>
      <c r="N804" s="229"/>
      <c r="O804" s="229"/>
      <c r="P804" s="229"/>
      <c r="Q804" s="229"/>
      <c r="R804" s="229"/>
      <c r="S804" s="229"/>
      <c r="T804" s="229"/>
      <c r="U804" s="229"/>
      <c r="V804" s="400"/>
      <c r="W804" s="229"/>
      <c r="X804" s="229"/>
      <c r="Y804" s="4"/>
      <c r="Z804" s="4"/>
    </row>
    <row r="805">
      <c r="A805" s="392"/>
      <c r="B805" s="392"/>
      <c r="C805" s="392"/>
      <c r="D805" s="392"/>
      <c r="E805" s="392"/>
      <c r="F805" s="229"/>
      <c r="G805" s="229"/>
      <c r="H805" s="392"/>
      <c r="I805" s="229"/>
      <c r="J805" s="229"/>
      <c r="K805" s="399"/>
      <c r="L805" s="399"/>
      <c r="M805" s="399"/>
      <c r="N805" s="229"/>
      <c r="O805" s="229"/>
      <c r="P805" s="229"/>
      <c r="Q805" s="229"/>
      <c r="R805" s="229"/>
      <c r="S805" s="229"/>
      <c r="T805" s="229"/>
      <c r="U805" s="229"/>
      <c r="V805" s="400"/>
      <c r="W805" s="229"/>
      <c r="X805" s="229"/>
      <c r="Y805" s="4"/>
      <c r="Z805" s="4"/>
    </row>
    <row r="806">
      <c r="A806" s="392"/>
      <c r="B806" s="392"/>
      <c r="C806" s="392"/>
      <c r="D806" s="392"/>
      <c r="E806" s="392"/>
      <c r="F806" s="229"/>
      <c r="G806" s="229"/>
      <c r="H806" s="392"/>
      <c r="I806" s="229"/>
      <c r="J806" s="229"/>
      <c r="K806" s="399"/>
      <c r="L806" s="399"/>
      <c r="M806" s="399"/>
      <c r="N806" s="229"/>
      <c r="O806" s="229"/>
      <c r="P806" s="229"/>
      <c r="Q806" s="229"/>
      <c r="R806" s="229"/>
      <c r="S806" s="229"/>
      <c r="T806" s="229"/>
      <c r="U806" s="229"/>
      <c r="V806" s="400"/>
      <c r="W806" s="229"/>
      <c r="X806" s="229"/>
      <c r="Y806" s="4"/>
      <c r="Z806" s="4"/>
    </row>
    <row r="807">
      <c r="A807" s="392"/>
      <c r="B807" s="392"/>
      <c r="C807" s="392"/>
      <c r="D807" s="392"/>
      <c r="E807" s="392"/>
      <c r="F807" s="229"/>
      <c r="G807" s="229"/>
      <c r="H807" s="392"/>
      <c r="I807" s="229"/>
      <c r="J807" s="229"/>
      <c r="K807" s="399"/>
      <c r="L807" s="399"/>
      <c r="M807" s="399"/>
      <c r="N807" s="229"/>
      <c r="O807" s="229"/>
      <c r="P807" s="229"/>
      <c r="Q807" s="229"/>
      <c r="R807" s="229"/>
      <c r="S807" s="229"/>
      <c r="T807" s="229"/>
      <c r="U807" s="229"/>
      <c r="V807" s="400"/>
      <c r="W807" s="229"/>
      <c r="X807" s="229"/>
      <c r="Y807" s="4"/>
      <c r="Z807" s="4"/>
    </row>
    <row r="808">
      <c r="A808" s="392"/>
      <c r="B808" s="392"/>
      <c r="C808" s="392"/>
      <c r="D808" s="392"/>
      <c r="E808" s="392"/>
      <c r="F808" s="229"/>
      <c r="G808" s="229"/>
      <c r="H808" s="392"/>
      <c r="I808" s="229"/>
      <c r="J808" s="229"/>
      <c r="K808" s="399"/>
      <c r="L808" s="399"/>
      <c r="M808" s="399"/>
      <c r="N808" s="229"/>
      <c r="O808" s="229"/>
      <c r="P808" s="229"/>
      <c r="Q808" s="229"/>
      <c r="R808" s="229"/>
      <c r="S808" s="229"/>
      <c r="T808" s="229"/>
      <c r="U808" s="229"/>
      <c r="V808" s="400"/>
      <c r="W808" s="229"/>
      <c r="X808" s="229"/>
      <c r="Y808" s="4"/>
      <c r="Z808" s="4"/>
    </row>
    <row r="809">
      <c r="A809" s="392"/>
      <c r="B809" s="392"/>
      <c r="C809" s="392"/>
      <c r="D809" s="392"/>
      <c r="E809" s="392"/>
      <c r="F809" s="229"/>
      <c r="G809" s="229"/>
      <c r="H809" s="392"/>
      <c r="I809" s="229"/>
      <c r="J809" s="229"/>
      <c r="K809" s="399"/>
      <c r="L809" s="399"/>
      <c r="M809" s="399"/>
      <c r="N809" s="229"/>
      <c r="O809" s="229"/>
      <c r="P809" s="229"/>
      <c r="Q809" s="229"/>
      <c r="R809" s="229"/>
      <c r="S809" s="229"/>
      <c r="T809" s="229"/>
      <c r="U809" s="229"/>
      <c r="V809" s="400"/>
      <c r="W809" s="229"/>
      <c r="X809" s="229"/>
      <c r="Y809" s="4"/>
      <c r="Z809" s="4"/>
    </row>
    <row r="810">
      <c r="A810" s="392"/>
      <c r="B810" s="392"/>
      <c r="C810" s="392"/>
      <c r="D810" s="392"/>
      <c r="E810" s="392"/>
      <c r="F810" s="229"/>
      <c r="G810" s="229"/>
      <c r="H810" s="392"/>
      <c r="I810" s="229"/>
      <c r="J810" s="229"/>
      <c r="K810" s="399"/>
      <c r="L810" s="399"/>
      <c r="M810" s="399"/>
      <c r="N810" s="229"/>
      <c r="O810" s="229"/>
      <c r="P810" s="229"/>
      <c r="Q810" s="229"/>
      <c r="R810" s="229"/>
      <c r="S810" s="229"/>
      <c r="T810" s="229"/>
      <c r="U810" s="229"/>
      <c r="V810" s="400"/>
      <c r="W810" s="229"/>
      <c r="X810" s="229"/>
      <c r="Y810" s="4"/>
      <c r="Z810" s="4"/>
    </row>
    <row r="811">
      <c r="A811" s="392"/>
      <c r="B811" s="392"/>
      <c r="C811" s="392"/>
      <c r="D811" s="392"/>
      <c r="E811" s="392"/>
      <c r="F811" s="229"/>
      <c r="G811" s="229"/>
      <c r="H811" s="392"/>
      <c r="I811" s="229"/>
      <c r="J811" s="229"/>
      <c r="K811" s="399"/>
      <c r="L811" s="399"/>
      <c r="M811" s="399"/>
      <c r="N811" s="229"/>
      <c r="O811" s="229"/>
      <c r="P811" s="229"/>
      <c r="Q811" s="229"/>
      <c r="R811" s="229"/>
      <c r="S811" s="229"/>
      <c r="T811" s="229"/>
      <c r="U811" s="229"/>
      <c r="V811" s="400"/>
      <c r="W811" s="229"/>
      <c r="X811" s="229"/>
      <c r="Y811" s="4"/>
      <c r="Z811" s="4"/>
    </row>
    <row r="812">
      <c r="A812" s="392"/>
      <c r="B812" s="392"/>
      <c r="C812" s="392"/>
      <c r="D812" s="392"/>
      <c r="E812" s="392"/>
      <c r="F812" s="229"/>
      <c r="G812" s="229"/>
      <c r="H812" s="392"/>
      <c r="I812" s="229"/>
      <c r="J812" s="229"/>
      <c r="K812" s="399"/>
      <c r="L812" s="399"/>
      <c r="M812" s="399"/>
      <c r="N812" s="229"/>
      <c r="O812" s="229"/>
      <c r="P812" s="229"/>
      <c r="Q812" s="229"/>
      <c r="R812" s="229"/>
      <c r="S812" s="229"/>
      <c r="T812" s="229"/>
      <c r="U812" s="229"/>
      <c r="V812" s="400"/>
      <c r="W812" s="229"/>
      <c r="X812" s="229"/>
      <c r="Y812" s="4"/>
      <c r="Z812" s="4"/>
    </row>
    <row r="813">
      <c r="A813" s="392"/>
      <c r="B813" s="392"/>
      <c r="C813" s="392"/>
      <c r="D813" s="392"/>
      <c r="E813" s="392"/>
      <c r="F813" s="229"/>
      <c r="G813" s="229"/>
      <c r="H813" s="392"/>
      <c r="I813" s="229"/>
      <c r="J813" s="229"/>
      <c r="K813" s="399"/>
      <c r="L813" s="399"/>
      <c r="M813" s="399"/>
      <c r="N813" s="229"/>
      <c r="O813" s="229"/>
      <c r="P813" s="229"/>
      <c r="Q813" s="229"/>
      <c r="R813" s="229"/>
      <c r="S813" s="229"/>
      <c r="T813" s="229"/>
      <c r="U813" s="229"/>
      <c r="V813" s="400"/>
      <c r="W813" s="229"/>
      <c r="X813" s="229"/>
      <c r="Y813" s="4"/>
      <c r="Z813" s="4"/>
    </row>
    <row r="814">
      <c r="A814" s="392"/>
      <c r="B814" s="392"/>
      <c r="C814" s="392"/>
      <c r="D814" s="392"/>
      <c r="E814" s="392"/>
      <c r="F814" s="229"/>
      <c r="G814" s="229"/>
      <c r="H814" s="392"/>
      <c r="I814" s="229"/>
      <c r="J814" s="229"/>
      <c r="K814" s="399"/>
      <c r="L814" s="399"/>
      <c r="M814" s="399"/>
      <c r="N814" s="229"/>
      <c r="O814" s="229"/>
      <c r="P814" s="229"/>
      <c r="Q814" s="229"/>
      <c r="R814" s="229"/>
      <c r="S814" s="229"/>
      <c r="T814" s="229"/>
      <c r="U814" s="229"/>
      <c r="V814" s="400"/>
      <c r="W814" s="229"/>
      <c r="X814" s="229"/>
      <c r="Y814" s="4"/>
      <c r="Z814" s="4"/>
    </row>
    <row r="815">
      <c r="A815" s="392"/>
      <c r="B815" s="392"/>
      <c r="C815" s="392"/>
      <c r="D815" s="392"/>
      <c r="E815" s="392"/>
      <c r="F815" s="229"/>
      <c r="G815" s="229"/>
      <c r="H815" s="392"/>
      <c r="I815" s="229"/>
      <c r="J815" s="229"/>
      <c r="K815" s="399"/>
      <c r="L815" s="399"/>
      <c r="M815" s="399"/>
      <c r="N815" s="229"/>
      <c r="O815" s="229"/>
      <c r="P815" s="229"/>
      <c r="Q815" s="229"/>
      <c r="R815" s="229"/>
      <c r="S815" s="229"/>
      <c r="T815" s="229"/>
      <c r="U815" s="229"/>
      <c r="V815" s="400"/>
      <c r="W815" s="229"/>
      <c r="X815" s="229"/>
      <c r="Y815" s="4"/>
      <c r="Z815" s="4"/>
    </row>
    <row r="816">
      <c r="A816" s="392"/>
      <c r="B816" s="392"/>
      <c r="C816" s="392"/>
      <c r="D816" s="392"/>
      <c r="E816" s="392"/>
      <c r="F816" s="229"/>
      <c r="G816" s="229"/>
      <c r="H816" s="392"/>
      <c r="I816" s="229"/>
      <c r="J816" s="229"/>
      <c r="K816" s="399"/>
      <c r="L816" s="399"/>
      <c r="M816" s="399"/>
      <c r="N816" s="229"/>
      <c r="O816" s="229"/>
      <c r="P816" s="229"/>
      <c r="Q816" s="229"/>
      <c r="R816" s="229"/>
      <c r="S816" s="229"/>
      <c r="T816" s="229"/>
      <c r="U816" s="229"/>
      <c r="V816" s="400"/>
      <c r="W816" s="229"/>
      <c r="X816" s="229"/>
      <c r="Y816" s="4"/>
      <c r="Z816" s="4"/>
    </row>
    <row r="817">
      <c r="A817" s="392"/>
      <c r="B817" s="392"/>
      <c r="C817" s="392"/>
      <c r="D817" s="392"/>
      <c r="E817" s="392"/>
      <c r="F817" s="229"/>
      <c r="G817" s="229"/>
      <c r="H817" s="392"/>
      <c r="I817" s="229"/>
      <c r="J817" s="229"/>
      <c r="K817" s="399"/>
      <c r="L817" s="399"/>
      <c r="M817" s="399"/>
      <c r="N817" s="229"/>
      <c r="O817" s="229"/>
      <c r="P817" s="229"/>
      <c r="Q817" s="229"/>
      <c r="R817" s="229"/>
      <c r="S817" s="229"/>
      <c r="T817" s="229"/>
      <c r="U817" s="229"/>
      <c r="V817" s="400"/>
      <c r="W817" s="229"/>
      <c r="X817" s="229"/>
      <c r="Y817" s="4"/>
      <c r="Z817" s="4"/>
    </row>
    <row r="818">
      <c r="A818" s="392"/>
      <c r="B818" s="392"/>
      <c r="C818" s="392"/>
      <c r="D818" s="392"/>
      <c r="E818" s="392"/>
      <c r="F818" s="229"/>
      <c r="G818" s="229"/>
      <c r="H818" s="392"/>
      <c r="I818" s="229"/>
      <c r="J818" s="229"/>
      <c r="K818" s="399"/>
      <c r="L818" s="399"/>
      <c r="M818" s="399"/>
      <c r="N818" s="229"/>
      <c r="O818" s="229"/>
      <c r="P818" s="229"/>
      <c r="Q818" s="229"/>
      <c r="R818" s="229"/>
      <c r="S818" s="229"/>
      <c r="T818" s="229"/>
      <c r="U818" s="229"/>
      <c r="V818" s="400"/>
      <c r="W818" s="229"/>
      <c r="X818" s="229"/>
      <c r="Y818" s="4"/>
      <c r="Z818" s="4"/>
    </row>
    <row r="819">
      <c r="A819" s="392"/>
      <c r="B819" s="392"/>
      <c r="C819" s="392"/>
      <c r="D819" s="392"/>
      <c r="E819" s="392"/>
      <c r="F819" s="229"/>
      <c r="G819" s="229"/>
      <c r="H819" s="392"/>
      <c r="I819" s="229"/>
      <c r="J819" s="229"/>
      <c r="K819" s="399"/>
      <c r="L819" s="399"/>
      <c r="M819" s="399"/>
      <c r="N819" s="229"/>
      <c r="O819" s="229"/>
      <c r="P819" s="229"/>
      <c r="Q819" s="229"/>
      <c r="R819" s="229"/>
      <c r="S819" s="229"/>
      <c r="T819" s="229"/>
      <c r="U819" s="229"/>
      <c r="V819" s="400"/>
      <c r="W819" s="229"/>
      <c r="X819" s="229"/>
      <c r="Y819" s="4"/>
      <c r="Z819" s="4"/>
    </row>
    <row r="820">
      <c r="A820" s="392"/>
      <c r="B820" s="392"/>
      <c r="C820" s="392"/>
      <c r="D820" s="392"/>
      <c r="E820" s="392"/>
      <c r="F820" s="229"/>
      <c r="G820" s="229"/>
      <c r="H820" s="392"/>
      <c r="I820" s="229"/>
      <c r="J820" s="229"/>
      <c r="K820" s="399"/>
      <c r="L820" s="399"/>
      <c r="M820" s="399"/>
      <c r="N820" s="229"/>
      <c r="O820" s="229"/>
      <c r="P820" s="229"/>
      <c r="Q820" s="229"/>
      <c r="R820" s="229"/>
      <c r="S820" s="229"/>
      <c r="T820" s="229"/>
      <c r="U820" s="229"/>
      <c r="V820" s="400"/>
      <c r="W820" s="229"/>
      <c r="X820" s="229"/>
      <c r="Y820" s="4"/>
      <c r="Z820" s="4"/>
    </row>
    <row r="821">
      <c r="A821" s="392"/>
      <c r="B821" s="392"/>
      <c r="C821" s="392"/>
      <c r="D821" s="392"/>
      <c r="E821" s="392"/>
      <c r="F821" s="229"/>
      <c r="G821" s="229"/>
      <c r="H821" s="392"/>
      <c r="I821" s="229"/>
      <c r="J821" s="229"/>
      <c r="K821" s="399"/>
      <c r="L821" s="399"/>
      <c r="M821" s="399"/>
      <c r="N821" s="229"/>
      <c r="O821" s="229"/>
      <c r="P821" s="229"/>
      <c r="Q821" s="229"/>
      <c r="R821" s="229"/>
      <c r="S821" s="229"/>
      <c r="T821" s="229"/>
      <c r="U821" s="229"/>
      <c r="V821" s="400"/>
      <c r="W821" s="229"/>
      <c r="X821" s="229"/>
      <c r="Y821" s="4"/>
      <c r="Z821" s="4"/>
    </row>
    <row r="822">
      <c r="A822" s="392"/>
      <c r="B822" s="392"/>
      <c r="C822" s="392"/>
      <c r="D822" s="392"/>
      <c r="E822" s="392"/>
      <c r="F822" s="229"/>
      <c r="G822" s="229"/>
      <c r="H822" s="392"/>
      <c r="I822" s="229"/>
      <c r="J822" s="229"/>
      <c r="K822" s="399"/>
      <c r="L822" s="399"/>
      <c r="M822" s="399"/>
      <c r="N822" s="229"/>
      <c r="O822" s="229"/>
      <c r="P822" s="229"/>
      <c r="Q822" s="229"/>
      <c r="R822" s="229"/>
      <c r="S822" s="229"/>
      <c r="T822" s="229"/>
      <c r="U822" s="229"/>
      <c r="V822" s="400"/>
      <c r="W822" s="229"/>
      <c r="X822" s="229"/>
      <c r="Y822" s="4"/>
      <c r="Z822" s="4"/>
    </row>
    <row r="823">
      <c r="A823" s="392"/>
      <c r="B823" s="392"/>
      <c r="C823" s="392"/>
      <c r="D823" s="392"/>
      <c r="E823" s="392"/>
      <c r="F823" s="229"/>
      <c r="G823" s="229"/>
      <c r="H823" s="392"/>
      <c r="I823" s="229"/>
      <c r="J823" s="229"/>
      <c r="K823" s="399"/>
      <c r="L823" s="399"/>
      <c r="M823" s="399"/>
      <c r="N823" s="229"/>
      <c r="O823" s="229"/>
      <c r="P823" s="229"/>
      <c r="Q823" s="229"/>
      <c r="R823" s="229"/>
      <c r="S823" s="229"/>
      <c r="T823" s="229"/>
      <c r="U823" s="229"/>
      <c r="V823" s="400"/>
      <c r="W823" s="229"/>
      <c r="X823" s="229"/>
      <c r="Y823" s="4"/>
      <c r="Z823" s="4"/>
    </row>
    <row r="824">
      <c r="A824" s="392"/>
      <c r="B824" s="392"/>
      <c r="C824" s="392"/>
      <c r="D824" s="392"/>
      <c r="E824" s="392"/>
      <c r="F824" s="229"/>
      <c r="G824" s="229"/>
      <c r="H824" s="392"/>
      <c r="I824" s="229"/>
      <c r="J824" s="229"/>
      <c r="K824" s="399"/>
      <c r="L824" s="399"/>
      <c r="M824" s="399"/>
      <c r="N824" s="229"/>
      <c r="O824" s="229"/>
      <c r="P824" s="229"/>
      <c r="Q824" s="229"/>
      <c r="R824" s="229"/>
      <c r="S824" s="229"/>
      <c r="T824" s="229"/>
      <c r="U824" s="229"/>
      <c r="V824" s="400"/>
      <c r="W824" s="229"/>
      <c r="X824" s="229"/>
      <c r="Y824" s="4"/>
      <c r="Z824" s="4"/>
    </row>
    <row r="825">
      <c r="A825" s="392"/>
      <c r="B825" s="392"/>
      <c r="C825" s="392"/>
      <c r="D825" s="392"/>
      <c r="E825" s="392"/>
      <c r="F825" s="229"/>
      <c r="G825" s="229"/>
      <c r="H825" s="392"/>
      <c r="I825" s="229"/>
      <c r="J825" s="229"/>
      <c r="K825" s="399"/>
      <c r="L825" s="399"/>
      <c r="M825" s="399"/>
      <c r="N825" s="229"/>
      <c r="O825" s="229"/>
      <c r="P825" s="229"/>
      <c r="Q825" s="229"/>
      <c r="R825" s="229"/>
      <c r="S825" s="229"/>
      <c r="T825" s="229"/>
      <c r="U825" s="229"/>
      <c r="V825" s="400"/>
      <c r="W825" s="229"/>
      <c r="X825" s="229"/>
      <c r="Y825" s="4"/>
      <c r="Z825" s="4"/>
    </row>
    <row r="826">
      <c r="A826" s="392"/>
      <c r="B826" s="392"/>
      <c r="C826" s="392"/>
      <c r="D826" s="392"/>
      <c r="E826" s="392"/>
      <c r="F826" s="229"/>
      <c r="G826" s="229"/>
      <c r="H826" s="392"/>
      <c r="I826" s="229"/>
      <c r="J826" s="229"/>
      <c r="K826" s="399"/>
      <c r="L826" s="399"/>
      <c r="M826" s="399"/>
      <c r="N826" s="229"/>
      <c r="O826" s="229"/>
      <c r="P826" s="229"/>
      <c r="Q826" s="229"/>
      <c r="R826" s="229"/>
      <c r="S826" s="229"/>
      <c r="T826" s="229"/>
      <c r="U826" s="229"/>
      <c r="V826" s="400"/>
      <c r="W826" s="229"/>
      <c r="X826" s="229"/>
      <c r="Y826" s="4"/>
      <c r="Z826" s="4"/>
    </row>
    <row r="827">
      <c r="A827" s="392"/>
      <c r="B827" s="392"/>
      <c r="C827" s="392"/>
      <c r="D827" s="392"/>
      <c r="E827" s="392"/>
      <c r="F827" s="229"/>
      <c r="G827" s="229"/>
      <c r="H827" s="392"/>
      <c r="I827" s="229"/>
      <c r="J827" s="229"/>
      <c r="K827" s="399"/>
      <c r="L827" s="399"/>
      <c r="M827" s="399"/>
      <c r="N827" s="229"/>
      <c r="O827" s="229"/>
      <c r="P827" s="229"/>
      <c r="Q827" s="229"/>
      <c r="R827" s="229"/>
      <c r="S827" s="229"/>
      <c r="T827" s="229"/>
      <c r="U827" s="229"/>
      <c r="V827" s="400"/>
      <c r="W827" s="229"/>
      <c r="X827" s="229"/>
      <c r="Y827" s="4"/>
      <c r="Z827" s="4"/>
    </row>
    <row r="828">
      <c r="A828" s="392"/>
      <c r="B828" s="392"/>
      <c r="C828" s="392"/>
      <c r="D828" s="392"/>
      <c r="E828" s="392"/>
      <c r="F828" s="229"/>
      <c r="G828" s="229"/>
      <c r="H828" s="392"/>
      <c r="I828" s="229"/>
      <c r="J828" s="229"/>
      <c r="K828" s="399"/>
      <c r="L828" s="399"/>
      <c r="M828" s="399"/>
      <c r="N828" s="229"/>
      <c r="O828" s="229"/>
      <c r="P828" s="229"/>
      <c r="Q828" s="229"/>
      <c r="R828" s="229"/>
      <c r="S828" s="229"/>
      <c r="T828" s="229"/>
      <c r="U828" s="229"/>
      <c r="V828" s="400"/>
      <c r="W828" s="229"/>
      <c r="X828" s="229"/>
      <c r="Y828" s="4"/>
      <c r="Z828" s="4"/>
    </row>
    <row r="829">
      <c r="A829" s="392"/>
      <c r="B829" s="392"/>
      <c r="C829" s="392"/>
      <c r="D829" s="392"/>
      <c r="E829" s="392"/>
      <c r="F829" s="229"/>
      <c r="G829" s="229"/>
      <c r="H829" s="392"/>
      <c r="I829" s="229"/>
      <c r="J829" s="229"/>
      <c r="K829" s="399"/>
      <c r="L829" s="399"/>
      <c r="M829" s="399"/>
      <c r="N829" s="229"/>
      <c r="O829" s="229"/>
      <c r="P829" s="229"/>
      <c r="Q829" s="229"/>
      <c r="R829" s="229"/>
      <c r="S829" s="229"/>
      <c r="T829" s="229"/>
      <c r="U829" s="229"/>
      <c r="V829" s="400"/>
      <c r="W829" s="229"/>
      <c r="X829" s="229"/>
      <c r="Y829" s="4"/>
      <c r="Z829" s="4"/>
    </row>
    <row r="830">
      <c r="A830" s="392"/>
      <c r="B830" s="392"/>
      <c r="C830" s="392"/>
      <c r="D830" s="392"/>
      <c r="E830" s="392"/>
      <c r="F830" s="229"/>
      <c r="G830" s="229"/>
      <c r="H830" s="392"/>
      <c r="I830" s="229"/>
      <c r="J830" s="229"/>
      <c r="K830" s="399"/>
      <c r="L830" s="399"/>
      <c r="M830" s="399"/>
      <c r="N830" s="229"/>
      <c r="O830" s="229"/>
      <c r="P830" s="229"/>
      <c r="Q830" s="229"/>
      <c r="R830" s="229"/>
      <c r="S830" s="229"/>
      <c r="T830" s="229"/>
      <c r="U830" s="229"/>
      <c r="V830" s="400"/>
      <c r="W830" s="229"/>
      <c r="X830" s="229"/>
      <c r="Y830" s="4"/>
      <c r="Z830" s="4"/>
    </row>
    <row r="831">
      <c r="A831" s="392"/>
      <c r="B831" s="392"/>
      <c r="C831" s="392"/>
      <c r="D831" s="392"/>
      <c r="E831" s="392"/>
      <c r="F831" s="229"/>
      <c r="G831" s="229"/>
      <c r="H831" s="392"/>
      <c r="I831" s="229"/>
      <c r="J831" s="229"/>
      <c r="K831" s="399"/>
      <c r="L831" s="399"/>
      <c r="M831" s="399"/>
      <c r="N831" s="229"/>
      <c r="O831" s="229"/>
      <c r="P831" s="229"/>
      <c r="Q831" s="229"/>
      <c r="R831" s="229"/>
      <c r="S831" s="229"/>
      <c r="T831" s="229"/>
      <c r="U831" s="229"/>
      <c r="V831" s="400"/>
      <c r="W831" s="229"/>
      <c r="X831" s="229"/>
      <c r="Y831" s="4"/>
      <c r="Z831" s="4"/>
    </row>
    <row r="832">
      <c r="A832" s="392"/>
      <c r="B832" s="392"/>
      <c r="C832" s="392"/>
      <c r="D832" s="392"/>
      <c r="E832" s="392"/>
      <c r="F832" s="229"/>
      <c r="G832" s="229"/>
      <c r="H832" s="392"/>
      <c r="I832" s="229"/>
      <c r="J832" s="229"/>
      <c r="K832" s="399"/>
      <c r="L832" s="399"/>
      <c r="M832" s="399"/>
      <c r="N832" s="229"/>
      <c r="O832" s="229"/>
      <c r="P832" s="229"/>
      <c r="Q832" s="229"/>
      <c r="R832" s="229"/>
      <c r="S832" s="229"/>
      <c r="T832" s="229"/>
      <c r="U832" s="229"/>
      <c r="V832" s="400"/>
      <c r="W832" s="229"/>
      <c r="X832" s="229"/>
      <c r="Y832" s="4"/>
      <c r="Z832" s="4"/>
    </row>
    <row r="833">
      <c r="A833" s="392"/>
      <c r="B833" s="392"/>
      <c r="C833" s="392"/>
      <c r="D833" s="392"/>
      <c r="E833" s="392"/>
      <c r="F833" s="229"/>
      <c r="G833" s="229"/>
      <c r="H833" s="392"/>
      <c r="I833" s="229"/>
      <c r="J833" s="229"/>
      <c r="K833" s="399"/>
      <c r="L833" s="399"/>
      <c r="M833" s="399"/>
      <c r="N833" s="229"/>
      <c r="O833" s="229"/>
      <c r="P833" s="229"/>
      <c r="Q833" s="229"/>
      <c r="R833" s="229"/>
      <c r="S833" s="229"/>
      <c r="T833" s="229"/>
      <c r="U833" s="229"/>
      <c r="V833" s="400"/>
      <c r="W833" s="229"/>
      <c r="X833" s="229"/>
      <c r="Y833" s="4"/>
      <c r="Z833" s="4"/>
    </row>
    <row r="834">
      <c r="A834" s="392"/>
      <c r="B834" s="392"/>
      <c r="C834" s="392"/>
      <c r="D834" s="392"/>
      <c r="E834" s="392"/>
      <c r="F834" s="229"/>
      <c r="G834" s="229"/>
      <c r="H834" s="392"/>
      <c r="I834" s="229"/>
      <c r="J834" s="229"/>
      <c r="K834" s="399"/>
      <c r="L834" s="399"/>
      <c r="M834" s="399"/>
      <c r="N834" s="229"/>
      <c r="O834" s="229"/>
      <c r="P834" s="229"/>
      <c r="Q834" s="229"/>
      <c r="R834" s="229"/>
      <c r="S834" s="229"/>
      <c r="T834" s="229"/>
      <c r="U834" s="229"/>
      <c r="V834" s="400"/>
      <c r="W834" s="229"/>
      <c r="X834" s="229"/>
      <c r="Y834" s="4"/>
      <c r="Z834" s="4"/>
    </row>
    <row r="835">
      <c r="A835" s="392"/>
      <c r="B835" s="392"/>
      <c r="C835" s="392"/>
      <c r="D835" s="392"/>
      <c r="E835" s="392"/>
      <c r="F835" s="229"/>
      <c r="G835" s="229"/>
      <c r="H835" s="392"/>
      <c r="I835" s="229"/>
      <c r="J835" s="229"/>
      <c r="K835" s="399"/>
      <c r="L835" s="399"/>
      <c r="M835" s="399"/>
      <c r="N835" s="229"/>
      <c r="O835" s="229"/>
      <c r="P835" s="229"/>
      <c r="Q835" s="229"/>
      <c r="R835" s="229"/>
      <c r="S835" s="229"/>
      <c r="T835" s="229"/>
      <c r="U835" s="229"/>
      <c r="V835" s="400"/>
      <c r="W835" s="229"/>
      <c r="X835" s="229"/>
      <c r="Y835" s="4"/>
      <c r="Z835" s="4"/>
    </row>
    <row r="836">
      <c r="A836" s="392"/>
      <c r="B836" s="392"/>
      <c r="C836" s="392"/>
      <c r="D836" s="392"/>
      <c r="E836" s="392"/>
      <c r="F836" s="229"/>
      <c r="G836" s="229"/>
      <c r="H836" s="392"/>
      <c r="I836" s="229"/>
      <c r="J836" s="229"/>
      <c r="K836" s="399"/>
      <c r="L836" s="399"/>
      <c r="M836" s="399"/>
      <c r="N836" s="229"/>
      <c r="O836" s="229"/>
      <c r="P836" s="229"/>
      <c r="Q836" s="229"/>
      <c r="R836" s="229"/>
      <c r="S836" s="229"/>
      <c r="T836" s="229"/>
      <c r="U836" s="229"/>
      <c r="V836" s="400"/>
      <c r="W836" s="229"/>
      <c r="X836" s="229"/>
      <c r="Y836" s="4"/>
      <c r="Z836" s="4"/>
    </row>
    <row r="837">
      <c r="A837" s="392"/>
      <c r="B837" s="392"/>
      <c r="C837" s="392"/>
      <c r="D837" s="392"/>
      <c r="E837" s="392"/>
      <c r="F837" s="229"/>
      <c r="G837" s="229"/>
      <c r="H837" s="392"/>
      <c r="I837" s="229"/>
      <c r="J837" s="229"/>
      <c r="K837" s="399"/>
      <c r="L837" s="399"/>
      <c r="M837" s="399"/>
      <c r="N837" s="229"/>
      <c r="O837" s="229"/>
      <c r="P837" s="229"/>
      <c r="Q837" s="229"/>
      <c r="R837" s="229"/>
      <c r="S837" s="229"/>
      <c r="T837" s="229"/>
      <c r="U837" s="229"/>
      <c r="V837" s="400"/>
      <c r="W837" s="229"/>
      <c r="X837" s="229"/>
      <c r="Y837" s="4"/>
      <c r="Z837" s="4"/>
    </row>
    <row r="838">
      <c r="A838" s="392"/>
      <c r="B838" s="392"/>
      <c r="C838" s="392"/>
      <c r="D838" s="392"/>
      <c r="E838" s="392"/>
      <c r="F838" s="229"/>
      <c r="G838" s="229"/>
      <c r="H838" s="392"/>
      <c r="I838" s="229"/>
      <c r="J838" s="229"/>
      <c r="K838" s="399"/>
      <c r="L838" s="399"/>
      <c r="M838" s="399"/>
      <c r="N838" s="229"/>
      <c r="O838" s="229"/>
      <c r="P838" s="229"/>
      <c r="Q838" s="229"/>
      <c r="R838" s="229"/>
      <c r="S838" s="229"/>
      <c r="T838" s="229"/>
      <c r="U838" s="229"/>
      <c r="V838" s="400"/>
      <c r="W838" s="229"/>
      <c r="X838" s="229"/>
      <c r="Y838" s="4"/>
      <c r="Z838" s="4"/>
    </row>
    <row r="839">
      <c r="A839" s="392"/>
      <c r="B839" s="392"/>
      <c r="C839" s="392"/>
      <c r="D839" s="392"/>
      <c r="E839" s="392"/>
      <c r="F839" s="229"/>
      <c r="G839" s="229"/>
      <c r="H839" s="392"/>
      <c r="I839" s="229"/>
      <c r="J839" s="229"/>
      <c r="K839" s="399"/>
      <c r="L839" s="399"/>
      <c r="M839" s="399"/>
      <c r="N839" s="229"/>
      <c r="O839" s="229"/>
      <c r="P839" s="229"/>
      <c r="Q839" s="229"/>
      <c r="R839" s="229"/>
      <c r="S839" s="229"/>
      <c r="T839" s="229"/>
      <c r="U839" s="229"/>
      <c r="V839" s="400"/>
      <c r="W839" s="229"/>
      <c r="X839" s="229"/>
      <c r="Y839" s="4"/>
      <c r="Z839" s="4"/>
    </row>
    <row r="840">
      <c r="A840" s="392"/>
      <c r="B840" s="392"/>
      <c r="C840" s="392"/>
      <c r="D840" s="392"/>
      <c r="E840" s="392"/>
      <c r="F840" s="229"/>
      <c r="G840" s="229"/>
      <c r="H840" s="392"/>
      <c r="I840" s="229"/>
      <c r="J840" s="229"/>
      <c r="K840" s="399"/>
      <c r="L840" s="399"/>
      <c r="M840" s="399"/>
      <c r="N840" s="229"/>
      <c r="O840" s="229"/>
      <c r="P840" s="229"/>
      <c r="Q840" s="229"/>
      <c r="R840" s="229"/>
      <c r="S840" s="229"/>
      <c r="T840" s="229"/>
      <c r="U840" s="229"/>
      <c r="V840" s="400"/>
      <c r="W840" s="229"/>
      <c r="X840" s="229"/>
      <c r="Y840" s="4"/>
      <c r="Z840" s="4"/>
    </row>
    <row r="841">
      <c r="A841" s="392"/>
      <c r="B841" s="392"/>
      <c r="C841" s="392"/>
      <c r="D841" s="392"/>
      <c r="E841" s="392"/>
      <c r="F841" s="229"/>
      <c r="G841" s="229"/>
      <c r="H841" s="392"/>
      <c r="I841" s="229"/>
      <c r="J841" s="229"/>
      <c r="K841" s="399"/>
      <c r="L841" s="399"/>
      <c r="M841" s="399"/>
      <c r="N841" s="229"/>
      <c r="O841" s="229"/>
      <c r="P841" s="229"/>
      <c r="Q841" s="229"/>
      <c r="R841" s="229"/>
      <c r="S841" s="229"/>
      <c r="T841" s="229"/>
      <c r="U841" s="229"/>
      <c r="V841" s="400"/>
      <c r="W841" s="229"/>
      <c r="X841" s="229"/>
      <c r="Y841" s="4"/>
      <c r="Z841" s="4"/>
    </row>
    <row r="842">
      <c r="A842" s="392"/>
      <c r="B842" s="392"/>
      <c r="C842" s="392"/>
      <c r="D842" s="392"/>
      <c r="E842" s="392"/>
      <c r="F842" s="229"/>
      <c r="G842" s="229"/>
      <c r="H842" s="392"/>
      <c r="I842" s="229"/>
      <c r="J842" s="229"/>
      <c r="K842" s="399"/>
      <c r="L842" s="399"/>
      <c r="M842" s="399"/>
      <c r="N842" s="229"/>
      <c r="O842" s="229"/>
      <c r="P842" s="229"/>
      <c r="Q842" s="229"/>
      <c r="R842" s="229"/>
      <c r="S842" s="229"/>
      <c r="T842" s="229"/>
      <c r="U842" s="229"/>
      <c r="V842" s="400"/>
      <c r="W842" s="229"/>
      <c r="X842" s="229"/>
      <c r="Y842" s="4"/>
      <c r="Z842" s="4"/>
    </row>
    <row r="843">
      <c r="A843" s="392"/>
      <c r="B843" s="392"/>
      <c r="C843" s="392"/>
      <c r="D843" s="392"/>
      <c r="E843" s="392"/>
      <c r="F843" s="229"/>
      <c r="G843" s="229"/>
      <c r="H843" s="392"/>
      <c r="I843" s="229"/>
      <c r="J843" s="229"/>
      <c r="K843" s="399"/>
      <c r="L843" s="399"/>
      <c r="M843" s="399"/>
      <c r="N843" s="229"/>
      <c r="O843" s="229"/>
      <c r="P843" s="229"/>
      <c r="Q843" s="229"/>
      <c r="R843" s="229"/>
      <c r="S843" s="229"/>
      <c r="T843" s="229"/>
      <c r="U843" s="229"/>
      <c r="V843" s="400"/>
      <c r="W843" s="229"/>
      <c r="X843" s="229"/>
      <c r="Y843" s="4"/>
      <c r="Z843" s="4"/>
    </row>
    <row r="844">
      <c r="A844" s="392"/>
      <c r="B844" s="392"/>
      <c r="C844" s="392"/>
      <c r="D844" s="392"/>
      <c r="E844" s="392"/>
      <c r="F844" s="229"/>
      <c r="G844" s="229"/>
      <c r="H844" s="392"/>
      <c r="I844" s="229"/>
      <c r="J844" s="229"/>
      <c r="K844" s="399"/>
      <c r="L844" s="399"/>
      <c r="M844" s="399"/>
      <c r="N844" s="229"/>
      <c r="O844" s="229"/>
      <c r="P844" s="229"/>
      <c r="Q844" s="229"/>
      <c r="R844" s="229"/>
      <c r="S844" s="229"/>
      <c r="T844" s="229"/>
      <c r="U844" s="229"/>
      <c r="V844" s="400"/>
      <c r="W844" s="229"/>
      <c r="X844" s="229"/>
      <c r="Y844" s="4"/>
      <c r="Z844" s="4"/>
    </row>
    <row r="845">
      <c r="A845" s="392"/>
      <c r="B845" s="392"/>
      <c r="C845" s="392"/>
      <c r="D845" s="392"/>
      <c r="E845" s="392"/>
      <c r="F845" s="229"/>
      <c r="G845" s="229"/>
      <c r="H845" s="392"/>
      <c r="I845" s="229"/>
      <c r="J845" s="229"/>
      <c r="K845" s="399"/>
      <c r="L845" s="399"/>
      <c r="M845" s="399"/>
      <c r="N845" s="229"/>
      <c r="O845" s="229"/>
      <c r="P845" s="229"/>
      <c r="Q845" s="229"/>
      <c r="R845" s="229"/>
      <c r="S845" s="229"/>
      <c r="T845" s="229"/>
      <c r="U845" s="229"/>
      <c r="V845" s="400"/>
      <c r="W845" s="229"/>
      <c r="X845" s="229"/>
      <c r="Y845" s="4"/>
      <c r="Z845" s="4"/>
    </row>
    <row r="846">
      <c r="A846" s="392"/>
      <c r="B846" s="392"/>
      <c r="C846" s="392"/>
      <c r="D846" s="392"/>
      <c r="E846" s="392"/>
      <c r="F846" s="229"/>
      <c r="G846" s="229"/>
      <c r="H846" s="392"/>
      <c r="I846" s="229"/>
      <c r="J846" s="229"/>
      <c r="K846" s="399"/>
      <c r="L846" s="399"/>
      <c r="M846" s="399"/>
      <c r="N846" s="229"/>
      <c r="O846" s="229"/>
      <c r="P846" s="229"/>
      <c r="Q846" s="229"/>
      <c r="R846" s="229"/>
      <c r="S846" s="229"/>
      <c r="T846" s="229"/>
      <c r="U846" s="229"/>
      <c r="V846" s="400"/>
      <c r="W846" s="229"/>
      <c r="X846" s="229"/>
      <c r="Y846" s="4"/>
      <c r="Z846" s="4"/>
    </row>
    <row r="847">
      <c r="A847" s="392"/>
      <c r="B847" s="392"/>
      <c r="C847" s="392"/>
      <c r="D847" s="392"/>
      <c r="E847" s="392"/>
      <c r="F847" s="229"/>
      <c r="G847" s="229"/>
      <c r="H847" s="392"/>
      <c r="I847" s="229"/>
      <c r="J847" s="229"/>
      <c r="K847" s="399"/>
      <c r="L847" s="399"/>
      <c r="M847" s="399"/>
      <c r="N847" s="229"/>
      <c r="O847" s="229"/>
      <c r="P847" s="229"/>
      <c r="Q847" s="229"/>
      <c r="R847" s="229"/>
      <c r="S847" s="229"/>
      <c r="T847" s="229"/>
      <c r="U847" s="229"/>
      <c r="V847" s="400"/>
      <c r="W847" s="229"/>
      <c r="X847" s="229"/>
      <c r="Y847" s="4"/>
      <c r="Z847" s="4"/>
    </row>
    <row r="848">
      <c r="A848" s="392"/>
      <c r="B848" s="392"/>
      <c r="C848" s="392"/>
      <c r="D848" s="392"/>
      <c r="E848" s="392"/>
      <c r="F848" s="229"/>
      <c r="G848" s="229"/>
      <c r="H848" s="392"/>
      <c r="I848" s="229"/>
      <c r="J848" s="229"/>
      <c r="K848" s="399"/>
      <c r="L848" s="399"/>
      <c r="M848" s="399"/>
      <c r="N848" s="229"/>
      <c r="O848" s="229"/>
      <c r="P848" s="229"/>
      <c r="Q848" s="229"/>
      <c r="R848" s="229"/>
      <c r="S848" s="229"/>
      <c r="T848" s="229"/>
      <c r="U848" s="229"/>
      <c r="V848" s="400"/>
      <c r="W848" s="229"/>
      <c r="X848" s="229"/>
      <c r="Y848" s="4"/>
      <c r="Z848" s="4"/>
    </row>
    <row r="849">
      <c r="A849" s="392"/>
      <c r="B849" s="392"/>
      <c r="C849" s="392"/>
      <c r="D849" s="392"/>
      <c r="E849" s="392"/>
      <c r="F849" s="229"/>
      <c r="G849" s="229"/>
      <c r="H849" s="392"/>
      <c r="I849" s="229"/>
      <c r="J849" s="229"/>
      <c r="K849" s="399"/>
      <c r="L849" s="399"/>
      <c r="M849" s="399"/>
      <c r="N849" s="229"/>
      <c r="O849" s="229"/>
      <c r="P849" s="229"/>
      <c r="Q849" s="229"/>
      <c r="R849" s="229"/>
      <c r="S849" s="229"/>
      <c r="T849" s="229"/>
      <c r="U849" s="229"/>
      <c r="V849" s="400"/>
      <c r="W849" s="229"/>
      <c r="X849" s="229"/>
      <c r="Y849" s="4"/>
      <c r="Z849" s="4"/>
    </row>
    <row r="850">
      <c r="A850" s="392"/>
      <c r="B850" s="392"/>
      <c r="C850" s="392"/>
      <c r="D850" s="392"/>
      <c r="E850" s="392"/>
      <c r="F850" s="229"/>
      <c r="G850" s="229"/>
      <c r="H850" s="392"/>
      <c r="I850" s="229"/>
      <c r="J850" s="229"/>
      <c r="K850" s="399"/>
      <c r="L850" s="399"/>
      <c r="M850" s="399"/>
      <c r="N850" s="229"/>
      <c r="O850" s="229"/>
      <c r="P850" s="229"/>
      <c r="Q850" s="229"/>
      <c r="R850" s="229"/>
      <c r="S850" s="229"/>
      <c r="T850" s="229"/>
      <c r="U850" s="229"/>
      <c r="V850" s="400"/>
      <c r="W850" s="229"/>
      <c r="X850" s="229"/>
      <c r="Y850" s="4"/>
      <c r="Z850" s="4"/>
    </row>
    <row r="851">
      <c r="A851" s="392"/>
      <c r="B851" s="392"/>
      <c r="C851" s="392"/>
      <c r="D851" s="392"/>
      <c r="E851" s="392"/>
      <c r="F851" s="229"/>
      <c r="G851" s="229"/>
      <c r="H851" s="392"/>
      <c r="I851" s="229"/>
      <c r="J851" s="229"/>
      <c r="K851" s="399"/>
      <c r="L851" s="399"/>
      <c r="M851" s="399"/>
      <c r="N851" s="229"/>
      <c r="O851" s="229"/>
      <c r="P851" s="229"/>
      <c r="Q851" s="229"/>
      <c r="R851" s="229"/>
      <c r="S851" s="229"/>
      <c r="T851" s="229"/>
      <c r="U851" s="229"/>
      <c r="V851" s="400"/>
      <c r="W851" s="229"/>
      <c r="X851" s="229"/>
      <c r="Y851" s="4"/>
      <c r="Z851" s="4"/>
    </row>
    <row r="852">
      <c r="A852" s="392"/>
      <c r="B852" s="392"/>
      <c r="C852" s="392"/>
      <c r="D852" s="392"/>
      <c r="E852" s="392"/>
      <c r="F852" s="229"/>
      <c r="G852" s="229"/>
      <c r="H852" s="392"/>
      <c r="I852" s="229"/>
      <c r="J852" s="229"/>
      <c r="K852" s="399"/>
      <c r="L852" s="399"/>
      <c r="M852" s="399"/>
      <c r="N852" s="229"/>
      <c r="O852" s="229"/>
      <c r="P852" s="229"/>
      <c r="Q852" s="229"/>
      <c r="R852" s="229"/>
      <c r="S852" s="229"/>
      <c r="T852" s="229"/>
      <c r="U852" s="229"/>
      <c r="V852" s="400"/>
      <c r="W852" s="229"/>
      <c r="X852" s="229"/>
      <c r="Y852" s="4"/>
      <c r="Z852" s="4"/>
    </row>
    <row r="853">
      <c r="A853" s="392"/>
      <c r="B853" s="392"/>
      <c r="C853" s="392"/>
      <c r="D853" s="392"/>
      <c r="E853" s="392"/>
      <c r="F853" s="229"/>
      <c r="G853" s="229"/>
      <c r="H853" s="392"/>
      <c r="I853" s="229"/>
      <c r="J853" s="229"/>
      <c r="K853" s="399"/>
      <c r="L853" s="399"/>
      <c r="M853" s="399"/>
      <c r="N853" s="229"/>
      <c r="O853" s="229"/>
      <c r="P853" s="229"/>
      <c r="Q853" s="229"/>
      <c r="R853" s="229"/>
      <c r="S853" s="229"/>
      <c r="T853" s="229"/>
      <c r="U853" s="229"/>
      <c r="V853" s="400"/>
      <c r="W853" s="229"/>
      <c r="X853" s="229"/>
      <c r="Y853" s="4"/>
      <c r="Z853" s="4"/>
    </row>
    <row r="854">
      <c r="A854" s="392"/>
      <c r="B854" s="392"/>
      <c r="C854" s="392"/>
      <c r="D854" s="392"/>
      <c r="E854" s="392"/>
      <c r="F854" s="229"/>
      <c r="G854" s="229"/>
      <c r="H854" s="392"/>
      <c r="I854" s="229"/>
      <c r="J854" s="229"/>
      <c r="K854" s="399"/>
      <c r="L854" s="399"/>
      <c r="M854" s="399"/>
      <c r="N854" s="229"/>
      <c r="O854" s="229"/>
      <c r="P854" s="229"/>
      <c r="Q854" s="229"/>
      <c r="R854" s="229"/>
      <c r="S854" s="229"/>
      <c r="T854" s="229"/>
      <c r="U854" s="229"/>
      <c r="V854" s="400"/>
      <c r="W854" s="229"/>
      <c r="X854" s="229"/>
      <c r="Y854" s="4"/>
      <c r="Z854" s="4"/>
    </row>
    <row r="855">
      <c r="A855" s="392"/>
      <c r="B855" s="392"/>
      <c r="C855" s="392"/>
      <c r="D855" s="392"/>
      <c r="E855" s="392"/>
      <c r="F855" s="229"/>
      <c r="G855" s="229"/>
      <c r="H855" s="392"/>
      <c r="I855" s="229"/>
      <c r="J855" s="229"/>
      <c r="K855" s="399"/>
      <c r="L855" s="399"/>
      <c r="M855" s="399"/>
      <c r="N855" s="229"/>
      <c r="O855" s="229"/>
      <c r="P855" s="229"/>
      <c r="Q855" s="229"/>
      <c r="R855" s="229"/>
      <c r="S855" s="229"/>
      <c r="T855" s="229"/>
      <c r="U855" s="229"/>
      <c r="V855" s="400"/>
      <c r="W855" s="229"/>
      <c r="X855" s="229"/>
      <c r="Y855" s="4"/>
      <c r="Z855" s="4"/>
    </row>
    <row r="856">
      <c r="A856" s="392"/>
      <c r="B856" s="392"/>
      <c r="C856" s="392"/>
      <c r="D856" s="392"/>
      <c r="E856" s="392"/>
      <c r="F856" s="229"/>
      <c r="G856" s="229"/>
      <c r="H856" s="392"/>
      <c r="I856" s="229"/>
      <c r="J856" s="229"/>
      <c r="K856" s="399"/>
      <c r="L856" s="399"/>
      <c r="M856" s="399"/>
      <c r="N856" s="229"/>
      <c r="O856" s="229"/>
      <c r="P856" s="229"/>
      <c r="Q856" s="229"/>
      <c r="R856" s="229"/>
      <c r="S856" s="229"/>
      <c r="T856" s="229"/>
      <c r="U856" s="229"/>
      <c r="V856" s="400"/>
      <c r="W856" s="229"/>
      <c r="X856" s="229"/>
      <c r="Y856" s="4"/>
      <c r="Z856" s="4"/>
    </row>
    <row r="857">
      <c r="A857" s="392"/>
      <c r="B857" s="392"/>
      <c r="C857" s="392"/>
      <c r="D857" s="392"/>
      <c r="E857" s="392"/>
      <c r="F857" s="229"/>
      <c r="G857" s="229"/>
      <c r="H857" s="392"/>
      <c r="I857" s="229"/>
      <c r="J857" s="229"/>
      <c r="K857" s="399"/>
      <c r="L857" s="399"/>
      <c r="M857" s="399"/>
      <c r="N857" s="229"/>
      <c r="O857" s="229"/>
      <c r="P857" s="229"/>
      <c r="Q857" s="229"/>
      <c r="R857" s="229"/>
      <c r="S857" s="229"/>
      <c r="T857" s="229"/>
      <c r="U857" s="229"/>
      <c r="V857" s="400"/>
      <c r="W857" s="229"/>
      <c r="X857" s="229"/>
      <c r="Y857" s="4"/>
      <c r="Z857" s="4"/>
    </row>
    <row r="858">
      <c r="A858" s="392"/>
      <c r="B858" s="392"/>
      <c r="C858" s="392"/>
      <c r="D858" s="392"/>
      <c r="E858" s="392"/>
      <c r="F858" s="229"/>
      <c r="G858" s="229"/>
      <c r="H858" s="392"/>
      <c r="I858" s="229"/>
      <c r="J858" s="229"/>
      <c r="K858" s="399"/>
      <c r="L858" s="399"/>
      <c r="M858" s="399"/>
      <c r="N858" s="229"/>
      <c r="O858" s="229"/>
      <c r="P858" s="229"/>
      <c r="Q858" s="229"/>
      <c r="R858" s="229"/>
      <c r="S858" s="229"/>
      <c r="T858" s="229"/>
      <c r="U858" s="229"/>
      <c r="V858" s="400"/>
      <c r="W858" s="229"/>
      <c r="X858" s="229"/>
      <c r="Y858" s="4"/>
      <c r="Z858" s="4"/>
    </row>
    <row r="859">
      <c r="A859" s="392"/>
      <c r="B859" s="392"/>
      <c r="C859" s="392"/>
      <c r="D859" s="392"/>
      <c r="E859" s="392"/>
      <c r="F859" s="229"/>
      <c r="G859" s="229"/>
      <c r="H859" s="392"/>
      <c r="I859" s="229"/>
      <c r="J859" s="229"/>
      <c r="K859" s="399"/>
      <c r="L859" s="399"/>
      <c r="M859" s="399"/>
      <c r="N859" s="229"/>
      <c r="O859" s="229"/>
      <c r="P859" s="229"/>
      <c r="Q859" s="229"/>
      <c r="R859" s="229"/>
      <c r="S859" s="229"/>
      <c r="T859" s="229"/>
      <c r="U859" s="229"/>
      <c r="V859" s="400"/>
      <c r="W859" s="229"/>
      <c r="X859" s="229"/>
      <c r="Y859" s="4"/>
      <c r="Z859" s="4"/>
    </row>
    <row r="860">
      <c r="A860" s="392"/>
      <c r="B860" s="392"/>
      <c r="C860" s="392"/>
      <c r="D860" s="392"/>
      <c r="E860" s="392"/>
      <c r="F860" s="229"/>
      <c r="G860" s="229"/>
      <c r="H860" s="392"/>
      <c r="I860" s="229"/>
      <c r="J860" s="229"/>
      <c r="K860" s="399"/>
      <c r="L860" s="399"/>
      <c r="M860" s="399"/>
      <c r="N860" s="229"/>
      <c r="O860" s="229"/>
      <c r="P860" s="229"/>
      <c r="Q860" s="229"/>
      <c r="R860" s="229"/>
      <c r="S860" s="229"/>
      <c r="T860" s="229"/>
      <c r="U860" s="229"/>
      <c r="V860" s="400"/>
      <c r="W860" s="229"/>
      <c r="X860" s="229"/>
      <c r="Y860" s="4"/>
      <c r="Z860" s="4"/>
    </row>
    <row r="861">
      <c r="A861" s="392"/>
      <c r="B861" s="392"/>
      <c r="C861" s="392"/>
      <c r="D861" s="392"/>
      <c r="E861" s="392"/>
      <c r="F861" s="229"/>
      <c r="G861" s="229"/>
      <c r="H861" s="392"/>
      <c r="I861" s="229"/>
      <c r="J861" s="229"/>
      <c r="K861" s="399"/>
      <c r="L861" s="399"/>
      <c r="M861" s="399"/>
      <c r="N861" s="229"/>
      <c r="O861" s="229"/>
      <c r="P861" s="229"/>
      <c r="Q861" s="229"/>
      <c r="R861" s="229"/>
      <c r="S861" s="229"/>
      <c r="T861" s="229"/>
      <c r="U861" s="229"/>
      <c r="V861" s="400"/>
      <c r="W861" s="229"/>
      <c r="X861" s="229"/>
      <c r="Y861" s="4"/>
      <c r="Z861" s="4"/>
    </row>
    <row r="862">
      <c r="A862" s="392"/>
      <c r="B862" s="392"/>
      <c r="C862" s="392"/>
      <c r="D862" s="392"/>
      <c r="E862" s="392"/>
      <c r="F862" s="229"/>
      <c r="G862" s="229"/>
      <c r="H862" s="392"/>
      <c r="I862" s="229"/>
      <c r="J862" s="229"/>
      <c r="K862" s="399"/>
      <c r="L862" s="399"/>
      <c r="M862" s="399"/>
      <c r="N862" s="229"/>
      <c r="O862" s="229"/>
      <c r="P862" s="229"/>
      <c r="Q862" s="229"/>
      <c r="R862" s="229"/>
      <c r="S862" s="229"/>
      <c r="T862" s="229"/>
      <c r="U862" s="229"/>
      <c r="V862" s="400"/>
      <c r="W862" s="229"/>
      <c r="X862" s="229"/>
      <c r="Y862" s="4"/>
      <c r="Z862" s="4"/>
    </row>
    <row r="863">
      <c r="A863" s="392"/>
      <c r="B863" s="392"/>
      <c r="C863" s="392"/>
      <c r="D863" s="392"/>
      <c r="E863" s="392"/>
      <c r="F863" s="229"/>
      <c r="G863" s="229"/>
      <c r="H863" s="392"/>
      <c r="I863" s="229"/>
      <c r="J863" s="229"/>
      <c r="K863" s="399"/>
      <c r="L863" s="399"/>
      <c r="M863" s="399"/>
      <c r="N863" s="229"/>
      <c r="O863" s="229"/>
      <c r="P863" s="229"/>
      <c r="Q863" s="229"/>
      <c r="R863" s="229"/>
      <c r="S863" s="229"/>
      <c r="T863" s="229"/>
      <c r="U863" s="229"/>
      <c r="V863" s="400"/>
      <c r="W863" s="229"/>
      <c r="X863" s="229"/>
      <c r="Y863" s="4"/>
      <c r="Z863" s="4"/>
    </row>
    <row r="864">
      <c r="A864" s="392"/>
      <c r="B864" s="392"/>
      <c r="C864" s="392"/>
      <c r="D864" s="392"/>
      <c r="E864" s="392"/>
      <c r="F864" s="229"/>
      <c r="G864" s="229"/>
      <c r="H864" s="392"/>
      <c r="I864" s="229"/>
      <c r="J864" s="229"/>
      <c r="K864" s="399"/>
      <c r="L864" s="399"/>
      <c r="M864" s="399"/>
      <c r="N864" s="229"/>
      <c r="O864" s="229"/>
      <c r="P864" s="229"/>
      <c r="Q864" s="229"/>
      <c r="R864" s="229"/>
      <c r="S864" s="229"/>
      <c r="T864" s="229"/>
      <c r="U864" s="229"/>
      <c r="V864" s="400"/>
      <c r="W864" s="229"/>
      <c r="X864" s="229"/>
      <c r="Y864" s="4"/>
      <c r="Z864" s="4"/>
    </row>
    <row r="865">
      <c r="A865" s="392"/>
      <c r="B865" s="392"/>
      <c r="C865" s="392"/>
      <c r="D865" s="392"/>
      <c r="E865" s="392"/>
      <c r="F865" s="229"/>
      <c r="G865" s="229"/>
      <c r="H865" s="392"/>
      <c r="I865" s="229"/>
      <c r="J865" s="229"/>
      <c r="K865" s="399"/>
      <c r="L865" s="399"/>
      <c r="M865" s="399"/>
      <c r="N865" s="229"/>
      <c r="O865" s="229"/>
      <c r="P865" s="229"/>
      <c r="Q865" s="229"/>
      <c r="R865" s="229"/>
      <c r="S865" s="229"/>
      <c r="T865" s="229"/>
      <c r="U865" s="229"/>
      <c r="V865" s="400"/>
      <c r="W865" s="229"/>
      <c r="X865" s="229"/>
      <c r="Y865" s="4"/>
      <c r="Z865" s="4"/>
    </row>
    <row r="866">
      <c r="A866" s="392"/>
      <c r="B866" s="392"/>
      <c r="C866" s="392"/>
      <c r="D866" s="392"/>
      <c r="E866" s="392"/>
      <c r="F866" s="229"/>
      <c r="G866" s="229"/>
      <c r="H866" s="392"/>
      <c r="I866" s="229"/>
      <c r="J866" s="229"/>
      <c r="K866" s="399"/>
      <c r="L866" s="399"/>
      <c r="M866" s="399"/>
      <c r="N866" s="229"/>
      <c r="O866" s="229"/>
      <c r="P866" s="229"/>
      <c r="Q866" s="229"/>
      <c r="R866" s="229"/>
      <c r="S866" s="229"/>
      <c r="T866" s="229"/>
      <c r="U866" s="229"/>
      <c r="V866" s="400"/>
      <c r="W866" s="229"/>
      <c r="X866" s="229"/>
      <c r="Y866" s="4"/>
      <c r="Z866" s="4"/>
    </row>
    <row r="867">
      <c r="A867" s="392"/>
      <c r="B867" s="392"/>
      <c r="C867" s="392"/>
      <c r="D867" s="392"/>
      <c r="E867" s="392"/>
      <c r="F867" s="229"/>
      <c r="G867" s="229"/>
      <c r="H867" s="392"/>
      <c r="I867" s="229"/>
      <c r="J867" s="229"/>
      <c r="K867" s="399"/>
      <c r="L867" s="399"/>
      <c r="M867" s="399"/>
      <c r="N867" s="229"/>
      <c r="O867" s="229"/>
      <c r="P867" s="229"/>
      <c r="Q867" s="229"/>
      <c r="R867" s="229"/>
      <c r="S867" s="229"/>
      <c r="T867" s="229"/>
      <c r="U867" s="229"/>
      <c r="V867" s="400"/>
      <c r="W867" s="229"/>
      <c r="X867" s="229"/>
      <c r="Y867" s="4"/>
      <c r="Z867" s="4"/>
    </row>
    <row r="868">
      <c r="A868" s="392"/>
      <c r="B868" s="392"/>
      <c r="C868" s="392"/>
      <c r="D868" s="392"/>
      <c r="E868" s="392"/>
      <c r="F868" s="229"/>
      <c r="G868" s="229"/>
      <c r="H868" s="392"/>
      <c r="I868" s="229"/>
      <c r="J868" s="229"/>
      <c r="K868" s="399"/>
      <c r="L868" s="399"/>
      <c r="M868" s="399"/>
      <c r="N868" s="229"/>
      <c r="O868" s="229"/>
      <c r="P868" s="229"/>
      <c r="Q868" s="229"/>
      <c r="R868" s="229"/>
      <c r="S868" s="229"/>
      <c r="T868" s="229"/>
      <c r="U868" s="229"/>
      <c r="V868" s="400"/>
      <c r="W868" s="229"/>
      <c r="X868" s="229"/>
      <c r="Y868" s="4"/>
      <c r="Z868" s="4"/>
    </row>
    <row r="869">
      <c r="A869" s="392"/>
      <c r="B869" s="392"/>
      <c r="C869" s="392"/>
      <c r="D869" s="392"/>
      <c r="E869" s="392"/>
      <c r="F869" s="229"/>
      <c r="G869" s="229"/>
      <c r="H869" s="392"/>
      <c r="I869" s="229"/>
      <c r="J869" s="229"/>
      <c r="K869" s="399"/>
      <c r="L869" s="399"/>
      <c r="M869" s="399"/>
      <c r="N869" s="229"/>
      <c r="O869" s="229"/>
      <c r="P869" s="229"/>
      <c r="Q869" s="229"/>
      <c r="R869" s="229"/>
      <c r="S869" s="229"/>
      <c r="T869" s="229"/>
      <c r="U869" s="229"/>
      <c r="V869" s="400"/>
      <c r="W869" s="229"/>
      <c r="X869" s="229"/>
      <c r="Y869" s="4"/>
      <c r="Z869" s="4"/>
    </row>
    <row r="870">
      <c r="A870" s="392"/>
      <c r="B870" s="392"/>
      <c r="C870" s="392"/>
      <c r="D870" s="392"/>
      <c r="E870" s="392"/>
      <c r="F870" s="229"/>
      <c r="G870" s="229"/>
      <c r="H870" s="392"/>
      <c r="I870" s="229"/>
      <c r="J870" s="229"/>
      <c r="K870" s="399"/>
      <c r="L870" s="399"/>
      <c r="M870" s="399"/>
      <c r="N870" s="229"/>
      <c r="O870" s="229"/>
      <c r="P870" s="229"/>
      <c r="Q870" s="229"/>
      <c r="R870" s="229"/>
      <c r="S870" s="229"/>
      <c r="T870" s="229"/>
      <c r="U870" s="229"/>
      <c r="V870" s="400"/>
      <c r="W870" s="229"/>
      <c r="X870" s="229"/>
      <c r="Y870" s="4"/>
      <c r="Z870" s="4"/>
    </row>
    <row r="871">
      <c r="A871" s="392"/>
      <c r="B871" s="392"/>
      <c r="C871" s="392"/>
      <c r="D871" s="392"/>
      <c r="E871" s="392"/>
      <c r="F871" s="229"/>
      <c r="G871" s="229"/>
      <c r="H871" s="392"/>
      <c r="I871" s="229"/>
      <c r="J871" s="229"/>
      <c r="K871" s="399"/>
      <c r="L871" s="399"/>
      <c r="M871" s="399"/>
      <c r="N871" s="229"/>
      <c r="O871" s="229"/>
      <c r="P871" s="229"/>
      <c r="Q871" s="229"/>
      <c r="R871" s="229"/>
      <c r="S871" s="229"/>
      <c r="T871" s="229"/>
      <c r="U871" s="229"/>
      <c r="V871" s="400"/>
      <c r="W871" s="229"/>
      <c r="X871" s="229"/>
      <c r="Y871" s="4"/>
      <c r="Z871" s="4"/>
    </row>
    <row r="872">
      <c r="A872" s="392"/>
      <c r="B872" s="392"/>
      <c r="C872" s="392"/>
      <c r="D872" s="392"/>
      <c r="E872" s="392"/>
      <c r="F872" s="229"/>
      <c r="G872" s="229"/>
      <c r="H872" s="392"/>
      <c r="I872" s="229"/>
      <c r="J872" s="229"/>
      <c r="K872" s="399"/>
      <c r="L872" s="399"/>
      <c r="M872" s="399"/>
      <c r="N872" s="229"/>
      <c r="O872" s="229"/>
      <c r="P872" s="229"/>
      <c r="Q872" s="229"/>
      <c r="R872" s="229"/>
      <c r="S872" s="229"/>
      <c r="T872" s="229"/>
      <c r="U872" s="229"/>
      <c r="V872" s="400"/>
      <c r="W872" s="229"/>
      <c r="X872" s="229"/>
      <c r="Y872" s="4"/>
      <c r="Z872" s="4"/>
    </row>
    <row r="873">
      <c r="A873" s="392"/>
      <c r="B873" s="392"/>
      <c r="C873" s="392"/>
      <c r="D873" s="392"/>
      <c r="E873" s="392"/>
      <c r="F873" s="229"/>
      <c r="G873" s="229"/>
      <c r="H873" s="392"/>
      <c r="I873" s="229"/>
      <c r="J873" s="229"/>
      <c r="K873" s="399"/>
      <c r="L873" s="399"/>
      <c r="M873" s="399"/>
      <c r="N873" s="229"/>
      <c r="O873" s="229"/>
      <c r="P873" s="229"/>
      <c r="Q873" s="229"/>
      <c r="R873" s="229"/>
      <c r="S873" s="229"/>
      <c r="T873" s="229"/>
      <c r="U873" s="229"/>
      <c r="V873" s="400"/>
      <c r="W873" s="229"/>
      <c r="X873" s="229"/>
      <c r="Y873" s="4"/>
      <c r="Z873" s="4"/>
    </row>
    <row r="874">
      <c r="A874" s="392"/>
      <c r="B874" s="392"/>
      <c r="C874" s="392"/>
      <c r="D874" s="392"/>
      <c r="E874" s="392"/>
      <c r="F874" s="229"/>
      <c r="G874" s="229"/>
      <c r="H874" s="392"/>
      <c r="I874" s="229"/>
      <c r="J874" s="229"/>
      <c r="K874" s="399"/>
      <c r="L874" s="399"/>
      <c r="M874" s="399"/>
      <c r="N874" s="229"/>
      <c r="O874" s="229"/>
      <c r="P874" s="229"/>
      <c r="Q874" s="229"/>
      <c r="R874" s="229"/>
      <c r="S874" s="229"/>
      <c r="T874" s="229"/>
      <c r="U874" s="229"/>
      <c r="V874" s="400"/>
      <c r="W874" s="229"/>
      <c r="X874" s="229"/>
      <c r="Y874" s="4"/>
      <c r="Z874" s="4"/>
    </row>
    <row r="875">
      <c r="A875" s="392"/>
      <c r="B875" s="392"/>
      <c r="C875" s="392"/>
      <c r="D875" s="392"/>
      <c r="E875" s="392"/>
      <c r="F875" s="229"/>
      <c r="G875" s="229"/>
      <c r="H875" s="392"/>
      <c r="I875" s="229"/>
      <c r="J875" s="229"/>
      <c r="K875" s="399"/>
      <c r="L875" s="399"/>
      <c r="M875" s="399"/>
      <c r="N875" s="229"/>
      <c r="O875" s="229"/>
      <c r="P875" s="229"/>
      <c r="Q875" s="229"/>
      <c r="R875" s="229"/>
      <c r="S875" s="229"/>
      <c r="T875" s="229"/>
      <c r="U875" s="229"/>
      <c r="V875" s="400"/>
      <c r="W875" s="229"/>
      <c r="X875" s="229"/>
      <c r="Y875" s="4"/>
      <c r="Z875" s="4"/>
    </row>
    <row r="876">
      <c r="A876" s="392"/>
      <c r="B876" s="392"/>
      <c r="C876" s="392"/>
      <c r="D876" s="392"/>
      <c r="E876" s="392"/>
      <c r="F876" s="229"/>
      <c r="G876" s="229"/>
      <c r="H876" s="392"/>
      <c r="I876" s="229"/>
      <c r="J876" s="229"/>
      <c r="K876" s="399"/>
      <c r="L876" s="399"/>
      <c r="M876" s="399"/>
      <c r="N876" s="229"/>
      <c r="O876" s="229"/>
      <c r="P876" s="229"/>
      <c r="Q876" s="229"/>
      <c r="R876" s="229"/>
      <c r="S876" s="229"/>
      <c r="T876" s="229"/>
      <c r="U876" s="229"/>
      <c r="V876" s="400"/>
      <c r="W876" s="229"/>
      <c r="X876" s="229"/>
      <c r="Y876" s="4"/>
      <c r="Z876" s="4"/>
    </row>
    <row r="877">
      <c r="A877" s="392"/>
      <c r="B877" s="392"/>
      <c r="C877" s="392"/>
      <c r="D877" s="392"/>
      <c r="E877" s="392"/>
      <c r="F877" s="229"/>
      <c r="G877" s="229"/>
      <c r="H877" s="392"/>
      <c r="I877" s="229"/>
      <c r="J877" s="229"/>
      <c r="K877" s="399"/>
      <c r="L877" s="399"/>
      <c r="M877" s="399"/>
      <c r="N877" s="229"/>
      <c r="O877" s="229"/>
      <c r="P877" s="229"/>
      <c r="Q877" s="229"/>
      <c r="R877" s="229"/>
      <c r="S877" s="229"/>
      <c r="T877" s="229"/>
      <c r="U877" s="229"/>
      <c r="V877" s="400"/>
      <c r="W877" s="229"/>
      <c r="X877" s="229"/>
      <c r="Y877" s="4"/>
      <c r="Z877" s="4"/>
    </row>
    <row r="878">
      <c r="A878" s="392"/>
      <c r="B878" s="392"/>
      <c r="C878" s="392"/>
      <c r="D878" s="392"/>
      <c r="E878" s="392"/>
      <c r="F878" s="229"/>
      <c r="G878" s="229"/>
      <c r="H878" s="392"/>
      <c r="I878" s="229"/>
      <c r="J878" s="229"/>
      <c r="K878" s="399"/>
      <c r="L878" s="399"/>
      <c r="M878" s="399"/>
      <c r="N878" s="229"/>
      <c r="O878" s="229"/>
      <c r="P878" s="229"/>
      <c r="Q878" s="229"/>
      <c r="R878" s="229"/>
      <c r="S878" s="229"/>
      <c r="T878" s="229"/>
      <c r="U878" s="229"/>
      <c r="V878" s="400"/>
      <c r="W878" s="229"/>
      <c r="X878" s="229"/>
      <c r="Y878" s="4"/>
      <c r="Z878" s="4"/>
    </row>
    <row r="879">
      <c r="A879" s="392"/>
      <c r="B879" s="392"/>
      <c r="C879" s="392"/>
      <c r="D879" s="392"/>
      <c r="E879" s="392"/>
      <c r="F879" s="229"/>
      <c r="G879" s="229"/>
      <c r="H879" s="392"/>
      <c r="I879" s="229"/>
      <c r="J879" s="229"/>
      <c r="K879" s="399"/>
      <c r="L879" s="399"/>
      <c r="M879" s="399"/>
      <c r="N879" s="229"/>
      <c r="O879" s="229"/>
      <c r="P879" s="229"/>
      <c r="Q879" s="229"/>
      <c r="R879" s="229"/>
      <c r="S879" s="229"/>
      <c r="T879" s="229"/>
      <c r="U879" s="229"/>
      <c r="V879" s="400"/>
      <c r="W879" s="229"/>
      <c r="X879" s="229"/>
      <c r="Y879" s="4"/>
      <c r="Z879" s="4"/>
    </row>
    <row r="880">
      <c r="A880" s="392"/>
      <c r="B880" s="392"/>
      <c r="C880" s="392"/>
      <c r="D880" s="392"/>
      <c r="E880" s="392"/>
      <c r="F880" s="229"/>
      <c r="G880" s="229"/>
      <c r="H880" s="392"/>
      <c r="I880" s="229"/>
      <c r="J880" s="229"/>
      <c r="K880" s="399"/>
      <c r="L880" s="399"/>
      <c r="M880" s="399"/>
      <c r="N880" s="229"/>
      <c r="O880" s="229"/>
      <c r="P880" s="229"/>
      <c r="Q880" s="229"/>
      <c r="R880" s="229"/>
      <c r="S880" s="229"/>
      <c r="T880" s="229"/>
      <c r="U880" s="229"/>
      <c r="V880" s="400"/>
      <c r="W880" s="229"/>
      <c r="X880" s="229"/>
      <c r="Y880" s="4"/>
      <c r="Z880" s="4"/>
    </row>
    <row r="881">
      <c r="A881" s="392"/>
      <c r="B881" s="392"/>
      <c r="C881" s="392"/>
      <c r="D881" s="392"/>
      <c r="E881" s="392"/>
      <c r="F881" s="229"/>
      <c r="G881" s="229"/>
      <c r="H881" s="392"/>
      <c r="I881" s="229"/>
      <c r="J881" s="229"/>
      <c r="K881" s="399"/>
      <c r="L881" s="399"/>
      <c r="M881" s="399"/>
      <c r="N881" s="229"/>
      <c r="O881" s="229"/>
      <c r="P881" s="229"/>
      <c r="Q881" s="229"/>
      <c r="R881" s="229"/>
      <c r="S881" s="229"/>
      <c r="T881" s="229"/>
      <c r="U881" s="229"/>
      <c r="V881" s="400"/>
      <c r="W881" s="229"/>
      <c r="X881" s="229"/>
      <c r="Y881" s="4"/>
      <c r="Z881" s="4"/>
    </row>
    <row r="882">
      <c r="A882" s="392"/>
      <c r="B882" s="392"/>
      <c r="C882" s="392"/>
      <c r="D882" s="392"/>
      <c r="E882" s="392"/>
      <c r="F882" s="229"/>
      <c r="G882" s="229"/>
      <c r="H882" s="392"/>
      <c r="I882" s="229"/>
      <c r="J882" s="229"/>
      <c r="K882" s="399"/>
      <c r="L882" s="399"/>
      <c r="M882" s="399"/>
      <c r="N882" s="229"/>
      <c r="O882" s="229"/>
      <c r="P882" s="229"/>
      <c r="Q882" s="229"/>
      <c r="R882" s="229"/>
      <c r="S882" s="229"/>
      <c r="T882" s="229"/>
      <c r="U882" s="229"/>
      <c r="V882" s="400"/>
      <c r="W882" s="229"/>
      <c r="X882" s="229"/>
      <c r="Y882" s="4"/>
      <c r="Z882" s="4"/>
    </row>
    <row r="883">
      <c r="A883" s="392"/>
      <c r="B883" s="392"/>
      <c r="C883" s="392"/>
      <c r="D883" s="392"/>
      <c r="E883" s="392"/>
      <c r="F883" s="229"/>
      <c r="G883" s="229"/>
      <c r="H883" s="392"/>
      <c r="I883" s="229"/>
      <c r="J883" s="229"/>
      <c r="K883" s="399"/>
      <c r="L883" s="399"/>
      <c r="M883" s="399"/>
      <c r="N883" s="229"/>
      <c r="O883" s="229"/>
      <c r="P883" s="229"/>
      <c r="Q883" s="229"/>
      <c r="R883" s="229"/>
      <c r="S883" s="229"/>
      <c r="T883" s="229"/>
      <c r="U883" s="229"/>
      <c r="V883" s="400"/>
      <c r="W883" s="229"/>
      <c r="X883" s="229"/>
      <c r="Y883" s="4"/>
      <c r="Z883" s="4"/>
    </row>
    <row r="884">
      <c r="A884" s="392"/>
      <c r="B884" s="392"/>
      <c r="C884" s="392"/>
      <c r="D884" s="392"/>
      <c r="E884" s="392"/>
      <c r="F884" s="229"/>
      <c r="G884" s="229"/>
      <c r="H884" s="392"/>
      <c r="I884" s="229"/>
      <c r="J884" s="229"/>
      <c r="K884" s="399"/>
      <c r="L884" s="399"/>
      <c r="M884" s="399"/>
      <c r="N884" s="229"/>
      <c r="O884" s="229"/>
      <c r="P884" s="229"/>
      <c r="Q884" s="229"/>
      <c r="R884" s="229"/>
      <c r="S884" s="229"/>
      <c r="T884" s="229"/>
      <c r="U884" s="229"/>
      <c r="V884" s="400"/>
      <c r="W884" s="229"/>
      <c r="X884" s="229"/>
      <c r="Y884" s="4"/>
      <c r="Z884" s="4"/>
    </row>
    <row r="885">
      <c r="A885" s="392"/>
      <c r="B885" s="392"/>
      <c r="C885" s="392"/>
      <c r="D885" s="392"/>
      <c r="E885" s="392"/>
      <c r="F885" s="229"/>
      <c r="G885" s="229"/>
      <c r="H885" s="392"/>
      <c r="I885" s="229"/>
      <c r="J885" s="229"/>
      <c r="K885" s="399"/>
      <c r="L885" s="399"/>
      <c r="M885" s="399"/>
      <c r="N885" s="229"/>
      <c r="O885" s="229"/>
      <c r="P885" s="229"/>
      <c r="Q885" s="229"/>
      <c r="R885" s="229"/>
      <c r="S885" s="229"/>
      <c r="T885" s="229"/>
      <c r="U885" s="229"/>
      <c r="V885" s="400"/>
      <c r="W885" s="229"/>
      <c r="X885" s="229"/>
      <c r="Y885" s="4"/>
      <c r="Z885" s="4"/>
    </row>
    <row r="886">
      <c r="A886" s="392"/>
      <c r="B886" s="392"/>
      <c r="C886" s="392"/>
      <c r="D886" s="392"/>
      <c r="E886" s="392"/>
      <c r="F886" s="229"/>
      <c r="G886" s="229"/>
      <c r="H886" s="392"/>
      <c r="I886" s="229"/>
      <c r="J886" s="229"/>
      <c r="K886" s="399"/>
      <c r="L886" s="399"/>
      <c r="M886" s="399"/>
      <c r="N886" s="229"/>
      <c r="O886" s="229"/>
      <c r="P886" s="229"/>
      <c r="Q886" s="229"/>
      <c r="R886" s="229"/>
      <c r="S886" s="229"/>
      <c r="T886" s="229"/>
      <c r="U886" s="229"/>
      <c r="V886" s="400"/>
      <c r="W886" s="229"/>
      <c r="X886" s="229"/>
      <c r="Y886" s="4"/>
      <c r="Z886" s="4"/>
    </row>
    <row r="887">
      <c r="A887" s="392"/>
      <c r="B887" s="392"/>
      <c r="C887" s="392"/>
      <c r="D887" s="392"/>
      <c r="E887" s="392"/>
      <c r="F887" s="229"/>
      <c r="G887" s="229"/>
      <c r="H887" s="392"/>
      <c r="I887" s="229"/>
      <c r="J887" s="229"/>
      <c r="K887" s="399"/>
      <c r="L887" s="399"/>
      <c r="M887" s="399"/>
      <c r="N887" s="229"/>
      <c r="O887" s="229"/>
      <c r="P887" s="229"/>
      <c r="Q887" s="229"/>
      <c r="R887" s="229"/>
      <c r="S887" s="229"/>
      <c r="T887" s="229"/>
      <c r="U887" s="229"/>
      <c r="V887" s="400"/>
      <c r="W887" s="229"/>
      <c r="X887" s="229"/>
      <c r="Y887" s="4"/>
      <c r="Z887" s="4"/>
    </row>
    <row r="888">
      <c r="A888" s="392"/>
      <c r="B888" s="392"/>
      <c r="C888" s="392"/>
      <c r="D888" s="392"/>
      <c r="E888" s="392"/>
      <c r="F888" s="229"/>
      <c r="G888" s="229"/>
      <c r="H888" s="392"/>
      <c r="I888" s="229"/>
      <c r="J888" s="229"/>
      <c r="K888" s="399"/>
      <c r="L888" s="399"/>
      <c r="M888" s="399"/>
      <c r="N888" s="229"/>
      <c r="O888" s="229"/>
      <c r="P888" s="229"/>
      <c r="Q888" s="229"/>
      <c r="R888" s="229"/>
      <c r="S888" s="229"/>
      <c r="T888" s="229"/>
      <c r="U888" s="229"/>
      <c r="V888" s="400"/>
      <c r="W888" s="229"/>
      <c r="X888" s="229"/>
      <c r="Y888" s="4"/>
      <c r="Z888" s="4"/>
    </row>
    <row r="889">
      <c r="A889" s="392"/>
      <c r="B889" s="392"/>
      <c r="C889" s="392"/>
      <c r="D889" s="392"/>
      <c r="E889" s="392"/>
      <c r="F889" s="229"/>
      <c r="G889" s="229"/>
      <c r="H889" s="392"/>
      <c r="I889" s="229"/>
      <c r="J889" s="229"/>
      <c r="K889" s="399"/>
      <c r="L889" s="399"/>
      <c r="M889" s="399"/>
      <c r="N889" s="229"/>
      <c r="O889" s="229"/>
      <c r="P889" s="229"/>
      <c r="Q889" s="229"/>
      <c r="R889" s="229"/>
      <c r="S889" s="229"/>
      <c r="T889" s="229"/>
      <c r="U889" s="229"/>
      <c r="V889" s="400"/>
      <c r="W889" s="229"/>
      <c r="X889" s="229"/>
      <c r="Y889" s="4"/>
      <c r="Z889" s="4"/>
    </row>
    <row r="890">
      <c r="A890" s="392"/>
      <c r="B890" s="392"/>
      <c r="C890" s="392"/>
      <c r="D890" s="392"/>
      <c r="E890" s="392"/>
      <c r="F890" s="229"/>
      <c r="G890" s="229"/>
      <c r="H890" s="392"/>
      <c r="I890" s="229"/>
      <c r="J890" s="229"/>
      <c r="K890" s="399"/>
      <c r="L890" s="399"/>
      <c r="M890" s="399"/>
      <c r="N890" s="229"/>
      <c r="O890" s="229"/>
      <c r="P890" s="229"/>
      <c r="Q890" s="229"/>
      <c r="R890" s="229"/>
      <c r="S890" s="229"/>
      <c r="T890" s="229"/>
      <c r="U890" s="229"/>
      <c r="V890" s="400"/>
      <c r="W890" s="229"/>
      <c r="X890" s="229"/>
      <c r="Y890" s="4"/>
      <c r="Z890" s="4"/>
    </row>
    <row r="891">
      <c r="A891" s="392"/>
      <c r="B891" s="392"/>
      <c r="C891" s="392"/>
      <c r="D891" s="392"/>
      <c r="E891" s="392"/>
      <c r="F891" s="229"/>
      <c r="G891" s="229"/>
      <c r="H891" s="392"/>
      <c r="I891" s="229"/>
      <c r="J891" s="229"/>
      <c r="K891" s="399"/>
      <c r="L891" s="399"/>
      <c r="M891" s="399"/>
      <c r="N891" s="229"/>
      <c r="O891" s="229"/>
      <c r="P891" s="229"/>
      <c r="Q891" s="229"/>
      <c r="R891" s="229"/>
      <c r="S891" s="229"/>
      <c r="T891" s="229"/>
      <c r="U891" s="229"/>
      <c r="V891" s="400"/>
      <c r="W891" s="229"/>
      <c r="X891" s="229"/>
      <c r="Y891" s="4"/>
      <c r="Z891" s="4"/>
    </row>
    <row r="892">
      <c r="A892" s="392"/>
      <c r="B892" s="392"/>
      <c r="C892" s="392"/>
      <c r="D892" s="392"/>
      <c r="E892" s="392"/>
      <c r="F892" s="229"/>
      <c r="G892" s="229"/>
      <c r="H892" s="392"/>
      <c r="I892" s="229"/>
      <c r="J892" s="229"/>
      <c r="K892" s="399"/>
      <c r="L892" s="399"/>
      <c r="M892" s="399"/>
      <c r="N892" s="229"/>
      <c r="O892" s="229"/>
      <c r="P892" s="229"/>
      <c r="Q892" s="229"/>
      <c r="R892" s="229"/>
      <c r="S892" s="229"/>
      <c r="T892" s="229"/>
      <c r="U892" s="229"/>
      <c r="V892" s="400"/>
      <c r="W892" s="229"/>
      <c r="X892" s="229"/>
      <c r="Y892" s="4"/>
      <c r="Z892" s="4"/>
    </row>
    <row r="893">
      <c r="A893" s="392"/>
      <c r="B893" s="392"/>
      <c r="C893" s="392"/>
      <c r="D893" s="392"/>
      <c r="E893" s="392"/>
      <c r="F893" s="229"/>
      <c r="G893" s="229"/>
      <c r="H893" s="392"/>
      <c r="I893" s="229"/>
      <c r="J893" s="229"/>
      <c r="K893" s="399"/>
      <c r="L893" s="399"/>
      <c r="M893" s="399"/>
      <c r="N893" s="229"/>
      <c r="O893" s="229"/>
      <c r="P893" s="229"/>
      <c r="Q893" s="229"/>
      <c r="R893" s="229"/>
      <c r="S893" s="229"/>
      <c r="T893" s="229"/>
      <c r="U893" s="229"/>
      <c r="V893" s="400"/>
      <c r="W893" s="229"/>
      <c r="X893" s="229"/>
      <c r="Y893" s="4"/>
      <c r="Z893" s="4"/>
    </row>
    <row r="894">
      <c r="A894" s="392"/>
      <c r="B894" s="392"/>
      <c r="C894" s="392"/>
      <c r="D894" s="392"/>
      <c r="E894" s="392"/>
      <c r="F894" s="229"/>
      <c r="G894" s="229"/>
      <c r="H894" s="392"/>
      <c r="I894" s="229"/>
      <c r="J894" s="229"/>
      <c r="K894" s="399"/>
      <c r="L894" s="399"/>
      <c r="M894" s="399"/>
      <c r="N894" s="229"/>
      <c r="O894" s="229"/>
      <c r="P894" s="229"/>
      <c r="Q894" s="229"/>
      <c r="R894" s="229"/>
      <c r="S894" s="229"/>
      <c r="T894" s="229"/>
      <c r="U894" s="229"/>
      <c r="V894" s="400"/>
      <c r="W894" s="229"/>
      <c r="X894" s="229"/>
      <c r="Y894" s="4"/>
      <c r="Z894" s="4"/>
    </row>
    <row r="895">
      <c r="A895" s="392"/>
      <c r="B895" s="392"/>
      <c r="C895" s="392"/>
      <c r="D895" s="392"/>
      <c r="E895" s="392"/>
      <c r="F895" s="229"/>
      <c r="G895" s="229"/>
      <c r="H895" s="392"/>
      <c r="I895" s="229"/>
      <c r="J895" s="229"/>
      <c r="K895" s="399"/>
      <c r="L895" s="399"/>
      <c r="M895" s="399"/>
      <c r="N895" s="229"/>
      <c r="O895" s="229"/>
      <c r="P895" s="229"/>
      <c r="Q895" s="229"/>
      <c r="R895" s="229"/>
      <c r="S895" s="229"/>
      <c r="T895" s="229"/>
      <c r="U895" s="229"/>
      <c r="V895" s="400"/>
      <c r="W895" s="229"/>
      <c r="X895" s="229"/>
      <c r="Y895" s="4"/>
      <c r="Z895" s="4"/>
    </row>
    <row r="896">
      <c r="A896" s="392"/>
      <c r="B896" s="392"/>
      <c r="C896" s="392"/>
      <c r="D896" s="392"/>
      <c r="E896" s="392"/>
      <c r="F896" s="229"/>
      <c r="G896" s="229"/>
      <c r="H896" s="392"/>
      <c r="I896" s="229"/>
      <c r="J896" s="229"/>
      <c r="K896" s="399"/>
      <c r="L896" s="399"/>
      <c r="M896" s="399"/>
      <c r="N896" s="229"/>
      <c r="O896" s="229"/>
      <c r="P896" s="229"/>
      <c r="Q896" s="229"/>
      <c r="R896" s="229"/>
      <c r="S896" s="229"/>
      <c r="T896" s="229"/>
      <c r="U896" s="229"/>
      <c r="V896" s="400"/>
      <c r="W896" s="229"/>
      <c r="X896" s="229"/>
      <c r="Y896" s="4"/>
      <c r="Z896" s="4"/>
    </row>
    <row r="897">
      <c r="A897" s="392"/>
      <c r="B897" s="392"/>
      <c r="C897" s="392"/>
      <c r="D897" s="392"/>
      <c r="E897" s="392"/>
      <c r="F897" s="229"/>
      <c r="G897" s="229"/>
      <c r="H897" s="392"/>
      <c r="I897" s="229"/>
      <c r="J897" s="229"/>
      <c r="K897" s="399"/>
      <c r="L897" s="399"/>
      <c r="M897" s="399"/>
      <c r="N897" s="229"/>
      <c r="O897" s="229"/>
      <c r="P897" s="229"/>
      <c r="Q897" s="229"/>
      <c r="R897" s="229"/>
      <c r="S897" s="229"/>
      <c r="T897" s="229"/>
      <c r="U897" s="229"/>
      <c r="V897" s="400"/>
      <c r="W897" s="229"/>
      <c r="X897" s="229"/>
      <c r="Y897" s="4"/>
      <c r="Z897" s="4"/>
    </row>
    <row r="898">
      <c r="A898" s="392"/>
      <c r="B898" s="392"/>
      <c r="C898" s="392"/>
      <c r="D898" s="392"/>
      <c r="E898" s="392"/>
      <c r="F898" s="229"/>
      <c r="G898" s="229"/>
      <c r="H898" s="392"/>
      <c r="I898" s="229"/>
      <c r="J898" s="229"/>
      <c r="K898" s="399"/>
      <c r="L898" s="399"/>
      <c r="M898" s="399"/>
      <c r="N898" s="229"/>
      <c r="O898" s="229"/>
      <c r="P898" s="229"/>
      <c r="Q898" s="229"/>
      <c r="R898" s="229"/>
      <c r="S898" s="229"/>
      <c r="T898" s="229"/>
      <c r="U898" s="229"/>
      <c r="V898" s="400"/>
      <c r="W898" s="229"/>
      <c r="X898" s="229"/>
      <c r="Y898" s="4"/>
      <c r="Z898" s="4"/>
    </row>
    <row r="899">
      <c r="A899" s="392"/>
      <c r="B899" s="392"/>
      <c r="C899" s="392"/>
      <c r="D899" s="392"/>
      <c r="E899" s="392"/>
      <c r="F899" s="229"/>
      <c r="G899" s="229"/>
      <c r="H899" s="392"/>
      <c r="I899" s="229"/>
      <c r="J899" s="229"/>
      <c r="K899" s="399"/>
      <c r="L899" s="399"/>
      <c r="M899" s="399"/>
      <c r="N899" s="229"/>
      <c r="O899" s="229"/>
      <c r="P899" s="229"/>
      <c r="Q899" s="229"/>
      <c r="R899" s="229"/>
      <c r="S899" s="229"/>
      <c r="T899" s="229"/>
      <c r="U899" s="229"/>
      <c r="V899" s="400"/>
      <c r="W899" s="229"/>
      <c r="X899" s="229"/>
      <c r="Y899" s="4"/>
      <c r="Z899" s="4"/>
    </row>
    <row r="900">
      <c r="A900" s="392"/>
      <c r="B900" s="392"/>
      <c r="C900" s="392"/>
      <c r="D900" s="392"/>
      <c r="E900" s="392"/>
      <c r="F900" s="229"/>
      <c r="G900" s="229"/>
      <c r="H900" s="392"/>
      <c r="I900" s="229"/>
      <c r="J900" s="229"/>
      <c r="K900" s="399"/>
      <c r="L900" s="399"/>
      <c r="M900" s="399"/>
      <c r="N900" s="229"/>
      <c r="O900" s="229"/>
      <c r="P900" s="229"/>
      <c r="Q900" s="229"/>
      <c r="R900" s="229"/>
      <c r="S900" s="229"/>
      <c r="T900" s="229"/>
      <c r="U900" s="229"/>
      <c r="V900" s="400"/>
      <c r="W900" s="229"/>
      <c r="X900" s="229"/>
      <c r="Y900" s="4"/>
      <c r="Z900" s="4"/>
    </row>
    <row r="901">
      <c r="A901" s="392"/>
      <c r="B901" s="392"/>
      <c r="C901" s="392"/>
      <c r="D901" s="392"/>
      <c r="E901" s="392"/>
      <c r="F901" s="229"/>
      <c r="G901" s="229"/>
      <c r="H901" s="392"/>
      <c r="I901" s="229"/>
      <c r="J901" s="229"/>
      <c r="K901" s="399"/>
      <c r="L901" s="399"/>
      <c r="M901" s="399"/>
      <c r="N901" s="229"/>
      <c r="O901" s="229"/>
      <c r="P901" s="229"/>
      <c r="Q901" s="229"/>
      <c r="R901" s="229"/>
      <c r="S901" s="229"/>
      <c r="T901" s="229"/>
      <c r="U901" s="229"/>
      <c r="V901" s="400"/>
      <c r="W901" s="229"/>
      <c r="X901" s="229"/>
      <c r="Y901" s="4"/>
      <c r="Z901" s="4"/>
    </row>
    <row r="902">
      <c r="A902" s="392"/>
      <c r="B902" s="392"/>
      <c r="C902" s="392"/>
      <c r="D902" s="392"/>
      <c r="E902" s="392"/>
      <c r="F902" s="229"/>
      <c r="G902" s="229"/>
      <c r="H902" s="392"/>
      <c r="I902" s="229"/>
      <c r="J902" s="229"/>
      <c r="K902" s="399"/>
      <c r="L902" s="399"/>
      <c r="M902" s="399"/>
      <c r="N902" s="229"/>
      <c r="O902" s="229"/>
      <c r="P902" s="229"/>
      <c r="Q902" s="229"/>
      <c r="R902" s="229"/>
      <c r="S902" s="229"/>
      <c r="T902" s="229"/>
      <c r="U902" s="229"/>
      <c r="V902" s="400"/>
      <c r="W902" s="229"/>
      <c r="X902" s="229"/>
      <c r="Y902" s="4"/>
      <c r="Z902" s="4"/>
    </row>
    <row r="903">
      <c r="A903" s="392"/>
      <c r="B903" s="392"/>
      <c r="C903" s="392"/>
      <c r="D903" s="392"/>
      <c r="E903" s="392"/>
      <c r="F903" s="229"/>
      <c r="G903" s="229"/>
      <c r="H903" s="392"/>
      <c r="I903" s="229"/>
      <c r="J903" s="229"/>
      <c r="K903" s="399"/>
      <c r="L903" s="399"/>
      <c r="M903" s="399"/>
      <c r="N903" s="229"/>
      <c r="O903" s="229"/>
      <c r="P903" s="229"/>
      <c r="Q903" s="229"/>
      <c r="R903" s="229"/>
      <c r="S903" s="229"/>
      <c r="T903" s="229"/>
      <c r="U903" s="229"/>
      <c r="V903" s="400"/>
      <c r="W903" s="229"/>
      <c r="X903" s="229"/>
      <c r="Y903" s="4"/>
      <c r="Z903" s="4"/>
    </row>
    <row r="904">
      <c r="A904" s="392"/>
      <c r="B904" s="392"/>
      <c r="C904" s="392"/>
      <c r="D904" s="392"/>
      <c r="E904" s="392"/>
      <c r="F904" s="229"/>
      <c r="G904" s="229"/>
      <c r="H904" s="392"/>
      <c r="I904" s="229"/>
      <c r="J904" s="229"/>
      <c r="K904" s="399"/>
      <c r="L904" s="399"/>
      <c r="M904" s="399"/>
      <c r="N904" s="229"/>
      <c r="O904" s="229"/>
      <c r="P904" s="229"/>
      <c r="Q904" s="229"/>
      <c r="R904" s="229"/>
      <c r="S904" s="229"/>
      <c r="T904" s="229"/>
      <c r="U904" s="229"/>
      <c r="V904" s="400"/>
      <c r="W904" s="229"/>
      <c r="X904" s="229"/>
      <c r="Y904" s="4"/>
      <c r="Z904" s="4"/>
    </row>
    <row r="905">
      <c r="A905" s="392"/>
      <c r="B905" s="392"/>
      <c r="C905" s="392"/>
      <c r="D905" s="392"/>
      <c r="E905" s="392"/>
      <c r="F905" s="229"/>
      <c r="G905" s="229"/>
      <c r="H905" s="392"/>
      <c r="I905" s="229"/>
      <c r="J905" s="229"/>
      <c r="K905" s="399"/>
      <c r="L905" s="399"/>
      <c r="M905" s="399"/>
      <c r="N905" s="229"/>
      <c r="O905" s="229"/>
      <c r="P905" s="229"/>
      <c r="Q905" s="229"/>
      <c r="R905" s="229"/>
      <c r="S905" s="229"/>
      <c r="T905" s="229"/>
      <c r="U905" s="229"/>
      <c r="V905" s="400"/>
      <c r="W905" s="229"/>
      <c r="X905" s="229"/>
      <c r="Y905" s="4"/>
      <c r="Z905" s="4"/>
    </row>
    <row r="906">
      <c r="A906" s="392"/>
      <c r="B906" s="392"/>
      <c r="C906" s="392"/>
      <c r="D906" s="392"/>
      <c r="E906" s="392"/>
      <c r="F906" s="229"/>
      <c r="G906" s="229"/>
      <c r="H906" s="392"/>
      <c r="I906" s="229"/>
      <c r="J906" s="229"/>
      <c r="K906" s="399"/>
      <c r="L906" s="399"/>
      <c r="M906" s="399"/>
      <c r="N906" s="229"/>
      <c r="O906" s="229"/>
      <c r="P906" s="229"/>
      <c r="Q906" s="229"/>
      <c r="R906" s="229"/>
      <c r="S906" s="229"/>
      <c r="T906" s="229"/>
      <c r="U906" s="229"/>
      <c r="V906" s="400"/>
      <c r="W906" s="229"/>
      <c r="X906" s="229"/>
      <c r="Y906" s="4"/>
      <c r="Z906" s="4"/>
    </row>
    <row r="907">
      <c r="A907" s="392"/>
      <c r="B907" s="392"/>
      <c r="C907" s="392"/>
      <c r="D907" s="392"/>
      <c r="E907" s="392"/>
      <c r="F907" s="229"/>
      <c r="G907" s="229"/>
      <c r="H907" s="392"/>
      <c r="I907" s="229"/>
      <c r="J907" s="229"/>
      <c r="K907" s="399"/>
      <c r="L907" s="399"/>
      <c r="M907" s="399"/>
      <c r="N907" s="229"/>
      <c r="O907" s="229"/>
      <c r="P907" s="229"/>
      <c r="Q907" s="229"/>
      <c r="R907" s="229"/>
      <c r="S907" s="229"/>
      <c r="T907" s="229"/>
      <c r="U907" s="229"/>
      <c r="V907" s="400"/>
      <c r="W907" s="229"/>
      <c r="X907" s="229"/>
      <c r="Y907" s="4"/>
      <c r="Z907" s="4"/>
    </row>
    <row r="908">
      <c r="A908" s="392"/>
      <c r="B908" s="392"/>
      <c r="C908" s="392"/>
      <c r="D908" s="392"/>
      <c r="E908" s="392"/>
      <c r="F908" s="229"/>
      <c r="G908" s="229"/>
      <c r="H908" s="392"/>
      <c r="I908" s="229"/>
      <c r="J908" s="229"/>
      <c r="K908" s="399"/>
      <c r="L908" s="399"/>
      <c r="M908" s="399"/>
      <c r="N908" s="229"/>
      <c r="O908" s="229"/>
      <c r="P908" s="229"/>
      <c r="Q908" s="229"/>
      <c r="R908" s="229"/>
      <c r="S908" s="229"/>
      <c r="T908" s="229"/>
      <c r="U908" s="229"/>
      <c r="V908" s="400"/>
      <c r="W908" s="229"/>
      <c r="X908" s="229"/>
      <c r="Y908" s="4"/>
      <c r="Z908" s="4"/>
    </row>
    <row r="909">
      <c r="A909" s="392"/>
      <c r="B909" s="392"/>
      <c r="C909" s="392"/>
      <c r="D909" s="392"/>
      <c r="E909" s="392"/>
      <c r="F909" s="229"/>
      <c r="G909" s="229"/>
      <c r="H909" s="392"/>
      <c r="I909" s="229"/>
      <c r="J909" s="229"/>
      <c r="K909" s="399"/>
      <c r="L909" s="399"/>
      <c r="M909" s="399"/>
      <c r="N909" s="229"/>
      <c r="O909" s="229"/>
      <c r="P909" s="229"/>
      <c r="Q909" s="229"/>
      <c r="R909" s="229"/>
      <c r="S909" s="229"/>
      <c r="T909" s="229"/>
      <c r="U909" s="229"/>
      <c r="V909" s="400"/>
      <c r="W909" s="229"/>
      <c r="X909" s="229"/>
      <c r="Y909" s="4"/>
      <c r="Z909" s="4"/>
    </row>
    <row r="910">
      <c r="A910" s="392"/>
      <c r="B910" s="392"/>
      <c r="C910" s="392"/>
      <c r="D910" s="392"/>
      <c r="E910" s="392"/>
      <c r="F910" s="229"/>
      <c r="G910" s="229"/>
      <c r="H910" s="392"/>
      <c r="I910" s="229"/>
      <c r="J910" s="229"/>
      <c r="K910" s="399"/>
      <c r="L910" s="399"/>
      <c r="M910" s="399"/>
      <c r="N910" s="229"/>
      <c r="O910" s="229"/>
      <c r="P910" s="229"/>
      <c r="Q910" s="229"/>
      <c r="R910" s="229"/>
      <c r="S910" s="229"/>
      <c r="T910" s="229"/>
      <c r="U910" s="229"/>
      <c r="V910" s="400"/>
      <c r="W910" s="229"/>
      <c r="X910" s="229"/>
      <c r="Y910" s="4"/>
      <c r="Z910" s="4"/>
    </row>
    <row r="911">
      <c r="A911" s="392"/>
      <c r="B911" s="392"/>
      <c r="C911" s="392"/>
      <c r="D911" s="392"/>
      <c r="E911" s="392"/>
      <c r="F911" s="229"/>
      <c r="G911" s="229"/>
      <c r="H911" s="392"/>
      <c r="I911" s="229"/>
      <c r="J911" s="229"/>
      <c r="K911" s="399"/>
      <c r="L911" s="399"/>
      <c r="M911" s="399"/>
      <c r="N911" s="229"/>
      <c r="O911" s="229"/>
      <c r="P911" s="229"/>
      <c r="Q911" s="229"/>
      <c r="R911" s="229"/>
      <c r="S911" s="229"/>
      <c r="T911" s="229"/>
      <c r="U911" s="229"/>
      <c r="V911" s="400"/>
      <c r="W911" s="229"/>
      <c r="X911" s="229"/>
      <c r="Y911" s="4"/>
      <c r="Z911" s="4"/>
    </row>
    <row r="912">
      <c r="A912" s="392"/>
      <c r="B912" s="392"/>
      <c r="C912" s="392"/>
      <c r="D912" s="392"/>
      <c r="E912" s="392"/>
      <c r="F912" s="229"/>
      <c r="G912" s="229"/>
      <c r="H912" s="392"/>
      <c r="I912" s="229"/>
      <c r="J912" s="229"/>
      <c r="K912" s="399"/>
      <c r="L912" s="399"/>
      <c r="M912" s="399"/>
      <c r="N912" s="229"/>
      <c r="O912" s="229"/>
      <c r="P912" s="229"/>
      <c r="Q912" s="229"/>
      <c r="R912" s="229"/>
      <c r="S912" s="229"/>
      <c r="T912" s="229"/>
      <c r="U912" s="229"/>
      <c r="V912" s="400"/>
      <c r="W912" s="229"/>
      <c r="X912" s="229"/>
      <c r="Y912" s="4"/>
      <c r="Z912" s="4"/>
    </row>
    <row r="913">
      <c r="A913" s="392"/>
      <c r="B913" s="392"/>
      <c r="C913" s="392"/>
      <c r="D913" s="392"/>
      <c r="E913" s="392"/>
      <c r="F913" s="229"/>
      <c r="G913" s="229"/>
      <c r="H913" s="392"/>
      <c r="I913" s="229"/>
      <c r="J913" s="229"/>
      <c r="K913" s="399"/>
      <c r="L913" s="399"/>
      <c r="M913" s="399"/>
      <c r="N913" s="229"/>
      <c r="O913" s="229"/>
      <c r="P913" s="229"/>
      <c r="Q913" s="229"/>
      <c r="R913" s="229"/>
      <c r="S913" s="229"/>
      <c r="T913" s="229"/>
      <c r="U913" s="229"/>
      <c r="V913" s="400"/>
      <c r="W913" s="229"/>
      <c r="X913" s="229"/>
      <c r="Y913" s="4"/>
      <c r="Z913" s="4"/>
    </row>
    <row r="914">
      <c r="A914" s="392"/>
      <c r="B914" s="392"/>
      <c r="C914" s="392"/>
      <c r="D914" s="392"/>
      <c r="E914" s="392"/>
      <c r="F914" s="229"/>
      <c r="G914" s="229"/>
      <c r="H914" s="392"/>
      <c r="I914" s="229"/>
      <c r="J914" s="229"/>
      <c r="K914" s="399"/>
      <c r="L914" s="399"/>
      <c r="M914" s="399"/>
      <c r="N914" s="229"/>
      <c r="O914" s="229"/>
      <c r="P914" s="229"/>
      <c r="Q914" s="229"/>
      <c r="R914" s="229"/>
      <c r="S914" s="229"/>
      <c r="T914" s="229"/>
      <c r="U914" s="229"/>
      <c r="V914" s="400"/>
      <c r="W914" s="229"/>
      <c r="X914" s="229"/>
      <c r="Y914" s="4"/>
      <c r="Z914" s="4"/>
    </row>
    <row r="915">
      <c r="A915" s="392"/>
      <c r="B915" s="392"/>
      <c r="C915" s="392"/>
      <c r="D915" s="392"/>
      <c r="E915" s="392"/>
      <c r="F915" s="229"/>
      <c r="G915" s="229"/>
      <c r="H915" s="392"/>
      <c r="I915" s="229"/>
      <c r="J915" s="229"/>
      <c r="K915" s="399"/>
      <c r="L915" s="399"/>
      <c r="M915" s="399"/>
      <c r="N915" s="229"/>
      <c r="O915" s="229"/>
      <c r="P915" s="229"/>
      <c r="Q915" s="229"/>
      <c r="R915" s="229"/>
      <c r="S915" s="229"/>
      <c r="T915" s="229"/>
      <c r="U915" s="229"/>
      <c r="V915" s="400"/>
      <c r="W915" s="229"/>
      <c r="X915" s="229"/>
      <c r="Y915" s="4"/>
      <c r="Z915" s="4"/>
    </row>
    <row r="916">
      <c r="A916" s="392"/>
      <c r="B916" s="392"/>
      <c r="C916" s="392"/>
      <c r="D916" s="392"/>
      <c r="E916" s="392"/>
      <c r="F916" s="229"/>
      <c r="G916" s="229"/>
      <c r="H916" s="392"/>
      <c r="I916" s="229"/>
      <c r="J916" s="229"/>
      <c r="K916" s="399"/>
      <c r="L916" s="399"/>
      <c r="M916" s="399"/>
      <c r="N916" s="229"/>
      <c r="O916" s="229"/>
      <c r="P916" s="229"/>
      <c r="Q916" s="229"/>
      <c r="R916" s="229"/>
      <c r="S916" s="229"/>
      <c r="T916" s="229"/>
      <c r="U916" s="229"/>
      <c r="V916" s="400"/>
      <c r="W916" s="229"/>
      <c r="X916" s="229"/>
      <c r="Y916" s="4"/>
      <c r="Z916" s="4"/>
    </row>
    <row r="917">
      <c r="A917" s="392"/>
      <c r="B917" s="392"/>
      <c r="C917" s="392"/>
      <c r="D917" s="392"/>
      <c r="E917" s="392"/>
      <c r="F917" s="229"/>
      <c r="G917" s="229"/>
      <c r="H917" s="392"/>
      <c r="I917" s="229"/>
      <c r="J917" s="229"/>
      <c r="K917" s="399"/>
      <c r="L917" s="399"/>
      <c r="M917" s="399"/>
      <c r="N917" s="229"/>
      <c r="O917" s="229"/>
      <c r="P917" s="229"/>
      <c r="Q917" s="229"/>
      <c r="R917" s="229"/>
      <c r="S917" s="229"/>
      <c r="T917" s="229"/>
      <c r="U917" s="229"/>
      <c r="V917" s="400"/>
      <c r="W917" s="229"/>
      <c r="X917" s="229"/>
      <c r="Y917" s="4"/>
      <c r="Z917" s="4"/>
    </row>
    <row r="918">
      <c r="A918" s="392"/>
      <c r="B918" s="392"/>
      <c r="C918" s="392"/>
      <c r="D918" s="392"/>
      <c r="E918" s="392"/>
      <c r="F918" s="229"/>
      <c r="G918" s="229"/>
      <c r="H918" s="392"/>
      <c r="I918" s="229"/>
      <c r="J918" s="229"/>
      <c r="K918" s="399"/>
      <c r="L918" s="399"/>
      <c r="M918" s="399"/>
      <c r="N918" s="229"/>
      <c r="O918" s="229"/>
      <c r="P918" s="229"/>
      <c r="Q918" s="229"/>
      <c r="R918" s="229"/>
      <c r="S918" s="229"/>
      <c r="T918" s="229"/>
      <c r="U918" s="229"/>
      <c r="V918" s="400"/>
      <c r="W918" s="229"/>
      <c r="X918" s="229"/>
      <c r="Y918" s="4"/>
      <c r="Z918" s="4"/>
    </row>
    <row r="919">
      <c r="A919" s="392"/>
      <c r="B919" s="392"/>
      <c r="C919" s="392"/>
      <c r="D919" s="392"/>
      <c r="E919" s="392"/>
      <c r="F919" s="229"/>
      <c r="G919" s="229"/>
      <c r="H919" s="392"/>
      <c r="I919" s="229"/>
      <c r="J919" s="229"/>
      <c r="K919" s="399"/>
      <c r="L919" s="399"/>
      <c r="M919" s="399"/>
      <c r="N919" s="229"/>
      <c r="O919" s="229"/>
      <c r="P919" s="229"/>
      <c r="Q919" s="229"/>
      <c r="R919" s="229"/>
      <c r="S919" s="229"/>
      <c r="T919" s="229"/>
      <c r="U919" s="229"/>
      <c r="V919" s="400"/>
      <c r="W919" s="229"/>
      <c r="X919" s="229"/>
      <c r="Y919" s="4"/>
      <c r="Z919" s="4"/>
    </row>
    <row r="920">
      <c r="A920" s="392"/>
      <c r="B920" s="392"/>
      <c r="C920" s="392"/>
      <c r="D920" s="392"/>
      <c r="E920" s="392"/>
      <c r="F920" s="229"/>
      <c r="G920" s="229"/>
      <c r="H920" s="392"/>
      <c r="I920" s="229"/>
      <c r="J920" s="229"/>
      <c r="K920" s="399"/>
      <c r="L920" s="399"/>
      <c r="M920" s="399"/>
      <c r="N920" s="229"/>
      <c r="O920" s="229"/>
      <c r="P920" s="229"/>
      <c r="Q920" s="229"/>
      <c r="R920" s="229"/>
      <c r="S920" s="229"/>
      <c r="T920" s="229"/>
      <c r="U920" s="229"/>
      <c r="V920" s="400"/>
      <c r="W920" s="229"/>
      <c r="X920" s="229"/>
      <c r="Y920" s="4"/>
      <c r="Z920" s="4"/>
    </row>
    <row r="921">
      <c r="A921" s="392"/>
      <c r="B921" s="392"/>
      <c r="C921" s="392"/>
      <c r="D921" s="392"/>
      <c r="E921" s="392"/>
      <c r="F921" s="229"/>
      <c r="G921" s="229"/>
      <c r="H921" s="392"/>
      <c r="I921" s="229"/>
      <c r="J921" s="229"/>
      <c r="K921" s="399"/>
      <c r="L921" s="399"/>
      <c r="M921" s="399"/>
      <c r="N921" s="229"/>
      <c r="O921" s="229"/>
      <c r="P921" s="229"/>
      <c r="Q921" s="229"/>
      <c r="R921" s="229"/>
      <c r="S921" s="229"/>
      <c r="T921" s="229"/>
      <c r="U921" s="229"/>
      <c r="V921" s="400"/>
      <c r="W921" s="229"/>
      <c r="X921" s="229"/>
      <c r="Y921" s="4"/>
      <c r="Z921" s="4"/>
    </row>
    <row r="922">
      <c r="A922" s="392"/>
      <c r="B922" s="392"/>
      <c r="C922" s="392"/>
      <c r="D922" s="392"/>
      <c r="E922" s="392"/>
      <c r="F922" s="229"/>
      <c r="G922" s="229"/>
      <c r="H922" s="392"/>
      <c r="I922" s="229"/>
      <c r="J922" s="229"/>
      <c r="K922" s="399"/>
      <c r="L922" s="399"/>
      <c r="M922" s="399"/>
      <c r="N922" s="229"/>
      <c r="O922" s="229"/>
      <c r="P922" s="229"/>
      <c r="Q922" s="229"/>
      <c r="R922" s="229"/>
      <c r="S922" s="229"/>
      <c r="T922" s="229"/>
      <c r="U922" s="229"/>
      <c r="V922" s="400"/>
      <c r="W922" s="229"/>
      <c r="X922" s="229"/>
      <c r="Y922" s="4"/>
      <c r="Z922" s="4"/>
    </row>
    <row r="923">
      <c r="A923" s="392"/>
      <c r="B923" s="392"/>
      <c r="C923" s="392"/>
      <c r="D923" s="392"/>
      <c r="E923" s="392"/>
      <c r="F923" s="229"/>
      <c r="G923" s="229"/>
      <c r="H923" s="392"/>
      <c r="I923" s="229"/>
      <c r="J923" s="229"/>
      <c r="K923" s="399"/>
      <c r="L923" s="399"/>
      <c r="M923" s="399"/>
      <c r="N923" s="229"/>
      <c r="O923" s="229"/>
      <c r="P923" s="229"/>
      <c r="Q923" s="229"/>
      <c r="R923" s="229"/>
      <c r="S923" s="229"/>
      <c r="T923" s="229"/>
      <c r="U923" s="229"/>
      <c r="V923" s="400"/>
      <c r="W923" s="229"/>
      <c r="X923" s="229"/>
      <c r="Y923" s="4"/>
      <c r="Z923" s="4"/>
    </row>
    <row r="924">
      <c r="A924" s="392"/>
      <c r="B924" s="392"/>
      <c r="C924" s="392"/>
      <c r="D924" s="392"/>
      <c r="E924" s="392"/>
      <c r="F924" s="229"/>
      <c r="G924" s="229"/>
      <c r="H924" s="392"/>
      <c r="I924" s="229"/>
      <c r="J924" s="229"/>
      <c r="K924" s="399"/>
      <c r="L924" s="399"/>
      <c r="M924" s="399"/>
      <c r="N924" s="229"/>
      <c r="O924" s="229"/>
      <c r="P924" s="229"/>
      <c r="Q924" s="229"/>
      <c r="R924" s="229"/>
      <c r="S924" s="229"/>
      <c r="T924" s="229"/>
      <c r="U924" s="229"/>
      <c r="V924" s="400"/>
      <c r="W924" s="229"/>
      <c r="X924" s="229"/>
      <c r="Y924" s="4"/>
      <c r="Z924" s="4"/>
    </row>
    <row r="925">
      <c r="A925" s="392"/>
      <c r="B925" s="392"/>
      <c r="C925" s="392"/>
      <c r="D925" s="392"/>
      <c r="E925" s="392"/>
      <c r="F925" s="229"/>
      <c r="G925" s="229"/>
      <c r="H925" s="392"/>
      <c r="I925" s="229"/>
      <c r="J925" s="229"/>
      <c r="K925" s="399"/>
      <c r="L925" s="399"/>
      <c r="M925" s="399"/>
      <c r="N925" s="229"/>
      <c r="O925" s="229"/>
      <c r="P925" s="229"/>
      <c r="Q925" s="229"/>
      <c r="R925" s="229"/>
      <c r="S925" s="229"/>
      <c r="T925" s="229"/>
      <c r="U925" s="229"/>
      <c r="V925" s="400"/>
      <c r="W925" s="229"/>
      <c r="X925" s="229"/>
      <c r="Y925" s="4"/>
      <c r="Z925" s="4"/>
    </row>
    <row r="926">
      <c r="A926" s="392"/>
      <c r="B926" s="392"/>
      <c r="C926" s="392"/>
      <c r="D926" s="392"/>
      <c r="E926" s="392"/>
      <c r="F926" s="229"/>
      <c r="G926" s="229"/>
      <c r="H926" s="392"/>
      <c r="I926" s="229"/>
      <c r="J926" s="229"/>
      <c r="K926" s="399"/>
      <c r="L926" s="399"/>
      <c r="M926" s="399"/>
      <c r="N926" s="229"/>
      <c r="O926" s="229"/>
      <c r="P926" s="229"/>
      <c r="Q926" s="229"/>
      <c r="R926" s="229"/>
      <c r="S926" s="229"/>
      <c r="T926" s="229"/>
      <c r="U926" s="229"/>
      <c r="V926" s="400"/>
      <c r="W926" s="229"/>
      <c r="X926" s="229"/>
      <c r="Y926" s="4"/>
      <c r="Z926" s="4"/>
    </row>
    <row r="927">
      <c r="A927" s="392"/>
      <c r="B927" s="392"/>
      <c r="C927" s="392"/>
      <c r="D927" s="392"/>
      <c r="E927" s="392"/>
      <c r="F927" s="229"/>
      <c r="G927" s="229"/>
      <c r="H927" s="392"/>
      <c r="I927" s="229"/>
      <c r="J927" s="229"/>
      <c r="K927" s="399"/>
      <c r="L927" s="399"/>
      <c r="M927" s="399"/>
      <c r="N927" s="229"/>
      <c r="O927" s="229"/>
      <c r="P927" s="229"/>
      <c r="Q927" s="229"/>
      <c r="R927" s="229"/>
      <c r="S927" s="229"/>
      <c r="T927" s="229"/>
      <c r="U927" s="229"/>
      <c r="V927" s="400"/>
      <c r="W927" s="229"/>
      <c r="X927" s="229"/>
      <c r="Y927" s="4"/>
      <c r="Z927" s="4"/>
    </row>
    <row r="928">
      <c r="A928" s="392"/>
      <c r="B928" s="392"/>
      <c r="C928" s="392"/>
      <c r="D928" s="392"/>
      <c r="E928" s="392"/>
      <c r="F928" s="229"/>
      <c r="G928" s="229"/>
      <c r="H928" s="392"/>
      <c r="I928" s="229"/>
      <c r="J928" s="229"/>
      <c r="K928" s="399"/>
      <c r="L928" s="399"/>
      <c r="M928" s="399"/>
      <c r="N928" s="229"/>
      <c r="O928" s="229"/>
      <c r="P928" s="229"/>
      <c r="Q928" s="229"/>
      <c r="R928" s="229"/>
      <c r="S928" s="229"/>
      <c r="T928" s="229"/>
      <c r="U928" s="229"/>
      <c r="V928" s="400"/>
      <c r="W928" s="229"/>
      <c r="X928" s="229"/>
      <c r="Y928" s="4"/>
      <c r="Z928" s="4"/>
    </row>
    <row r="929">
      <c r="A929" s="392"/>
      <c r="B929" s="392"/>
      <c r="C929" s="392"/>
      <c r="D929" s="392"/>
      <c r="E929" s="392"/>
      <c r="F929" s="229"/>
      <c r="G929" s="229"/>
      <c r="H929" s="392"/>
      <c r="I929" s="229"/>
      <c r="J929" s="229"/>
      <c r="K929" s="399"/>
      <c r="L929" s="399"/>
      <c r="M929" s="399"/>
      <c r="N929" s="229"/>
      <c r="O929" s="229"/>
      <c r="P929" s="229"/>
      <c r="Q929" s="229"/>
      <c r="R929" s="229"/>
      <c r="S929" s="229"/>
      <c r="T929" s="229"/>
      <c r="U929" s="229"/>
      <c r="V929" s="400"/>
      <c r="W929" s="229"/>
      <c r="X929" s="229"/>
      <c r="Y929" s="4"/>
      <c r="Z929" s="4"/>
    </row>
    <row r="930">
      <c r="A930" s="392"/>
      <c r="B930" s="392"/>
      <c r="C930" s="392"/>
      <c r="D930" s="392"/>
      <c r="E930" s="392"/>
      <c r="F930" s="229"/>
      <c r="G930" s="229"/>
      <c r="H930" s="392"/>
      <c r="I930" s="229"/>
      <c r="J930" s="229"/>
      <c r="K930" s="399"/>
      <c r="L930" s="399"/>
      <c r="M930" s="399"/>
      <c r="N930" s="229"/>
      <c r="O930" s="229"/>
      <c r="P930" s="229"/>
      <c r="Q930" s="229"/>
      <c r="R930" s="229"/>
      <c r="S930" s="229"/>
      <c r="T930" s="229"/>
      <c r="U930" s="229"/>
      <c r="V930" s="400"/>
      <c r="W930" s="229"/>
      <c r="X930" s="229"/>
      <c r="Y930" s="4"/>
      <c r="Z930" s="4"/>
    </row>
    <row r="931">
      <c r="A931" s="392"/>
      <c r="B931" s="392"/>
      <c r="C931" s="392"/>
      <c r="D931" s="392"/>
      <c r="E931" s="392"/>
      <c r="F931" s="229"/>
      <c r="G931" s="229"/>
      <c r="H931" s="392"/>
      <c r="I931" s="229"/>
      <c r="J931" s="229"/>
      <c r="K931" s="399"/>
      <c r="L931" s="399"/>
      <c r="M931" s="399"/>
      <c r="N931" s="229"/>
      <c r="O931" s="229"/>
      <c r="P931" s="229"/>
      <c r="Q931" s="229"/>
      <c r="R931" s="229"/>
      <c r="S931" s="229"/>
      <c r="T931" s="229"/>
      <c r="U931" s="229"/>
      <c r="V931" s="400"/>
      <c r="W931" s="229"/>
      <c r="X931" s="229"/>
      <c r="Y931" s="4"/>
      <c r="Z931" s="4"/>
    </row>
    <row r="932">
      <c r="A932" s="392"/>
      <c r="B932" s="392"/>
      <c r="C932" s="392"/>
      <c r="D932" s="392"/>
      <c r="E932" s="392"/>
      <c r="F932" s="229"/>
      <c r="G932" s="229"/>
      <c r="H932" s="392"/>
      <c r="I932" s="229"/>
      <c r="J932" s="229"/>
      <c r="K932" s="399"/>
      <c r="L932" s="399"/>
      <c r="M932" s="399"/>
      <c r="N932" s="229"/>
      <c r="O932" s="229"/>
      <c r="P932" s="229"/>
      <c r="Q932" s="229"/>
      <c r="R932" s="229"/>
      <c r="S932" s="229"/>
      <c r="T932" s="229"/>
      <c r="U932" s="229"/>
      <c r="V932" s="400"/>
      <c r="W932" s="229"/>
      <c r="X932" s="229"/>
      <c r="Y932" s="4"/>
      <c r="Z932" s="4"/>
    </row>
    <row r="933">
      <c r="A933" s="392"/>
      <c r="B933" s="392"/>
      <c r="C933" s="392"/>
      <c r="D933" s="392"/>
      <c r="E933" s="392"/>
      <c r="F933" s="229"/>
      <c r="G933" s="229"/>
      <c r="H933" s="392"/>
      <c r="I933" s="229"/>
      <c r="J933" s="229"/>
      <c r="K933" s="399"/>
      <c r="L933" s="399"/>
      <c r="M933" s="399"/>
      <c r="N933" s="229"/>
      <c r="O933" s="229"/>
      <c r="P933" s="229"/>
      <c r="Q933" s="229"/>
      <c r="R933" s="229"/>
      <c r="S933" s="229"/>
      <c r="T933" s="229"/>
      <c r="U933" s="229"/>
      <c r="V933" s="400"/>
      <c r="W933" s="229"/>
      <c r="X933" s="229"/>
      <c r="Y933" s="4"/>
      <c r="Z933" s="4"/>
    </row>
    <row r="934">
      <c r="A934" s="392"/>
      <c r="B934" s="392"/>
      <c r="C934" s="392"/>
      <c r="D934" s="392"/>
      <c r="E934" s="392"/>
      <c r="F934" s="229"/>
      <c r="G934" s="229"/>
      <c r="H934" s="392"/>
      <c r="I934" s="229"/>
      <c r="J934" s="229"/>
      <c r="K934" s="399"/>
      <c r="L934" s="399"/>
      <c r="M934" s="399"/>
      <c r="N934" s="229"/>
      <c r="O934" s="229"/>
      <c r="P934" s="229"/>
      <c r="Q934" s="229"/>
      <c r="R934" s="229"/>
      <c r="S934" s="229"/>
      <c r="T934" s="229"/>
      <c r="U934" s="229"/>
      <c r="V934" s="400"/>
      <c r="W934" s="229"/>
      <c r="X934" s="229"/>
      <c r="Y934" s="4"/>
      <c r="Z934" s="4"/>
    </row>
    <row r="935">
      <c r="A935" s="392"/>
      <c r="B935" s="392"/>
      <c r="C935" s="392"/>
      <c r="D935" s="392"/>
      <c r="E935" s="392"/>
      <c r="F935" s="229"/>
      <c r="G935" s="229"/>
      <c r="H935" s="392"/>
      <c r="I935" s="229"/>
      <c r="J935" s="229"/>
      <c r="K935" s="399"/>
      <c r="L935" s="399"/>
      <c r="M935" s="399"/>
      <c r="N935" s="229"/>
      <c r="O935" s="229"/>
      <c r="P935" s="229"/>
      <c r="Q935" s="229"/>
      <c r="R935" s="229"/>
      <c r="S935" s="229"/>
      <c r="T935" s="229"/>
      <c r="U935" s="229"/>
      <c r="V935" s="400"/>
      <c r="W935" s="229"/>
      <c r="X935" s="229"/>
      <c r="Y935" s="4"/>
      <c r="Z935" s="4"/>
    </row>
    <row r="936">
      <c r="A936" s="392"/>
      <c r="B936" s="392"/>
      <c r="C936" s="392"/>
      <c r="D936" s="392"/>
      <c r="E936" s="392"/>
      <c r="F936" s="229"/>
      <c r="G936" s="229"/>
      <c r="H936" s="392"/>
      <c r="I936" s="229"/>
      <c r="J936" s="229"/>
      <c r="K936" s="399"/>
      <c r="L936" s="399"/>
      <c r="M936" s="399"/>
      <c r="N936" s="229"/>
      <c r="O936" s="229"/>
      <c r="P936" s="229"/>
      <c r="Q936" s="229"/>
      <c r="R936" s="229"/>
      <c r="S936" s="229"/>
      <c r="T936" s="229"/>
      <c r="U936" s="229"/>
      <c r="V936" s="400"/>
      <c r="W936" s="229"/>
      <c r="X936" s="229"/>
      <c r="Y936" s="4"/>
      <c r="Z936" s="4"/>
    </row>
    <row r="937">
      <c r="A937" s="392"/>
      <c r="B937" s="392"/>
      <c r="C937" s="392"/>
      <c r="D937" s="392"/>
      <c r="E937" s="392"/>
      <c r="F937" s="229"/>
      <c r="G937" s="229"/>
      <c r="H937" s="392"/>
      <c r="I937" s="229"/>
      <c r="J937" s="229"/>
      <c r="K937" s="399"/>
      <c r="L937" s="399"/>
      <c r="M937" s="399"/>
      <c r="N937" s="229"/>
      <c r="O937" s="229"/>
      <c r="P937" s="229"/>
      <c r="Q937" s="229"/>
      <c r="R937" s="229"/>
      <c r="S937" s="229"/>
      <c r="T937" s="229"/>
      <c r="U937" s="229"/>
      <c r="V937" s="400"/>
      <c r="W937" s="229"/>
      <c r="X937" s="229"/>
      <c r="Y937" s="4"/>
      <c r="Z937" s="4"/>
    </row>
    <row r="938">
      <c r="A938" s="392"/>
      <c r="B938" s="392"/>
      <c r="C938" s="392"/>
      <c r="D938" s="392"/>
      <c r="E938" s="392"/>
      <c r="F938" s="229"/>
      <c r="G938" s="229"/>
      <c r="H938" s="392"/>
      <c r="I938" s="229"/>
      <c r="J938" s="229"/>
      <c r="K938" s="399"/>
      <c r="L938" s="399"/>
      <c r="M938" s="399"/>
      <c r="N938" s="229"/>
      <c r="O938" s="229"/>
      <c r="P938" s="229"/>
      <c r="Q938" s="229"/>
      <c r="R938" s="229"/>
      <c r="S938" s="229"/>
      <c r="T938" s="229"/>
      <c r="U938" s="229"/>
      <c r="V938" s="400"/>
      <c r="W938" s="229"/>
      <c r="X938" s="229"/>
      <c r="Y938" s="4"/>
      <c r="Z938" s="4"/>
    </row>
    <row r="939">
      <c r="A939" s="392"/>
      <c r="B939" s="392"/>
      <c r="C939" s="392"/>
      <c r="D939" s="392"/>
      <c r="E939" s="392"/>
      <c r="F939" s="229"/>
      <c r="G939" s="229"/>
      <c r="H939" s="392"/>
      <c r="I939" s="229"/>
      <c r="J939" s="229"/>
      <c r="K939" s="399"/>
      <c r="L939" s="399"/>
      <c r="M939" s="399"/>
      <c r="N939" s="229"/>
      <c r="O939" s="229"/>
      <c r="P939" s="229"/>
      <c r="Q939" s="229"/>
      <c r="R939" s="229"/>
      <c r="S939" s="229"/>
      <c r="T939" s="229"/>
      <c r="U939" s="229"/>
      <c r="V939" s="400"/>
      <c r="W939" s="229"/>
      <c r="X939" s="229"/>
      <c r="Y939" s="4"/>
      <c r="Z939" s="4"/>
    </row>
    <row r="940">
      <c r="A940" s="392"/>
      <c r="B940" s="392"/>
      <c r="C940" s="392"/>
      <c r="D940" s="392"/>
      <c r="E940" s="392"/>
      <c r="F940" s="229"/>
      <c r="G940" s="229"/>
      <c r="H940" s="392"/>
      <c r="I940" s="229"/>
      <c r="J940" s="229"/>
      <c r="K940" s="399"/>
      <c r="L940" s="399"/>
      <c r="M940" s="399"/>
      <c r="N940" s="229"/>
      <c r="O940" s="229"/>
      <c r="P940" s="229"/>
      <c r="Q940" s="229"/>
      <c r="R940" s="229"/>
      <c r="S940" s="229"/>
      <c r="T940" s="229"/>
      <c r="U940" s="229"/>
      <c r="V940" s="400"/>
      <c r="W940" s="229"/>
      <c r="X940" s="229"/>
      <c r="Y940" s="4"/>
      <c r="Z940" s="4"/>
    </row>
    <row r="941">
      <c r="A941" s="392"/>
      <c r="B941" s="392"/>
      <c r="C941" s="392"/>
      <c r="D941" s="392"/>
      <c r="E941" s="392"/>
      <c r="F941" s="229"/>
      <c r="G941" s="229"/>
      <c r="H941" s="392"/>
      <c r="I941" s="229"/>
      <c r="J941" s="229"/>
      <c r="K941" s="399"/>
      <c r="L941" s="399"/>
      <c r="M941" s="399"/>
      <c r="N941" s="229"/>
      <c r="O941" s="229"/>
      <c r="P941" s="229"/>
      <c r="Q941" s="229"/>
      <c r="R941" s="229"/>
      <c r="S941" s="229"/>
      <c r="T941" s="229"/>
      <c r="U941" s="229"/>
      <c r="V941" s="400"/>
      <c r="W941" s="229"/>
      <c r="X941" s="229"/>
      <c r="Y941" s="4"/>
      <c r="Z941" s="4"/>
    </row>
    <row r="942">
      <c r="A942" s="392"/>
      <c r="B942" s="392"/>
      <c r="C942" s="392"/>
      <c r="D942" s="392"/>
      <c r="E942" s="392"/>
      <c r="F942" s="229"/>
      <c r="G942" s="229"/>
      <c r="H942" s="392"/>
      <c r="I942" s="229"/>
      <c r="J942" s="229"/>
      <c r="K942" s="399"/>
      <c r="L942" s="399"/>
      <c r="M942" s="399"/>
      <c r="N942" s="229"/>
      <c r="O942" s="229"/>
      <c r="P942" s="229"/>
      <c r="Q942" s="229"/>
      <c r="R942" s="229"/>
      <c r="S942" s="229"/>
      <c r="T942" s="229"/>
      <c r="U942" s="229"/>
      <c r="V942" s="400"/>
      <c r="W942" s="229"/>
      <c r="X942" s="229"/>
      <c r="Y942" s="4"/>
      <c r="Z942" s="4"/>
    </row>
    <row r="943">
      <c r="A943" s="392"/>
      <c r="B943" s="392"/>
      <c r="C943" s="392"/>
      <c r="D943" s="392"/>
      <c r="E943" s="392"/>
      <c r="F943" s="229"/>
      <c r="G943" s="229"/>
      <c r="H943" s="392"/>
      <c r="I943" s="229"/>
      <c r="J943" s="229"/>
      <c r="K943" s="399"/>
      <c r="L943" s="399"/>
      <c r="M943" s="399"/>
      <c r="N943" s="229"/>
      <c r="O943" s="229"/>
      <c r="P943" s="229"/>
      <c r="Q943" s="229"/>
      <c r="R943" s="229"/>
      <c r="S943" s="229"/>
      <c r="T943" s="229"/>
      <c r="U943" s="229"/>
      <c r="V943" s="400"/>
      <c r="W943" s="229"/>
      <c r="X943" s="229"/>
      <c r="Y943" s="4"/>
      <c r="Z943" s="4"/>
    </row>
    <row r="944">
      <c r="A944" s="392"/>
      <c r="B944" s="392"/>
      <c r="C944" s="392"/>
      <c r="D944" s="392"/>
      <c r="E944" s="392"/>
      <c r="F944" s="229"/>
      <c r="G944" s="229"/>
      <c r="H944" s="392"/>
      <c r="I944" s="229"/>
      <c r="J944" s="229"/>
      <c r="K944" s="399"/>
      <c r="L944" s="399"/>
      <c r="M944" s="399"/>
      <c r="N944" s="229"/>
      <c r="O944" s="229"/>
      <c r="P944" s="229"/>
      <c r="Q944" s="229"/>
      <c r="R944" s="229"/>
      <c r="S944" s="229"/>
      <c r="T944" s="229"/>
      <c r="U944" s="229"/>
      <c r="V944" s="400"/>
      <c r="W944" s="229"/>
      <c r="X944" s="229"/>
      <c r="Y944" s="4"/>
      <c r="Z944" s="4"/>
    </row>
    <row r="945">
      <c r="A945" s="392"/>
      <c r="B945" s="392"/>
      <c r="C945" s="392"/>
      <c r="D945" s="392"/>
      <c r="E945" s="392"/>
      <c r="F945" s="229"/>
      <c r="G945" s="229"/>
      <c r="H945" s="392"/>
      <c r="I945" s="229"/>
      <c r="J945" s="229"/>
      <c r="K945" s="399"/>
      <c r="L945" s="399"/>
      <c r="M945" s="399"/>
      <c r="N945" s="229"/>
      <c r="O945" s="229"/>
      <c r="P945" s="229"/>
      <c r="Q945" s="229"/>
      <c r="R945" s="229"/>
      <c r="S945" s="229"/>
      <c r="T945" s="229"/>
      <c r="U945" s="229"/>
      <c r="V945" s="400"/>
      <c r="W945" s="229"/>
      <c r="X945" s="229"/>
      <c r="Y945" s="4"/>
      <c r="Z945" s="4"/>
    </row>
    <row r="946">
      <c r="A946" s="392"/>
      <c r="B946" s="392"/>
      <c r="C946" s="392"/>
      <c r="D946" s="392"/>
      <c r="E946" s="392"/>
      <c r="F946" s="229"/>
      <c r="G946" s="229"/>
      <c r="H946" s="392"/>
      <c r="I946" s="229"/>
      <c r="J946" s="229"/>
      <c r="K946" s="399"/>
      <c r="L946" s="399"/>
      <c r="M946" s="399"/>
      <c r="N946" s="229"/>
      <c r="O946" s="229"/>
      <c r="P946" s="229"/>
      <c r="Q946" s="229"/>
      <c r="R946" s="229"/>
      <c r="S946" s="229"/>
      <c r="T946" s="229"/>
      <c r="U946" s="229"/>
      <c r="V946" s="400"/>
      <c r="W946" s="229"/>
      <c r="X946" s="229"/>
      <c r="Y946" s="4"/>
      <c r="Z946" s="4"/>
    </row>
    <row r="947">
      <c r="A947" s="392"/>
      <c r="B947" s="392"/>
      <c r="C947" s="392"/>
      <c r="D947" s="392"/>
      <c r="E947" s="392"/>
      <c r="F947" s="229"/>
      <c r="G947" s="229"/>
      <c r="H947" s="392"/>
      <c r="I947" s="229"/>
      <c r="J947" s="229"/>
      <c r="K947" s="399"/>
      <c r="L947" s="399"/>
      <c r="M947" s="399"/>
      <c r="N947" s="229"/>
      <c r="O947" s="229"/>
      <c r="P947" s="229"/>
      <c r="Q947" s="229"/>
      <c r="R947" s="229"/>
      <c r="S947" s="229"/>
      <c r="T947" s="229"/>
      <c r="U947" s="229"/>
      <c r="V947" s="400"/>
      <c r="W947" s="229"/>
      <c r="X947" s="229"/>
      <c r="Y947" s="4"/>
      <c r="Z947" s="4"/>
    </row>
    <row r="948">
      <c r="A948" s="392"/>
      <c r="B948" s="392"/>
      <c r="C948" s="392"/>
      <c r="D948" s="392"/>
      <c r="E948" s="392"/>
      <c r="F948" s="229"/>
      <c r="G948" s="229"/>
      <c r="H948" s="392"/>
      <c r="I948" s="229"/>
      <c r="J948" s="229"/>
      <c r="K948" s="399"/>
      <c r="L948" s="399"/>
      <c r="M948" s="399"/>
      <c r="N948" s="229"/>
      <c r="O948" s="229"/>
      <c r="P948" s="229"/>
      <c r="Q948" s="229"/>
      <c r="R948" s="229"/>
      <c r="S948" s="229"/>
      <c r="T948" s="229"/>
      <c r="U948" s="229"/>
      <c r="V948" s="400"/>
      <c r="W948" s="229"/>
      <c r="X948" s="229"/>
      <c r="Y948" s="4"/>
      <c r="Z948" s="4"/>
    </row>
    <row r="949">
      <c r="A949" s="392"/>
      <c r="B949" s="392"/>
      <c r="C949" s="392"/>
      <c r="D949" s="392"/>
      <c r="E949" s="392"/>
      <c r="F949" s="229"/>
      <c r="G949" s="229"/>
      <c r="H949" s="392"/>
      <c r="I949" s="229"/>
      <c r="J949" s="229"/>
      <c r="K949" s="399"/>
      <c r="L949" s="399"/>
      <c r="M949" s="399"/>
      <c r="N949" s="229"/>
      <c r="O949" s="229"/>
      <c r="P949" s="229"/>
      <c r="Q949" s="229"/>
      <c r="R949" s="229"/>
      <c r="S949" s="229"/>
      <c r="T949" s="229"/>
      <c r="U949" s="229"/>
      <c r="V949" s="400"/>
      <c r="W949" s="229"/>
      <c r="X949" s="229"/>
      <c r="Y949" s="4"/>
      <c r="Z949" s="4"/>
    </row>
    <row r="950">
      <c r="A950" s="392"/>
      <c r="B950" s="392"/>
      <c r="C950" s="392"/>
      <c r="D950" s="392"/>
      <c r="E950" s="392"/>
      <c r="F950" s="229"/>
      <c r="G950" s="229"/>
      <c r="H950" s="392"/>
      <c r="I950" s="229"/>
      <c r="J950" s="229"/>
      <c r="K950" s="399"/>
      <c r="L950" s="399"/>
      <c r="M950" s="399"/>
      <c r="N950" s="229"/>
      <c r="O950" s="229"/>
      <c r="P950" s="229"/>
      <c r="Q950" s="229"/>
      <c r="R950" s="229"/>
      <c r="S950" s="229"/>
      <c r="T950" s="229"/>
      <c r="U950" s="229"/>
      <c r="V950" s="400"/>
      <c r="W950" s="229"/>
      <c r="X950" s="229"/>
      <c r="Y950" s="4"/>
      <c r="Z950" s="4"/>
    </row>
    <row r="951">
      <c r="A951" s="392"/>
      <c r="B951" s="392"/>
      <c r="C951" s="392"/>
      <c r="D951" s="392"/>
      <c r="E951" s="392"/>
      <c r="F951" s="229"/>
      <c r="G951" s="229"/>
      <c r="H951" s="392"/>
      <c r="I951" s="229"/>
      <c r="J951" s="229"/>
      <c r="K951" s="399"/>
      <c r="L951" s="399"/>
      <c r="M951" s="399"/>
      <c r="N951" s="229"/>
      <c r="O951" s="229"/>
      <c r="P951" s="229"/>
      <c r="Q951" s="229"/>
      <c r="R951" s="229"/>
      <c r="S951" s="229"/>
      <c r="T951" s="229"/>
      <c r="U951" s="229"/>
      <c r="V951" s="400"/>
      <c r="W951" s="229"/>
      <c r="X951" s="229"/>
      <c r="Y951" s="4"/>
      <c r="Z951" s="4"/>
    </row>
    <row r="952">
      <c r="A952" s="392"/>
      <c r="B952" s="392"/>
      <c r="C952" s="392"/>
      <c r="D952" s="392"/>
      <c r="E952" s="392"/>
      <c r="F952" s="229"/>
      <c r="G952" s="229"/>
      <c r="H952" s="392"/>
      <c r="I952" s="229"/>
      <c r="J952" s="229"/>
      <c r="K952" s="399"/>
      <c r="L952" s="399"/>
      <c r="M952" s="399"/>
      <c r="N952" s="229"/>
      <c r="O952" s="229"/>
      <c r="P952" s="229"/>
      <c r="Q952" s="229"/>
      <c r="R952" s="229"/>
      <c r="S952" s="229"/>
      <c r="T952" s="229"/>
      <c r="U952" s="229"/>
      <c r="V952" s="400"/>
      <c r="W952" s="229"/>
      <c r="X952" s="229"/>
      <c r="Y952" s="4"/>
      <c r="Z952" s="4"/>
    </row>
    <row r="953">
      <c r="A953" s="392"/>
      <c r="B953" s="392"/>
      <c r="C953" s="392"/>
      <c r="D953" s="392"/>
      <c r="E953" s="392"/>
      <c r="F953" s="229"/>
      <c r="G953" s="229"/>
      <c r="H953" s="392"/>
      <c r="I953" s="229"/>
      <c r="J953" s="229"/>
      <c r="K953" s="399"/>
      <c r="L953" s="399"/>
      <c r="M953" s="399"/>
      <c r="N953" s="229"/>
      <c r="O953" s="229"/>
      <c r="P953" s="229"/>
      <c r="Q953" s="229"/>
      <c r="R953" s="229"/>
      <c r="S953" s="229"/>
      <c r="T953" s="229"/>
      <c r="U953" s="229"/>
      <c r="V953" s="400"/>
      <c r="W953" s="229"/>
      <c r="X953" s="229"/>
      <c r="Y953" s="4"/>
      <c r="Z953" s="4"/>
    </row>
    <row r="954">
      <c r="A954" s="392"/>
      <c r="B954" s="392"/>
      <c r="C954" s="392"/>
      <c r="D954" s="392"/>
      <c r="E954" s="392"/>
      <c r="F954" s="229"/>
      <c r="G954" s="229"/>
      <c r="H954" s="392"/>
      <c r="I954" s="229"/>
      <c r="J954" s="229"/>
      <c r="K954" s="399"/>
      <c r="L954" s="399"/>
      <c r="M954" s="399"/>
      <c r="N954" s="229"/>
      <c r="O954" s="229"/>
      <c r="P954" s="229"/>
      <c r="Q954" s="229"/>
      <c r="R954" s="229"/>
      <c r="S954" s="229"/>
      <c r="T954" s="229"/>
      <c r="U954" s="229"/>
      <c r="V954" s="400"/>
      <c r="W954" s="229"/>
      <c r="X954" s="229"/>
      <c r="Y954" s="4"/>
      <c r="Z954" s="4"/>
    </row>
    <row r="955">
      <c r="A955" s="392"/>
      <c r="B955" s="392"/>
      <c r="C955" s="392"/>
      <c r="D955" s="392"/>
      <c r="E955" s="392"/>
      <c r="F955" s="229"/>
      <c r="G955" s="229"/>
      <c r="H955" s="392"/>
      <c r="I955" s="229"/>
      <c r="J955" s="229"/>
      <c r="K955" s="399"/>
      <c r="L955" s="399"/>
      <c r="M955" s="399"/>
      <c r="N955" s="229"/>
      <c r="O955" s="229"/>
      <c r="P955" s="229"/>
      <c r="Q955" s="229"/>
      <c r="R955" s="229"/>
      <c r="S955" s="229"/>
      <c r="T955" s="229"/>
      <c r="U955" s="229"/>
      <c r="V955" s="400"/>
      <c r="W955" s="229"/>
      <c r="X955" s="229"/>
      <c r="Y955" s="4"/>
      <c r="Z955" s="4"/>
    </row>
    <row r="956">
      <c r="A956" s="392"/>
      <c r="B956" s="392"/>
      <c r="C956" s="392"/>
      <c r="D956" s="392"/>
      <c r="E956" s="392"/>
      <c r="F956" s="229"/>
      <c r="G956" s="229"/>
      <c r="H956" s="392"/>
      <c r="I956" s="229"/>
      <c r="J956" s="229"/>
      <c r="K956" s="399"/>
      <c r="L956" s="399"/>
      <c r="M956" s="399"/>
      <c r="N956" s="229"/>
      <c r="O956" s="229"/>
      <c r="P956" s="229"/>
      <c r="Q956" s="229"/>
      <c r="R956" s="229"/>
      <c r="S956" s="229"/>
      <c r="T956" s="229"/>
      <c r="U956" s="229"/>
      <c r="V956" s="400"/>
      <c r="W956" s="229"/>
      <c r="X956" s="229"/>
      <c r="Y956" s="4"/>
      <c r="Z956" s="4"/>
    </row>
    <row r="957">
      <c r="A957" s="392"/>
      <c r="B957" s="392"/>
      <c r="C957" s="392"/>
      <c r="D957" s="392"/>
      <c r="E957" s="392"/>
      <c r="F957" s="229"/>
      <c r="G957" s="229"/>
      <c r="H957" s="392"/>
      <c r="I957" s="229"/>
      <c r="J957" s="229"/>
      <c r="K957" s="399"/>
      <c r="L957" s="399"/>
      <c r="M957" s="399"/>
      <c r="N957" s="229"/>
      <c r="O957" s="229"/>
      <c r="P957" s="229"/>
      <c r="Q957" s="229"/>
      <c r="R957" s="229"/>
      <c r="S957" s="229"/>
      <c r="T957" s="229"/>
      <c r="U957" s="229"/>
      <c r="V957" s="400"/>
      <c r="W957" s="229"/>
      <c r="X957" s="229"/>
      <c r="Y957" s="4"/>
      <c r="Z957" s="4"/>
    </row>
    <row r="958">
      <c r="A958" s="392"/>
      <c r="B958" s="392"/>
      <c r="C958" s="392"/>
      <c r="D958" s="392"/>
      <c r="E958" s="392"/>
      <c r="F958" s="229"/>
      <c r="G958" s="229"/>
      <c r="H958" s="392"/>
      <c r="I958" s="229"/>
      <c r="J958" s="229"/>
      <c r="K958" s="399"/>
      <c r="L958" s="399"/>
      <c r="M958" s="399"/>
      <c r="N958" s="229"/>
      <c r="O958" s="229"/>
      <c r="P958" s="229"/>
      <c r="Q958" s="229"/>
      <c r="R958" s="229"/>
      <c r="S958" s="229"/>
      <c r="T958" s="229"/>
      <c r="U958" s="229"/>
      <c r="V958" s="400"/>
      <c r="W958" s="229"/>
      <c r="X958" s="229"/>
      <c r="Y958" s="4"/>
      <c r="Z958" s="4"/>
    </row>
    <row r="959">
      <c r="A959" s="392"/>
      <c r="B959" s="392"/>
      <c r="C959" s="392"/>
      <c r="D959" s="392"/>
      <c r="E959" s="392"/>
      <c r="F959" s="229"/>
      <c r="G959" s="229"/>
      <c r="H959" s="392"/>
      <c r="I959" s="229"/>
      <c r="J959" s="229"/>
      <c r="K959" s="399"/>
      <c r="L959" s="399"/>
      <c r="M959" s="399"/>
      <c r="N959" s="229"/>
      <c r="O959" s="229"/>
      <c r="P959" s="229"/>
      <c r="Q959" s="229"/>
      <c r="R959" s="229"/>
      <c r="S959" s="229"/>
      <c r="T959" s="229"/>
      <c r="U959" s="229"/>
      <c r="V959" s="400"/>
      <c r="W959" s="229"/>
      <c r="X959" s="229"/>
      <c r="Y959" s="4"/>
      <c r="Z959" s="4"/>
    </row>
    <row r="960">
      <c r="A960" s="392"/>
      <c r="B960" s="392"/>
      <c r="C960" s="392"/>
      <c r="D960" s="392"/>
      <c r="E960" s="392"/>
      <c r="F960" s="229"/>
      <c r="G960" s="229"/>
      <c r="H960" s="392"/>
      <c r="I960" s="229"/>
      <c r="J960" s="229"/>
      <c r="K960" s="399"/>
      <c r="L960" s="399"/>
      <c r="M960" s="399"/>
      <c r="N960" s="229"/>
      <c r="O960" s="229"/>
      <c r="P960" s="229"/>
      <c r="Q960" s="229"/>
      <c r="R960" s="229"/>
      <c r="S960" s="229"/>
      <c r="T960" s="229"/>
      <c r="U960" s="229"/>
      <c r="V960" s="400"/>
      <c r="W960" s="229"/>
      <c r="X960" s="229"/>
      <c r="Y960" s="4"/>
      <c r="Z960" s="4"/>
    </row>
    <row r="961">
      <c r="A961" s="392"/>
      <c r="B961" s="392"/>
      <c r="C961" s="392"/>
      <c r="D961" s="392"/>
      <c r="E961" s="392"/>
      <c r="F961" s="229"/>
      <c r="G961" s="229"/>
      <c r="H961" s="392"/>
      <c r="I961" s="229"/>
      <c r="J961" s="229"/>
      <c r="K961" s="399"/>
      <c r="L961" s="399"/>
      <c r="M961" s="399"/>
      <c r="N961" s="229"/>
      <c r="O961" s="229"/>
      <c r="P961" s="229"/>
      <c r="Q961" s="229"/>
      <c r="R961" s="229"/>
      <c r="S961" s="229"/>
      <c r="T961" s="229"/>
      <c r="U961" s="229"/>
      <c r="V961" s="400"/>
      <c r="W961" s="229"/>
      <c r="X961" s="229"/>
      <c r="Y961" s="4"/>
      <c r="Z961" s="4"/>
    </row>
    <row r="962">
      <c r="A962" s="392"/>
      <c r="B962" s="392"/>
      <c r="C962" s="392"/>
      <c r="D962" s="392"/>
      <c r="E962" s="392"/>
      <c r="F962" s="229"/>
      <c r="G962" s="229"/>
      <c r="H962" s="392"/>
      <c r="I962" s="229"/>
      <c r="J962" s="229"/>
      <c r="K962" s="399"/>
      <c r="L962" s="399"/>
      <c r="M962" s="399"/>
      <c r="N962" s="229"/>
      <c r="O962" s="229"/>
      <c r="P962" s="229"/>
      <c r="Q962" s="229"/>
      <c r="R962" s="229"/>
      <c r="S962" s="229"/>
      <c r="T962" s="229"/>
      <c r="U962" s="229"/>
      <c r="V962" s="400"/>
      <c r="W962" s="229"/>
      <c r="X962" s="229"/>
      <c r="Y962" s="4"/>
      <c r="Z962" s="4"/>
    </row>
    <row r="963">
      <c r="A963" s="392"/>
      <c r="B963" s="392"/>
      <c r="C963" s="392"/>
      <c r="D963" s="392"/>
      <c r="E963" s="392"/>
      <c r="F963" s="229"/>
      <c r="G963" s="229"/>
      <c r="H963" s="392"/>
      <c r="I963" s="229"/>
      <c r="J963" s="229"/>
      <c r="K963" s="399"/>
      <c r="L963" s="399"/>
      <c r="M963" s="399"/>
      <c r="N963" s="229"/>
      <c r="O963" s="229"/>
      <c r="P963" s="229"/>
      <c r="Q963" s="229"/>
      <c r="R963" s="229"/>
      <c r="S963" s="229"/>
      <c r="T963" s="229"/>
      <c r="U963" s="229"/>
      <c r="V963" s="400"/>
      <c r="W963" s="229"/>
      <c r="X963" s="229"/>
      <c r="Y963" s="4"/>
      <c r="Z963" s="4"/>
    </row>
    <row r="964">
      <c r="A964" s="392"/>
      <c r="B964" s="392"/>
      <c r="C964" s="392"/>
      <c r="D964" s="392"/>
      <c r="E964" s="392"/>
      <c r="F964" s="229"/>
      <c r="G964" s="229"/>
      <c r="H964" s="392"/>
      <c r="I964" s="229"/>
      <c r="J964" s="229"/>
      <c r="K964" s="399"/>
      <c r="L964" s="399"/>
      <c r="M964" s="399"/>
      <c r="N964" s="229"/>
      <c r="O964" s="229"/>
      <c r="P964" s="229"/>
      <c r="Q964" s="229"/>
      <c r="R964" s="229"/>
      <c r="S964" s="229"/>
      <c r="T964" s="229"/>
      <c r="U964" s="229"/>
      <c r="V964" s="400"/>
      <c r="W964" s="229"/>
      <c r="X964" s="229"/>
      <c r="Y964" s="4"/>
      <c r="Z964" s="4"/>
    </row>
    <row r="965">
      <c r="A965" s="392"/>
      <c r="B965" s="392"/>
      <c r="C965" s="392"/>
      <c r="D965" s="392"/>
      <c r="E965" s="392"/>
      <c r="F965" s="229"/>
      <c r="G965" s="229"/>
      <c r="H965" s="392"/>
      <c r="I965" s="229"/>
      <c r="J965" s="229"/>
      <c r="K965" s="399"/>
      <c r="L965" s="399"/>
      <c r="M965" s="399"/>
      <c r="N965" s="229"/>
      <c r="O965" s="229"/>
      <c r="P965" s="229"/>
      <c r="Q965" s="229"/>
      <c r="R965" s="229"/>
      <c r="S965" s="229"/>
      <c r="T965" s="229"/>
      <c r="U965" s="229"/>
      <c r="V965" s="400"/>
      <c r="W965" s="229"/>
      <c r="X965" s="229"/>
      <c r="Y965" s="4"/>
      <c r="Z965" s="4"/>
    </row>
    <row r="966">
      <c r="A966" s="392"/>
      <c r="B966" s="392"/>
      <c r="C966" s="392"/>
      <c r="D966" s="392"/>
      <c r="E966" s="392"/>
      <c r="F966" s="229"/>
      <c r="G966" s="229"/>
      <c r="H966" s="392"/>
      <c r="I966" s="229"/>
      <c r="J966" s="229"/>
      <c r="K966" s="399"/>
      <c r="L966" s="399"/>
      <c r="M966" s="399"/>
      <c r="N966" s="229"/>
      <c r="O966" s="229"/>
      <c r="P966" s="229"/>
      <c r="Q966" s="229"/>
      <c r="R966" s="229"/>
      <c r="S966" s="229"/>
      <c r="T966" s="229"/>
      <c r="U966" s="229"/>
      <c r="V966" s="400"/>
      <c r="W966" s="229"/>
      <c r="X966" s="229"/>
      <c r="Y966" s="4"/>
      <c r="Z966" s="4"/>
    </row>
    <row r="967">
      <c r="A967" s="392"/>
      <c r="B967" s="392"/>
      <c r="C967" s="392"/>
      <c r="D967" s="392"/>
      <c r="E967" s="392"/>
      <c r="F967" s="229"/>
      <c r="G967" s="229"/>
      <c r="H967" s="392"/>
      <c r="I967" s="229"/>
      <c r="J967" s="229"/>
      <c r="K967" s="399"/>
      <c r="L967" s="399"/>
      <c r="M967" s="399"/>
      <c r="N967" s="229"/>
      <c r="O967" s="229"/>
      <c r="P967" s="229"/>
      <c r="Q967" s="229"/>
      <c r="R967" s="229"/>
      <c r="S967" s="229"/>
      <c r="T967" s="229"/>
      <c r="U967" s="229"/>
      <c r="V967" s="400"/>
      <c r="W967" s="229"/>
      <c r="X967" s="229"/>
      <c r="Y967" s="4"/>
      <c r="Z967" s="4"/>
    </row>
    <row r="968">
      <c r="A968" s="392"/>
      <c r="B968" s="392"/>
      <c r="C968" s="392"/>
      <c r="D968" s="392"/>
      <c r="E968" s="392"/>
      <c r="F968" s="229"/>
      <c r="G968" s="229"/>
      <c r="H968" s="392"/>
      <c r="I968" s="229"/>
      <c r="J968" s="229"/>
      <c r="K968" s="399"/>
      <c r="L968" s="399"/>
      <c r="M968" s="399"/>
      <c r="N968" s="229"/>
      <c r="O968" s="229"/>
      <c r="P968" s="229"/>
      <c r="Q968" s="229"/>
      <c r="R968" s="229"/>
      <c r="S968" s="229"/>
      <c r="T968" s="229"/>
      <c r="U968" s="229"/>
      <c r="V968" s="400"/>
      <c r="W968" s="229"/>
      <c r="X968" s="229"/>
      <c r="Y968" s="4"/>
      <c r="Z968" s="4"/>
    </row>
    <row r="969">
      <c r="A969" s="392"/>
      <c r="B969" s="392"/>
      <c r="C969" s="392"/>
      <c r="D969" s="392"/>
      <c r="E969" s="392"/>
      <c r="F969" s="229"/>
      <c r="G969" s="229"/>
      <c r="H969" s="392"/>
      <c r="I969" s="229"/>
      <c r="J969" s="229"/>
      <c r="K969" s="399"/>
      <c r="L969" s="399"/>
      <c r="M969" s="399"/>
      <c r="N969" s="229"/>
      <c r="O969" s="229"/>
      <c r="P969" s="229"/>
      <c r="Q969" s="229"/>
      <c r="R969" s="229"/>
      <c r="S969" s="229"/>
      <c r="T969" s="229"/>
      <c r="U969" s="229"/>
      <c r="V969" s="400"/>
      <c r="W969" s="229"/>
      <c r="X969" s="229"/>
      <c r="Y969" s="4"/>
      <c r="Z969" s="4"/>
    </row>
    <row r="970">
      <c r="A970" s="392"/>
      <c r="B970" s="392"/>
      <c r="C970" s="392"/>
      <c r="D970" s="392"/>
      <c r="E970" s="392"/>
      <c r="F970" s="229"/>
      <c r="G970" s="229"/>
      <c r="H970" s="392"/>
      <c r="I970" s="229"/>
      <c r="J970" s="229"/>
      <c r="K970" s="399"/>
      <c r="L970" s="399"/>
      <c r="M970" s="399"/>
      <c r="N970" s="229"/>
      <c r="O970" s="229"/>
      <c r="P970" s="229"/>
      <c r="Q970" s="229"/>
      <c r="R970" s="229"/>
      <c r="S970" s="229"/>
      <c r="T970" s="229"/>
      <c r="U970" s="229"/>
      <c r="V970" s="400"/>
      <c r="W970" s="229"/>
      <c r="X970" s="229"/>
      <c r="Y970" s="4"/>
      <c r="Z970" s="4"/>
    </row>
    <row r="971">
      <c r="A971" s="392"/>
      <c r="B971" s="392"/>
      <c r="C971" s="392"/>
      <c r="D971" s="392"/>
      <c r="E971" s="392"/>
      <c r="F971" s="229"/>
      <c r="G971" s="229"/>
      <c r="H971" s="392"/>
      <c r="I971" s="229"/>
      <c r="J971" s="229"/>
      <c r="K971" s="399"/>
      <c r="L971" s="399"/>
      <c r="M971" s="399"/>
      <c r="N971" s="229"/>
      <c r="O971" s="229"/>
      <c r="P971" s="229"/>
      <c r="Q971" s="229"/>
      <c r="R971" s="229"/>
      <c r="S971" s="229"/>
      <c r="T971" s="229"/>
      <c r="U971" s="229"/>
      <c r="V971" s="400"/>
      <c r="W971" s="229"/>
      <c r="X971" s="229"/>
      <c r="Y971" s="4"/>
      <c r="Z971" s="4"/>
    </row>
    <row r="972">
      <c r="A972" s="392"/>
      <c r="B972" s="392"/>
      <c r="C972" s="392"/>
      <c r="D972" s="392"/>
      <c r="E972" s="392"/>
      <c r="F972" s="229"/>
      <c r="G972" s="229"/>
      <c r="H972" s="392"/>
      <c r="I972" s="229"/>
      <c r="J972" s="229"/>
      <c r="K972" s="399"/>
      <c r="L972" s="399"/>
      <c r="M972" s="399"/>
      <c r="N972" s="229"/>
      <c r="O972" s="229"/>
      <c r="P972" s="229"/>
      <c r="Q972" s="229"/>
      <c r="R972" s="229"/>
      <c r="S972" s="229"/>
      <c r="T972" s="229"/>
      <c r="U972" s="229"/>
      <c r="V972" s="400"/>
      <c r="W972" s="229"/>
      <c r="X972" s="229"/>
      <c r="Y972" s="4"/>
      <c r="Z972" s="4"/>
    </row>
    <row r="973">
      <c r="A973" s="392"/>
      <c r="B973" s="392"/>
      <c r="C973" s="392"/>
      <c r="D973" s="392"/>
      <c r="E973" s="392"/>
      <c r="F973" s="229"/>
      <c r="G973" s="229"/>
      <c r="H973" s="392"/>
      <c r="I973" s="229"/>
      <c r="J973" s="229"/>
      <c r="K973" s="399"/>
      <c r="L973" s="399"/>
      <c r="M973" s="399"/>
      <c r="N973" s="229"/>
      <c r="O973" s="229"/>
      <c r="P973" s="229"/>
      <c r="Q973" s="229"/>
      <c r="R973" s="229"/>
      <c r="S973" s="229"/>
      <c r="T973" s="229"/>
      <c r="U973" s="229"/>
      <c r="V973" s="400"/>
      <c r="W973" s="229"/>
      <c r="X973" s="229"/>
      <c r="Y973" s="4"/>
      <c r="Z973" s="4"/>
    </row>
    <row r="974">
      <c r="A974" s="392"/>
      <c r="B974" s="392"/>
      <c r="C974" s="392"/>
      <c r="D974" s="392"/>
      <c r="E974" s="392"/>
      <c r="F974" s="229"/>
      <c r="G974" s="229"/>
      <c r="H974" s="392"/>
      <c r="I974" s="229"/>
      <c r="J974" s="229"/>
      <c r="K974" s="399"/>
      <c r="L974" s="399"/>
      <c r="M974" s="399"/>
      <c r="N974" s="229"/>
      <c r="O974" s="229"/>
      <c r="P974" s="229"/>
      <c r="Q974" s="229"/>
      <c r="R974" s="229"/>
      <c r="S974" s="229"/>
      <c r="T974" s="229"/>
      <c r="U974" s="229"/>
      <c r="V974" s="400"/>
      <c r="W974" s="229"/>
      <c r="X974" s="229"/>
      <c r="Y974" s="4"/>
      <c r="Z974" s="4"/>
    </row>
    <row r="975">
      <c r="A975" s="392"/>
      <c r="B975" s="392"/>
      <c r="C975" s="392"/>
      <c r="D975" s="392"/>
      <c r="E975" s="392"/>
      <c r="F975" s="229"/>
      <c r="G975" s="229"/>
      <c r="H975" s="392"/>
      <c r="I975" s="229"/>
      <c r="J975" s="229"/>
      <c r="K975" s="399"/>
      <c r="L975" s="399"/>
      <c r="M975" s="399"/>
      <c r="N975" s="229"/>
      <c r="O975" s="229"/>
      <c r="P975" s="229"/>
      <c r="Q975" s="229"/>
      <c r="R975" s="229"/>
      <c r="S975" s="229"/>
      <c r="T975" s="229"/>
      <c r="U975" s="229"/>
      <c r="V975" s="400"/>
      <c r="W975" s="229"/>
      <c r="X975" s="229"/>
      <c r="Y975" s="4"/>
      <c r="Z975" s="4"/>
    </row>
    <row r="976">
      <c r="A976" s="392"/>
      <c r="B976" s="392"/>
      <c r="C976" s="392"/>
      <c r="D976" s="392"/>
      <c r="E976" s="392"/>
      <c r="F976" s="229"/>
      <c r="G976" s="229"/>
      <c r="H976" s="392"/>
      <c r="I976" s="229"/>
      <c r="J976" s="229"/>
      <c r="K976" s="399"/>
      <c r="L976" s="399"/>
      <c r="M976" s="399"/>
      <c r="N976" s="229"/>
      <c r="O976" s="229"/>
      <c r="P976" s="229"/>
      <c r="Q976" s="229"/>
      <c r="R976" s="229"/>
      <c r="S976" s="229"/>
      <c r="T976" s="229"/>
      <c r="U976" s="229"/>
      <c r="V976" s="400"/>
      <c r="W976" s="229"/>
      <c r="X976" s="229"/>
      <c r="Y976" s="4"/>
      <c r="Z976" s="4"/>
    </row>
    <row r="977">
      <c r="A977" s="392"/>
      <c r="B977" s="392"/>
      <c r="C977" s="392"/>
      <c r="D977" s="392"/>
      <c r="E977" s="392"/>
      <c r="F977" s="229"/>
      <c r="G977" s="229"/>
      <c r="H977" s="392"/>
      <c r="I977" s="229"/>
      <c r="J977" s="229"/>
      <c r="K977" s="399"/>
      <c r="L977" s="399"/>
      <c r="M977" s="399"/>
      <c r="N977" s="229"/>
      <c r="O977" s="229"/>
      <c r="P977" s="229"/>
      <c r="Q977" s="229"/>
      <c r="R977" s="229"/>
      <c r="S977" s="229"/>
      <c r="T977" s="229"/>
      <c r="U977" s="229"/>
      <c r="V977" s="400"/>
      <c r="W977" s="229"/>
      <c r="X977" s="229"/>
      <c r="Y977" s="4"/>
      <c r="Z977" s="4"/>
    </row>
    <row r="978">
      <c r="A978" s="392"/>
      <c r="B978" s="392"/>
      <c r="C978" s="392"/>
      <c r="D978" s="392"/>
      <c r="E978" s="392"/>
      <c r="F978" s="229"/>
      <c r="G978" s="229"/>
      <c r="H978" s="392"/>
      <c r="I978" s="229"/>
      <c r="J978" s="229"/>
      <c r="K978" s="399"/>
      <c r="L978" s="399"/>
      <c r="M978" s="399"/>
      <c r="N978" s="229"/>
      <c r="O978" s="229"/>
      <c r="P978" s="229"/>
      <c r="Q978" s="229"/>
      <c r="R978" s="229"/>
      <c r="S978" s="229"/>
      <c r="T978" s="229"/>
      <c r="U978" s="229"/>
      <c r="V978" s="400"/>
      <c r="W978" s="229"/>
      <c r="X978" s="229"/>
      <c r="Y978" s="4"/>
      <c r="Z978" s="4"/>
    </row>
    <row r="979">
      <c r="A979" s="392"/>
      <c r="B979" s="392"/>
      <c r="C979" s="392"/>
      <c r="D979" s="392"/>
      <c r="E979" s="392"/>
      <c r="F979" s="229"/>
      <c r="G979" s="229"/>
      <c r="H979" s="392"/>
      <c r="I979" s="229"/>
      <c r="J979" s="229"/>
      <c r="K979" s="399"/>
      <c r="L979" s="399"/>
      <c r="M979" s="399"/>
      <c r="N979" s="229"/>
      <c r="O979" s="229"/>
      <c r="P979" s="229"/>
      <c r="Q979" s="229"/>
      <c r="R979" s="229"/>
      <c r="S979" s="229"/>
      <c r="T979" s="229"/>
      <c r="U979" s="229"/>
      <c r="V979" s="400"/>
      <c r="W979" s="229"/>
      <c r="X979" s="229"/>
      <c r="Y979" s="4"/>
      <c r="Z979" s="4"/>
    </row>
    <row r="980">
      <c r="A980" s="392"/>
      <c r="B980" s="392"/>
      <c r="C980" s="392"/>
      <c r="D980" s="392"/>
      <c r="E980" s="392"/>
      <c r="F980" s="229"/>
      <c r="G980" s="229"/>
      <c r="H980" s="392"/>
      <c r="I980" s="229"/>
      <c r="J980" s="229"/>
      <c r="K980" s="399"/>
      <c r="L980" s="399"/>
      <c r="M980" s="399"/>
      <c r="N980" s="229"/>
      <c r="O980" s="229"/>
      <c r="P980" s="229"/>
      <c r="Q980" s="229"/>
      <c r="R980" s="229"/>
      <c r="S980" s="229"/>
      <c r="T980" s="229"/>
      <c r="U980" s="229"/>
      <c r="V980" s="400"/>
      <c r="W980" s="229"/>
      <c r="X980" s="229"/>
      <c r="Y980" s="4"/>
      <c r="Z980" s="4"/>
    </row>
    <row r="981">
      <c r="A981" s="392"/>
      <c r="B981" s="392"/>
      <c r="C981" s="392"/>
      <c r="D981" s="392"/>
      <c r="E981" s="392"/>
      <c r="F981" s="229"/>
      <c r="G981" s="229"/>
      <c r="H981" s="392"/>
      <c r="I981" s="229"/>
      <c r="J981" s="229"/>
      <c r="K981" s="399"/>
      <c r="L981" s="399"/>
      <c r="M981" s="399"/>
      <c r="N981" s="229"/>
      <c r="O981" s="229"/>
      <c r="P981" s="229"/>
      <c r="Q981" s="229"/>
      <c r="R981" s="229"/>
      <c r="S981" s="229"/>
      <c r="T981" s="229"/>
      <c r="U981" s="229"/>
      <c r="V981" s="400"/>
      <c r="W981" s="229"/>
      <c r="X981" s="229"/>
      <c r="Y981" s="4"/>
      <c r="Z981" s="4"/>
    </row>
    <row r="982">
      <c r="A982" s="392"/>
      <c r="B982" s="392"/>
      <c r="C982" s="392"/>
      <c r="D982" s="392"/>
      <c r="E982" s="392"/>
      <c r="F982" s="229"/>
      <c r="G982" s="229"/>
      <c r="H982" s="392"/>
      <c r="I982" s="229"/>
      <c r="J982" s="229"/>
      <c r="K982" s="399"/>
      <c r="L982" s="399"/>
      <c r="M982" s="399"/>
      <c r="N982" s="229"/>
      <c r="O982" s="229"/>
      <c r="P982" s="229"/>
      <c r="Q982" s="229"/>
      <c r="R982" s="229"/>
      <c r="S982" s="229"/>
      <c r="T982" s="229"/>
      <c r="U982" s="229"/>
      <c r="V982" s="400"/>
      <c r="W982" s="229"/>
      <c r="X982" s="229"/>
      <c r="Y982" s="4"/>
      <c r="Z982" s="4"/>
    </row>
    <row r="983">
      <c r="A983" s="392"/>
      <c r="B983" s="392"/>
      <c r="C983" s="392"/>
      <c r="D983" s="392"/>
      <c r="E983" s="392"/>
      <c r="F983" s="229"/>
      <c r="G983" s="229"/>
      <c r="H983" s="392"/>
      <c r="I983" s="229"/>
      <c r="J983" s="229"/>
      <c r="K983" s="399"/>
      <c r="L983" s="399"/>
      <c r="M983" s="399"/>
      <c r="N983" s="229"/>
      <c r="O983" s="229"/>
      <c r="P983" s="229"/>
      <c r="Q983" s="229"/>
      <c r="R983" s="229"/>
      <c r="S983" s="229"/>
      <c r="T983" s="229"/>
      <c r="U983" s="229"/>
      <c r="V983" s="400"/>
      <c r="W983" s="229"/>
      <c r="X983" s="229"/>
      <c r="Y983" s="4"/>
      <c r="Z983" s="4"/>
    </row>
    <row r="984">
      <c r="A984" s="392"/>
      <c r="B984" s="392"/>
      <c r="C984" s="392"/>
      <c r="D984" s="392"/>
      <c r="E984" s="392"/>
      <c r="F984" s="229"/>
      <c r="G984" s="229"/>
      <c r="H984" s="392"/>
      <c r="I984" s="229"/>
      <c r="J984" s="229"/>
      <c r="K984" s="399"/>
      <c r="L984" s="399"/>
      <c r="M984" s="399"/>
      <c r="N984" s="229"/>
      <c r="O984" s="229"/>
      <c r="P984" s="229"/>
      <c r="Q984" s="229"/>
      <c r="R984" s="229"/>
      <c r="S984" s="229"/>
      <c r="T984" s="229"/>
      <c r="U984" s="229"/>
      <c r="V984" s="400"/>
      <c r="W984" s="229"/>
      <c r="X984" s="229"/>
      <c r="Y984" s="4"/>
      <c r="Z984" s="4"/>
    </row>
    <row r="985">
      <c r="A985" s="392"/>
      <c r="B985" s="392"/>
      <c r="C985" s="392"/>
      <c r="D985" s="392"/>
      <c r="E985" s="392"/>
      <c r="F985" s="229"/>
      <c r="G985" s="229"/>
      <c r="H985" s="392"/>
      <c r="I985" s="229"/>
      <c r="J985" s="229"/>
      <c r="K985" s="399"/>
      <c r="L985" s="399"/>
      <c r="M985" s="399"/>
      <c r="N985" s="229"/>
      <c r="O985" s="229"/>
      <c r="P985" s="229"/>
      <c r="Q985" s="229"/>
      <c r="R985" s="229"/>
      <c r="S985" s="229"/>
      <c r="T985" s="229"/>
      <c r="U985" s="229"/>
      <c r="V985" s="400"/>
      <c r="W985" s="229"/>
      <c r="X985" s="229"/>
      <c r="Y985" s="4"/>
      <c r="Z985" s="4"/>
    </row>
    <row r="986">
      <c r="A986" s="392"/>
      <c r="B986" s="392"/>
      <c r="C986" s="392"/>
      <c r="D986" s="392"/>
      <c r="E986" s="392"/>
      <c r="F986" s="229"/>
      <c r="G986" s="229"/>
      <c r="H986" s="392"/>
      <c r="I986" s="229"/>
      <c r="J986" s="229"/>
      <c r="K986" s="399"/>
      <c r="L986" s="399"/>
      <c r="M986" s="399"/>
      <c r="N986" s="229"/>
      <c r="O986" s="229"/>
      <c r="P986" s="229"/>
      <c r="Q986" s="229"/>
      <c r="R986" s="229"/>
      <c r="S986" s="229"/>
      <c r="T986" s="229"/>
      <c r="U986" s="229"/>
      <c r="V986" s="400"/>
      <c r="W986" s="229"/>
      <c r="X986" s="229"/>
      <c r="Y986" s="4"/>
      <c r="Z986" s="4"/>
    </row>
    <row r="987">
      <c r="A987" s="392"/>
      <c r="B987" s="392"/>
      <c r="C987" s="392"/>
      <c r="D987" s="392"/>
      <c r="E987" s="392"/>
      <c r="F987" s="229"/>
      <c r="G987" s="229"/>
      <c r="H987" s="392"/>
      <c r="I987" s="229"/>
      <c r="J987" s="229"/>
      <c r="K987" s="399"/>
      <c r="L987" s="399"/>
      <c r="M987" s="399"/>
      <c r="N987" s="229"/>
      <c r="O987" s="229"/>
      <c r="P987" s="229"/>
      <c r="Q987" s="229"/>
      <c r="R987" s="229"/>
      <c r="S987" s="229"/>
      <c r="T987" s="229"/>
      <c r="U987" s="229"/>
      <c r="V987" s="400"/>
      <c r="W987" s="229"/>
      <c r="X987" s="229"/>
      <c r="Y987" s="4"/>
      <c r="Z987" s="4"/>
    </row>
    <row r="988">
      <c r="A988" s="392"/>
      <c r="B988" s="392"/>
      <c r="C988" s="392"/>
      <c r="D988" s="392"/>
      <c r="E988" s="392"/>
      <c r="F988" s="229"/>
      <c r="G988" s="229"/>
      <c r="H988" s="392"/>
      <c r="I988" s="229"/>
      <c r="J988" s="229"/>
      <c r="K988" s="399"/>
      <c r="L988" s="399"/>
      <c r="M988" s="399"/>
      <c r="N988" s="229"/>
      <c r="O988" s="229"/>
      <c r="P988" s="229"/>
      <c r="Q988" s="229"/>
      <c r="R988" s="229"/>
      <c r="S988" s="229"/>
      <c r="T988" s="229"/>
      <c r="U988" s="229"/>
      <c r="V988" s="400"/>
      <c r="W988" s="229"/>
      <c r="X988" s="229"/>
      <c r="Y988" s="4"/>
      <c r="Z988" s="4"/>
    </row>
    <row r="989">
      <c r="A989" s="392"/>
      <c r="B989" s="392"/>
      <c r="C989" s="392"/>
      <c r="D989" s="392"/>
      <c r="E989" s="392"/>
      <c r="F989" s="229"/>
      <c r="G989" s="229"/>
      <c r="H989" s="392"/>
      <c r="I989" s="229"/>
      <c r="J989" s="229"/>
      <c r="K989" s="399"/>
      <c r="L989" s="399"/>
      <c r="M989" s="399"/>
      <c r="N989" s="229"/>
      <c r="O989" s="229"/>
      <c r="P989" s="229"/>
      <c r="Q989" s="229"/>
      <c r="R989" s="229"/>
      <c r="S989" s="229"/>
      <c r="T989" s="229"/>
      <c r="U989" s="229"/>
      <c r="V989" s="400"/>
      <c r="W989" s="229"/>
      <c r="X989" s="229"/>
      <c r="Y989" s="4"/>
      <c r="Z989" s="4"/>
    </row>
    <row r="990">
      <c r="A990" s="392"/>
      <c r="B990" s="392"/>
      <c r="C990" s="392"/>
      <c r="D990" s="392"/>
      <c r="E990" s="392"/>
      <c r="F990" s="229"/>
      <c r="G990" s="229"/>
      <c r="H990" s="392"/>
      <c r="I990" s="229"/>
      <c r="J990" s="229"/>
      <c r="K990" s="399"/>
      <c r="L990" s="399"/>
      <c r="M990" s="399"/>
      <c r="N990" s="229"/>
      <c r="O990" s="229"/>
      <c r="P990" s="229"/>
      <c r="Q990" s="229"/>
      <c r="R990" s="229"/>
      <c r="S990" s="229"/>
      <c r="T990" s="229"/>
      <c r="U990" s="229"/>
      <c r="V990" s="400"/>
      <c r="W990" s="229"/>
      <c r="X990" s="229"/>
      <c r="Y990" s="4"/>
      <c r="Z990" s="4"/>
    </row>
    <row r="991">
      <c r="A991" s="392"/>
      <c r="B991" s="392"/>
      <c r="C991" s="392"/>
      <c r="D991" s="392"/>
      <c r="E991" s="392"/>
      <c r="F991" s="229"/>
      <c r="G991" s="229"/>
      <c r="H991" s="392"/>
      <c r="I991" s="229"/>
      <c r="J991" s="229"/>
      <c r="K991" s="399"/>
      <c r="L991" s="399"/>
      <c r="M991" s="399"/>
      <c r="N991" s="229"/>
      <c r="O991" s="229"/>
      <c r="P991" s="229"/>
      <c r="Q991" s="229"/>
      <c r="R991" s="229"/>
      <c r="S991" s="229"/>
      <c r="T991" s="229"/>
      <c r="U991" s="229"/>
      <c r="V991" s="400"/>
      <c r="W991" s="229"/>
      <c r="X991" s="229"/>
      <c r="Y991" s="4"/>
      <c r="Z991" s="4"/>
    </row>
    <row r="992">
      <c r="A992" s="392"/>
      <c r="B992" s="392"/>
      <c r="C992" s="392"/>
      <c r="D992" s="392"/>
      <c r="E992" s="392"/>
      <c r="F992" s="229"/>
      <c r="G992" s="229"/>
      <c r="H992" s="392"/>
      <c r="I992" s="229"/>
      <c r="J992" s="229"/>
      <c r="K992" s="399"/>
      <c r="L992" s="399"/>
      <c r="M992" s="399"/>
      <c r="N992" s="229"/>
      <c r="O992" s="229"/>
      <c r="P992" s="229"/>
      <c r="Q992" s="229"/>
      <c r="R992" s="229"/>
      <c r="S992" s="229"/>
      <c r="T992" s="229"/>
      <c r="U992" s="229"/>
      <c r="V992" s="400"/>
      <c r="W992" s="229"/>
      <c r="X992" s="229"/>
      <c r="Y992" s="4"/>
      <c r="Z992" s="4"/>
    </row>
    <row r="993">
      <c r="A993" s="392"/>
      <c r="B993" s="392"/>
      <c r="C993" s="392"/>
      <c r="D993" s="392"/>
      <c r="E993" s="392"/>
      <c r="F993" s="229"/>
      <c r="G993" s="229"/>
      <c r="H993" s="392"/>
      <c r="I993" s="229"/>
      <c r="J993" s="229"/>
      <c r="K993" s="399"/>
      <c r="L993" s="399"/>
      <c r="M993" s="399"/>
      <c r="N993" s="229"/>
      <c r="O993" s="229"/>
      <c r="P993" s="229"/>
      <c r="Q993" s="229"/>
      <c r="R993" s="229"/>
      <c r="S993" s="229"/>
      <c r="T993" s="229"/>
      <c r="U993" s="229"/>
      <c r="V993" s="400"/>
      <c r="W993" s="229"/>
      <c r="X993" s="229"/>
      <c r="Y993" s="4"/>
      <c r="Z993" s="4"/>
    </row>
    <row r="994">
      <c r="A994" s="392"/>
      <c r="B994" s="392"/>
      <c r="C994" s="392"/>
      <c r="D994" s="392"/>
      <c r="E994" s="392"/>
      <c r="F994" s="229"/>
      <c r="G994" s="229"/>
      <c r="H994" s="392"/>
      <c r="I994" s="229"/>
      <c r="J994" s="229"/>
      <c r="K994" s="399"/>
      <c r="L994" s="399"/>
      <c r="M994" s="399"/>
      <c r="N994" s="229"/>
      <c r="O994" s="229"/>
      <c r="P994" s="229"/>
      <c r="Q994" s="229"/>
      <c r="R994" s="229"/>
      <c r="S994" s="229"/>
      <c r="T994" s="229"/>
      <c r="U994" s="229"/>
      <c r="V994" s="400"/>
      <c r="W994" s="229"/>
      <c r="X994" s="229"/>
      <c r="Y994" s="4"/>
      <c r="Z994" s="4"/>
    </row>
    <row r="995">
      <c r="A995" s="392"/>
      <c r="B995" s="392"/>
      <c r="C995" s="392"/>
      <c r="D995" s="392"/>
      <c r="E995" s="392"/>
      <c r="F995" s="229"/>
      <c r="G995" s="229"/>
      <c r="H995" s="392"/>
      <c r="I995" s="229"/>
      <c r="J995" s="229"/>
      <c r="K995" s="399"/>
      <c r="L995" s="399"/>
      <c r="M995" s="399"/>
      <c r="N995" s="229"/>
      <c r="O995" s="229"/>
      <c r="P995" s="229"/>
      <c r="Q995" s="229"/>
      <c r="R995" s="229"/>
      <c r="S995" s="229"/>
      <c r="T995" s="229"/>
      <c r="U995" s="229"/>
      <c r="V995" s="400"/>
      <c r="W995" s="229"/>
      <c r="X995" s="229"/>
      <c r="Y995" s="4"/>
      <c r="Z995" s="4"/>
    </row>
    <row r="996">
      <c r="A996" s="392"/>
      <c r="B996" s="392"/>
      <c r="C996" s="392"/>
      <c r="D996" s="392"/>
      <c r="E996" s="392"/>
      <c r="F996" s="229"/>
      <c r="G996" s="229"/>
      <c r="H996" s="392"/>
      <c r="I996" s="229"/>
      <c r="J996" s="229"/>
      <c r="K996" s="399"/>
      <c r="L996" s="399"/>
      <c r="M996" s="399"/>
      <c r="N996" s="229"/>
      <c r="O996" s="229"/>
      <c r="P996" s="229"/>
      <c r="Q996" s="229"/>
      <c r="R996" s="229"/>
      <c r="S996" s="229"/>
      <c r="T996" s="229"/>
      <c r="U996" s="229"/>
      <c r="V996" s="400"/>
      <c r="W996" s="229"/>
      <c r="X996" s="229"/>
      <c r="Y996" s="4"/>
      <c r="Z996" s="4"/>
    </row>
    <row r="997">
      <c r="A997" s="392"/>
      <c r="B997" s="392"/>
      <c r="C997" s="392"/>
      <c r="D997" s="392"/>
      <c r="E997" s="392"/>
      <c r="F997" s="229"/>
      <c r="G997" s="229"/>
      <c r="H997" s="392"/>
      <c r="I997" s="229"/>
      <c r="J997" s="229"/>
      <c r="K997" s="399"/>
      <c r="L997" s="399"/>
      <c r="M997" s="399"/>
      <c r="N997" s="229"/>
      <c r="O997" s="229"/>
      <c r="P997" s="229"/>
      <c r="Q997" s="229"/>
      <c r="R997" s="229"/>
      <c r="S997" s="229"/>
      <c r="T997" s="229"/>
      <c r="U997" s="229"/>
      <c r="V997" s="400"/>
      <c r="W997" s="229"/>
      <c r="X997" s="229"/>
      <c r="Y997" s="4"/>
      <c r="Z997" s="4"/>
    </row>
    <row r="998">
      <c r="A998" s="392"/>
      <c r="B998" s="392"/>
      <c r="C998" s="392"/>
      <c r="D998" s="392"/>
      <c r="E998" s="392"/>
      <c r="F998" s="229"/>
      <c r="G998" s="229"/>
      <c r="H998" s="392"/>
      <c r="I998" s="229"/>
      <c r="J998" s="229"/>
      <c r="K998" s="399"/>
      <c r="L998" s="399"/>
      <c r="M998" s="399"/>
      <c r="N998" s="229"/>
      <c r="O998" s="229"/>
      <c r="P998" s="229"/>
      <c r="Q998" s="229"/>
      <c r="R998" s="229"/>
      <c r="S998" s="229"/>
      <c r="T998" s="229"/>
      <c r="U998" s="229"/>
      <c r="V998" s="400"/>
      <c r="W998" s="229"/>
      <c r="X998" s="229"/>
      <c r="Y998" s="4"/>
      <c r="Z998" s="4"/>
    </row>
    <row r="999">
      <c r="A999" s="392"/>
      <c r="B999" s="392"/>
      <c r="C999" s="392"/>
      <c r="D999" s="392"/>
      <c r="E999" s="392"/>
      <c r="F999" s="229"/>
      <c r="G999" s="229"/>
      <c r="H999" s="392"/>
      <c r="I999" s="229"/>
      <c r="J999" s="229"/>
      <c r="K999" s="399"/>
      <c r="L999" s="399"/>
      <c r="M999" s="399"/>
      <c r="N999" s="229"/>
      <c r="O999" s="229"/>
      <c r="P999" s="229"/>
      <c r="Q999" s="229"/>
      <c r="R999" s="229"/>
      <c r="S999" s="229"/>
      <c r="T999" s="229"/>
      <c r="U999" s="229"/>
      <c r="V999" s="400"/>
      <c r="W999" s="229"/>
      <c r="X999" s="229"/>
      <c r="Y999" s="4"/>
      <c r="Z999" s="4"/>
    </row>
    <row r="1000">
      <c r="A1000" s="392"/>
      <c r="B1000" s="392"/>
      <c r="C1000" s="392"/>
      <c r="D1000" s="392"/>
      <c r="E1000" s="392"/>
      <c r="F1000" s="229"/>
      <c r="G1000" s="229"/>
      <c r="H1000" s="392"/>
      <c r="I1000" s="229"/>
      <c r="J1000" s="229"/>
      <c r="K1000" s="399"/>
      <c r="L1000" s="399"/>
      <c r="M1000" s="399"/>
      <c r="N1000" s="229"/>
      <c r="O1000" s="229"/>
      <c r="P1000" s="229"/>
      <c r="Q1000" s="229"/>
      <c r="R1000" s="229"/>
      <c r="S1000" s="229"/>
      <c r="T1000" s="229"/>
      <c r="U1000" s="229"/>
      <c r="V1000" s="400"/>
      <c r="W1000" s="229"/>
      <c r="X1000" s="229"/>
      <c r="Y1000" s="4"/>
      <c r="Z1000" s="4"/>
    </row>
    <row r="1001">
      <c r="A1001" s="392"/>
      <c r="B1001" s="392"/>
      <c r="C1001" s="392"/>
      <c r="D1001" s="392"/>
      <c r="E1001" s="392"/>
      <c r="F1001" s="229"/>
      <c r="G1001" s="229"/>
      <c r="H1001" s="392"/>
      <c r="I1001" s="229"/>
      <c r="J1001" s="229"/>
      <c r="K1001" s="399"/>
      <c r="L1001" s="399"/>
      <c r="M1001" s="399"/>
      <c r="N1001" s="229"/>
      <c r="O1001" s="229"/>
      <c r="P1001" s="229"/>
      <c r="Q1001" s="229"/>
      <c r="R1001" s="229"/>
      <c r="S1001" s="229"/>
      <c r="T1001" s="229"/>
      <c r="U1001" s="229"/>
      <c r="V1001" s="400"/>
      <c r="W1001" s="229"/>
      <c r="X1001" s="229"/>
      <c r="Y1001" s="4"/>
      <c r="Z1001" s="4"/>
    </row>
    <row r="1002">
      <c r="A1002" s="392"/>
      <c r="B1002" s="392"/>
      <c r="C1002" s="392"/>
      <c r="D1002" s="392"/>
      <c r="E1002" s="392"/>
      <c r="F1002" s="229"/>
      <c r="G1002" s="229"/>
      <c r="H1002" s="392"/>
      <c r="I1002" s="229"/>
      <c r="J1002" s="229"/>
      <c r="K1002" s="399"/>
      <c r="L1002" s="399"/>
      <c r="M1002" s="399"/>
      <c r="N1002" s="229"/>
      <c r="O1002" s="229"/>
      <c r="P1002" s="229"/>
      <c r="Q1002" s="229"/>
      <c r="R1002" s="229"/>
      <c r="S1002" s="229"/>
      <c r="T1002" s="229"/>
      <c r="U1002" s="229"/>
      <c r="V1002" s="400"/>
      <c r="W1002" s="229"/>
      <c r="X1002" s="229"/>
      <c r="Y1002" s="4"/>
      <c r="Z1002" s="4"/>
    </row>
    <row r="1003">
      <c r="A1003" s="392"/>
      <c r="B1003" s="392"/>
      <c r="C1003" s="392"/>
      <c r="D1003" s="392"/>
      <c r="E1003" s="392"/>
      <c r="F1003" s="229"/>
      <c r="G1003" s="229"/>
      <c r="H1003" s="392"/>
      <c r="I1003" s="229"/>
      <c r="J1003" s="229"/>
      <c r="K1003" s="399"/>
      <c r="L1003" s="399"/>
      <c r="M1003" s="399"/>
      <c r="N1003" s="229"/>
      <c r="O1003" s="229"/>
      <c r="P1003" s="229"/>
      <c r="Q1003" s="229"/>
      <c r="R1003" s="229"/>
      <c r="S1003" s="229"/>
      <c r="T1003" s="229"/>
      <c r="U1003" s="229"/>
      <c r="V1003" s="400"/>
      <c r="W1003" s="229"/>
      <c r="X1003" s="229"/>
      <c r="Y1003" s="4"/>
      <c r="Z1003" s="4"/>
    </row>
    <row r="1004">
      <c r="A1004" s="392"/>
      <c r="B1004" s="392"/>
      <c r="C1004" s="392"/>
      <c r="D1004" s="392"/>
      <c r="E1004" s="392"/>
      <c r="F1004" s="229"/>
      <c r="G1004" s="229"/>
      <c r="H1004" s="392"/>
      <c r="I1004" s="229"/>
      <c r="J1004" s="229"/>
      <c r="K1004" s="399"/>
      <c r="L1004" s="399"/>
      <c r="M1004" s="399"/>
      <c r="N1004" s="229"/>
      <c r="O1004" s="229"/>
      <c r="P1004" s="229"/>
      <c r="Q1004" s="229"/>
      <c r="R1004" s="229"/>
      <c r="S1004" s="229"/>
      <c r="T1004" s="229"/>
      <c r="U1004" s="229"/>
      <c r="V1004" s="400"/>
      <c r="W1004" s="229"/>
      <c r="X1004" s="229"/>
      <c r="Y1004" s="4"/>
      <c r="Z1004" s="4"/>
    </row>
    <row r="1005">
      <c r="A1005" s="392"/>
      <c r="B1005" s="392"/>
      <c r="C1005" s="392"/>
      <c r="D1005" s="392"/>
      <c r="E1005" s="392"/>
      <c r="F1005" s="229"/>
      <c r="G1005" s="229"/>
      <c r="H1005" s="392"/>
      <c r="I1005" s="229"/>
      <c r="J1005" s="229"/>
      <c r="K1005" s="399"/>
      <c r="L1005" s="399"/>
      <c r="M1005" s="399"/>
      <c r="N1005" s="229"/>
      <c r="O1005" s="229"/>
      <c r="P1005" s="229"/>
      <c r="Q1005" s="229"/>
      <c r="R1005" s="229"/>
      <c r="S1005" s="229"/>
      <c r="T1005" s="229"/>
      <c r="U1005" s="229"/>
      <c r="V1005" s="400"/>
      <c r="W1005" s="229"/>
      <c r="X1005" s="229"/>
      <c r="Y1005" s="4"/>
      <c r="Z1005" s="4"/>
    </row>
    <row r="1006">
      <c r="A1006" s="392"/>
      <c r="B1006" s="392"/>
      <c r="C1006" s="392"/>
      <c r="D1006" s="392"/>
      <c r="E1006" s="392"/>
      <c r="F1006" s="229"/>
      <c r="G1006" s="229"/>
      <c r="H1006" s="392"/>
      <c r="I1006" s="229"/>
      <c r="J1006" s="229"/>
      <c r="K1006" s="399"/>
      <c r="L1006" s="399"/>
      <c r="M1006" s="399"/>
      <c r="N1006" s="229"/>
      <c r="O1006" s="229"/>
      <c r="P1006" s="229"/>
      <c r="Q1006" s="229"/>
      <c r="R1006" s="229"/>
      <c r="S1006" s="229"/>
      <c r="T1006" s="229"/>
      <c r="U1006" s="229"/>
      <c r="V1006" s="400"/>
      <c r="W1006" s="229"/>
      <c r="X1006" s="229"/>
      <c r="Y1006" s="4"/>
      <c r="Z1006" s="4"/>
    </row>
    <row r="1007">
      <c r="A1007" s="392"/>
      <c r="B1007" s="392"/>
      <c r="C1007" s="392"/>
      <c r="D1007" s="392"/>
      <c r="E1007" s="392"/>
      <c r="F1007" s="229"/>
      <c r="G1007" s="229"/>
      <c r="H1007" s="392"/>
      <c r="I1007" s="229"/>
      <c r="J1007" s="229"/>
      <c r="K1007" s="399"/>
      <c r="L1007" s="399"/>
      <c r="M1007" s="399"/>
      <c r="N1007" s="229"/>
      <c r="O1007" s="229"/>
      <c r="P1007" s="229"/>
      <c r="Q1007" s="229"/>
      <c r="R1007" s="229"/>
      <c r="S1007" s="229"/>
      <c r="T1007" s="229"/>
      <c r="U1007" s="229"/>
      <c r="V1007" s="400"/>
      <c r="W1007" s="229"/>
      <c r="X1007" s="229"/>
      <c r="Y1007" s="4"/>
      <c r="Z1007" s="4"/>
    </row>
    <row r="1008">
      <c r="A1008" s="392"/>
      <c r="B1008" s="392"/>
      <c r="C1008" s="392"/>
      <c r="D1008" s="392"/>
      <c r="E1008" s="392"/>
      <c r="F1008" s="229"/>
      <c r="G1008" s="229"/>
      <c r="H1008" s="392"/>
      <c r="I1008" s="229"/>
      <c r="J1008" s="229"/>
      <c r="K1008" s="399"/>
      <c r="L1008" s="399"/>
      <c r="M1008" s="399"/>
      <c r="N1008" s="229"/>
      <c r="O1008" s="229"/>
      <c r="P1008" s="229"/>
      <c r="Q1008" s="229"/>
      <c r="R1008" s="229"/>
      <c r="S1008" s="229"/>
      <c r="T1008" s="229"/>
      <c r="U1008" s="229"/>
      <c r="V1008" s="400"/>
      <c r="W1008" s="229"/>
      <c r="X1008" s="229"/>
      <c r="Y1008" s="4"/>
      <c r="Z1008" s="4"/>
    </row>
    <row r="1009">
      <c r="A1009" s="392"/>
      <c r="B1009" s="392"/>
      <c r="C1009" s="392"/>
      <c r="D1009" s="392"/>
      <c r="E1009" s="392"/>
      <c r="F1009" s="229"/>
      <c r="G1009" s="229"/>
      <c r="H1009" s="392"/>
      <c r="I1009" s="229"/>
      <c r="J1009" s="229"/>
      <c r="K1009" s="399"/>
      <c r="L1009" s="399"/>
      <c r="M1009" s="399"/>
      <c r="N1009" s="229"/>
      <c r="O1009" s="229"/>
      <c r="P1009" s="229"/>
      <c r="Q1009" s="229"/>
      <c r="R1009" s="229"/>
      <c r="S1009" s="229"/>
      <c r="T1009" s="229"/>
      <c r="U1009" s="229"/>
      <c r="V1009" s="400"/>
      <c r="W1009" s="229"/>
      <c r="X1009" s="229"/>
      <c r="Y1009" s="4"/>
      <c r="Z1009" s="4"/>
    </row>
    <row r="1010">
      <c r="A1010" s="392"/>
      <c r="B1010" s="392"/>
      <c r="C1010" s="392"/>
      <c r="D1010" s="392"/>
      <c r="E1010" s="392"/>
      <c r="F1010" s="229"/>
      <c r="G1010" s="229"/>
      <c r="H1010" s="392"/>
      <c r="I1010" s="229"/>
      <c r="J1010" s="229"/>
      <c r="K1010" s="399"/>
      <c r="L1010" s="399"/>
      <c r="M1010" s="399"/>
      <c r="N1010" s="229"/>
      <c r="O1010" s="229"/>
      <c r="P1010" s="229"/>
      <c r="Q1010" s="229"/>
      <c r="R1010" s="229"/>
      <c r="S1010" s="229"/>
      <c r="T1010" s="229"/>
      <c r="U1010" s="229"/>
      <c r="V1010" s="400"/>
      <c r="W1010" s="229"/>
      <c r="X1010" s="229"/>
      <c r="Y1010" s="4"/>
      <c r="Z1010" s="4"/>
    </row>
    <row r="1011">
      <c r="A1011" s="392"/>
      <c r="B1011" s="392"/>
      <c r="C1011" s="392"/>
      <c r="D1011" s="392"/>
      <c r="E1011" s="392"/>
      <c r="F1011" s="229"/>
      <c r="G1011" s="229"/>
      <c r="H1011" s="392"/>
      <c r="I1011" s="229"/>
      <c r="J1011" s="229"/>
      <c r="K1011" s="399"/>
      <c r="L1011" s="399"/>
      <c r="M1011" s="399"/>
      <c r="N1011" s="229"/>
      <c r="O1011" s="229"/>
      <c r="P1011" s="229"/>
      <c r="Q1011" s="229"/>
      <c r="R1011" s="229"/>
      <c r="S1011" s="229"/>
      <c r="T1011" s="229"/>
      <c r="U1011" s="229"/>
      <c r="V1011" s="400"/>
      <c r="W1011" s="229"/>
      <c r="X1011" s="229"/>
      <c r="Y1011" s="4"/>
      <c r="Z1011" s="4"/>
    </row>
    <row r="1012">
      <c r="A1012" s="392"/>
      <c r="B1012" s="392"/>
      <c r="C1012" s="392"/>
      <c r="D1012" s="392"/>
      <c r="E1012" s="392"/>
      <c r="F1012" s="229"/>
      <c r="G1012" s="229"/>
      <c r="H1012" s="392"/>
      <c r="I1012" s="229"/>
      <c r="J1012" s="229"/>
      <c r="K1012" s="399"/>
      <c r="L1012" s="399"/>
      <c r="M1012" s="399"/>
      <c r="N1012" s="229"/>
      <c r="O1012" s="229"/>
      <c r="P1012" s="229"/>
      <c r="Q1012" s="229"/>
      <c r="R1012" s="229"/>
      <c r="S1012" s="229"/>
      <c r="T1012" s="229"/>
      <c r="U1012" s="229"/>
      <c r="V1012" s="400"/>
      <c r="W1012" s="229"/>
      <c r="X1012" s="229"/>
      <c r="Y1012" s="4"/>
      <c r="Z1012" s="4"/>
    </row>
    <row r="1013">
      <c r="A1013" s="392"/>
      <c r="B1013" s="392"/>
      <c r="C1013" s="392"/>
      <c r="D1013" s="392"/>
      <c r="E1013" s="392"/>
      <c r="F1013" s="229"/>
      <c r="G1013" s="229"/>
      <c r="H1013" s="392"/>
      <c r="I1013" s="229"/>
      <c r="J1013" s="229"/>
      <c r="K1013" s="399"/>
      <c r="L1013" s="399"/>
      <c r="M1013" s="399"/>
      <c r="N1013" s="229"/>
      <c r="O1013" s="229"/>
      <c r="P1013" s="229"/>
      <c r="Q1013" s="229"/>
      <c r="R1013" s="229"/>
      <c r="S1013" s="229"/>
      <c r="T1013" s="229"/>
      <c r="U1013" s="229"/>
      <c r="V1013" s="400"/>
      <c r="W1013" s="229"/>
      <c r="X1013" s="229"/>
      <c r="Y1013" s="4"/>
      <c r="Z1013" s="4"/>
    </row>
    <row r="1014">
      <c r="A1014" s="392"/>
      <c r="B1014" s="392"/>
      <c r="C1014" s="392"/>
      <c r="D1014" s="392"/>
      <c r="E1014" s="392"/>
      <c r="F1014" s="229"/>
      <c r="G1014" s="229"/>
      <c r="H1014" s="392"/>
      <c r="I1014" s="229"/>
      <c r="J1014" s="229"/>
      <c r="K1014" s="399"/>
      <c r="L1014" s="399"/>
      <c r="M1014" s="399"/>
      <c r="N1014" s="229"/>
      <c r="O1014" s="229"/>
      <c r="P1014" s="229"/>
      <c r="Q1014" s="229"/>
      <c r="R1014" s="229"/>
      <c r="S1014" s="229"/>
      <c r="T1014" s="229"/>
      <c r="U1014" s="229"/>
      <c r="V1014" s="400"/>
      <c r="W1014" s="229"/>
      <c r="X1014" s="229"/>
      <c r="Y1014" s="4"/>
      <c r="Z1014" s="4"/>
    </row>
    <row r="1015">
      <c r="A1015" s="392"/>
      <c r="B1015" s="392"/>
      <c r="C1015" s="392"/>
      <c r="D1015" s="392"/>
      <c r="E1015" s="392"/>
      <c r="F1015" s="229"/>
      <c r="G1015" s="229"/>
      <c r="H1015" s="392"/>
      <c r="I1015" s="229"/>
      <c r="J1015" s="229"/>
      <c r="K1015" s="399"/>
      <c r="L1015" s="399"/>
      <c r="M1015" s="399"/>
      <c r="N1015" s="229"/>
      <c r="O1015" s="229"/>
      <c r="P1015" s="229"/>
      <c r="Q1015" s="229"/>
      <c r="R1015" s="229"/>
      <c r="S1015" s="229"/>
      <c r="T1015" s="229"/>
      <c r="U1015" s="229"/>
      <c r="V1015" s="400"/>
      <c r="W1015" s="229"/>
      <c r="X1015" s="229"/>
      <c r="Y1015" s="4"/>
      <c r="Z1015" s="4"/>
    </row>
    <row r="1016">
      <c r="A1016" s="392"/>
      <c r="B1016" s="392"/>
      <c r="C1016" s="392"/>
      <c r="D1016" s="392"/>
      <c r="E1016" s="392"/>
      <c r="F1016" s="229"/>
      <c r="G1016" s="229"/>
      <c r="H1016" s="392"/>
      <c r="I1016" s="229"/>
      <c r="J1016" s="229"/>
      <c r="K1016" s="399"/>
      <c r="L1016" s="399"/>
      <c r="M1016" s="399"/>
      <c r="N1016" s="229"/>
      <c r="O1016" s="229"/>
      <c r="P1016" s="229"/>
      <c r="Q1016" s="229"/>
      <c r="R1016" s="229"/>
      <c r="S1016" s="229"/>
      <c r="T1016" s="229"/>
      <c r="U1016" s="229"/>
      <c r="V1016" s="400"/>
      <c r="W1016" s="229"/>
      <c r="X1016" s="229"/>
      <c r="Y1016" s="4"/>
      <c r="Z1016" s="4"/>
    </row>
    <row r="1017">
      <c r="A1017" s="392"/>
      <c r="B1017" s="392"/>
      <c r="C1017" s="392"/>
      <c r="D1017" s="392"/>
      <c r="E1017" s="392"/>
      <c r="F1017" s="229"/>
      <c r="G1017" s="229"/>
      <c r="H1017" s="392"/>
      <c r="I1017" s="229"/>
      <c r="J1017" s="229"/>
      <c r="K1017" s="399"/>
      <c r="L1017" s="399"/>
      <c r="M1017" s="399"/>
      <c r="N1017" s="229"/>
      <c r="O1017" s="229"/>
      <c r="P1017" s="229"/>
      <c r="Q1017" s="229"/>
      <c r="R1017" s="229"/>
      <c r="S1017" s="229"/>
      <c r="T1017" s="229"/>
      <c r="U1017" s="229"/>
      <c r="V1017" s="400"/>
      <c r="W1017" s="229"/>
      <c r="X1017" s="229"/>
      <c r="Y1017" s="4"/>
      <c r="Z1017" s="4"/>
    </row>
    <row r="1018">
      <c r="A1018" s="392"/>
      <c r="B1018" s="392"/>
      <c r="C1018" s="392"/>
      <c r="D1018" s="392"/>
      <c r="E1018" s="392"/>
      <c r="F1018" s="229"/>
      <c r="G1018" s="229"/>
      <c r="H1018" s="392"/>
      <c r="I1018" s="229"/>
      <c r="J1018" s="229"/>
      <c r="K1018" s="399"/>
      <c r="L1018" s="399"/>
      <c r="M1018" s="399"/>
      <c r="N1018" s="229"/>
      <c r="O1018" s="229"/>
      <c r="P1018" s="229"/>
      <c r="Q1018" s="229"/>
      <c r="R1018" s="229"/>
      <c r="S1018" s="229"/>
      <c r="T1018" s="229"/>
      <c r="U1018" s="229"/>
      <c r="V1018" s="400"/>
      <c r="W1018" s="229"/>
      <c r="X1018" s="229"/>
      <c r="Y1018" s="4"/>
      <c r="Z1018" s="4"/>
    </row>
    <row r="1019">
      <c r="A1019" s="392"/>
      <c r="B1019" s="392"/>
      <c r="C1019" s="392"/>
      <c r="D1019" s="392"/>
      <c r="E1019" s="392"/>
      <c r="F1019" s="229"/>
      <c r="G1019" s="229"/>
      <c r="H1019" s="392"/>
      <c r="I1019" s="229"/>
      <c r="J1019" s="229"/>
      <c r="K1019" s="399"/>
      <c r="L1019" s="399"/>
      <c r="M1019" s="399"/>
      <c r="N1019" s="229"/>
      <c r="O1019" s="229"/>
      <c r="P1019" s="229"/>
      <c r="Q1019" s="229"/>
      <c r="R1019" s="229"/>
      <c r="S1019" s="229"/>
      <c r="T1019" s="229"/>
      <c r="U1019" s="229"/>
      <c r="V1019" s="400"/>
      <c r="W1019" s="229"/>
      <c r="X1019" s="229"/>
      <c r="Y1019" s="4"/>
      <c r="Z1019" s="4"/>
    </row>
    <row r="1020">
      <c r="A1020" s="392"/>
      <c r="B1020" s="392"/>
      <c r="C1020" s="392"/>
      <c r="D1020" s="392"/>
      <c r="E1020" s="392"/>
      <c r="F1020" s="229"/>
      <c r="G1020" s="229"/>
      <c r="H1020" s="392"/>
      <c r="I1020" s="229"/>
      <c r="J1020" s="229"/>
      <c r="K1020" s="399"/>
      <c r="L1020" s="399"/>
      <c r="M1020" s="399"/>
      <c r="N1020" s="229"/>
      <c r="O1020" s="229"/>
      <c r="P1020" s="229"/>
      <c r="Q1020" s="229"/>
      <c r="R1020" s="229"/>
      <c r="S1020" s="229"/>
      <c r="T1020" s="229"/>
      <c r="U1020" s="229"/>
      <c r="V1020" s="400"/>
      <c r="W1020" s="229"/>
      <c r="X1020" s="229"/>
      <c r="Y1020" s="4"/>
      <c r="Z1020" s="4"/>
    </row>
    <row r="1021">
      <c r="A1021" s="392"/>
      <c r="B1021" s="392"/>
      <c r="C1021" s="392"/>
      <c r="D1021" s="392"/>
      <c r="E1021" s="392"/>
      <c r="F1021" s="229"/>
      <c r="G1021" s="229"/>
      <c r="H1021" s="392"/>
      <c r="I1021" s="229"/>
      <c r="J1021" s="229"/>
      <c r="K1021" s="399"/>
      <c r="L1021" s="399"/>
      <c r="M1021" s="399"/>
      <c r="N1021" s="229"/>
      <c r="O1021" s="229"/>
      <c r="P1021" s="229"/>
      <c r="Q1021" s="229"/>
      <c r="R1021" s="229"/>
      <c r="S1021" s="229"/>
      <c r="T1021" s="229"/>
      <c r="U1021" s="229"/>
      <c r="V1021" s="400"/>
      <c r="W1021" s="229"/>
      <c r="X1021" s="229"/>
      <c r="Y1021" s="4"/>
      <c r="Z1021" s="4"/>
    </row>
    <row r="1022">
      <c r="A1022" s="392"/>
      <c r="B1022" s="392"/>
      <c r="C1022" s="392"/>
      <c r="D1022" s="392"/>
      <c r="E1022" s="392"/>
      <c r="F1022" s="229"/>
      <c r="G1022" s="229"/>
      <c r="H1022" s="392"/>
      <c r="I1022" s="229"/>
      <c r="J1022" s="229"/>
      <c r="K1022" s="399"/>
      <c r="L1022" s="399"/>
      <c r="M1022" s="399"/>
      <c r="N1022" s="229"/>
      <c r="O1022" s="229"/>
      <c r="P1022" s="229"/>
      <c r="Q1022" s="229"/>
      <c r="R1022" s="229"/>
      <c r="S1022" s="229"/>
      <c r="T1022" s="229"/>
      <c r="U1022" s="229"/>
      <c r="V1022" s="400"/>
      <c r="W1022" s="229"/>
      <c r="X1022" s="229"/>
      <c r="Y1022" s="4"/>
      <c r="Z1022" s="4"/>
    </row>
    <row r="1023">
      <c r="A1023" s="392"/>
      <c r="B1023" s="392"/>
      <c r="C1023" s="392"/>
      <c r="D1023" s="392"/>
      <c r="E1023" s="392"/>
      <c r="F1023" s="229"/>
      <c r="G1023" s="229"/>
      <c r="H1023" s="392"/>
      <c r="I1023" s="229"/>
      <c r="J1023" s="229"/>
      <c r="K1023" s="399"/>
      <c r="L1023" s="399"/>
      <c r="M1023" s="399"/>
      <c r="N1023" s="229"/>
      <c r="O1023" s="229"/>
      <c r="P1023" s="229"/>
      <c r="Q1023" s="229"/>
      <c r="R1023" s="229"/>
      <c r="S1023" s="229"/>
      <c r="T1023" s="229"/>
      <c r="U1023" s="229"/>
      <c r="V1023" s="400"/>
      <c r="W1023" s="229"/>
      <c r="X1023" s="229"/>
      <c r="Y1023" s="4"/>
      <c r="Z1023" s="4"/>
    </row>
    <row r="1024">
      <c r="A1024" s="392"/>
      <c r="B1024" s="392"/>
      <c r="C1024" s="392"/>
      <c r="D1024" s="392"/>
      <c r="E1024" s="392"/>
      <c r="F1024" s="229"/>
      <c r="G1024" s="229"/>
      <c r="H1024" s="392"/>
      <c r="I1024" s="229"/>
      <c r="J1024" s="229"/>
      <c r="K1024" s="399"/>
      <c r="L1024" s="399"/>
      <c r="M1024" s="399"/>
      <c r="N1024" s="229"/>
      <c r="O1024" s="229"/>
      <c r="P1024" s="229"/>
      <c r="Q1024" s="229"/>
      <c r="R1024" s="229"/>
      <c r="S1024" s="229"/>
      <c r="T1024" s="229"/>
      <c r="U1024" s="229"/>
      <c r="V1024" s="400"/>
      <c r="W1024" s="229"/>
      <c r="X1024" s="229"/>
      <c r="Y1024" s="4"/>
      <c r="Z1024" s="4"/>
    </row>
    <row r="1025">
      <c r="A1025" s="392"/>
      <c r="B1025" s="392"/>
      <c r="C1025" s="392"/>
      <c r="D1025" s="392"/>
      <c r="E1025" s="392"/>
      <c r="F1025" s="229"/>
      <c r="G1025" s="229"/>
      <c r="H1025" s="392"/>
      <c r="I1025" s="229"/>
      <c r="J1025" s="229"/>
      <c r="K1025" s="399"/>
      <c r="L1025" s="399"/>
      <c r="M1025" s="399"/>
      <c r="N1025" s="229"/>
      <c r="O1025" s="229"/>
      <c r="P1025" s="229"/>
      <c r="Q1025" s="229"/>
      <c r="R1025" s="229"/>
      <c r="S1025" s="229"/>
      <c r="T1025" s="229"/>
      <c r="U1025" s="229"/>
      <c r="V1025" s="400"/>
      <c r="W1025" s="229"/>
      <c r="X1025" s="229"/>
      <c r="Y1025" s="4"/>
      <c r="Z1025" s="4"/>
    </row>
    <row r="1026">
      <c r="A1026" s="392"/>
      <c r="B1026" s="392"/>
      <c r="C1026" s="392"/>
      <c r="D1026" s="392"/>
      <c r="E1026" s="392"/>
      <c r="F1026" s="229"/>
      <c r="G1026" s="229"/>
      <c r="H1026" s="392"/>
      <c r="I1026" s="229"/>
      <c r="J1026" s="229"/>
      <c r="K1026" s="399"/>
      <c r="L1026" s="399"/>
      <c r="M1026" s="399"/>
      <c r="N1026" s="229"/>
      <c r="O1026" s="229"/>
      <c r="P1026" s="229"/>
      <c r="Q1026" s="229"/>
      <c r="R1026" s="229"/>
      <c r="S1026" s="229"/>
      <c r="T1026" s="229"/>
      <c r="U1026" s="229"/>
      <c r="V1026" s="400"/>
      <c r="W1026" s="229"/>
      <c r="X1026" s="229"/>
      <c r="Y1026" s="4"/>
      <c r="Z1026" s="4"/>
    </row>
    <row r="1027">
      <c r="A1027" s="392"/>
      <c r="B1027" s="392"/>
      <c r="C1027" s="392"/>
      <c r="D1027" s="392"/>
      <c r="E1027" s="392"/>
      <c r="F1027" s="229"/>
      <c r="G1027" s="229"/>
      <c r="H1027" s="392"/>
      <c r="I1027" s="229"/>
      <c r="J1027" s="229"/>
      <c r="K1027" s="399"/>
      <c r="L1027" s="399"/>
      <c r="M1027" s="399"/>
      <c r="N1027" s="229"/>
      <c r="O1027" s="229"/>
      <c r="P1027" s="229"/>
      <c r="Q1027" s="229"/>
      <c r="R1027" s="229"/>
      <c r="S1027" s="229"/>
      <c r="T1027" s="229"/>
      <c r="U1027" s="229"/>
      <c r="V1027" s="400"/>
      <c r="W1027" s="229"/>
      <c r="X1027" s="229"/>
      <c r="Y1027" s="4"/>
      <c r="Z1027" s="4"/>
    </row>
    <row r="1028">
      <c r="A1028" s="392"/>
      <c r="B1028" s="392"/>
      <c r="C1028" s="392"/>
      <c r="D1028" s="392"/>
      <c r="E1028" s="392"/>
      <c r="F1028" s="229"/>
      <c r="G1028" s="229"/>
      <c r="H1028" s="392"/>
      <c r="I1028" s="229"/>
      <c r="J1028" s="229"/>
      <c r="K1028" s="399"/>
      <c r="L1028" s="399"/>
      <c r="M1028" s="399"/>
      <c r="N1028" s="229"/>
      <c r="O1028" s="229"/>
      <c r="P1028" s="229"/>
      <c r="Q1028" s="229"/>
      <c r="R1028" s="229"/>
      <c r="S1028" s="229"/>
      <c r="T1028" s="229"/>
      <c r="U1028" s="229"/>
      <c r="V1028" s="400"/>
      <c r="W1028" s="229"/>
      <c r="X1028" s="229"/>
      <c r="Y1028" s="4"/>
      <c r="Z1028" s="4"/>
    </row>
    <row r="1029">
      <c r="A1029" s="392"/>
      <c r="B1029" s="392"/>
      <c r="C1029" s="392"/>
      <c r="D1029" s="392"/>
      <c r="E1029" s="392"/>
      <c r="F1029" s="229"/>
      <c r="G1029" s="229"/>
      <c r="H1029" s="392"/>
      <c r="I1029" s="229"/>
      <c r="J1029" s="229"/>
      <c r="K1029" s="399"/>
      <c r="L1029" s="399"/>
      <c r="M1029" s="399"/>
      <c r="N1029" s="229"/>
      <c r="O1029" s="229"/>
      <c r="P1029" s="229"/>
      <c r="Q1029" s="229"/>
      <c r="R1029" s="229"/>
      <c r="S1029" s="229"/>
      <c r="T1029" s="229"/>
      <c r="U1029" s="229"/>
      <c r="V1029" s="400"/>
      <c r="W1029" s="229"/>
      <c r="X1029" s="229"/>
      <c r="Y1029" s="4"/>
      <c r="Z1029" s="4"/>
    </row>
    <row r="1030">
      <c r="A1030" s="392"/>
      <c r="B1030" s="392"/>
      <c r="C1030" s="392"/>
      <c r="D1030" s="392"/>
      <c r="E1030" s="392"/>
      <c r="F1030" s="229"/>
      <c r="G1030" s="229"/>
      <c r="H1030" s="392"/>
      <c r="I1030" s="229"/>
      <c r="J1030" s="229"/>
      <c r="K1030" s="399"/>
      <c r="L1030" s="399"/>
      <c r="M1030" s="399"/>
      <c r="N1030" s="229"/>
      <c r="O1030" s="229"/>
      <c r="P1030" s="229"/>
      <c r="Q1030" s="229"/>
      <c r="R1030" s="229"/>
      <c r="S1030" s="229"/>
      <c r="T1030" s="229"/>
      <c r="U1030" s="229"/>
      <c r="V1030" s="400"/>
      <c r="W1030" s="229"/>
      <c r="X1030" s="229"/>
      <c r="Y1030" s="4"/>
      <c r="Z1030" s="4"/>
    </row>
    <row r="1031">
      <c r="A1031" s="392"/>
      <c r="B1031" s="392"/>
      <c r="C1031" s="392"/>
      <c r="D1031" s="392"/>
      <c r="E1031" s="392"/>
      <c r="F1031" s="229"/>
      <c r="G1031" s="229"/>
      <c r="H1031" s="392"/>
      <c r="I1031" s="229"/>
      <c r="J1031" s="229"/>
      <c r="K1031" s="399"/>
      <c r="L1031" s="399"/>
      <c r="M1031" s="399"/>
      <c r="N1031" s="229"/>
      <c r="O1031" s="229"/>
      <c r="P1031" s="229"/>
      <c r="Q1031" s="229"/>
      <c r="R1031" s="229"/>
      <c r="S1031" s="229"/>
      <c r="T1031" s="229"/>
      <c r="U1031" s="229"/>
      <c r="V1031" s="400"/>
      <c r="W1031" s="229"/>
      <c r="X1031" s="229"/>
      <c r="Y1031" s="4"/>
      <c r="Z1031" s="4"/>
    </row>
    <row r="1032">
      <c r="A1032" s="392"/>
      <c r="B1032" s="392"/>
      <c r="C1032" s="392"/>
      <c r="D1032" s="392"/>
      <c r="E1032" s="392"/>
      <c r="F1032" s="229"/>
      <c r="G1032" s="229"/>
      <c r="H1032" s="392"/>
      <c r="I1032" s="229"/>
      <c r="J1032" s="229"/>
      <c r="K1032" s="399"/>
      <c r="L1032" s="399"/>
      <c r="M1032" s="399"/>
      <c r="N1032" s="229"/>
      <c r="O1032" s="229"/>
      <c r="P1032" s="229"/>
      <c r="Q1032" s="229"/>
      <c r="R1032" s="229"/>
      <c r="S1032" s="229"/>
      <c r="T1032" s="229"/>
      <c r="U1032" s="229"/>
      <c r="V1032" s="400"/>
      <c r="W1032" s="229"/>
      <c r="X1032" s="229"/>
      <c r="Y1032" s="4"/>
      <c r="Z1032" s="4"/>
    </row>
    <row r="1033">
      <c r="A1033" s="392"/>
      <c r="B1033" s="392"/>
      <c r="C1033" s="392"/>
      <c r="D1033" s="392"/>
      <c r="E1033" s="392"/>
      <c r="F1033" s="229"/>
      <c r="G1033" s="229"/>
      <c r="H1033" s="392"/>
      <c r="I1033" s="229"/>
      <c r="J1033" s="229"/>
      <c r="K1033" s="399"/>
      <c r="L1033" s="399"/>
      <c r="M1033" s="399"/>
      <c r="N1033" s="229"/>
      <c r="O1033" s="229"/>
      <c r="P1033" s="229"/>
      <c r="Q1033" s="229"/>
      <c r="R1033" s="229"/>
      <c r="S1033" s="229"/>
      <c r="T1033" s="229"/>
      <c r="U1033" s="229"/>
      <c r="V1033" s="400"/>
      <c r="W1033" s="229"/>
      <c r="X1033" s="229"/>
      <c r="Y1033" s="4"/>
      <c r="Z1033" s="4"/>
    </row>
    <row r="1034">
      <c r="A1034" s="392"/>
      <c r="B1034" s="392"/>
      <c r="C1034" s="392"/>
      <c r="D1034" s="392"/>
      <c r="E1034" s="392"/>
      <c r="F1034" s="229"/>
      <c r="G1034" s="229"/>
      <c r="H1034" s="392"/>
      <c r="I1034" s="229"/>
      <c r="J1034" s="229"/>
      <c r="K1034" s="399"/>
      <c r="L1034" s="399"/>
      <c r="M1034" s="399"/>
      <c r="N1034" s="229"/>
      <c r="O1034" s="229"/>
      <c r="P1034" s="229"/>
      <c r="Q1034" s="229"/>
      <c r="R1034" s="229"/>
      <c r="S1034" s="229"/>
      <c r="T1034" s="229"/>
      <c r="U1034" s="229"/>
      <c r="V1034" s="400"/>
      <c r="W1034" s="229"/>
      <c r="X1034" s="229"/>
      <c r="Y1034" s="4"/>
      <c r="Z1034" s="4"/>
    </row>
    <row r="1035">
      <c r="A1035" s="392"/>
      <c r="B1035" s="392"/>
      <c r="C1035" s="392"/>
      <c r="D1035" s="392"/>
      <c r="E1035" s="392"/>
      <c r="F1035" s="229"/>
      <c r="G1035" s="229"/>
      <c r="H1035" s="392"/>
      <c r="I1035" s="229"/>
      <c r="J1035" s="229"/>
      <c r="K1035" s="399"/>
      <c r="L1035" s="399"/>
      <c r="M1035" s="399"/>
      <c r="N1035" s="229"/>
      <c r="O1035" s="229"/>
      <c r="P1035" s="229"/>
      <c r="Q1035" s="229"/>
      <c r="R1035" s="229"/>
      <c r="S1035" s="229"/>
      <c r="T1035" s="229"/>
      <c r="U1035" s="229"/>
      <c r="V1035" s="400"/>
      <c r="W1035" s="229"/>
      <c r="X1035" s="229"/>
      <c r="Y1035" s="4"/>
      <c r="Z1035" s="4"/>
    </row>
    <row r="1036">
      <c r="A1036" s="392"/>
      <c r="B1036" s="392"/>
      <c r="C1036" s="392"/>
      <c r="D1036" s="392"/>
      <c r="E1036" s="392"/>
      <c r="F1036" s="229"/>
      <c r="G1036" s="229"/>
      <c r="H1036" s="392"/>
      <c r="I1036" s="229"/>
      <c r="J1036" s="229"/>
      <c r="K1036" s="399"/>
      <c r="L1036" s="399"/>
      <c r="M1036" s="399"/>
      <c r="N1036" s="229"/>
      <c r="O1036" s="229"/>
      <c r="P1036" s="229"/>
      <c r="Q1036" s="229"/>
      <c r="R1036" s="229"/>
      <c r="S1036" s="229"/>
      <c r="T1036" s="229"/>
      <c r="U1036" s="229"/>
      <c r="V1036" s="400"/>
      <c r="W1036" s="229"/>
      <c r="X1036" s="229"/>
      <c r="Y1036" s="4"/>
      <c r="Z1036" s="4"/>
    </row>
    <row r="1037">
      <c r="A1037" s="392"/>
      <c r="B1037" s="392"/>
      <c r="C1037" s="392"/>
      <c r="D1037" s="392"/>
      <c r="E1037" s="392"/>
      <c r="F1037" s="229"/>
      <c r="G1037" s="229"/>
      <c r="H1037" s="392"/>
      <c r="I1037" s="229"/>
      <c r="J1037" s="229"/>
      <c r="K1037" s="399"/>
      <c r="L1037" s="399"/>
      <c r="M1037" s="399"/>
      <c r="N1037" s="229"/>
      <c r="O1037" s="229"/>
      <c r="P1037" s="229"/>
      <c r="Q1037" s="229"/>
      <c r="R1037" s="229"/>
      <c r="S1037" s="229"/>
      <c r="T1037" s="229"/>
      <c r="U1037" s="229"/>
      <c r="V1037" s="400"/>
      <c r="W1037" s="229"/>
      <c r="X1037" s="229"/>
      <c r="Y1037" s="4"/>
      <c r="Z1037" s="4"/>
    </row>
    <row r="1038">
      <c r="A1038" s="392"/>
      <c r="B1038" s="392"/>
      <c r="C1038" s="392"/>
      <c r="D1038" s="392"/>
      <c r="E1038" s="392"/>
      <c r="F1038" s="229"/>
      <c r="G1038" s="229"/>
      <c r="H1038" s="392"/>
      <c r="I1038" s="229"/>
      <c r="J1038" s="229"/>
      <c r="K1038" s="399"/>
      <c r="L1038" s="399"/>
      <c r="M1038" s="399"/>
      <c r="N1038" s="229"/>
      <c r="O1038" s="229"/>
      <c r="P1038" s="229"/>
      <c r="Q1038" s="229"/>
      <c r="R1038" s="229"/>
      <c r="S1038" s="229"/>
      <c r="T1038" s="229"/>
      <c r="U1038" s="229"/>
      <c r="V1038" s="400"/>
      <c r="W1038" s="229"/>
      <c r="X1038" s="229"/>
      <c r="Y1038" s="4"/>
      <c r="Z1038" s="4"/>
    </row>
    <row r="1039">
      <c r="A1039" s="392"/>
      <c r="B1039" s="392"/>
      <c r="C1039" s="392"/>
      <c r="D1039" s="392"/>
      <c r="E1039" s="392"/>
      <c r="F1039" s="229"/>
      <c r="G1039" s="229"/>
      <c r="H1039" s="392"/>
      <c r="I1039" s="229"/>
      <c r="J1039" s="229"/>
      <c r="K1039" s="399"/>
      <c r="L1039" s="399"/>
      <c r="M1039" s="399"/>
      <c r="N1039" s="229"/>
      <c r="O1039" s="229"/>
      <c r="P1039" s="229"/>
      <c r="Q1039" s="229"/>
      <c r="R1039" s="229"/>
      <c r="S1039" s="229"/>
      <c r="T1039" s="229"/>
      <c r="U1039" s="229"/>
      <c r="V1039" s="400"/>
      <c r="W1039" s="229"/>
      <c r="X1039" s="229"/>
      <c r="Y1039" s="4"/>
      <c r="Z1039" s="4"/>
    </row>
    <row r="1040">
      <c r="A1040" s="392"/>
      <c r="B1040" s="392"/>
      <c r="C1040" s="392"/>
      <c r="D1040" s="392"/>
      <c r="E1040" s="392"/>
      <c r="F1040" s="229"/>
      <c r="G1040" s="229"/>
      <c r="H1040" s="392"/>
      <c r="I1040" s="229"/>
      <c r="J1040" s="229"/>
      <c r="K1040" s="399"/>
      <c r="L1040" s="399"/>
      <c r="M1040" s="399"/>
      <c r="N1040" s="229"/>
      <c r="O1040" s="229"/>
      <c r="P1040" s="229"/>
      <c r="Q1040" s="229"/>
      <c r="R1040" s="229"/>
      <c r="S1040" s="229"/>
      <c r="T1040" s="229"/>
      <c r="U1040" s="229"/>
      <c r="V1040" s="400"/>
      <c r="W1040" s="229"/>
      <c r="X1040" s="229"/>
      <c r="Y1040" s="4"/>
      <c r="Z1040" s="4"/>
    </row>
    <row r="1041">
      <c r="A1041" s="392"/>
      <c r="B1041" s="392"/>
      <c r="C1041" s="392"/>
      <c r="D1041" s="392"/>
      <c r="E1041" s="392"/>
      <c r="F1041" s="229"/>
      <c r="G1041" s="229"/>
      <c r="H1041" s="392"/>
      <c r="I1041" s="229"/>
      <c r="J1041" s="229"/>
      <c r="K1041" s="399"/>
      <c r="L1041" s="399"/>
      <c r="M1041" s="399"/>
      <c r="N1041" s="229"/>
      <c r="O1041" s="229"/>
      <c r="P1041" s="229"/>
      <c r="Q1041" s="229"/>
      <c r="R1041" s="229"/>
      <c r="S1041" s="229"/>
      <c r="T1041" s="229"/>
      <c r="U1041" s="229"/>
      <c r="V1041" s="400"/>
      <c r="W1041" s="229"/>
      <c r="X1041" s="229"/>
      <c r="Y1041" s="4"/>
      <c r="Z1041" s="4"/>
    </row>
    <row r="1042">
      <c r="A1042" s="392"/>
      <c r="B1042" s="392"/>
      <c r="C1042" s="392"/>
      <c r="D1042" s="392"/>
      <c r="E1042" s="392"/>
      <c r="F1042" s="229"/>
      <c r="G1042" s="229"/>
      <c r="H1042" s="392"/>
      <c r="I1042" s="229"/>
      <c r="J1042" s="229"/>
      <c r="K1042" s="399"/>
      <c r="L1042" s="399"/>
      <c r="M1042" s="399"/>
      <c r="N1042" s="229"/>
      <c r="O1042" s="229"/>
      <c r="P1042" s="229"/>
      <c r="Q1042" s="229"/>
      <c r="R1042" s="229"/>
      <c r="S1042" s="229"/>
      <c r="T1042" s="229"/>
      <c r="U1042" s="229"/>
      <c r="V1042" s="400"/>
      <c r="W1042" s="229"/>
      <c r="X1042" s="229"/>
      <c r="Y1042" s="4"/>
      <c r="Z1042" s="4"/>
    </row>
    <row r="1043">
      <c r="A1043" s="392"/>
      <c r="B1043" s="392"/>
      <c r="C1043" s="392"/>
      <c r="D1043" s="392"/>
      <c r="E1043" s="392"/>
      <c r="F1043" s="229"/>
      <c r="G1043" s="229"/>
      <c r="H1043" s="392"/>
      <c r="I1043" s="229"/>
      <c r="J1043" s="229"/>
      <c r="K1043" s="399"/>
      <c r="L1043" s="399"/>
      <c r="M1043" s="399"/>
      <c r="N1043" s="229"/>
      <c r="O1043" s="229"/>
      <c r="P1043" s="229"/>
      <c r="Q1043" s="229"/>
      <c r="R1043" s="229"/>
      <c r="S1043" s="229"/>
      <c r="T1043" s="229"/>
      <c r="U1043" s="229"/>
      <c r="V1043" s="400"/>
      <c r="W1043" s="229"/>
      <c r="X1043" s="229"/>
      <c r="Y1043" s="4"/>
      <c r="Z1043" s="4"/>
    </row>
    <row r="1044">
      <c r="A1044" s="392"/>
      <c r="B1044" s="392"/>
      <c r="C1044" s="392"/>
      <c r="D1044" s="392"/>
      <c r="E1044" s="392"/>
      <c r="F1044" s="229"/>
      <c r="G1044" s="229"/>
      <c r="H1044" s="392"/>
      <c r="I1044" s="229"/>
      <c r="J1044" s="229"/>
      <c r="K1044" s="399"/>
      <c r="L1044" s="399"/>
      <c r="M1044" s="399"/>
      <c r="N1044" s="229"/>
      <c r="O1044" s="229"/>
      <c r="P1044" s="229"/>
      <c r="Q1044" s="229"/>
      <c r="R1044" s="229"/>
      <c r="S1044" s="229"/>
      <c r="T1044" s="229"/>
      <c r="U1044" s="229"/>
      <c r="V1044" s="400"/>
      <c r="W1044" s="229"/>
      <c r="X1044" s="229"/>
      <c r="Y1044" s="4"/>
      <c r="Z1044" s="4"/>
    </row>
    <row r="1045">
      <c r="A1045" s="392"/>
      <c r="B1045" s="392"/>
      <c r="C1045" s="392"/>
      <c r="D1045" s="392"/>
      <c r="E1045" s="392"/>
      <c r="F1045" s="229"/>
      <c r="G1045" s="229"/>
      <c r="H1045" s="392"/>
      <c r="I1045" s="229"/>
      <c r="J1045" s="229"/>
      <c r="K1045" s="399"/>
      <c r="L1045" s="399"/>
      <c r="M1045" s="399"/>
      <c r="N1045" s="229"/>
      <c r="O1045" s="229"/>
      <c r="P1045" s="229"/>
      <c r="Q1045" s="229"/>
      <c r="R1045" s="229"/>
      <c r="S1045" s="229"/>
      <c r="T1045" s="229"/>
      <c r="U1045" s="229"/>
      <c r="V1045" s="400"/>
      <c r="W1045" s="229"/>
      <c r="X1045" s="229"/>
      <c r="Y1045" s="4"/>
      <c r="Z1045" s="4"/>
    </row>
    <row r="1046">
      <c r="A1046" s="392"/>
      <c r="B1046" s="392"/>
      <c r="C1046" s="392"/>
      <c r="D1046" s="392"/>
      <c r="E1046" s="392"/>
      <c r="F1046" s="229"/>
      <c r="G1046" s="229"/>
      <c r="H1046" s="392"/>
      <c r="I1046" s="229"/>
      <c r="J1046" s="229"/>
      <c r="K1046" s="399"/>
      <c r="L1046" s="399"/>
      <c r="M1046" s="399"/>
      <c r="N1046" s="229"/>
      <c r="O1046" s="229"/>
      <c r="P1046" s="229"/>
      <c r="Q1046" s="229"/>
      <c r="R1046" s="229"/>
      <c r="S1046" s="229"/>
      <c r="T1046" s="229"/>
      <c r="U1046" s="229"/>
      <c r="V1046" s="400"/>
      <c r="W1046" s="229"/>
      <c r="X1046" s="229"/>
      <c r="Y1046" s="4"/>
      <c r="Z1046" s="4"/>
    </row>
    <row r="1047">
      <c r="A1047" s="392"/>
      <c r="B1047" s="392"/>
      <c r="C1047" s="392"/>
      <c r="D1047" s="392"/>
      <c r="E1047" s="392"/>
      <c r="F1047" s="229"/>
      <c r="G1047" s="229"/>
      <c r="H1047" s="392"/>
      <c r="I1047" s="229"/>
      <c r="J1047" s="229"/>
      <c r="K1047" s="399"/>
      <c r="L1047" s="399"/>
      <c r="M1047" s="399"/>
      <c r="N1047" s="229"/>
      <c r="O1047" s="229"/>
      <c r="P1047" s="229"/>
      <c r="Q1047" s="229"/>
      <c r="R1047" s="229"/>
      <c r="S1047" s="229"/>
      <c r="T1047" s="229"/>
      <c r="U1047" s="229"/>
      <c r="V1047" s="400"/>
      <c r="W1047" s="229"/>
      <c r="X1047" s="229"/>
      <c r="Y1047" s="4"/>
      <c r="Z1047" s="4"/>
    </row>
    <row r="1048">
      <c r="A1048" s="392"/>
      <c r="B1048" s="392"/>
      <c r="C1048" s="392"/>
      <c r="D1048" s="392"/>
      <c r="E1048" s="392"/>
      <c r="F1048" s="229"/>
      <c r="G1048" s="229"/>
      <c r="H1048" s="392"/>
      <c r="I1048" s="229"/>
      <c r="J1048" s="229"/>
      <c r="K1048" s="399"/>
      <c r="L1048" s="399"/>
      <c r="M1048" s="399"/>
      <c r="N1048" s="229"/>
      <c r="O1048" s="229"/>
      <c r="P1048" s="229"/>
      <c r="Q1048" s="229"/>
      <c r="R1048" s="229"/>
      <c r="S1048" s="229"/>
      <c r="T1048" s="229"/>
      <c r="U1048" s="229"/>
      <c r="V1048" s="400"/>
      <c r="W1048" s="229"/>
      <c r="X1048" s="229"/>
      <c r="Y1048" s="4"/>
      <c r="Z1048" s="4"/>
    </row>
    <row r="1049">
      <c r="A1049" s="392"/>
      <c r="B1049" s="392"/>
      <c r="C1049" s="392"/>
      <c r="D1049" s="392"/>
      <c r="E1049" s="392"/>
      <c r="F1049" s="229"/>
      <c r="G1049" s="229"/>
      <c r="H1049" s="392"/>
      <c r="I1049" s="229"/>
      <c r="J1049" s="229"/>
      <c r="K1049" s="399"/>
      <c r="L1049" s="399"/>
      <c r="M1049" s="399"/>
      <c r="N1049" s="229"/>
      <c r="O1049" s="229"/>
      <c r="P1049" s="229"/>
      <c r="Q1049" s="229"/>
      <c r="R1049" s="229"/>
      <c r="S1049" s="229"/>
      <c r="T1049" s="229"/>
      <c r="U1049" s="229"/>
      <c r="V1049" s="400"/>
      <c r="W1049" s="229"/>
      <c r="X1049" s="229"/>
      <c r="Y1049" s="4"/>
      <c r="Z1049" s="4"/>
    </row>
    <row r="1050">
      <c r="A1050" s="392"/>
      <c r="B1050" s="392"/>
      <c r="C1050" s="392"/>
      <c r="D1050" s="392"/>
      <c r="E1050" s="392"/>
      <c r="F1050" s="229"/>
      <c r="G1050" s="229"/>
      <c r="H1050" s="392"/>
      <c r="I1050" s="229"/>
      <c r="J1050" s="229"/>
      <c r="K1050" s="399"/>
      <c r="L1050" s="399"/>
      <c r="M1050" s="399"/>
      <c r="N1050" s="229"/>
      <c r="O1050" s="229"/>
      <c r="P1050" s="229"/>
      <c r="Q1050" s="229"/>
      <c r="R1050" s="229"/>
      <c r="S1050" s="229"/>
      <c r="T1050" s="229"/>
      <c r="U1050" s="229"/>
      <c r="V1050" s="400"/>
      <c r="W1050" s="229"/>
      <c r="X1050" s="229"/>
      <c r="Y1050" s="4"/>
      <c r="Z1050" s="4"/>
    </row>
    <row r="1051">
      <c r="A1051" s="392"/>
      <c r="B1051" s="392"/>
      <c r="C1051" s="392"/>
      <c r="D1051" s="392"/>
      <c r="E1051" s="392"/>
      <c r="F1051" s="229"/>
      <c r="G1051" s="229"/>
      <c r="H1051" s="392"/>
      <c r="I1051" s="229"/>
      <c r="J1051" s="229"/>
      <c r="K1051" s="399"/>
      <c r="L1051" s="399"/>
      <c r="M1051" s="399"/>
      <c r="N1051" s="229"/>
      <c r="O1051" s="229"/>
      <c r="P1051" s="229"/>
      <c r="Q1051" s="229"/>
      <c r="R1051" s="229"/>
      <c r="S1051" s="229"/>
      <c r="T1051" s="229"/>
      <c r="U1051" s="229"/>
      <c r="V1051" s="400"/>
      <c r="W1051" s="229"/>
      <c r="X1051" s="229"/>
      <c r="Y1051" s="4"/>
      <c r="Z1051" s="4"/>
    </row>
  </sheetData>
  <mergeCells count="12">
    <mergeCell ref="O36:O44"/>
    <mergeCell ref="O45:O49"/>
    <mergeCell ref="O50:O57"/>
    <mergeCell ref="O58:O62"/>
    <mergeCell ref="O65:O66"/>
    <mergeCell ref="O6:O7"/>
    <mergeCell ref="O8:O10"/>
    <mergeCell ref="O11:O19"/>
    <mergeCell ref="O20:O21"/>
    <mergeCell ref="O22:O27"/>
    <mergeCell ref="O28:O33"/>
    <mergeCell ref="O34:O35"/>
  </mergeCells>
  <conditionalFormatting sqref="C6:C102">
    <cfRule type="cellIs" dxfId="9" priority="1" operator="equal">
      <formula>"Básico (Até 79h)"</formula>
    </cfRule>
  </conditionalFormatting>
  <conditionalFormatting sqref="C6:C102">
    <cfRule type="cellIs" dxfId="10" priority="2" operator="equal">
      <formula>"Atualização (80h-179h)"</formula>
    </cfRule>
  </conditionalFormatting>
  <conditionalFormatting sqref="C6:C102">
    <cfRule type="cellIs" dxfId="11" priority="3" operator="equal">
      <formula>"Aperfeiçoamento (180h-359h)"</formula>
    </cfRule>
  </conditionalFormatting>
  <conditionalFormatting sqref="C6:C102">
    <cfRule type="cellIs" dxfId="12" priority="4" operator="equal">
      <formula>"Digite a CH"</formula>
    </cfRule>
  </conditionalFormatting>
  <conditionalFormatting sqref="A6:A68 A71:A102">
    <cfRule type="cellIs" dxfId="13" priority="5" operator="equal">
      <formula>"Qualificação em Sala de Vacina"</formula>
    </cfRule>
  </conditionalFormatting>
  <conditionalFormatting sqref="A6:A68 A71:A102">
    <cfRule type="cellIs" dxfId="14" priority="6" operator="equal">
      <formula>"Qualificação e resposta às emergências em saúde"</formula>
    </cfRule>
  </conditionalFormatting>
  <conditionalFormatting sqref="A6:A68 A71:A102">
    <cfRule type="cellIs" dxfId="15" priority="7" operator="equal">
      <formula>"Epidemiologia em Serviço"</formula>
    </cfRule>
  </conditionalFormatting>
  <conditionalFormatting sqref="A6:A68 A71:A102">
    <cfRule type="cellIs" dxfId="16" priority="8" operator="equal">
      <formula>"IST/HIV/AIDS e Hepatites Virais"</formula>
    </cfRule>
  </conditionalFormatting>
  <conditionalFormatting sqref="A6:A68 A71:A102">
    <cfRule type="cellIs" dxfId="17" priority="9" operator="equal">
      <formula>"Capacitação em Vigilância em Saúde do(a) Trabalhador(a)"</formula>
    </cfRule>
  </conditionalFormatting>
  <conditionalFormatting sqref="A6:A68 A71:A102">
    <cfRule type="cellIs" dxfId="18" priority="10" operator="equal">
      <formula>"Qualificação em Vigilância Sanitária"</formula>
    </cfRule>
  </conditionalFormatting>
  <conditionalFormatting sqref="A6:A68 A71:A102">
    <cfRule type="cellIs" dxfId="19" priority="11" operator="equal">
      <formula>"Transplante"</formula>
    </cfRule>
  </conditionalFormatting>
  <conditionalFormatting sqref="A6:A68 A71:A102">
    <cfRule type="cellIs" dxfId="20" priority="12" operator="equal">
      <formula>"RESE"</formula>
    </cfRule>
  </conditionalFormatting>
  <conditionalFormatting sqref="A6:A68 A71:A102">
    <cfRule type="cellIs" dxfId="21" priority="13" operator="equal">
      <formula>"Movimenta Saúde Mental"</formula>
    </cfRule>
  </conditionalFormatting>
  <conditionalFormatting sqref="A6:A68 A71:A102">
    <cfRule type="cellIs" dxfId="22" priority="14" operator="equal">
      <formula>"Hospital São José"</formula>
    </cfRule>
  </conditionalFormatting>
  <conditionalFormatting sqref="A6:A68 A71:A102">
    <cfRule type="cellIs" dxfId="23" priority="15" operator="equal">
      <formula>"SAMU"</formula>
    </cfRule>
  </conditionalFormatting>
  <conditionalFormatting sqref="A6:A68 A71:A102">
    <cfRule type="cellIs" dxfId="24" priority="16" operator="equal">
      <formula>"REGULAÇÃO"</formula>
    </cfRule>
  </conditionalFormatting>
  <conditionalFormatting sqref="A6:A68 A71:A102">
    <cfRule type="cellIs" dxfId="25" priority="17" operator="equal">
      <formula>"Pé Diabético"</formula>
    </cfRule>
  </conditionalFormatting>
  <conditionalFormatting sqref="A6:A68 A71:A102">
    <cfRule type="cellIs" dxfId="26" priority="18" operator="equal">
      <formula>"Instituto de Prevenção do Câncer (IPC)"</formula>
    </cfRule>
  </conditionalFormatting>
  <conditionalFormatting sqref="A6:A68 A71:A102">
    <cfRule type="cellIs" dxfId="27" priority="19" operator="equal">
      <formula>"AutoSMAPS"</formula>
    </cfRule>
  </conditionalFormatting>
  <conditionalFormatting sqref="A6:A68 A71:A102">
    <cfRule type="cellIs" dxfId="28" priority="20" operator="equal">
      <formula>"Vigilância e Controle das Endemias"</formula>
    </cfRule>
  </conditionalFormatting>
  <hyperlinks>
    <hyperlink r:id="rId2" ref="M46"/>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64.5"/>
    <col customWidth="1" min="3" max="4" width="9.63"/>
    <col customWidth="1" min="5" max="5" width="13.13"/>
    <col customWidth="1" min="6" max="6" width="10.13"/>
  </cols>
  <sheetData>
    <row r="1">
      <c r="A1" s="401">
        <v>22222.0</v>
      </c>
      <c r="B1" s="279"/>
      <c r="C1" s="279"/>
      <c r="D1" s="279"/>
      <c r="E1" s="279"/>
      <c r="F1" s="279"/>
      <c r="G1" s="402"/>
      <c r="H1" s="402"/>
      <c r="I1" s="402"/>
      <c r="J1" s="402"/>
      <c r="K1" s="402"/>
      <c r="L1" s="402"/>
      <c r="M1" s="402"/>
      <c r="N1" s="402"/>
      <c r="O1" s="402"/>
      <c r="P1" s="402"/>
      <c r="Q1" s="402"/>
      <c r="R1" s="402"/>
      <c r="S1" s="402"/>
      <c r="T1" s="402"/>
      <c r="U1" s="402"/>
      <c r="V1" s="402"/>
      <c r="W1" s="402"/>
      <c r="X1" s="402"/>
      <c r="Y1" s="402"/>
      <c r="Z1" s="402"/>
      <c r="AA1" s="402"/>
    </row>
    <row r="2">
      <c r="A2" s="282"/>
      <c r="B2" s="283"/>
      <c r="C2" s="283"/>
      <c r="D2" s="283"/>
      <c r="E2" s="283"/>
      <c r="F2" s="283"/>
      <c r="G2" s="402"/>
      <c r="H2" s="402"/>
      <c r="I2" s="402"/>
      <c r="J2" s="402"/>
      <c r="K2" s="402"/>
      <c r="L2" s="402"/>
      <c r="M2" s="402"/>
      <c r="N2" s="402"/>
      <c r="O2" s="402"/>
      <c r="P2" s="402"/>
      <c r="Q2" s="402"/>
      <c r="R2" s="402"/>
      <c r="S2" s="402"/>
      <c r="T2" s="402"/>
      <c r="U2" s="402"/>
      <c r="V2" s="402"/>
      <c r="W2" s="402"/>
      <c r="X2" s="402"/>
      <c r="Y2" s="402"/>
      <c r="Z2" s="402"/>
      <c r="AA2" s="402"/>
    </row>
    <row r="3">
      <c r="A3" s="403" t="s">
        <v>151</v>
      </c>
      <c r="B3" s="403" t="s">
        <v>1006</v>
      </c>
      <c r="C3" s="403" t="s">
        <v>190</v>
      </c>
      <c r="D3" s="403" t="s">
        <v>1007</v>
      </c>
      <c r="E3" s="403" t="s">
        <v>1008</v>
      </c>
      <c r="F3" s="403" t="s">
        <v>1009</v>
      </c>
      <c r="G3" s="402"/>
      <c r="H3" s="402"/>
      <c r="I3" s="402"/>
      <c r="J3" s="402"/>
      <c r="K3" s="402"/>
      <c r="L3" s="402"/>
      <c r="M3" s="402"/>
      <c r="N3" s="402"/>
      <c r="O3" s="402"/>
      <c r="P3" s="402"/>
      <c r="Q3" s="402"/>
      <c r="R3" s="402"/>
      <c r="S3" s="402"/>
      <c r="T3" s="402"/>
      <c r="U3" s="402"/>
      <c r="V3" s="402"/>
      <c r="W3" s="402"/>
      <c r="X3" s="402"/>
      <c r="Y3" s="402"/>
      <c r="Z3" s="402"/>
      <c r="AA3" s="402"/>
    </row>
    <row r="4">
      <c r="A4" s="404" t="s">
        <v>1010</v>
      </c>
      <c r="B4" s="405" t="s">
        <v>37</v>
      </c>
      <c r="C4" s="405">
        <v>20.0</v>
      </c>
      <c r="D4" s="404">
        <f>SUM(C4:C12)</f>
        <v>522</v>
      </c>
      <c r="E4" s="406" t="s">
        <v>1011</v>
      </c>
      <c r="F4" s="406">
        <v>2024.0</v>
      </c>
      <c r="G4" s="402"/>
      <c r="H4" s="402"/>
      <c r="I4" s="402"/>
      <c r="J4" s="402"/>
      <c r="K4" s="402"/>
      <c r="L4" s="402"/>
      <c r="M4" s="402"/>
      <c r="N4" s="402"/>
      <c r="O4" s="402"/>
      <c r="P4" s="402"/>
      <c r="Q4" s="402"/>
      <c r="R4" s="402"/>
      <c r="S4" s="402"/>
      <c r="T4" s="402"/>
      <c r="U4" s="402"/>
      <c r="V4" s="402"/>
      <c r="W4" s="402"/>
      <c r="X4" s="402"/>
      <c r="Y4" s="402"/>
      <c r="Z4" s="402"/>
      <c r="AA4" s="402"/>
    </row>
    <row r="5">
      <c r="A5" s="292"/>
      <c r="B5" s="405" t="s">
        <v>54</v>
      </c>
      <c r="C5" s="405">
        <v>128.0</v>
      </c>
      <c r="D5" s="292"/>
      <c r="E5" s="292"/>
      <c r="F5" s="292"/>
      <c r="G5" s="402"/>
      <c r="H5" s="402"/>
      <c r="I5" s="402"/>
      <c r="J5" s="402"/>
      <c r="K5" s="402"/>
      <c r="L5" s="402"/>
      <c r="M5" s="402"/>
      <c r="N5" s="402"/>
      <c r="O5" s="402"/>
      <c r="P5" s="402"/>
      <c r="Q5" s="402"/>
      <c r="R5" s="402"/>
      <c r="S5" s="402"/>
      <c r="T5" s="402"/>
      <c r="U5" s="402"/>
      <c r="V5" s="402"/>
      <c r="W5" s="402"/>
      <c r="X5" s="402"/>
      <c r="Y5" s="402"/>
      <c r="Z5" s="402"/>
      <c r="AA5" s="402"/>
    </row>
    <row r="6">
      <c r="A6" s="292"/>
      <c r="B6" s="405" t="s">
        <v>1012</v>
      </c>
      <c r="C6" s="405">
        <v>30.0</v>
      </c>
      <c r="D6" s="292"/>
      <c r="E6" s="292"/>
      <c r="F6" s="292"/>
      <c r="G6" s="402"/>
      <c r="H6" s="402"/>
      <c r="I6" s="402"/>
      <c r="J6" s="402"/>
      <c r="K6" s="402"/>
      <c r="L6" s="402"/>
      <c r="M6" s="402"/>
      <c r="N6" s="402"/>
      <c r="O6" s="402"/>
      <c r="P6" s="402"/>
      <c r="Q6" s="402"/>
      <c r="R6" s="402"/>
      <c r="S6" s="402"/>
      <c r="T6" s="402"/>
      <c r="U6" s="402"/>
      <c r="V6" s="402"/>
      <c r="W6" s="402"/>
      <c r="X6" s="402"/>
      <c r="Y6" s="402"/>
      <c r="Z6" s="402"/>
      <c r="AA6" s="402"/>
    </row>
    <row r="7">
      <c r="A7" s="292"/>
      <c r="B7" s="405" t="s">
        <v>877</v>
      </c>
      <c r="C7" s="405">
        <v>20.0</v>
      </c>
      <c r="D7" s="292"/>
      <c r="E7" s="292"/>
      <c r="F7" s="292"/>
      <c r="G7" s="402"/>
      <c r="H7" s="402"/>
      <c r="I7" s="402"/>
      <c r="J7" s="402"/>
      <c r="K7" s="402"/>
      <c r="L7" s="402"/>
      <c r="M7" s="402"/>
      <c r="N7" s="402"/>
      <c r="O7" s="402"/>
      <c r="P7" s="402"/>
      <c r="Q7" s="402"/>
      <c r="R7" s="402"/>
      <c r="S7" s="402"/>
      <c r="T7" s="402"/>
      <c r="U7" s="402"/>
      <c r="V7" s="402"/>
      <c r="W7" s="402"/>
      <c r="X7" s="402"/>
      <c r="Y7" s="402"/>
      <c r="Z7" s="402"/>
      <c r="AA7" s="402"/>
    </row>
    <row r="8">
      <c r="A8" s="292"/>
      <c r="B8" s="405" t="s">
        <v>876</v>
      </c>
      <c r="C8" s="405">
        <v>30.0</v>
      </c>
      <c r="D8" s="292"/>
      <c r="E8" s="292"/>
      <c r="F8" s="292"/>
      <c r="G8" s="402"/>
      <c r="H8" s="402"/>
      <c r="I8" s="402"/>
      <c r="J8" s="402"/>
      <c r="K8" s="402"/>
      <c r="L8" s="402"/>
      <c r="M8" s="402"/>
      <c r="N8" s="402"/>
      <c r="O8" s="402"/>
      <c r="P8" s="402"/>
      <c r="Q8" s="402"/>
      <c r="R8" s="402"/>
      <c r="S8" s="402"/>
      <c r="T8" s="402"/>
      <c r="U8" s="402"/>
      <c r="V8" s="402"/>
      <c r="W8" s="402"/>
      <c r="X8" s="402"/>
      <c r="Y8" s="402"/>
      <c r="Z8" s="402"/>
      <c r="AA8" s="402"/>
    </row>
    <row r="9">
      <c r="A9" s="292"/>
      <c r="B9" s="405" t="s">
        <v>98</v>
      </c>
      <c r="C9" s="405">
        <v>100.0</v>
      </c>
      <c r="D9" s="292"/>
      <c r="E9" s="292"/>
      <c r="F9" s="292"/>
      <c r="G9" s="402"/>
      <c r="H9" s="402"/>
      <c r="I9" s="402"/>
      <c r="J9" s="402"/>
      <c r="K9" s="402"/>
      <c r="L9" s="402"/>
      <c r="M9" s="402"/>
      <c r="N9" s="402"/>
      <c r="O9" s="402"/>
      <c r="P9" s="402"/>
      <c r="Q9" s="402"/>
      <c r="R9" s="402"/>
      <c r="S9" s="402"/>
      <c r="T9" s="402"/>
      <c r="U9" s="402"/>
      <c r="V9" s="402"/>
      <c r="W9" s="402"/>
      <c r="X9" s="402"/>
      <c r="Y9" s="402"/>
      <c r="Z9" s="402"/>
      <c r="AA9" s="402"/>
    </row>
    <row r="10">
      <c r="A10" s="292"/>
      <c r="B10" s="405" t="s">
        <v>103</v>
      </c>
      <c r="C10" s="405">
        <v>10.0</v>
      </c>
      <c r="D10" s="292"/>
      <c r="E10" s="292"/>
      <c r="F10" s="292"/>
      <c r="G10" s="402"/>
      <c r="H10" s="402"/>
      <c r="I10" s="402"/>
      <c r="J10" s="402"/>
      <c r="K10" s="402"/>
      <c r="L10" s="402"/>
      <c r="M10" s="402"/>
      <c r="N10" s="402"/>
      <c r="O10" s="402"/>
      <c r="P10" s="402"/>
      <c r="Q10" s="402"/>
      <c r="R10" s="402"/>
      <c r="S10" s="402"/>
      <c r="T10" s="402"/>
      <c r="U10" s="402"/>
      <c r="V10" s="402"/>
      <c r="W10" s="402"/>
      <c r="X10" s="402"/>
      <c r="Y10" s="402"/>
      <c r="Z10" s="402"/>
      <c r="AA10" s="402"/>
    </row>
    <row r="11">
      <c r="A11" s="292"/>
      <c r="B11" s="405" t="s">
        <v>1013</v>
      </c>
      <c r="C11" s="405">
        <v>140.0</v>
      </c>
      <c r="D11" s="292"/>
      <c r="E11" s="292"/>
      <c r="F11" s="292"/>
      <c r="G11" s="402"/>
      <c r="H11" s="402"/>
      <c r="I11" s="402"/>
      <c r="J11" s="402"/>
      <c r="K11" s="402"/>
      <c r="L11" s="402"/>
      <c r="M11" s="402"/>
      <c r="N11" s="402"/>
      <c r="O11" s="402"/>
      <c r="P11" s="402"/>
      <c r="Q11" s="402"/>
      <c r="R11" s="402"/>
      <c r="S11" s="402"/>
      <c r="T11" s="402"/>
      <c r="U11" s="402"/>
      <c r="V11" s="402"/>
      <c r="W11" s="402"/>
      <c r="X11" s="402"/>
      <c r="Y11" s="402"/>
      <c r="Z11" s="402"/>
      <c r="AA11" s="402"/>
    </row>
    <row r="12">
      <c r="A12" s="77"/>
      <c r="B12" s="405" t="s">
        <v>111</v>
      </c>
      <c r="C12" s="405">
        <v>44.0</v>
      </c>
      <c r="D12" s="292"/>
      <c r="E12" s="77"/>
      <c r="F12" s="77"/>
      <c r="G12" s="402"/>
      <c r="H12" s="402"/>
      <c r="I12" s="402"/>
      <c r="J12" s="402"/>
      <c r="K12" s="402"/>
      <c r="L12" s="402"/>
      <c r="M12" s="402"/>
      <c r="N12" s="402"/>
      <c r="O12" s="402"/>
      <c r="P12" s="402"/>
      <c r="Q12" s="402"/>
      <c r="R12" s="402"/>
      <c r="S12" s="402"/>
      <c r="T12" s="402"/>
      <c r="U12" s="402"/>
      <c r="V12" s="402"/>
      <c r="W12" s="402"/>
      <c r="X12" s="402"/>
      <c r="Y12" s="402"/>
      <c r="Z12" s="402"/>
      <c r="AA12" s="402"/>
    </row>
    <row r="13">
      <c r="A13" s="407" t="s">
        <v>1014</v>
      </c>
      <c r="B13" s="408" t="s">
        <v>1015</v>
      </c>
      <c r="C13" s="408">
        <v>150.0</v>
      </c>
      <c r="D13" s="407">
        <f>SUM(C13:C17)</f>
        <v>760</v>
      </c>
      <c r="E13" s="407" t="s">
        <v>1016</v>
      </c>
      <c r="F13" s="407">
        <v>2024.0</v>
      </c>
      <c r="G13" s="402"/>
      <c r="H13" s="402"/>
      <c r="I13" s="402"/>
      <c r="J13" s="402"/>
      <c r="K13" s="402"/>
      <c r="L13" s="402"/>
      <c r="M13" s="402"/>
      <c r="N13" s="402"/>
      <c r="O13" s="402"/>
      <c r="P13" s="402"/>
      <c r="Q13" s="402"/>
      <c r="R13" s="402"/>
      <c r="S13" s="402"/>
      <c r="T13" s="402"/>
      <c r="U13" s="402"/>
      <c r="V13" s="402"/>
      <c r="W13" s="402"/>
      <c r="X13" s="402"/>
      <c r="Y13" s="402"/>
      <c r="Z13" s="402"/>
      <c r="AA13" s="402"/>
    </row>
    <row r="14">
      <c r="A14" s="292"/>
      <c r="B14" s="408" t="s">
        <v>1017</v>
      </c>
      <c r="C14" s="408">
        <v>150.0</v>
      </c>
      <c r="D14" s="292"/>
      <c r="E14" s="292"/>
      <c r="F14" s="292"/>
      <c r="G14" s="402"/>
      <c r="H14" s="402"/>
      <c r="I14" s="402"/>
      <c r="J14" s="402"/>
      <c r="K14" s="402"/>
      <c r="L14" s="402"/>
      <c r="M14" s="402"/>
      <c r="N14" s="402"/>
      <c r="O14" s="402"/>
      <c r="P14" s="402"/>
      <c r="Q14" s="402"/>
      <c r="R14" s="402"/>
      <c r="S14" s="402"/>
      <c r="T14" s="402"/>
      <c r="U14" s="402"/>
      <c r="V14" s="402"/>
      <c r="W14" s="402"/>
      <c r="X14" s="402"/>
      <c r="Y14" s="402"/>
      <c r="Z14" s="402"/>
      <c r="AA14" s="402"/>
    </row>
    <row r="15">
      <c r="A15" s="292"/>
      <c r="B15" s="408" t="s">
        <v>30</v>
      </c>
      <c r="C15" s="408">
        <v>10.0</v>
      </c>
      <c r="D15" s="292"/>
      <c r="E15" s="292"/>
      <c r="F15" s="292"/>
      <c r="G15" s="402"/>
      <c r="H15" s="402"/>
      <c r="I15" s="402"/>
      <c r="J15" s="402"/>
      <c r="K15" s="402"/>
      <c r="L15" s="402"/>
      <c r="M15" s="402"/>
      <c r="N15" s="402"/>
      <c r="O15" s="402"/>
      <c r="P15" s="402"/>
      <c r="Q15" s="402"/>
      <c r="R15" s="402"/>
      <c r="S15" s="402"/>
      <c r="T15" s="402"/>
      <c r="U15" s="402"/>
      <c r="V15" s="402"/>
      <c r="W15" s="402"/>
      <c r="X15" s="402"/>
      <c r="Y15" s="402"/>
      <c r="Z15" s="402"/>
      <c r="AA15" s="402"/>
    </row>
    <row r="16">
      <c r="A16" s="292"/>
      <c r="B16" s="408" t="s">
        <v>1018</v>
      </c>
      <c r="C16" s="408">
        <v>150.0</v>
      </c>
      <c r="D16" s="292"/>
      <c r="E16" s="292"/>
      <c r="F16" s="292"/>
      <c r="G16" s="402"/>
      <c r="H16" s="402"/>
      <c r="I16" s="402"/>
      <c r="J16" s="402"/>
      <c r="K16" s="402"/>
      <c r="L16" s="402"/>
      <c r="M16" s="402"/>
      <c r="N16" s="402"/>
      <c r="O16" s="402"/>
      <c r="P16" s="402"/>
      <c r="Q16" s="402"/>
      <c r="R16" s="402"/>
      <c r="S16" s="402"/>
      <c r="T16" s="402"/>
      <c r="U16" s="402"/>
      <c r="V16" s="402"/>
      <c r="W16" s="402"/>
      <c r="X16" s="402"/>
      <c r="Y16" s="402"/>
      <c r="Z16" s="402"/>
      <c r="AA16" s="402"/>
    </row>
    <row r="17">
      <c r="A17" s="77"/>
      <c r="B17" s="408" t="s">
        <v>1019</v>
      </c>
      <c r="C17" s="408">
        <v>300.0</v>
      </c>
      <c r="D17" s="77"/>
      <c r="E17" s="77"/>
      <c r="F17" s="77"/>
      <c r="G17" s="402"/>
      <c r="H17" s="402"/>
      <c r="I17" s="402"/>
      <c r="J17" s="402"/>
      <c r="K17" s="402"/>
      <c r="L17" s="402"/>
      <c r="M17" s="402"/>
      <c r="N17" s="402"/>
      <c r="O17" s="402"/>
      <c r="P17" s="402"/>
      <c r="Q17" s="402"/>
      <c r="R17" s="402"/>
      <c r="S17" s="402"/>
      <c r="T17" s="402"/>
      <c r="U17" s="402"/>
      <c r="V17" s="402"/>
      <c r="W17" s="402"/>
      <c r="X17" s="402"/>
      <c r="Y17" s="402"/>
      <c r="Z17" s="402"/>
      <c r="AA17" s="402"/>
    </row>
    <row r="18">
      <c r="A18" s="409" t="s">
        <v>1020</v>
      </c>
      <c r="B18" s="410" t="s">
        <v>1021</v>
      </c>
      <c r="C18" s="411">
        <v>150.0</v>
      </c>
      <c r="D18" s="409">
        <f>SUM(C18:C22)</f>
        <v>750</v>
      </c>
      <c r="E18" s="409" t="s">
        <v>1011</v>
      </c>
      <c r="F18" s="409">
        <v>2024.0</v>
      </c>
      <c r="G18" s="402"/>
      <c r="H18" s="402"/>
      <c r="I18" s="402"/>
      <c r="J18" s="402"/>
      <c r="K18" s="402"/>
      <c r="L18" s="402"/>
      <c r="M18" s="402"/>
      <c r="N18" s="402"/>
      <c r="O18" s="402"/>
      <c r="P18" s="402"/>
      <c r="Q18" s="402"/>
      <c r="R18" s="402"/>
      <c r="S18" s="402"/>
      <c r="T18" s="402"/>
      <c r="U18" s="402"/>
      <c r="V18" s="402"/>
      <c r="W18" s="402"/>
      <c r="X18" s="402"/>
      <c r="Y18" s="402"/>
      <c r="Z18" s="402"/>
      <c r="AA18" s="402"/>
    </row>
    <row r="19">
      <c r="A19" s="292"/>
      <c r="B19" s="410" t="s">
        <v>1022</v>
      </c>
      <c r="C19" s="411">
        <v>150.0</v>
      </c>
      <c r="D19" s="292"/>
      <c r="E19" s="292"/>
      <c r="F19" s="292"/>
      <c r="G19" s="402"/>
      <c r="H19" s="402"/>
      <c r="I19" s="402"/>
      <c r="J19" s="402"/>
      <c r="K19" s="402"/>
      <c r="L19" s="402"/>
      <c r="M19" s="402"/>
      <c r="N19" s="402"/>
      <c r="O19" s="402"/>
      <c r="P19" s="402"/>
      <c r="Q19" s="402"/>
      <c r="R19" s="402"/>
      <c r="S19" s="402"/>
      <c r="T19" s="402"/>
      <c r="U19" s="402"/>
      <c r="V19" s="402"/>
      <c r="W19" s="402"/>
      <c r="X19" s="402"/>
      <c r="Y19" s="402"/>
      <c r="Z19" s="402"/>
      <c r="AA19" s="402"/>
    </row>
    <row r="20">
      <c r="A20" s="292"/>
      <c r="B20" s="410" t="s">
        <v>1023</v>
      </c>
      <c r="C20" s="411">
        <v>150.0</v>
      </c>
      <c r="D20" s="292"/>
      <c r="E20" s="292"/>
      <c r="F20" s="292"/>
      <c r="G20" s="402"/>
      <c r="H20" s="402"/>
      <c r="I20" s="402"/>
      <c r="J20" s="402"/>
      <c r="K20" s="402"/>
      <c r="L20" s="402"/>
      <c r="M20" s="402"/>
      <c r="N20" s="402"/>
      <c r="O20" s="402"/>
      <c r="P20" s="402"/>
      <c r="Q20" s="402"/>
      <c r="R20" s="402"/>
      <c r="S20" s="402"/>
      <c r="T20" s="402"/>
      <c r="U20" s="402"/>
      <c r="V20" s="402"/>
      <c r="W20" s="402"/>
      <c r="X20" s="402"/>
      <c r="Y20" s="402"/>
      <c r="Z20" s="402"/>
      <c r="AA20" s="402"/>
    </row>
    <row r="21">
      <c r="A21" s="292"/>
      <c r="B21" s="410" t="s">
        <v>1024</v>
      </c>
      <c r="C21" s="411">
        <v>150.0</v>
      </c>
      <c r="D21" s="292"/>
      <c r="E21" s="292"/>
      <c r="F21" s="292"/>
      <c r="G21" s="402"/>
      <c r="H21" s="402"/>
      <c r="I21" s="402"/>
      <c r="J21" s="402"/>
      <c r="K21" s="402"/>
      <c r="L21" s="402"/>
      <c r="M21" s="402"/>
      <c r="N21" s="402"/>
      <c r="O21" s="402"/>
      <c r="P21" s="402"/>
      <c r="Q21" s="402"/>
      <c r="R21" s="402"/>
      <c r="S21" s="402"/>
      <c r="T21" s="402"/>
      <c r="U21" s="402"/>
      <c r="V21" s="402"/>
      <c r="W21" s="402"/>
      <c r="X21" s="402"/>
      <c r="Y21" s="402"/>
      <c r="Z21" s="402"/>
      <c r="AA21" s="402"/>
    </row>
    <row r="22">
      <c r="A22" s="77"/>
      <c r="B22" s="412" t="s">
        <v>1025</v>
      </c>
      <c r="C22" s="411">
        <v>150.0</v>
      </c>
      <c r="D22" s="77"/>
      <c r="E22" s="77"/>
      <c r="F22" s="77"/>
      <c r="G22" s="402"/>
      <c r="H22" s="402"/>
      <c r="I22" s="402"/>
      <c r="J22" s="402"/>
      <c r="K22" s="402"/>
      <c r="L22" s="402"/>
      <c r="M22" s="402"/>
      <c r="N22" s="402"/>
      <c r="O22" s="402"/>
      <c r="P22" s="402"/>
      <c r="Q22" s="402"/>
      <c r="R22" s="402"/>
      <c r="S22" s="402"/>
      <c r="T22" s="402"/>
      <c r="U22" s="402"/>
      <c r="V22" s="402"/>
      <c r="W22" s="402"/>
      <c r="X22" s="402"/>
      <c r="Y22" s="402"/>
      <c r="Z22" s="402"/>
      <c r="AA22" s="402"/>
    </row>
    <row r="23">
      <c r="A23" s="413" t="s">
        <v>1026</v>
      </c>
      <c r="B23" s="414" t="s">
        <v>1027</v>
      </c>
      <c r="C23" s="414">
        <v>120.0</v>
      </c>
      <c r="D23" s="414">
        <f>SUM(C23)</f>
        <v>120</v>
      </c>
      <c r="E23" s="415" t="s">
        <v>1011</v>
      </c>
      <c r="F23" s="416" t="s">
        <v>1028</v>
      </c>
      <c r="G23" s="402"/>
      <c r="H23" s="402"/>
      <c r="I23" s="402"/>
      <c r="J23" s="402"/>
      <c r="K23" s="402"/>
      <c r="L23" s="402"/>
      <c r="M23" s="402"/>
      <c r="N23" s="402"/>
      <c r="O23" s="402"/>
      <c r="P23" s="402"/>
      <c r="Q23" s="402"/>
      <c r="R23" s="402"/>
      <c r="S23" s="402"/>
      <c r="T23" s="402"/>
      <c r="U23" s="402"/>
      <c r="V23" s="402"/>
      <c r="W23" s="402"/>
      <c r="X23" s="402"/>
      <c r="Y23" s="402"/>
      <c r="Z23" s="402"/>
      <c r="AA23" s="402"/>
    </row>
    <row r="24">
      <c r="A24" s="417" t="s">
        <v>12</v>
      </c>
      <c r="B24" s="418" t="s">
        <v>1029</v>
      </c>
      <c r="C24" s="418">
        <v>40.0</v>
      </c>
      <c r="D24" s="417">
        <f>SUM(C24:C26)</f>
        <v>130</v>
      </c>
      <c r="E24" s="419" t="s">
        <v>1011</v>
      </c>
      <c r="F24" s="417" t="s">
        <v>1028</v>
      </c>
      <c r="G24" s="402"/>
      <c r="H24" s="402"/>
      <c r="I24" s="402"/>
      <c r="J24" s="402"/>
      <c r="K24" s="402"/>
      <c r="L24" s="402"/>
      <c r="M24" s="402"/>
      <c r="N24" s="402"/>
      <c r="O24" s="402"/>
      <c r="P24" s="402"/>
      <c r="Q24" s="402"/>
      <c r="R24" s="402"/>
      <c r="S24" s="402"/>
      <c r="T24" s="402"/>
      <c r="U24" s="402"/>
      <c r="V24" s="402"/>
      <c r="W24" s="402"/>
      <c r="X24" s="402"/>
      <c r="Y24" s="402"/>
      <c r="Z24" s="402"/>
      <c r="AA24" s="402"/>
    </row>
    <row r="25">
      <c r="A25" s="292"/>
      <c r="B25" s="418" t="s">
        <v>1030</v>
      </c>
      <c r="C25" s="418">
        <v>30.0</v>
      </c>
      <c r="D25" s="292"/>
      <c r="E25" s="292"/>
      <c r="F25" s="292"/>
      <c r="G25" s="402"/>
      <c r="H25" s="402"/>
      <c r="I25" s="402"/>
      <c r="J25" s="402"/>
      <c r="K25" s="402"/>
      <c r="L25" s="402"/>
      <c r="M25" s="402"/>
      <c r="N25" s="402"/>
      <c r="O25" s="402"/>
      <c r="P25" s="402"/>
      <c r="Q25" s="402"/>
      <c r="R25" s="402"/>
      <c r="S25" s="402"/>
      <c r="T25" s="402"/>
      <c r="U25" s="402"/>
      <c r="V25" s="402"/>
      <c r="W25" s="402"/>
      <c r="X25" s="402"/>
      <c r="Y25" s="402"/>
      <c r="Z25" s="402"/>
      <c r="AA25" s="402"/>
    </row>
    <row r="26">
      <c r="A26" s="77"/>
      <c r="B26" s="418" t="s">
        <v>1031</v>
      </c>
      <c r="C26" s="418">
        <v>60.0</v>
      </c>
      <c r="D26" s="77"/>
      <c r="E26" s="77"/>
      <c r="F26" s="77"/>
      <c r="G26" s="402"/>
      <c r="H26" s="402"/>
      <c r="I26" s="402"/>
      <c r="J26" s="402"/>
      <c r="K26" s="402"/>
      <c r="L26" s="402"/>
      <c r="M26" s="402"/>
      <c r="N26" s="402"/>
      <c r="O26" s="402"/>
      <c r="P26" s="402"/>
      <c r="Q26" s="402"/>
      <c r="R26" s="402"/>
      <c r="S26" s="402"/>
      <c r="T26" s="402"/>
      <c r="U26" s="402"/>
      <c r="V26" s="402"/>
      <c r="W26" s="402"/>
      <c r="X26" s="402"/>
      <c r="Y26" s="402"/>
      <c r="Z26" s="402"/>
      <c r="AA26" s="402"/>
    </row>
    <row r="27">
      <c r="A27" s="420" t="s">
        <v>140</v>
      </c>
      <c r="B27" s="421" t="s">
        <v>1032</v>
      </c>
      <c r="C27" s="421">
        <v>30.0</v>
      </c>
      <c r="D27" s="421">
        <f>SUM(C27)</f>
        <v>30</v>
      </c>
      <c r="E27" s="420" t="s">
        <v>1011</v>
      </c>
      <c r="F27" s="420">
        <v>2024.0</v>
      </c>
      <c r="G27" s="402"/>
      <c r="H27" s="402"/>
      <c r="I27" s="402"/>
      <c r="J27" s="402"/>
      <c r="K27" s="402"/>
      <c r="L27" s="402"/>
      <c r="M27" s="402"/>
      <c r="N27" s="402"/>
      <c r="O27" s="402"/>
      <c r="P27" s="402"/>
      <c r="Q27" s="402"/>
      <c r="R27" s="402"/>
      <c r="S27" s="402"/>
      <c r="T27" s="402"/>
      <c r="U27" s="402"/>
      <c r="V27" s="402"/>
      <c r="W27" s="402"/>
      <c r="X27" s="402"/>
      <c r="Y27" s="402"/>
      <c r="Z27" s="402"/>
      <c r="AA27" s="402"/>
    </row>
    <row r="28">
      <c r="A28" s="422" t="s">
        <v>1033</v>
      </c>
      <c r="B28" s="423" t="s">
        <v>23</v>
      </c>
      <c r="C28" s="423">
        <v>15.0</v>
      </c>
      <c r="D28" s="422">
        <f>SUM(C28:C33)</f>
        <v>387</v>
      </c>
      <c r="E28" s="422" t="s">
        <v>1011</v>
      </c>
      <c r="F28" s="422">
        <v>2024.0</v>
      </c>
      <c r="G28" s="402"/>
      <c r="H28" s="402"/>
      <c r="I28" s="402"/>
      <c r="J28" s="402"/>
      <c r="K28" s="402"/>
      <c r="L28" s="402"/>
      <c r="M28" s="402"/>
      <c r="N28" s="402"/>
      <c r="O28" s="402"/>
      <c r="P28" s="402"/>
      <c r="Q28" s="402"/>
      <c r="R28" s="402"/>
      <c r="S28" s="402"/>
      <c r="T28" s="402"/>
      <c r="U28" s="402"/>
      <c r="V28" s="402"/>
      <c r="W28" s="402"/>
      <c r="X28" s="402"/>
      <c r="Y28" s="402"/>
      <c r="Z28" s="402"/>
      <c r="AA28" s="402"/>
    </row>
    <row r="29">
      <c r="A29" s="292"/>
      <c r="B29" s="423" t="s">
        <v>1034</v>
      </c>
      <c r="C29" s="423">
        <v>200.0</v>
      </c>
      <c r="D29" s="292"/>
      <c r="E29" s="292"/>
      <c r="F29" s="292"/>
      <c r="G29" s="402"/>
      <c r="H29" s="402"/>
      <c r="I29" s="402"/>
      <c r="J29" s="402"/>
      <c r="K29" s="402"/>
      <c r="L29" s="402"/>
      <c r="M29" s="402"/>
      <c r="N29" s="402"/>
      <c r="O29" s="402"/>
      <c r="P29" s="402"/>
      <c r="Q29" s="402"/>
      <c r="R29" s="402"/>
      <c r="S29" s="402"/>
      <c r="T29" s="402"/>
      <c r="U29" s="402"/>
      <c r="V29" s="402"/>
      <c r="W29" s="402"/>
      <c r="X29" s="402"/>
      <c r="Y29" s="402"/>
      <c r="Z29" s="402"/>
      <c r="AA29" s="402"/>
    </row>
    <row r="30">
      <c r="A30" s="292"/>
      <c r="B30" s="423" t="s">
        <v>1035</v>
      </c>
      <c r="C30" s="423">
        <v>30.0</v>
      </c>
      <c r="D30" s="292"/>
      <c r="E30" s="292"/>
      <c r="F30" s="292"/>
      <c r="G30" s="402"/>
      <c r="H30" s="402"/>
      <c r="I30" s="402"/>
      <c r="J30" s="402"/>
      <c r="K30" s="402"/>
      <c r="L30" s="402"/>
      <c r="M30" s="402"/>
      <c r="N30" s="402"/>
      <c r="O30" s="402"/>
      <c r="P30" s="402"/>
      <c r="Q30" s="402"/>
      <c r="R30" s="402"/>
      <c r="S30" s="402"/>
      <c r="T30" s="402"/>
      <c r="U30" s="402"/>
      <c r="V30" s="402"/>
      <c r="W30" s="402"/>
      <c r="X30" s="402"/>
      <c r="Y30" s="402"/>
      <c r="Z30" s="402"/>
      <c r="AA30" s="402"/>
    </row>
    <row r="31">
      <c r="A31" s="292"/>
      <c r="B31" s="423" t="s">
        <v>1036</v>
      </c>
      <c r="C31" s="423">
        <v>100.0</v>
      </c>
      <c r="D31" s="292"/>
      <c r="E31" s="292"/>
      <c r="F31" s="292"/>
      <c r="G31" s="402"/>
      <c r="H31" s="402"/>
      <c r="I31" s="402"/>
      <c r="J31" s="402"/>
      <c r="K31" s="402"/>
      <c r="L31" s="402"/>
      <c r="M31" s="402"/>
      <c r="N31" s="402"/>
      <c r="O31" s="402"/>
      <c r="P31" s="402"/>
      <c r="Q31" s="402"/>
      <c r="R31" s="402"/>
      <c r="S31" s="402"/>
      <c r="T31" s="402"/>
      <c r="U31" s="402"/>
      <c r="V31" s="402"/>
      <c r="W31" s="402"/>
      <c r="X31" s="402"/>
      <c r="Y31" s="402"/>
      <c r="Z31" s="402"/>
      <c r="AA31" s="402"/>
    </row>
    <row r="32">
      <c r="A32" s="292"/>
      <c r="B32" s="423" t="s">
        <v>95</v>
      </c>
      <c r="C32" s="423">
        <v>30.0</v>
      </c>
      <c r="D32" s="292"/>
      <c r="E32" s="292"/>
      <c r="F32" s="292"/>
      <c r="G32" s="402"/>
      <c r="H32" s="402"/>
      <c r="I32" s="402"/>
      <c r="J32" s="402"/>
      <c r="K32" s="402"/>
      <c r="L32" s="402"/>
      <c r="M32" s="402"/>
      <c r="N32" s="402"/>
      <c r="O32" s="402"/>
      <c r="P32" s="402"/>
      <c r="Q32" s="402"/>
      <c r="R32" s="402"/>
      <c r="S32" s="402"/>
      <c r="T32" s="402"/>
      <c r="U32" s="402"/>
      <c r="V32" s="402"/>
      <c r="W32" s="402"/>
      <c r="X32" s="402"/>
      <c r="Y32" s="402"/>
      <c r="Z32" s="402"/>
      <c r="AA32" s="402"/>
    </row>
    <row r="33" ht="24.0" customHeight="1">
      <c r="A33" s="77"/>
      <c r="B33" s="423" t="s">
        <v>369</v>
      </c>
      <c r="C33" s="423">
        <v>12.0</v>
      </c>
      <c r="D33" s="77"/>
      <c r="E33" s="77"/>
      <c r="F33" s="77"/>
      <c r="G33" s="402"/>
      <c r="H33" s="402"/>
      <c r="I33" s="402"/>
      <c r="J33" s="402"/>
      <c r="K33" s="402"/>
      <c r="L33" s="402"/>
      <c r="M33" s="402"/>
      <c r="N33" s="402"/>
      <c r="O33" s="402"/>
      <c r="P33" s="402"/>
      <c r="Q33" s="402"/>
      <c r="R33" s="402"/>
      <c r="S33" s="402"/>
      <c r="T33" s="402"/>
      <c r="U33" s="402"/>
      <c r="V33" s="402"/>
      <c r="W33" s="402"/>
      <c r="X33" s="402"/>
      <c r="Y33" s="402"/>
      <c r="Z33" s="402"/>
      <c r="AA33" s="402"/>
    </row>
    <row r="34">
      <c r="A34" s="424" t="s">
        <v>1037</v>
      </c>
      <c r="B34" s="425" t="s">
        <v>1038</v>
      </c>
      <c r="C34" s="425">
        <v>30.0</v>
      </c>
      <c r="D34" s="424">
        <f>SUM(C34:C41)</f>
        <v>240</v>
      </c>
      <c r="E34" s="424" t="s">
        <v>1011</v>
      </c>
      <c r="F34" s="424">
        <v>2024.0</v>
      </c>
      <c r="G34" s="402"/>
      <c r="H34" s="402"/>
      <c r="I34" s="402"/>
      <c r="J34" s="402"/>
      <c r="K34" s="402"/>
      <c r="L34" s="402"/>
      <c r="M34" s="402"/>
      <c r="N34" s="402"/>
      <c r="O34" s="402"/>
      <c r="P34" s="402"/>
      <c r="Q34" s="402"/>
      <c r="R34" s="402"/>
      <c r="S34" s="402"/>
      <c r="T34" s="402"/>
      <c r="U34" s="402"/>
      <c r="V34" s="402"/>
      <c r="W34" s="402"/>
      <c r="X34" s="402"/>
      <c r="Y34" s="402"/>
      <c r="Z34" s="402"/>
      <c r="AA34" s="402"/>
    </row>
    <row r="35">
      <c r="A35" s="292"/>
      <c r="B35" s="425" t="s">
        <v>1039</v>
      </c>
      <c r="C35" s="425">
        <v>30.0</v>
      </c>
      <c r="D35" s="292"/>
      <c r="E35" s="292"/>
      <c r="F35" s="292"/>
      <c r="G35" s="402"/>
      <c r="H35" s="402"/>
      <c r="I35" s="402"/>
      <c r="J35" s="402"/>
      <c r="K35" s="402"/>
      <c r="L35" s="402"/>
      <c r="M35" s="402"/>
      <c r="N35" s="402"/>
      <c r="O35" s="402"/>
      <c r="P35" s="402"/>
      <c r="Q35" s="402"/>
      <c r="R35" s="402"/>
      <c r="S35" s="402"/>
      <c r="T35" s="402"/>
      <c r="U35" s="402"/>
      <c r="V35" s="402"/>
      <c r="W35" s="402"/>
      <c r="X35" s="402"/>
      <c r="Y35" s="402"/>
      <c r="Z35" s="402"/>
      <c r="AA35" s="402"/>
    </row>
    <row r="36">
      <c r="A36" s="292"/>
      <c r="B36" s="425" t="s">
        <v>1040</v>
      </c>
      <c r="C36" s="425">
        <v>30.0</v>
      </c>
      <c r="D36" s="292"/>
      <c r="E36" s="292"/>
      <c r="F36" s="292"/>
      <c r="G36" s="402"/>
      <c r="H36" s="402"/>
      <c r="I36" s="402"/>
      <c r="J36" s="402"/>
      <c r="K36" s="402"/>
      <c r="L36" s="402"/>
      <c r="M36" s="402"/>
      <c r="N36" s="402"/>
      <c r="O36" s="402"/>
      <c r="P36" s="402"/>
      <c r="Q36" s="402"/>
      <c r="R36" s="402"/>
      <c r="S36" s="402"/>
      <c r="T36" s="402"/>
      <c r="U36" s="402"/>
      <c r="V36" s="402"/>
      <c r="W36" s="402"/>
      <c r="X36" s="402"/>
      <c r="Y36" s="402"/>
      <c r="Z36" s="402"/>
      <c r="AA36" s="402"/>
    </row>
    <row r="37">
      <c r="A37" s="292"/>
      <c r="B37" s="425" t="s">
        <v>1041</v>
      </c>
      <c r="C37" s="425">
        <v>30.0</v>
      </c>
      <c r="D37" s="292"/>
      <c r="E37" s="292"/>
      <c r="F37" s="292"/>
      <c r="G37" s="402"/>
      <c r="H37" s="402"/>
      <c r="I37" s="402"/>
      <c r="J37" s="402"/>
      <c r="K37" s="402"/>
      <c r="L37" s="402"/>
      <c r="M37" s="402"/>
      <c r="N37" s="402"/>
      <c r="O37" s="402"/>
      <c r="P37" s="402"/>
      <c r="Q37" s="402"/>
      <c r="R37" s="402"/>
      <c r="S37" s="402"/>
      <c r="T37" s="402"/>
      <c r="U37" s="402"/>
      <c r="V37" s="402"/>
      <c r="W37" s="402"/>
      <c r="X37" s="402"/>
      <c r="Y37" s="402"/>
      <c r="Z37" s="402"/>
      <c r="AA37" s="402"/>
    </row>
    <row r="38">
      <c r="A38" s="292"/>
      <c r="B38" s="425" t="s">
        <v>1042</v>
      </c>
      <c r="C38" s="425">
        <v>30.0</v>
      </c>
      <c r="D38" s="292"/>
      <c r="E38" s="292"/>
      <c r="F38" s="292"/>
      <c r="G38" s="402"/>
      <c r="H38" s="402"/>
      <c r="I38" s="402"/>
      <c r="J38" s="402"/>
      <c r="K38" s="402"/>
      <c r="L38" s="402"/>
      <c r="M38" s="402"/>
      <c r="N38" s="402"/>
      <c r="O38" s="402"/>
      <c r="P38" s="402"/>
      <c r="Q38" s="402"/>
      <c r="R38" s="402"/>
      <c r="S38" s="402"/>
      <c r="T38" s="402"/>
      <c r="U38" s="402"/>
      <c r="V38" s="402"/>
      <c r="W38" s="402"/>
      <c r="X38" s="402"/>
      <c r="Y38" s="402"/>
      <c r="Z38" s="402"/>
      <c r="AA38" s="402"/>
    </row>
    <row r="39">
      <c r="A39" s="292"/>
      <c r="B39" s="425" t="s">
        <v>1043</v>
      </c>
      <c r="C39" s="425">
        <v>30.0</v>
      </c>
      <c r="D39" s="292"/>
      <c r="E39" s="292"/>
      <c r="F39" s="292"/>
      <c r="G39" s="402"/>
      <c r="H39" s="402"/>
      <c r="I39" s="402"/>
      <c r="J39" s="402"/>
      <c r="K39" s="402"/>
      <c r="L39" s="402"/>
      <c r="M39" s="402"/>
      <c r="N39" s="402"/>
      <c r="O39" s="402"/>
      <c r="P39" s="402"/>
      <c r="Q39" s="402"/>
      <c r="R39" s="402"/>
      <c r="S39" s="402"/>
      <c r="T39" s="402"/>
      <c r="U39" s="402"/>
      <c r="V39" s="402"/>
      <c r="W39" s="402"/>
      <c r="X39" s="402"/>
      <c r="Y39" s="402"/>
      <c r="Z39" s="402"/>
      <c r="AA39" s="402"/>
    </row>
    <row r="40">
      <c r="A40" s="292"/>
      <c r="B40" s="425" t="s">
        <v>1044</v>
      </c>
      <c r="C40" s="425">
        <v>30.0</v>
      </c>
      <c r="D40" s="292"/>
      <c r="E40" s="292"/>
      <c r="F40" s="292"/>
      <c r="G40" s="402"/>
      <c r="H40" s="402"/>
      <c r="I40" s="402"/>
      <c r="J40" s="402"/>
      <c r="K40" s="402"/>
      <c r="L40" s="402"/>
      <c r="M40" s="402"/>
      <c r="N40" s="402"/>
      <c r="O40" s="402"/>
      <c r="P40" s="402"/>
      <c r="Q40" s="402"/>
      <c r="R40" s="402"/>
      <c r="S40" s="402"/>
      <c r="T40" s="402"/>
      <c r="U40" s="402"/>
      <c r="V40" s="402"/>
      <c r="W40" s="402"/>
      <c r="X40" s="402"/>
      <c r="Y40" s="402"/>
      <c r="Z40" s="402"/>
      <c r="AA40" s="402"/>
    </row>
    <row r="41">
      <c r="A41" s="77"/>
      <c r="B41" s="425" t="s">
        <v>1045</v>
      </c>
      <c r="C41" s="425">
        <v>30.0</v>
      </c>
      <c r="D41" s="77"/>
      <c r="E41" s="77"/>
      <c r="F41" s="77"/>
      <c r="G41" s="402"/>
      <c r="H41" s="402"/>
      <c r="I41" s="402"/>
      <c r="J41" s="402"/>
      <c r="K41" s="402"/>
      <c r="L41" s="402"/>
      <c r="M41" s="402"/>
      <c r="N41" s="402"/>
      <c r="O41" s="402"/>
      <c r="P41" s="402"/>
      <c r="Q41" s="402"/>
      <c r="R41" s="402"/>
      <c r="S41" s="402"/>
      <c r="T41" s="402"/>
      <c r="U41" s="402"/>
      <c r="V41" s="402"/>
      <c r="W41" s="402"/>
      <c r="X41" s="402"/>
      <c r="Y41" s="402"/>
      <c r="Z41" s="402"/>
      <c r="AA41" s="402"/>
    </row>
    <row r="42">
      <c r="A42" s="426" t="s">
        <v>2</v>
      </c>
      <c r="B42" s="427" t="s">
        <v>1046</v>
      </c>
      <c r="C42" s="427">
        <v>30.0</v>
      </c>
      <c r="D42" s="426">
        <f>SUM(C42:C43)</f>
        <v>60</v>
      </c>
      <c r="E42" s="426" t="s">
        <v>1047</v>
      </c>
      <c r="F42" s="426">
        <v>2024.0</v>
      </c>
      <c r="G42" s="402"/>
      <c r="H42" s="402"/>
      <c r="I42" s="402"/>
      <c r="J42" s="402"/>
      <c r="K42" s="402"/>
      <c r="L42" s="402"/>
      <c r="M42" s="402"/>
      <c r="N42" s="402"/>
      <c r="O42" s="402"/>
      <c r="P42" s="402"/>
      <c r="Q42" s="402"/>
      <c r="R42" s="402"/>
      <c r="S42" s="402"/>
      <c r="T42" s="402"/>
      <c r="U42" s="402"/>
      <c r="V42" s="402"/>
      <c r="W42" s="402"/>
      <c r="X42" s="402"/>
      <c r="Y42" s="402"/>
      <c r="Z42" s="402"/>
      <c r="AA42" s="402"/>
    </row>
    <row r="43">
      <c r="A43" s="77"/>
      <c r="B43" s="427" t="s">
        <v>1048</v>
      </c>
      <c r="C43" s="427">
        <v>30.0</v>
      </c>
      <c r="D43" s="77"/>
      <c r="E43" s="77"/>
      <c r="F43" s="77"/>
      <c r="G43" s="402"/>
      <c r="H43" s="402"/>
      <c r="I43" s="402"/>
      <c r="J43" s="402"/>
      <c r="K43" s="402"/>
      <c r="L43" s="402"/>
      <c r="M43" s="402"/>
      <c r="N43" s="402"/>
      <c r="O43" s="402"/>
      <c r="P43" s="402"/>
      <c r="Q43" s="402"/>
      <c r="R43" s="402"/>
      <c r="S43" s="402"/>
      <c r="T43" s="402"/>
      <c r="U43" s="402"/>
      <c r="V43" s="402"/>
      <c r="W43" s="402"/>
      <c r="X43" s="402"/>
      <c r="Y43" s="402"/>
      <c r="Z43" s="402"/>
      <c r="AA43" s="402"/>
    </row>
    <row r="44">
      <c r="A44" s="428" t="s">
        <v>1049</v>
      </c>
      <c r="B44" s="429" t="s">
        <v>1050</v>
      </c>
      <c r="C44" s="429">
        <v>35.0</v>
      </c>
      <c r="D44" s="428">
        <f>SUM(C44:C46)</f>
        <v>110</v>
      </c>
      <c r="E44" s="428" t="s">
        <v>1011</v>
      </c>
      <c r="F44" s="428">
        <v>2024.0</v>
      </c>
      <c r="G44" s="402"/>
      <c r="H44" s="402"/>
      <c r="I44" s="402"/>
      <c r="J44" s="402"/>
      <c r="K44" s="402"/>
      <c r="L44" s="402"/>
      <c r="M44" s="402"/>
      <c r="N44" s="402"/>
      <c r="O44" s="402"/>
      <c r="P44" s="402"/>
      <c r="Q44" s="402"/>
      <c r="R44" s="402"/>
      <c r="S44" s="402"/>
      <c r="T44" s="402"/>
      <c r="U44" s="402"/>
      <c r="V44" s="402"/>
      <c r="W44" s="402"/>
      <c r="X44" s="402"/>
      <c r="Y44" s="402"/>
      <c r="Z44" s="402"/>
      <c r="AA44" s="402"/>
    </row>
    <row r="45">
      <c r="A45" s="292"/>
      <c r="B45" s="429" t="s">
        <v>1051</v>
      </c>
      <c r="C45" s="429">
        <v>35.0</v>
      </c>
      <c r="D45" s="292"/>
      <c r="E45" s="292"/>
      <c r="F45" s="292"/>
      <c r="G45" s="402"/>
      <c r="H45" s="402"/>
      <c r="I45" s="402"/>
      <c r="J45" s="402"/>
      <c r="K45" s="402"/>
      <c r="L45" s="402"/>
      <c r="M45" s="402"/>
      <c r="N45" s="402"/>
      <c r="O45" s="402"/>
      <c r="P45" s="402"/>
      <c r="Q45" s="402"/>
      <c r="R45" s="402"/>
      <c r="S45" s="402"/>
      <c r="T45" s="402"/>
      <c r="U45" s="402"/>
      <c r="V45" s="402"/>
      <c r="W45" s="402"/>
      <c r="X45" s="402"/>
      <c r="Y45" s="402"/>
      <c r="Z45" s="402"/>
      <c r="AA45" s="402"/>
    </row>
    <row r="46">
      <c r="A46" s="77"/>
      <c r="B46" s="429" t="s">
        <v>1052</v>
      </c>
      <c r="C46" s="429">
        <v>40.0</v>
      </c>
      <c r="D46" s="77"/>
      <c r="E46" s="77"/>
      <c r="F46" s="77"/>
      <c r="G46" s="402"/>
      <c r="H46" s="402"/>
      <c r="I46" s="402"/>
      <c r="J46" s="402"/>
      <c r="K46" s="402"/>
      <c r="L46" s="402"/>
      <c r="M46" s="402"/>
      <c r="N46" s="402"/>
      <c r="O46" s="402"/>
      <c r="P46" s="402"/>
      <c r="Q46" s="402"/>
      <c r="R46" s="402"/>
      <c r="S46" s="402"/>
      <c r="T46" s="402"/>
      <c r="U46" s="402"/>
      <c r="V46" s="402"/>
      <c r="W46" s="402"/>
      <c r="X46" s="402"/>
      <c r="Y46" s="402"/>
      <c r="Z46" s="402"/>
      <c r="AA46" s="402"/>
    </row>
    <row r="47">
      <c r="A47" s="430" t="s">
        <v>1053</v>
      </c>
      <c r="B47" s="430" t="s">
        <v>1054</v>
      </c>
      <c r="C47" s="430">
        <v>30.0</v>
      </c>
      <c r="D47" s="405">
        <f>SUM(C47)</f>
        <v>30</v>
      </c>
      <c r="E47" s="430" t="s">
        <v>1047</v>
      </c>
      <c r="F47" s="431">
        <v>2024.0</v>
      </c>
      <c r="G47" s="402"/>
      <c r="H47" s="402"/>
      <c r="I47" s="402"/>
      <c r="J47" s="402"/>
      <c r="K47" s="402"/>
      <c r="L47" s="402"/>
      <c r="M47" s="402"/>
      <c r="N47" s="402"/>
      <c r="O47" s="402"/>
      <c r="P47" s="402"/>
      <c r="Q47" s="402"/>
      <c r="R47" s="402"/>
      <c r="S47" s="402"/>
      <c r="T47" s="402"/>
      <c r="U47" s="402"/>
      <c r="V47" s="402"/>
      <c r="W47" s="402"/>
      <c r="X47" s="402"/>
      <c r="Y47" s="402"/>
      <c r="Z47" s="402"/>
      <c r="AA47" s="402"/>
    </row>
    <row r="48">
      <c r="A48" s="432" t="s">
        <v>1055</v>
      </c>
      <c r="B48" s="433" t="s">
        <v>1056</v>
      </c>
      <c r="C48" s="433">
        <v>30.0</v>
      </c>
      <c r="D48" s="434">
        <f>SUM(C48:C53)</f>
        <v>220</v>
      </c>
      <c r="E48" s="435" t="s">
        <v>1047</v>
      </c>
      <c r="F48" s="435">
        <v>2024.0</v>
      </c>
      <c r="G48" s="402"/>
      <c r="H48" s="402"/>
      <c r="I48" s="402"/>
      <c r="J48" s="402"/>
      <c r="K48" s="402"/>
      <c r="L48" s="402"/>
      <c r="M48" s="402"/>
      <c r="N48" s="402"/>
      <c r="O48" s="402"/>
      <c r="P48" s="402"/>
      <c r="Q48" s="402"/>
      <c r="R48" s="402"/>
      <c r="S48" s="402"/>
      <c r="T48" s="402"/>
      <c r="U48" s="402"/>
      <c r="V48" s="402"/>
      <c r="W48" s="402"/>
      <c r="X48" s="402"/>
      <c r="Y48" s="402"/>
      <c r="Z48" s="402"/>
      <c r="AA48" s="402"/>
    </row>
    <row r="49">
      <c r="A49" s="292"/>
      <c r="B49" s="433" t="s">
        <v>1057</v>
      </c>
      <c r="C49" s="433">
        <v>30.0</v>
      </c>
      <c r="D49" s="292"/>
      <c r="E49" s="292"/>
      <c r="F49" s="292"/>
      <c r="G49" s="402"/>
      <c r="H49" s="402"/>
      <c r="I49" s="402"/>
      <c r="J49" s="402"/>
      <c r="K49" s="402"/>
      <c r="L49" s="402"/>
      <c r="M49" s="402"/>
      <c r="N49" s="402"/>
      <c r="O49" s="402"/>
      <c r="P49" s="402"/>
      <c r="Q49" s="402"/>
      <c r="R49" s="402"/>
      <c r="S49" s="402"/>
      <c r="T49" s="402"/>
      <c r="U49" s="402"/>
      <c r="V49" s="402"/>
      <c r="W49" s="402"/>
      <c r="X49" s="402"/>
      <c r="Y49" s="402"/>
      <c r="Z49" s="402"/>
      <c r="AA49" s="402"/>
    </row>
    <row r="50">
      <c r="A50" s="292"/>
      <c r="B50" s="433" t="s">
        <v>1058</v>
      </c>
      <c r="C50" s="433">
        <v>40.0</v>
      </c>
      <c r="D50" s="292"/>
      <c r="E50" s="292"/>
      <c r="F50" s="292"/>
      <c r="G50" s="402"/>
      <c r="H50" s="402"/>
      <c r="I50" s="402"/>
      <c r="J50" s="402"/>
      <c r="K50" s="402"/>
      <c r="L50" s="402"/>
      <c r="M50" s="402"/>
      <c r="N50" s="402"/>
      <c r="O50" s="402"/>
      <c r="P50" s="402"/>
      <c r="Q50" s="402"/>
      <c r="R50" s="402"/>
      <c r="S50" s="402"/>
      <c r="T50" s="402"/>
      <c r="U50" s="402"/>
      <c r="V50" s="402"/>
      <c r="W50" s="402"/>
      <c r="X50" s="402"/>
      <c r="Y50" s="402"/>
      <c r="Z50" s="402"/>
      <c r="AA50" s="402"/>
    </row>
    <row r="51">
      <c r="A51" s="292"/>
      <c r="B51" s="433" t="s">
        <v>1059</v>
      </c>
      <c r="C51" s="433">
        <v>40.0</v>
      </c>
      <c r="D51" s="292"/>
      <c r="E51" s="292"/>
      <c r="F51" s="292"/>
      <c r="G51" s="402"/>
      <c r="H51" s="402"/>
      <c r="I51" s="402"/>
      <c r="J51" s="402"/>
      <c r="K51" s="402"/>
      <c r="L51" s="402"/>
      <c r="M51" s="402"/>
      <c r="N51" s="402"/>
      <c r="O51" s="402"/>
      <c r="P51" s="402"/>
      <c r="Q51" s="402"/>
      <c r="R51" s="402"/>
      <c r="S51" s="402"/>
      <c r="T51" s="402"/>
      <c r="U51" s="402"/>
      <c r="V51" s="402"/>
      <c r="W51" s="402"/>
      <c r="X51" s="402"/>
      <c r="Y51" s="402"/>
      <c r="Z51" s="402"/>
      <c r="AA51" s="402"/>
    </row>
    <row r="52">
      <c r="A52" s="292"/>
      <c r="B52" s="433" t="s">
        <v>1060</v>
      </c>
      <c r="C52" s="433">
        <v>40.0</v>
      </c>
      <c r="D52" s="292"/>
      <c r="E52" s="292"/>
      <c r="F52" s="292"/>
      <c r="G52" s="402"/>
      <c r="H52" s="402"/>
      <c r="I52" s="402"/>
      <c r="J52" s="402"/>
      <c r="K52" s="402"/>
      <c r="L52" s="402"/>
      <c r="M52" s="402"/>
      <c r="N52" s="402"/>
      <c r="O52" s="402"/>
      <c r="P52" s="402"/>
      <c r="Q52" s="402"/>
      <c r="R52" s="402"/>
      <c r="S52" s="402"/>
      <c r="T52" s="402"/>
      <c r="U52" s="402"/>
      <c r="V52" s="402"/>
      <c r="W52" s="402"/>
      <c r="X52" s="402"/>
      <c r="Y52" s="402"/>
      <c r="Z52" s="402"/>
      <c r="AA52" s="402"/>
    </row>
    <row r="53">
      <c r="A53" s="77"/>
      <c r="B53" s="433" t="s">
        <v>1061</v>
      </c>
      <c r="C53" s="433">
        <v>40.0</v>
      </c>
      <c r="D53" s="77"/>
      <c r="E53" s="77"/>
      <c r="F53" s="77"/>
      <c r="G53" s="402"/>
      <c r="H53" s="402"/>
      <c r="I53" s="402"/>
      <c r="J53" s="402"/>
      <c r="K53" s="402"/>
      <c r="L53" s="402"/>
      <c r="M53" s="402"/>
      <c r="N53" s="402"/>
      <c r="O53" s="402"/>
      <c r="P53" s="402"/>
      <c r="Q53" s="402"/>
      <c r="R53" s="402"/>
      <c r="S53" s="402"/>
      <c r="T53" s="402"/>
      <c r="U53" s="402"/>
      <c r="V53" s="402"/>
      <c r="W53" s="402"/>
      <c r="X53" s="402"/>
      <c r="Y53" s="402"/>
      <c r="Z53" s="402"/>
      <c r="AA53" s="402"/>
    </row>
    <row r="54">
      <c r="A54" s="436" t="s">
        <v>1062</v>
      </c>
      <c r="B54" s="436" t="s">
        <v>1063</v>
      </c>
      <c r="C54" s="436">
        <v>80.0</v>
      </c>
      <c r="D54" s="437">
        <f>SUM(C54)</f>
        <v>80</v>
      </c>
      <c r="E54" s="438" t="s">
        <v>1011</v>
      </c>
      <c r="F54" s="439">
        <v>2024.0</v>
      </c>
      <c r="G54" s="402"/>
      <c r="H54" s="402"/>
      <c r="I54" s="402"/>
      <c r="J54" s="402"/>
      <c r="K54" s="402"/>
      <c r="L54" s="402"/>
      <c r="M54" s="402"/>
      <c r="N54" s="402"/>
      <c r="O54" s="402"/>
      <c r="P54" s="402"/>
      <c r="Q54" s="402"/>
      <c r="R54" s="402"/>
      <c r="S54" s="402"/>
      <c r="T54" s="402"/>
      <c r="U54" s="402"/>
      <c r="V54" s="402"/>
      <c r="W54" s="402"/>
      <c r="X54" s="402"/>
      <c r="Y54" s="402"/>
      <c r="Z54" s="402"/>
      <c r="AA54" s="402"/>
    </row>
    <row r="55">
      <c r="A55" s="440" t="s">
        <v>1064</v>
      </c>
      <c r="B55" s="441" t="s">
        <v>1065</v>
      </c>
      <c r="C55" s="441">
        <v>300.0</v>
      </c>
      <c r="D55" s="442">
        <f>SUM(C55:C62)</f>
        <v>2400</v>
      </c>
      <c r="E55" s="440" t="s">
        <v>1016</v>
      </c>
      <c r="F55" s="440" t="s">
        <v>1066</v>
      </c>
      <c r="G55" s="402"/>
      <c r="H55" s="402"/>
      <c r="I55" s="402"/>
      <c r="J55" s="402"/>
      <c r="K55" s="402"/>
      <c r="L55" s="402"/>
      <c r="M55" s="402"/>
      <c r="N55" s="402"/>
      <c r="O55" s="402"/>
      <c r="P55" s="402"/>
      <c r="Q55" s="402"/>
      <c r="R55" s="402"/>
      <c r="S55" s="402"/>
      <c r="T55" s="402"/>
      <c r="U55" s="402"/>
      <c r="V55" s="402"/>
      <c r="W55" s="402"/>
      <c r="X55" s="402"/>
      <c r="Y55" s="402"/>
      <c r="Z55" s="402"/>
      <c r="AA55" s="402"/>
    </row>
    <row r="56">
      <c r="A56" s="292"/>
      <c r="B56" s="441" t="s">
        <v>1067</v>
      </c>
      <c r="C56" s="441">
        <v>300.0</v>
      </c>
      <c r="D56" s="292"/>
      <c r="E56" s="292"/>
      <c r="F56" s="292"/>
      <c r="G56" s="402"/>
      <c r="H56" s="402"/>
      <c r="I56" s="402"/>
      <c r="J56" s="402"/>
      <c r="K56" s="402"/>
      <c r="L56" s="402"/>
      <c r="M56" s="402"/>
      <c r="N56" s="402"/>
      <c r="O56" s="402"/>
      <c r="P56" s="402"/>
      <c r="Q56" s="402"/>
      <c r="R56" s="402"/>
      <c r="S56" s="402"/>
      <c r="T56" s="402"/>
      <c r="U56" s="402"/>
      <c r="V56" s="402"/>
      <c r="W56" s="402"/>
      <c r="X56" s="402"/>
      <c r="Y56" s="402"/>
      <c r="Z56" s="402"/>
      <c r="AA56" s="402"/>
    </row>
    <row r="57">
      <c r="A57" s="292"/>
      <c r="B57" s="441" t="s">
        <v>1068</v>
      </c>
      <c r="C57" s="441">
        <v>300.0</v>
      </c>
      <c r="D57" s="292"/>
      <c r="E57" s="292"/>
      <c r="F57" s="292"/>
      <c r="G57" s="402"/>
      <c r="H57" s="402"/>
      <c r="I57" s="402"/>
      <c r="J57" s="402"/>
      <c r="K57" s="402"/>
      <c r="L57" s="402"/>
      <c r="M57" s="402"/>
      <c r="N57" s="402"/>
      <c r="O57" s="402"/>
      <c r="P57" s="402"/>
      <c r="Q57" s="402"/>
      <c r="R57" s="402"/>
      <c r="S57" s="402"/>
      <c r="T57" s="402"/>
      <c r="U57" s="402"/>
      <c r="V57" s="402"/>
      <c r="W57" s="402"/>
      <c r="X57" s="402"/>
      <c r="Y57" s="402"/>
      <c r="Z57" s="402"/>
      <c r="AA57" s="402"/>
    </row>
    <row r="58">
      <c r="A58" s="292"/>
      <c r="B58" s="441" t="s">
        <v>1069</v>
      </c>
      <c r="C58" s="441">
        <v>300.0</v>
      </c>
      <c r="D58" s="292"/>
      <c r="E58" s="292"/>
      <c r="F58" s="292"/>
      <c r="G58" s="402"/>
      <c r="H58" s="402"/>
      <c r="I58" s="402"/>
      <c r="J58" s="402"/>
      <c r="K58" s="402"/>
      <c r="L58" s="402"/>
      <c r="M58" s="402"/>
      <c r="N58" s="402"/>
      <c r="O58" s="402"/>
      <c r="P58" s="402"/>
      <c r="Q58" s="402"/>
      <c r="R58" s="402"/>
      <c r="S58" s="402"/>
      <c r="T58" s="402"/>
      <c r="U58" s="402"/>
      <c r="V58" s="402"/>
      <c r="W58" s="402"/>
      <c r="X58" s="402"/>
      <c r="Y58" s="402"/>
      <c r="Z58" s="402"/>
      <c r="AA58" s="402"/>
    </row>
    <row r="59">
      <c r="A59" s="292"/>
      <c r="B59" s="441" t="s">
        <v>1070</v>
      </c>
      <c r="C59" s="441">
        <v>300.0</v>
      </c>
      <c r="D59" s="292"/>
      <c r="E59" s="292"/>
      <c r="F59" s="292"/>
      <c r="G59" s="402"/>
      <c r="H59" s="402"/>
      <c r="I59" s="402"/>
      <c r="J59" s="402"/>
      <c r="K59" s="402"/>
      <c r="L59" s="402"/>
      <c r="M59" s="402"/>
      <c r="N59" s="402"/>
      <c r="O59" s="402"/>
      <c r="P59" s="402"/>
      <c r="Q59" s="402"/>
      <c r="R59" s="402"/>
      <c r="S59" s="402"/>
      <c r="T59" s="402"/>
      <c r="U59" s="402"/>
      <c r="V59" s="402"/>
      <c r="W59" s="402"/>
      <c r="X59" s="402"/>
      <c r="Y59" s="402"/>
      <c r="Z59" s="402"/>
      <c r="AA59" s="402"/>
    </row>
    <row r="60">
      <c r="A60" s="292"/>
      <c r="B60" s="441" t="s">
        <v>1071</v>
      </c>
      <c r="C60" s="441">
        <v>300.0</v>
      </c>
      <c r="D60" s="292"/>
      <c r="E60" s="292"/>
      <c r="F60" s="292"/>
      <c r="G60" s="402"/>
      <c r="H60" s="402"/>
      <c r="I60" s="402"/>
      <c r="J60" s="402"/>
      <c r="K60" s="402"/>
      <c r="L60" s="402"/>
      <c r="M60" s="402"/>
      <c r="N60" s="402"/>
      <c r="O60" s="402"/>
      <c r="P60" s="402"/>
      <c r="Q60" s="402"/>
      <c r="R60" s="402"/>
      <c r="S60" s="402"/>
      <c r="T60" s="402"/>
      <c r="U60" s="402"/>
      <c r="V60" s="402"/>
      <c r="W60" s="402"/>
      <c r="X60" s="402"/>
      <c r="Y60" s="402"/>
      <c r="Z60" s="402"/>
      <c r="AA60" s="402"/>
    </row>
    <row r="61">
      <c r="A61" s="292"/>
      <c r="B61" s="441" t="s">
        <v>1072</v>
      </c>
      <c r="C61" s="441">
        <v>300.0</v>
      </c>
      <c r="D61" s="292"/>
      <c r="E61" s="292"/>
      <c r="F61" s="292"/>
      <c r="G61" s="402"/>
      <c r="H61" s="402"/>
      <c r="I61" s="402"/>
      <c r="J61" s="402"/>
      <c r="K61" s="402"/>
      <c r="L61" s="402"/>
      <c r="M61" s="402"/>
      <c r="N61" s="402"/>
      <c r="O61" s="402"/>
      <c r="P61" s="402"/>
      <c r="Q61" s="402"/>
      <c r="R61" s="402"/>
      <c r="S61" s="402"/>
      <c r="T61" s="402"/>
      <c r="U61" s="402"/>
      <c r="V61" s="402"/>
      <c r="W61" s="402"/>
      <c r="X61" s="402"/>
      <c r="Y61" s="402"/>
      <c r="Z61" s="402"/>
      <c r="AA61" s="402"/>
    </row>
    <row r="62">
      <c r="A62" s="77"/>
      <c r="B62" s="441" t="s">
        <v>1073</v>
      </c>
      <c r="C62" s="441">
        <v>300.0</v>
      </c>
      <c r="D62" s="77"/>
      <c r="E62" s="77"/>
      <c r="F62" s="77"/>
      <c r="G62" s="402"/>
      <c r="H62" s="402"/>
      <c r="I62" s="402"/>
      <c r="J62" s="402"/>
      <c r="K62" s="402"/>
      <c r="L62" s="402"/>
      <c r="M62" s="402"/>
      <c r="N62" s="402"/>
      <c r="O62" s="402"/>
      <c r="P62" s="402"/>
      <c r="Q62" s="402"/>
      <c r="R62" s="402"/>
      <c r="S62" s="402"/>
      <c r="T62" s="402"/>
      <c r="U62" s="402"/>
      <c r="V62" s="402"/>
      <c r="W62" s="402"/>
      <c r="X62" s="402"/>
      <c r="Y62" s="402"/>
      <c r="Z62" s="402"/>
      <c r="AA62" s="402"/>
    </row>
    <row r="63">
      <c r="A63" s="443" t="s">
        <v>9</v>
      </c>
      <c r="B63" s="443" t="s">
        <v>1074</v>
      </c>
      <c r="C63" s="443">
        <v>150.0</v>
      </c>
      <c r="D63" s="444">
        <f t="shared" ref="D63:D64" si="1">SUM(C63)</f>
        <v>150</v>
      </c>
      <c r="E63" s="443" t="s">
        <v>1011</v>
      </c>
      <c r="F63" s="445">
        <v>2024.0</v>
      </c>
      <c r="G63" s="402"/>
      <c r="H63" s="402"/>
      <c r="I63" s="402"/>
      <c r="J63" s="402"/>
      <c r="K63" s="402"/>
      <c r="L63" s="402"/>
      <c r="M63" s="402"/>
      <c r="N63" s="402"/>
      <c r="O63" s="402"/>
      <c r="P63" s="402"/>
      <c r="Q63" s="402"/>
      <c r="R63" s="402"/>
      <c r="S63" s="402"/>
      <c r="T63" s="402"/>
      <c r="U63" s="402"/>
      <c r="V63" s="402"/>
      <c r="W63" s="402"/>
      <c r="X63" s="402"/>
      <c r="Y63" s="402"/>
      <c r="Z63" s="402"/>
      <c r="AA63" s="402"/>
    </row>
    <row r="64">
      <c r="A64" s="446" t="s">
        <v>1075</v>
      </c>
      <c r="B64" s="447" t="s">
        <v>1076</v>
      </c>
      <c r="C64" s="448">
        <v>100.0</v>
      </c>
      <c r="D64" s="449">
        <f t="shared" si="1"/>
        <v>100</v>
      </c>
      <c r="E64" s="450" t="s">
        <v>1016</v>
      </c>
      <c r="F64" s="448">
        <v>2024.0</v>
      </c>
      <c r="G64" s="402"/>
      <c r="H64" s="402"/>
      <c r="I64" s="402"/>
      <c r="J64" s="402"/>
      <c r="K64" s="402"/>
      <c r="L64" s="402"/>
      <c r="M64" s="402"/>
      <c r="N64" s="402"/>
      <c r="O64" s="402"/>
      <c r="P64" s="402"/>
      <c r="Q64" s="402"/>
      <c r="R64" s="402"/>
      <c r="S64" s="402"/>
      <c r="T64" s="402"/>
      <c r="U64" s="402"/>
      <c r="V64" s="402"/>
      <c r="W64" s="402"/>
      <c r="X64" s="402"/>
      <c r="Y64" s="402"/>
      <c r="Z64" s="402"/>
      <c r="AA64" s="402"/>
    </row>
    <row r="65">
      <c r="A65" s="451" t="s">
        <v>1077</v>
      </c>
      <c r="B65" s="452"/>
      <c r="C65" s="452"/>
      <c r="D65" s="452"/>
      <c r="E65" s="453" t="s">
        <v>1078</v>
      </c>
      <c r="F65" s="454"/>
      <c r="G65" s="402"/>
      <c r="H65" s="402"/>
      <c r="I65" s="402"/>
      <c r="J65" s="402"/>
      <c r="K65" s="402"/>
      <c r="L65" s="402"/>
      <c r="M65" s="402"/>
      <c r="N65" s="402"/>
      <c r="O65" s="402"/>
      <c r="P65" s="402"/>
      <c r="Q65" s="402"/>
      <c r="R65" s="402"/>
      <c r="S65" s="402"/>
      <c r="T65" s="402"/>
      <c r="U65" s="402"/>
      <c r="V65" s="402"/>
      <c r="W65" s="402"/>
      <c r="X65" s="402"/>
      <c r="Y65" s="402"/>
      <c r="Z65" s="402"/>
      <c r="AA65" s="402"/>
    </row>
    <row r="66">
      <c r="A66" s="455"/>
      <c r="B66" s="455"/>
      <c r="C66" s="455"/>
      <c r="D66" s="455"/>
      <c r="E66" s="402"/>
      <c r="F66" s="402"/>
      <c r="G66" s="402"/>
      <c r="H66" s="402"/>
      <c r="I66" s="402"/>
      <c r="J66" s="402"/>
      <c r="K66" s="402"/>
      <c r="L66" s="402"/>
      <c r="M66" s="402"/>
      <c r="N66" s="402"/>
      <c r="O66" s="402"/>
      <c r="P66" s="402"/>
      <c r="Q66" s="402"/>
      <c r="R66" s="402"/>
      <c r="S66" s="402"/>
      <c r="T66" s="402"/>
      <c r="U66" s="402"/>
      <c r="V66" s="402"/>
      <c r="W66" s="402"/>
      <c r="X66" s="402"/>
      <c r="Y66" s="402"/>
      <c r="Z66" s="402"/>
      <c r="AA66" s="402"/>
    </row>
    <row r="67">
      <c r="A67" s="455"/>
      <c r="B67" s="402"/>
      <c r="C67" s="402"/>
      <c r="D67" s="402"/>
      <c r="E67" s="402"/>
      <c r="F67" s="402"/>
      <c r="G67" s="402"/>
      <c r="H67" s="402"/>
      <c r="I67" s="402"/>
      <c r="J67" s="402"/>
      <c r="K67" s="402"/>
      <c r="L67" s="402"/>
      <c r="M67" s="402"/>
      <c r="N67" s="402"/>
      <c r="O67" s="402"/>
      <c r="P67" s="402"/>
      <c r="Q67" s="402"/>
      <c r="R67" s="402"/>
      <c r="S67" s="402"/>
      <c r="T67" s="402"/>
      <c r="U67" s="402"/>
      <c r="V67" s="402"/>
      <c r="W67" s="402"/>
      <c r="X67" s="402"/>
      <c r="Y67" s="402"/>
      <c r="Z67" s="402"/>
      <c r="AA67" s="402"/>
    </row>
    <row r="68">
      <c r="A68" s="456"/>
      <c r="B68" s="455"/>
      <c r="C68" s="457" t="s">
        <v>1079</v>
      </c>
      <c r="D68" s="458">
        <f>SUM(D4:D64)</f>
        <v>6089</v>
      </c>
      <c r="E68" s="402"/>
      <c r="F68" s="402"/>
      <c r="G68" s="402"/>
      <c r="H68" s="402"/>
      <c r="I68" s="402"/>
      <c r="J68" s="402"/>
      <c r="K68" s="402"/>
      <c r="L68" s="402"/>
      <c r="M68" s="402"/>
      <c r="N68" s="402"/>
      <c r="O68" s="402"/>
      <c r="P68" s="402"/>
      <c r="Q68" s="402"/>
      <c r="R68" s="402"/>
      <c r="S68" s="402"/>
      <c r="T68" s="402"/>
      <c r="U68" s="402"/>
      <c r="V68" s="402"/>
      <c r="W68" s="402"/>
      <c r="X68" s="402"/>
      <c r="Y68" s="402"/>
      <c r="Z68" s="402"/>
      <c r="AA68" s="402"/>
    </row>
    <row r="69">
      <c r="A69" s="455"/>
      <c r="B69" s="455"/>
      <c r="C69" s="455"/>
      <c r="D69" s="455"/>
      <c r="E69" s="402"/>
      <c r="F69" s="402"/>
      <c r="G69" s="402"/>
      <c r="H69" s="402"/>
      <c r="I69" s="402"/>
      <c r="J69" s="402"/>
      <c r="K69" s="402"/>
      <c r="L69" s="402"/>
      <c r="M69" s="402"/>
      <c r="N69" s="402"/>
      <c r="O69" s="402"/>
      <c r="P69" s="402"/>
      <c r="Q69" s="402"/>
      <c r="R69" s="402"/>
      <c r="S69" s="402"/>
      <c r="T69" s="402"/>
      <c r="U69" s="402"/>
      <c r="V69" s="402"/>
      <c r="W69" s="402"/>
      <c r="X69" s="402"/>
      <c r="Y69" s="402"/>
      <c r="Z69" s="402"/>
      <c r="AA69" s="402"/>
    </row>
    <row r="70">
      <c r="A70" s="455"/>
      <c r="B70" s="455"/>
      <c r="C70" s="455"/>
      <c r="D70" s="455"/>
      <c r="E70" s="402"/>
      <c r="F70" s="402"/>
      <c r="G70" s="402"/>
      <c r="H70" s="402"/>
      <c r="I70" s="402"/>
      <c r="J70" s="402"/>
      <c r="K70" s="402"/>
      <c r="L70" s="402"/>
      <c r="M70" s="402"/>
      <c r="N70" s="402"/>
      <c r="O70" s="402"/>
      <c r="P70" s="402"/>
      <c r="Q70" s="402"/>
      <c r="R70" s="402"/>
      <c r="S70" s="402"/>
      <c r="T70" s="402"/>
      <c r="U70" s="402"/>
      <c r="V70" s="402"/>
      <c r="W70" s="402"/>
      <c r="X70" s="402"/>
      <c r="Y70" s="402"/>
      <c r="Z70" s="402"/>
      <c r="AA70" s="402"/>
    </row>
    <row r="71">
      <c r="A71" s="455"/>
      <c r="B71" s="455"/>
      <c r="C71" s="455"/>
      <c r="D71" s="455"/>
      <c r="E71" s="402"/>
      <c r="F71" s="402"/>
      <c r="G71" s="402"/>
      <c r="H71" s="402"/>
      <c r="I71" s="402"/>
      <c r="J71" s="402"/>
      <c r="K71" s="402"/>
      <c r="L71" s="402"/>
      <c r="M71" s="402"/>
      <c r="N71" s="402"/>
      <c r="O71" s="402"/>
      <c r="P71" s="402"/>
      <c r="Q71" s="402"/>
      <c r="R71" s="402"/>
      <c r="S71" s="402"/>
      <c r="T71" s="402"/>
      <c r="U71" s="402"/>
      <c r="V71" s="402"/>
      <c r="W71" s="402"/>
      <c r="X71" s="402"/>
      <c r="Y71" s="402"/>
      <c r="Z71" s="402"/>
      <c r="AA71" s="402"/>
    </row>
    <row r="72">
      <c r="A72" s="455"/>
      <c r="B72" s="455"/>
      <c r="C72" s="455"/>
      <c r="D72" s="455"/>
      <c r="E72" s="402"/>
      <c r="F72" s="402"/>
      <c r="G72" s="402"/>
      <c r="H72" s="402"/>
      <c r="I72" s="402"/>
      <c r="J72" s="402"/>
      <c r="K72" s="402"/>
      <c r="L72" s="402"/>
      <c r="M72" s="402"/>
      <c r="N72" s="402"/>
      <c r="O72" s="402"/>
      <c r="P72" s="402"/>
      <c r="Q72" s="402"/>
      <c r="R72" s="402"/>
      <c r="S72" s="402"/>
      <c r="T72" s="402"/>
      <c r="U72" s="402"/>
      <c r="V72" s="402"/>
      <c r="W72" s="402"/>
      <c r="X72" s="402"/>
      <c r="Y72" s="402"/>
      <c r="Z72" s="402"/>
      <c r="AA72" s="402"/>
    </row>
    <row r="73">
      <c r="A73" s="455"/>
      <c r="B73" s="455"/>
      <c r="C73" s="455"/>
      <c r="D73" s="455"/>
      <c r="E73" s="402"/>
      <c r="F73" s="402"/>
      <c r="G73" s="402"/>
      <c r="H73" s="402"/>
      <c r="I73" s="402"/>
      <c r="J73" s="402"/>
      <c r="K73" s="402"/>
      <c r="L73" s="402"/>
      <c r="M73" s="402"/>
      <c r="N73" s="402"/>
      <c r="O73" s="402"/>
      <c r="P73" s="402"/>
      <c r="Q73" s="402"/>
      <c r="R73" s="402"/>
      <c r="S73" s="402"/>
      <c r="T73" s="402"/>
      <c r="U73" s="402"/>
      <c r="V73" s="402"/>
      <c r="W73" s="402"/>
      <c r="X73" s="402"/>
      <c r="Y73" s="402"/>
      <c r="Z73" s="402"/>
      <c r="AA73" s="402"/>
    </row>
    <row r="74">
      <c r="A74" s="455"/>
      <c r="B74" s="455"/>
      <c r="C74" s="455"/>
      <c r="D74" s="455"/>
      <c r="E74" s="402"/>
      <c r="F74" s="402"/>
      <c r="G74" s="402"/>
      <c r="H74" s="402"/>
      <c r="I74" s="402"/>
      <c r="J74" s="402"/>
      <c r="K74" s="402"/>
      <c r="L74" s="402"/>
      <c r="M74" s="402"/>
      <c r="N74" s="402"/>
      <c r="O74" s="402"/>
      <c r="P74" s="402"/>
      <c r="Q74" s="402"/>
      <c r="R74" s="402"/>
      <c r="S74" s="402"/>
      <c r="T74" s="402"/>
      <c r="U74" s="402"/>
      <c r="V74" s="402"/>
      <c r="W74" s="402"/>
      <c r="X74" s="402"/>
      <c r="Y74" s="402"/>
      <c r="Z74" s="402"/>
      <c r="AA74" s="402"/>
    </row>
    <row r="75">
      <c r="A75" s="455"/>
      <c r="B75" s="455"/>
      <c r="C75" s="455"/>
      <c r="D75" s="455"/>
      <c r="E75" s="402"/>
      <c r="F75" s="402"/>
      <c r="G75" s="402"/>
      <c r="H75" s="402"/>
      <c r="I75" s="402"/>
      <c r="J75" s="402"/>
      <c r="K75" s="402"/>
      <c r="L75" s="402"/>
      <c r="M75" s="402"/>
      <c r="N75" s="402"/>
      <c r="O75" s="402"/>
      <c r="P75" s="402"/>
      <c r="Q75" s="402"/>
      <c r="R75" s="402"/>
      <c r="S75" s="402"/>
      <c r="T75" s="402"/>
      <c r="U75" s="402"/>
      <c r="V75" s="402"/>
      <c r="W75" s="402"/>
      <c r="X75" s="402"/>
      <c r="Y75" s="402"/>
      <c r="Z75" s="402"/>
      <c r="AA75" s="402"/>
    </row>
    <row r="76">
      <c r="A76" s="455"/>
      <c r="B76" s="455"/>
      <c r="C76" s="455"/>
      <c r="D76" s="455"/>
      <c r="E76" s="402"/>
      <c r="F76" s="402"/>
      <c r="G76" s="402"/>
      <c r="H76" s="402"/>
      <c r="I76" s="402"/>
      <c r="J76" s="402"/>
      <c r="K76" s="402"/>
      <c r="L76" s="402"/>
      <c r="M76" s="402"/>
      <c r="N76" s="402"/>
      <c r="O76" s="402"/>
      <c r="P76" s="402"/>
      <c r="Q76" s="402"/>
      <c r="R76" s="402"/>
      <c r="S76" s="402"/>
      <c r="T76" s="402"/>
      <c r="U76" s="402"/>
      <c r="V76" s="402"/>
      <c r="W76" s="402"/>
      <c r="X76" s="402"/>
      <c r="Y76" s="402"/>
      <c r="Z76" s="402"/>
      <c r="AA76" s="402"/>
    </row>
    <row r="77">
      <c r="A77" s="455"/>
      <c r="B77" s="455"/>
      <c r="C77" s="455"/>
      <c r="D77" s="455"/>
      <c r="E77" s="402"/>
      <c r="F77" s="402"/>
      <c r="G77" s="402"/>
      <c r="H77" s="402"/>
      <c r="I77" s="402"/>
      <c r="J77" s="402"/>
      <c r="K77" s="402"/>
      <c r="L77" s="402"/>
      <c r="M77" s="402"/>
      <c r="N77" s="402"/>
      <c r="O77" s="402"/>
      <c r="P77" s="402"/>
      <c r="Q77" s="402"/>
      <c r="R77" s="402"/>
      <c r="S77" s="402"/>
      <c r="T77" s="402"/>
      <c r="U77" s="402"/>
      <c r="V77" s="402"/>
      <c r="W77" s="402"/>
      <c r="X77" s="402"/>
      <c r="Y77" s="402"/>
      <c r="Z77" s="402"/>
      <c r="AA77" s="402"/>
    </row>
    <row r="78">
      <c r="A78" s="455"/>
      <c r="B78" s="455"/>
      <c r="C78" s="455"/>
      <c r="D78" s="455"/>
      <c r="E78" s="402"/>
      <c r="F78" s="402"/>
      <c r="G78" s="402"/>
      <c r="H78" s="402"/>
      <c r="I78" s="402"/>
      <c r="J78" s="402"/>
      <c r="K78" s="402"/>
      <c r="L78" s="402"/>
      <c r="M78" s="402"/>
      <c r="N78" s="402"/>
      <c r="O78" s="402"/>
      <c r="P78" s="402"/>
      <c r="Q78" s="402"/>
      <c r="R78" s="402"/>
      <c r="S78" s="402"/>
      <c r="T78" s="402"/>
      <c r="U78" s="402"/>
      <c r="V78" s="402"/>
      <c r="W78" s="402"/>
      <c r="X78" s="402"/>
      <c r="Y78" s="402"/>
      <c r="Z78" s="402"/>
      <c r="AA78" s="402"/>
    </row>
    <row r="79">
      <c r="A79" s="455"/>
      <c r="B79" s="455"/>
      <c r="C79" s="455"/>
      <c r="D79" s="455"/>
      <c r="E79" s="402"/>
      <c r="F79" s="402"/>
      <c r="G79" s="402"/>
      <c r="H79" s="402"/>
      <c r="I79" s="402"/>
      <c r="J79" s="402"/>
      <c r="K79" s="402"/>
      <c r="L79" s="402"/>
      <c r="M79" s="402"/>
      <c r="N79" s="402"/>
      <c r="O79" s="402"/>
      <c r="P79" s="402"/>
      <c r="Q79" s="402"/>
      <c r="R79" s="402"/>
      <c r="S79" s="402"/>
      <c r="T79" s="402"/>
      <c r="U79" s="402"/>
      <c r="V79" s="402"/>
      <c r="W79" s="402"/>
      <c r="X79" s="402"/>
      <c r="Y79" s="402"/>
      <c r="Z79" s="402"/>
      <c r="AA79" s="402"/>
    </row>
    <row r="80">
      <c r="A80" s="455"/>
      <c r="B80" s="455"/>
      <c r="C80" s="455"/>
      <c r="D80" s="455"/>
      <c r="E80" s="402"/>
      <c r="F80" s="402"/>
      <c r="G80" s="402"/>
      <c r="H80" s="402"/>
      <c r="I80" s="402"/>
      <c r="J80" s="402"/>
      <c r="K80" s="402"/>
      <c r="L80" s="402"/>
      <c r="M80" s="402"/>
      <c r="N80" s="402"/>
      <c r="O80" s="402"/>
      <c r="P80" s="402"/>
      <c r="Q80" s="402"/>
      <c r="R80" s="402"/>
      <c r="S80" s="402"/>
      <c r="T80" s="402"/>
      <c r="U80" s="402"/>
      <c r="V80" s="402"/>
      <c r="W80" s="402"/>
      <c r="X80" s="402"/>
      <c r="Y80" s="402"/>
      <c r="Z80" s="402"/>
      <c r="AA80" s="402"/>
    </row>
    <row r="81">
      <c r="A81" s="455"/>
      <c r="B81" s="455"/>
      <c r="C81" s="455"/>
      <c r="D81" s="455"/>
      <c r="E81" s="402"/>
      <c r="F81" s="402"/>
      <c r="G81" s="402"/>
      <c r="H81" s="402"/>
      <c r="I81" s="402"/>
      <c r="J81" s="402"/>
      <c r="K81" s="402"/>
      <c r="L81" s="402"/>
      <c r="M81" s="402"/>
      <c r="N81" s="402"/>
      <c r="O81" s="402"/>
      <c r="P81" s="402"/>
      <c r="Q81" s="402"/>
      <c r="R81" s="402"/>
      <c r="S81" s="402"/>
      <c r="T81" s="402"/>
      <c r="U81" s="402"/>
      <c r="V81" s="402"/>
      <c r="W81" s="402"/>
      <c r="X81" s="402"/>
      <c r="Y81" s="402"/>
      <c r="Z81" s="402"/>
      <c r="AA81" s="402"/>
    </row>
    <row r="82">
      <c r="A82" s="455"/>
      <c r="B82" s="455"/>
      <c r="C82" s="455"/>
      <c r="D82" s="455"/>
      <c r="E82" s="402"/>
      <c r="F82" s="402"/>
      <c r="G82" s="402"/>
      <c r="H82" s="402"/>
      <c r="I82" s="402"/>
      <c r="J82" s="402"/>
      <c r="K82" s="402"/>
      <c r="L82" s="402"/>
      <c r="M82" s="402"/>
      <c r="N82" s="402"/>
      <c r="O82" s="402"/>
      <c r="P82" s="402"/>
      <c r="Q82" s="402"/>
      <c r="R82" s="402"/>
      <c r="S82" s="402"/>
      <c r="T82" s="402"/>
      <c r="U82" s="402"/>
      <c r="V82" s="402"/>
      <c r="W82" s="402"/>
      <c r="X82" s="402"/>
      <c r="Y82" s="402"/>
      <c r="Z82" s="402"/>
      <c r="AA82" s="402"/>
    </row>
    <row r="83">
      <c r="A83" s="455"/>
      <c r="B83" s="455"/>
      <c r="C83" s="455"/>
      <c r="D83" s="455"/>
      <c r="E83" s="402"/>
      <c r="F83" s="402"/>
      <c r="G83" s="402"/>
      <c r="H83" s="402"/>
      <c r="I83" s="402"/>
      <c r="J83" s="402"/>
      <c r="K83" s="402"/>
      <c r="L83" s="402"/>
      <c r="M83" s="402"/>
      <c r="N83" s="402"/>
      <c r="O83" s="402"/>
      <c r="P83" s="402"/>
      <c r="Q83" s="402"/>
      <c r="R83" s="402"/>
      <c r="S83" s="402"/>
      <c r="T83" s="402"/>
      <c r="U83" s="402"/>
      <c r="V83" s="402"/>
      <c r="W83" s="402"/>
      <c r="X83" s="402"/>
      <c r="Y83" s="402"/>
      <c r="Z83" s="402"/>
      <c r="AA83" s="402"/>
    </row>
    <row r="84">
      <c r="A84" s="455"/>
      <c r="B84" s="455"/>
      <c r="C84" s="455"/>
      <c r="D84" s="455"/>
      <c r="E84" s="402"/>
      <c r="F84" s="402"/>
      <c r="G84" s="402"/>
      <c r="H84" s="402"/>
      <c r="I84" s="402"/>
      <c r="J84" s="402"/>
      <c r="K84" s="402"/>
      <c r="L84" s="402"/>
      <c r="M84" s="402"/>
      <c r="N84" s="402"/>
      <c r="O84" s="402"/>
      <c r="P84" s="402"/>
      <c r="Q84" s="402"/>
      <c r="R84" s="402"/>
      <c r="S84" s="402"/>
      <c r="T84" s="402"/>
      <c r="U84" s="402"/>
      <c r="V84" s="402"/>
      <c r="W84" s="402"/>
      <c r="X84" s="402"/>
      <c r="Y84" s="402"/>
      <c r="Z84" s="402"/>
      <c r="AA84" s="402"/>
    </row>
    <row r="85">
      <c r="A85" s="455"/>
      <c r="B85" s="455"/>
      <c r="C85" s="455"/>
      <c r="D85" s="455"/>
      <c r="E85" s="402"/>
      <c r="F85" s="402"/>
      <c r="G85" s="402"/>
      <c r="H85" s="402"/>
      <c r="I85" s="402"/>
      <c r="J85" s="402"/>
      <c r="K85" s="402"/>
      <c r="L85" s="402"/>
      <c r="M85" s="402"/>
      <c r="N85" s="402"/>
      <c r="O85" s="402"/>
      <c r="P85" s="402"/>
      <c r="Q85" s="402"/>
      <c r="R85" s="402"/>
      <c r="S85" s="402"/>
      <c r="T85" s="402"/>
      <c r="U85" s="402"/>
      <c r="V85" s="402"/>
      <c r="W85" s="402"/>
      <c r="X85" s="402"/>
      <c r="Y85" s="402"/>
      <c r="Z85" s="402"/>
      <c r="AA85" s="402"/>
    </row>
    <row r="86">
      <c r="A86" s="455"/>
      <c r="B86" s="455"/>
      <c r="C86" s="455"/>
      <c r="D86" s="455"/>
      <c r="E86" s="402"/>
      <c r="F86" s="402"/>
      <c r="G86" s="402"/>
      <c r="H86" s="402"/>
      <c r="I86" s="402"/>
      <c r="J86" s="402"/>
      <c r="K86" s="402"/>
      <c r="L86" s="402"/>
      <c r="M86" s="402"/>
      <c r="N86" s="402"/>
      <c r="O86" s="402"/>
      <c r="P86" s="402"/>
      <c r="Q86" s="402"/>
      <c r="R86" s="402"/>
      <c r="S86" s="402"/>
      <c r="T86" s="402"/>
      <c r="U86" s="402"/>
      <c r="V86" s="402"/>
      <c r="W86" s="402"/>
      <c r="X86" s="402"/>
      <c r="Y86" s="402"/>
      <c r="Z86" s="402"/>
      <c r="AA86" s="402"/>
    </row>
    <row r="87">
      <c r="A87" s="455"/>
      <c r="B87" s="455"/>
      <c r="C87" s="455"/>
      <c r="D87" s="455"/>
      <c r="E87" s="402"/>
      <c r="F87" s="402"/>
      <c r="G87" s="402"/>
      <c r="H87" s="402"/>
      <c r="I87" s="402"/>
      <c r="J87" s="402"/>
      <c r="K87" s="402"/>
      <c r="L87" s="402"/>
      <c r="M87" s="402"/>
      <c r="N87" s="402"/>
      <c r="O87" s="402"/>
      <c r="P87" s="402"/>
      <c r="Q87" s="402"/>
      <c r="R87" s="402"/>
      <c r="S87" s="402"/>
      <c r="T87" s="402"/>
      <c r="U87" s="402"/>
      <c r="V87" s="402"/>
      <c r="W87" s="402"/>
      <c r="X87" s="402"/>
      <c r="Y87" s="402"/>
      <c r="Z87" s="402"/>
      <c r="AA87" s="402"/>
    </row>
    <row r="88">
      <c r="A88" s="455"/>
      <c r="B88" s="455"/>
      <c r="C88" s="455"/>
      <c r="D88" s="455"/>
      <c r="E88" s="402"/>
      <c r="F88" s="402"/>
      <c r="G88" s="402"/>
      <c r="H88" s="402"/>
      <c r="I88" s="402"/>
      <c r="J88" s="402"/>
      <c r="K88" s="402"/>
      <c r="L88" s="402"/>
      <c r="M88" s="402"/>
      <c r="N88" s="402"/>
      <c r="O88" s="402"/>
      <c r="P88" s="402"/>
      <c r="Q88" s="402"/>
      <c r="R88" s="402"/>
      <c r="S88" s="402"/>
      <c r="T88" s="402"/>
      <c r="U88" s="402"/>
      <c r="V88" s="402"/>
      <c r="W88" s="402"/>
      <c r="X88" s="402"/>
      <c r="Y88" s="402"/>
      <c r="Z88" s="402"/>
      <c r="AA88" s="402"/>
    </row>
    <row r="89">
      <c r="A89" s="455"/>
      <c r="B89" s="455"/>
      <c r="C89" s="455"/>
      <c r="D89" s="455"/>
      <c r="E89" s="402"/>
      <c r="F89" s="402"/>
      <c r="G89" s="402"/>
      <c r="H89" s="402"/>
      <c r="I89" s="402"/>
      <c r="J89" s="402"/>
      <c r="K89" s="402"/>
      <c r="L89" s="402"/>
      <c r="M89" s="402"/>
      <c r="N89" s="402"/>
      <c r="O89" s="402"/>
      <c r="P89" s="402"/>
      <c r="Q89" s="402"/>
      <c r="R89" s="402"/>
      <c r="S89" s="402"/>
      <c r="T89" s="402"/>
      <c r="U89" s="402"/>
      <c r="V89" s="402"/>
      <c r="W89" s="402"/>
      <c r="X89" s="402"/>
      <c r="Y89" s="402"/>
      <c r="Z89" s="402"/>
      <c r="AA89" s="402"/>
    </row>
    <row r="90">
      <c r="A90" s="455"/>
      <c r="B90" s="455"/>
      <c r="C90" s="455"/>
      <c r="D90" s="455"/>
      <c r="E90" s="402"/>
      <c r="F90" s="402"/>
      <c r="G90" s="402"/>
      <c r="H90" s="402"/>
      <c r="I90" s="402"/>
      <c r="J90" s="402"/>
      <c r="K90" s="402"/>
      <c r="L90" s="402"/>
      <c r="M90" s="402"/>
      <c r="N90" s="402"/>
      <c r="O90" s="402"/>
      <c r="P90" s="402"/>
      <c r="Q90" s="402"/>
      <c r="R90" s="402"/>
      <c r="S90" s="402"/>
      <c r="T90" s="402"/>
      <c r="U90" s="402"/>
      <c r="V90" s="402"/>
      <c r="W90" s="402"/>
      <c r="X90" s="402"/>
      <c r="Y90" s="402"/>
      <c r="Z90" s="402"/>
      <c r="AA90" s="402"/>
    </row>
    <row r="91">
      <c r="A91" s="455"/>
      <c r="B91" s="455"/>
      <c r="C91" s="455"/>
      <c r="D91" s="455"/>
      <c r="E91" s="402"/>
      <c r="F91" s="402"/>
      <c r="G91" s="402"/>
      <c r="H91" s="402"/>
      <c r="I91" s="402"/>
      <c r="J91" s="402"/>
      <c r="K91" s="402"/>
      <c r="L91" s="402"/>
      <c r="M91" s="402"/>
      <c r="N91" s="402"/>
      <c r="O91" s="402"/>
      <c r="P91" s="402"/>
      <c r="Q91" s="402"/>
      <c r="R91" s="402"/>
      <c r="S91" s="402"/>
      <c r="T91" s="402"/>
      <c r="U91" s="402"/>
      <c r="V91" s="402"/>
      <c r="W91" s="402"/>
      <c r="X91" s="402"/>
      <c r="Y91" s="402"/>
      <c r="Z91" s="402"/>
      <c r="AA91" s="402"/>
    </row>
    <row r="92">
      <c r="A92" s="455"/>
      <c r="B92" s="455"/>
      <c r="C92" s="455"/>
      <c r="D92" s="455"/>
      <c r="E92" s="402"/>
      <c r="F92" s="402"/>
      <c r="G92" s="402"/>
      <c r="H92" s="402"/>
      <c r="I92" s="402"/>
      <c r="J92" s="402"/>
      <c r="K92" s="402"/>
      <c r="L92" s="402"/>
      <c r="M92" s="402"/>
      <c r="N92" s="402"/>
      <c r="O92" s="402"/>
      <c r="P92" s="402"/>
      <c r="Q92" s="402"/>
      <c r="R92" s="402"/>
      <c r="S92" s="402"/>
      <c r="T92" s="402"/>
      <c r="U92" s="402"/>
      <c r="V92" s="402"/>
      <c r="W92" s="402"/>
      <c r="X92" s="402"/>
      <c r="Y92" s="402"/>
      <c r="Z92" s="402"/>
      <c r="AA92" s="402"/>
    </row>
    <row r="93">
      <c r="A93" s="455"/>
      <c r="B93" s="455"/>
      <c r="C93" s="455"/>
      <c r="D93" s="455"/>
      <c r="E93" s="402"/>
      <c r="F93" s="402"/>
      <c r="G93" s="402"/>
      <c r="H93" s="402"/>
      <c r="I93" s="402"/>
      <c r="J93" s="402"/>
      <c r="K93" s="402"/>
      <c r="L93" s="402"/>
      <c r="M93" s="402"/>
      <c r="N93" s="402"/>
      <c r="O93" s="402"/>
      <c r="P93" s="402"/>
      <c r="Q93" s="402"/>
      <c r="R93" s="402"/>
      <c r="S93" s="402"/>
      <c r="T93" s="402"/>
      <c r="U93" s="402"/>
      <c r="V93" s="402"/>
      <c r="W93" s="402"/>
      <c r="X93" s="402"/>
      <c r="Y93" s="402"/>
      <c r="Z93" s="402"/>
      <c r="AA93" s="402"/>
    </row>
    <row r="94">
      <c r="A94" s="455"/>
      <c r="B94" s="455"/>
      <c r="C94" s="455"/>
      <c r="D94" s="455"/>
      <c r="E94" s="402"/>
      <c r="F94" s="402"/>
      <c r="G94" s="402"/>
      <c r="H94" s="402"/>
      <c r="I94" s="402"/>
      <c r="J94" s="402"/>
      <c r="K94" s="402"/>
      <c r="L94" s="402"/>
      <c r="M94" s="402"/>
      <c r="N94" s="402"/>
      <c r="O94" s="402"/>
      <c r="P94" s="402"/>
      <c r="Q94" s="402"/>
      <c r="R94" s="402"/>
      <c r="S94" s="402"/>
      <c r="T94" s="402"/>
      <c r="U94" s="402"/>
      <c r="V94" s="402"/>
      <c r="W94" s="402"/>
      <c r="X94" s="402"/>
      <c r="Y94" s="402"/>
      <c r="Z94" s="402"/>
      <c r="AA94" s="402"/>
    </row>
    <row r="95">
      <c r="A95" s="455"/>
      <c r="B95" s="455"/>
      <c r="C95" s="455"/>
      <c r="D95" s="455"/>
      <c r="E95" s="402"/>
      <c r="F95" s="402"/>
      <c r="G95" s="402"/>
      <c r="H95" s="402"/>
      <c r="I95" s="402"/>
      <c r="J95" s="402"/>
      <c r="K95" s="402"/>
      <c r="L95" s="402"/>
      <c r="M95" s="402"/>
      <c r="N95" s="402"/>
      <c r="O95" s="402"/>
      <c r="P95" s="402"/>
      <c r="Q95" s="402"/>
      <c r="R95" s="402"/>
      <c r="S95" s="402"/>
      <c r="T95" s="402"/>
      <c r="U95" s="402"/>
      <c r="V95" s="402"/>
      <c r="W95" s="402"/>
      <c r="X95" s="402"/>
      <c r="Y95" s="402"/>
      <c r="Z95" s="402"/>
      <c r="AA95" s="402"/>
    </row>
    <row r="96">
      <c r="A96" s="455"/>
      <c r="B96" s="455"/>
      <c r="C96" s="455"/>
      <c r="D96" s="455"/>
      <c r="E96" s="402"/>
      <c r="F96" s="402"/>
      <c r="G96" s="402"/>
      <c r="H96" s="402"/>
      <c r="I96" s="402"/>
      <c r="J96" s="402"/>
      <c r="K96" s="402"/>
      <c r="L96" s="402"/>
      <c r="M96" s="402"/>
      <c r="N96" s="402"/>
      <c r="O96" s="402"/>
      <c r="P96" s="402"/>
      <c r="Q96" s="402"/>
      <c r="R96" s="402"/>
      <c r="S96" s="402"/>
      <c r="T96" s="402"/>
      <c r="U96" s="402"/>
      <c r="V96" s="402"/>
      <c r="W96" s="402"/>
      <c r="X96" s="402"/>
      <c r="Y96" s="402"/>
      <c r="Z96" s="402"/>
      <c r="AA96" s="402"/>
    </row>
    <row r="97">
      <c r="A97" s="455"/>
      <c r="B97" s="455"/>
      <c r="C97" s="455"/>
      <c r="D97" s="455"/>
      <c r="E97" s="402"/>
      <c r="F97" s="402"/>
      <c r="G97" s="402"/>
      <c r="H97" s="402"/>
      <c r="I97" s="402"/>
      <c r="J97" s="402"/>
      <c r="K97" s="402"/>
      <c r="L97" s="402"/>
      <c r="M97" s="402"/>
      <c r="N97" s="402"/>
      <c r="O97" s="402"/>
      <c r="P97" s="402"/>
      <c r="Q97" s="402"/>
      <c r="R97" s="402"/>
      <c r="S97" s="402"/>
      <c r="T97" s="402"/>
      <c r="U97" s="402"/>
      <c r="V97" s="402"/>
      <c r="W97" s="402"/>
      <c r="X97" s="402"/>
      <c r="Y97" s="402"/>
      <c r="Z97" s="402"/>
      <c r="AA97" s="402"/>
    </row>
    <row r="98">
      <c r="A98" s="455"/>
      <c r="B98" s="455"/>
      <c r="C98" s="455"/>
      <c r="D98" s="455"/>
      <c r="E98" s="402"/>
      <c r="F98" s="402"/>
      <c r="G98" s="402"/>
      <c r="H98" s="402"/>
      <c r="I98" s="402"/>
      <c r="J98" s="402"/>
      <c r="K98" s="402"/>
      <c r="L98" s="402"/>
      <c r="M98" s="402"/>
      <c r="N98" s="402"/>
      <c r="O98" s="402"/>
      <c r="P98" s="402"/>
      <c r="Q98" s="402"/>
      <c r="R98" s="402"/>
      <c r="S98" s="402"/>
      <c r="T98" s="402"/>
      <c r="U98" s="402"/>
      <c r="V98" s="402"/>
      <c r="W98" s="402"/>
      <c r="X98" s="402"/>
      <c r="Y98" s="402"/>
      <c r="Z98" s="402"/>
      <c r="AA98" s="402"/>
    </row>
    <row r="99">
      <c r="A99" s="455"/>
      <c r="B99" s="455"/>
      <c r="C99" s="455"/>
      <c r="D99" s="455"/>
      <c r="E99" s="402"/>
      <c r="F99" s="402"/>
      <c r="G99" s="402"/>
      <c r="H99" s="402"/>
      <c r="I99" s="402"/>
      <c r="J99" s="402"/>
      <c r="K99" s="402"/>
      <c r="L99" s="402"/>
      <c r="M99" s="402"/>
      <c r="N99" s="402"/>
      <c r="O99" s="402"/>
      <c r="P99" s="402"/>
      <c r="Q99" s="402"/>
      <c r="R99" s="402"/>
      <c r="S99" s="402"/>
      <c r="T99" s="402"/>
      <c r="U99" s="402"/>
      <c r="V99" s="402"/>
      <c r="W99" s="402"/>
      <c r="X99" s="402"/>
      <c r="Y99" s="402"/>
      <c r="Z99" s="402"/>
      <c r="AA99" s="402"/>
    </row>
    <row r="100">
      <c r="A100" s="455"/>
      <c r="B100" s="455"/>
      <c r="C100" s="455"/>
      <c r="D100" s="455"/>
      <c r="E100" s="402"/>
      <c r="F100" s="402"/>
      <c r="G100" s="402"/>
      <c r="H100" s="402"/>
      <c r="I100" s="402"/>
      <c r="J100" s="402"/>
      <c r="K100" s="402"/>
      <c r="L100" s="402"/>
      <c r="M100" s="402"/>
      <c r="N100" s="402"/>
      <c r="O100" s="402"/>
      <c r="P100" s="402"/>
      <c r="Q100" s="402"/>
      <c r="R100" s="402"/>
      <c r="S100" s="402"/>
      <c r="T100" s="402"/>
      <c r="U100" s="402"/>
      <c r="V100" s="402"/>
      <c r="W100" s="402"/>
      <c r="X100" s="402"/>
      <c r="Y100" s="402"/>
      <c r="Z100" s="402"/>
      <c r="AA100" s="402"/>
    </row>
    <row r="101">
      <c r="A101" s="455"/>
      <c r="B101" s="455"/>
      <c r="C101" s="455"/>
      <c r="D101" s="455"/>
      <c r="E101" s="402"/>
      <c r="F101" s="402"/>
      <c r="G101" s="402"/>
      <c r="H101" s="402"/>
      <c r="I101" s="402"/>
      <c r="J101" s="402"/>
      <c r="K101" s="402"/>
      <c r="L101" s="402"/>
      <c r="M101" s="402"/>
      <c r="N101" s="402"/>
      <c r="O101" s="402"/>
      <c r="P101" s="402"/>
      <c r="Q101" s="402"/>
      <c r="R101" s="402"/>
      <c r="S101" s="402"/>
      <c r="T101" s="402"/>
      <c r="U101" s="402"/>
      <c r="V101" s="402"/>
      <c r="W101" s="402"/>
      <c r="X101" s="402"/>
      <c r="Y101" s="402"/>
      <c r="Z101" s="402"/>
      <c r="AA101" s="402"/>
    </row>
    <row r="102">
      <c r="A102" s="455"/>
      <c r="B102" s="455"/>
      <c r="C102" s="455"/>
      <c r="D102" s="455"/>
      <c r="E102" s="402"/>
      <c r="F102" s="402"/>
      <c r="G102" s="402"/>
      <c r="H102" s="402"/>
      <c r="I102" s="402"/>
      <c r="J102" s="402"/>
      <c r="K102" s="402"/>
      <c r="L102" s="402"/>
      <c r="M102" s="402"/>
      <c r="N102" s="402"/>
      <c r="O102" s="402"/>
      <c r="P102" s="402"/>
      <c r="Q102" s="402"/>
      <c r="R102" s="402"/>
      <c r="S102" s="402"/>
      <c r="T102" s="402"/>
      <c r="U102" s="402"/>
      <c r="V102" s="402"/>
      <c r="W102" s="402"/>
      <c r="X102" s="402"/>
      <c r="Y102" s="402"/>
      <c r="Z102" s="402"/>
      <c r="AA102" s="402"/>
    </row>
    <row r="103">
      <c r="A103" s="455"/>
      <c r="B103" s="455"/>
      <c r="C103" s="455"/>
      <c r="D103" s="455"/>
      <c r="E103" s="402"/>
      <c r="F103" s="402"/>
      <c r="G103" s="402"/>
      <c r="H103" s="402"/>
      <c r="I103" s="402"/>
      <c r="J103" s="402"/>
      <c r="K103" s="402"/>
      <c r="L103" s="402"/>
      <c r="M103" s="402"/>
      <c r="N103" s="402"/>
      <c r="O103" s="402"/>
      <c r="P103" s="402"/>
      <c r="Q103" s="402"/>
      <c r="R103" s="402"/>
      <c r="S103" s="402"/>
      <c r="T103" s="402"/>
      <c r="U103" s="402"/>
      <c r="V103" s="402"/>
      <c r="W103" s="402"/>
      <c r="X103" s="402"/>
      <c r="Y103" s="402"/>
      <c r="Z103" s="402"/>
      <c r="AA103" s="402"/>
    </row>
    <row r="104">
      <c r="A104" s="455"/>
      <c r="B104" s="455"/>
      <c r="C104" s="455"/>
      <c r="D104" s="455"/>
      <c r="E104" s="402"/>
      <c r="F104" s="402"/>
      <c r="G104" s="402"/>
      <c r="H104" s="402"/>
      <c r="I104" s="402"/>
      <c r="J104" s="402"/>
      <c r="K104" s="402"/>
      <c r="L104" s="402"/>
      <c r="M104" s="402"/>
      <c r="N104" s="402"/>
      <c r="O104" s="402"/>
      <c r="P104" s="402"/>
      <c r="Q104" s="402"/>
      <c r="R104" s="402"/>
      <c r="S104" s="402"/>
      <c r="T104" s="402"/>
      <c r="U104" s="402"/>
      <c r="V104" s="402"/>
      <c r="W104" s="402"/>
      <c r="X104" s="402"/>
      <c r="Y104" s="402"/>
      <c r="Z104" s="402"/>
      <c r="AA104" s="402"/>
    </row>
    <row r="105">
      <c r="A105" s="455"/>
      <c r="B105" s="455"/>
      <c r="C105" s="455"/>
      <c r="D105" s="455"/>
      <c r="E105" s="402"/>
      <c r="F105" s="402"/>
      <c r="G105" s="402"/>
      <c r="H105" s="402"/>
      <c r="I105" s="402"/>
      <c r="J105" s="402"/>
      <c r="K105" s="402"/>
      <c r="L105" s="402"/>
      <c r="M105" s="402"/>
      <c r="N105" s="402"/>
      <c r="O105" s="402"/>
      <c r="P105" s="402"/>
      <c r="Q105" s="402"/>
      <c r="R105" s="402"/>
      <c r="S105" s="402"/>
      <c r="T105" s="402"/>
      <c r="U105" s="402"/>
      <c r="V105" s="402"/>
      <c r="W105" s="402"/>
      <c r="X105" s="402"/>
      <c r="Y105" s="402"/>
      <c r="Z105" s="402"/>
      <c r="AA105" s="402"/>
    </row>
    <row r="106">
      <c r="A106" s="455"/>
      <c r="B106" s="455"/>
      <c r="C106" s="455"/>
      <c r="D106" s="455"/>
      <c r="E106" s="402"/>
      <c r="F106" s="402"/>
      <c r="G106" s="402"/>
      <c r="H106" s="402"/>
      <c r="I106" s="402"/>
      <c r="J106" s="402"/>
      <c r="K106" s="402"/>
      <c r="L106" s="402"/>
      <c r="M106" s="402"/>
      <c r="N106" s="402"/>
      <c r="O106" s="402"/>
      <c r="P106" s="402"/>
      <c r="Q106" s="402"/>
      <c r="R106" s="402"/>
      <c r="S106" s="402"/>
      <c r="T106" s="402"/>
      <c r="U106" s="402"/>
      <c r="V106" s="402"/>
      <c r="W106" s="402"/>
      <c r="X106" s="402"/>
      <c r="Y106" s="402"/>
      <c r="Z106" s="402"/>
      <c r="AA106" s="402"/>
    </row>
    <row r="107">
      <c r="A107" s="455"/>
      <c r="B107" s="455"/>
      <c r="C107" s="455"/>
      <c r="D107" s="455"/>
      <c r="E107" s="402"/>
      <c r="F107" s="402"/>
      <c r="G107" s="402"/>
      <c r="H107" s="402"/>
      <c r="I107" s="402"/>
      <c r="J107" s="402"/>
      <c r="K107" s="402"/>
      <c r="L107" s="402"/>
      <c r="M107" s="402"/>
      <c r="N107" s="402"/>
      <c r="O107" s="402"/>
      <c r="P107" s="402"/>
      <c r="Q107" s="402"/>
      <c r="R107" s="402"/>
      <c r="S107" s="402"/>
      <c r="T107" s="402"/>
      <c r="U107" s="402"/>
      <c r="V107" s="402"/>
      <c r="W107" s="402"/>
      <c r="X107" s="402"/>
      <c r="Y107" s="402"/>
      <c r="Z107" s="402"/>
      <c r="AA107" s="402"/>
    </row>
    <row r="108">
      <c r="A108" s="455"/>
      <c r="B108" s="455"/>
      <c r="C108" s="455"/>
      <c r="D108" s="455"/>
      <c r="E108" s="402"/>
      <c r="F108" s="402"/>
      <c r="G108" s="402"/>
      <c r="H108" s="402"/>
      <c r="I108" s="402"/>
      <c r="J108" s="402"/>
      <c r="K108" s="402"/>
      <c r="L108" s="402"/>
      <c r="M108" s="402"/>
      <c r="N108" s="402"/>
      <c r="O108" s="402"/>
      <c r="P108" s="402"/>
      <c r="Q108" s="402"/>
      <c r="R108" s="402"/>
      <c r="S108" s="402"/>
      <c r="T108" s="402"/>
      <c r="U108" s="402"/>
      <c r="V108" s="402"/>
      <c r="W108" s="402"/>
      <c r="X108" s="402"/>
      <c r="Y108" s="402"/>
      <c r="Z108" s="402"/>
      <c r="AA108" s="402"/>
    </row>
    <row r="109">
      <c r="A109" s="455"/>
      <c r="B109" s="455"/>
      <c r="C109" s="455"/>
      <c r="D109" s="455"/>
      <c r="E109" s="402"/>
      <c r="F109" s="402"/>
      <c r="G109" s="402"/>
      <c r="H109" s="402"/>
      <c r="I109" s="402"/>
      <c r="J109" s="402"/>
      <c r="K109" s="402"/>
      <c r="L109" s="402"/>
      <c r="M109" s="402"/>
      <c r="N109" s="402"/>
      <c r="O109" s="402"/>
      <c r="P109" s="402"/>
      <c r="Q109" s="402"/>
      <c r="R109" s="402"/>
      <c r="S109" s="402"/>
      <c r="T109" s="402"/>
      <c r="U109" s="402"/>
      <c r="V109" s="402"/>
      <c r="W109" s="402"/>
      <c r="X109" s="402"/>
      <c r="Y109" s="402"/>
      <c r="Z109" s="402"/>
      <c r="AA109" s="402"/>
    </row>
    <row r="110">
      <c r="A110" s="455"/>
      <c r="B110" s="455"/>
      <c r="C110" s="455"/>
      <c r="D110" s="455"/>
      <c r="E110" s="402"/>
      <c r="F110" s="402"/>
      <c r="G110" s="402"/>
      <c r="H110" s="402"/>
      <c r="I110" s="402"/>
      <c r="J110" s="402"/>
      <c r="K110" s="402"/>
      <c r="L110" s="402"/>
      <c r="M110" s="402"/>
      <c r="N110" s="402"/>
      <c r="O110" s="402"/>
      <c r="P110" s="402"/>
      <c r="Q110" s="402"/>
      <c r="R110" s="402"/>
      <c r="S110" s="402"/>
      <c r="T110" s="402"/>
      <c r="U110" s="402"/>
      <c r="V110" s="402"/>
      <c r="W110" s="402"/>
      <c r="X110" s="402"/>
      <c r="Y110" s="402"/>
      <c r="Z110" s="402"/>
      <c r="AA110" s="402"/>
    </row>
    <row r="111">
      <c r="A111" s="455"/>
      <c r="B111" s="455"/>
      <c r="C111" s="455"/>
      <c r="D111" s="455"/>
      <c r="E111" s="402"/>
      <c r="F111" s="402"/>
      <c r="G111" s="402"/>
      <c r="H111" s="402"/>
      <c r="I111" s="402"/>
      <c r="J111" s="402"/>
      <c r="K111" s="402"/>
      <c r="L111" s="402"/>
      <c r="M111" s="402"/>
      <c r="N111" s="402"/>
      <c r="O111" s="402"/>
      <c r="P111" s="402"/>
      <c r="Q111" s="402"/>
      <c r="R111" s="402"/>
      <c r="S111" s="402"/>
      <c r="T111" s="402"/>
      <c r="U111" s="402"/>
      <c r="V111" s="402"/>
      <c r="W111" s="402"/>
      <c r="X111" s="402"/>
      <c r="Y111" s="402"/>
      <c r="Z111" s="402"/>
      <c r="AA111" s="402"/>
    </row>
    <row r="112">
      <c r="A112" s="455"/>
      <c r="B112" s="455"/>
      <c r="C112" s="455"/>
      <c r="D112" s="455"/>
      <c r="E112" s="402"/>
      <c r="F112" s="402"/>
      <c r="G112" s="402"/>
      <c r="H112" s="402"/>
      <c r="I112" s="402"/>
      <c r="J112" s="402"/>
      <c r="K112" s="402"/>
      <c r="L112" s="402"/>
      <c r="M112" s="402"/>
      <c r="N112" s="402"/>
      <c r="O112" s="402"/>
      <c r="P112" s="402"/>
      <c r="Q112" s="402"/>
      <c r="R112" s="402"/>
      <c r="S112" s="402"/>
      <c r="T112" s="402"/>
      <c r="U112" s="402"/>
      <c r="V112" s="402"/>
      <c r="W112" s="402"/>
      <c r="X112" s="402"/>
      <c r="Y112" s="402"/>
      <c r="Z112" s="402"/>
      <c r="AA112" s="402"/>
    </row>
    <row r="113">
      <c r="A113" s="455"/>
      <c r="B113" s="455"/>
      <c r="C113" s="455"/>
      <c r="D113" s="455"/>
      <c r="E113" s="402"/>
      <c r="F113" s="402"/>
      <c r="G113" s="402"/>
      <c r="H113" s="402"/>
      <c r="I113" s="402"/>
      <c r="J113" s="402"/>
      <c r="K113" s="402"/>
      <c r="L113" s="402"/>
      <c r="M113" s="402"/>
      <c r="N113" s="402"/>
      <c r="O113" s="402"/>
      <c r="P113" s="402"/>
      <c r="Q113" s="402"/>
      <c r="R113" s="402"/>
      <c r="S113" s="402"/>
      <c r="T113" s="402"/>
      <c r="U113" s="402"/>
      <c r="V113" s="402"/>
      <c r="W113" s="402"/>
      <c r="X113" s="402"/>
      <c r="Y113" s="402"/>
      <c r="Z113" s="402"/>
      <c r="AA113" s="402"/>
    </row>
    <row r="114">
      <c r="A114" s="455"/>
      <c r="B114" s="455"/>
      <c r="C114" s="455"/>
      <c r="D114" s="455"/>
      <c r="E114" s="402"/>
      <c r="F114" s="402"/>
      <c r="G114" s="402"/>
      <c r="H114" s="402"/>
      <c r="I114" s="402"/>
      <c r="J114" s="402"/>
      <c r="K114" s="402"/>
      <c r="L114" s="402"/>
      <c r="M114" s="402"/>
      <c r="N114" s="402"/>
      <c r="O114" s="402"/>
      <c r="P114" s="402"/>
      <c r="Q114" s="402"/>
      <c r="R114" s="402"/>
      <c r="S114" s="402"/>
      <c r="T114" s="402"/>
      <c r="U114" s="402"/>
      <c r="V114" s="402"/>
      <c r="W114" s="402"/>
      <c r="X114" s="402"/>
      <c r="Y114" s="402"/>
      <c r="Z114" s="402"/>
      <c r="AA114" s="402"/>
    </row>
    <row r="115">
      <c r="A115" s="455"/>
      <c r="B115" s="455"/>
      <c r="C115" s="455"/>
      <c r="D115" s="455"/>
      <c r="E115" s="402"/>
      <c r="F115" s="402"/>
      <c r="G115" s="402"/>
      <c r="H115" s="402"/>
      <c r="I115" s="402"/>
      <c r="J115" s="402"/>
      <c r="K115" s="402"/>
      <c r="L115" s="402"/>
      <c r="M115" s="402"/>
      <c r="N115" s="402"/>
      <c r="O115" s="402"/>
      <c r="P115" s="402"/>
      <c r="Q115" s="402"/>
      <c r="R115" s="402"/>
      <c r="S115" s="402"/>
      <c r="T115" s="402"/>
      <c r="U115" s="402"/>
      <c r="V115" s="402"/>
      <c r="W115" s="402"/>
      <c r="X115" s="402"/>
      <c r="Y115" s="402"/>
      <c r="Z115" s="402"/>
      <c r="AA115" s="402"/>
    </row>
    <row r="116">
      <c r="A116" s="455"/>
      <c r="B116" s="455"/>
      <c r="C116" s="455"/>
      <c r="D116" s="455"/>
      <c r="E116" s="402"/>
      <c r="F116" s="402"/>
      <c r="G116" s="402"/>
      <c r="H116" s="402"/>
      <c r="I116" s="402"/>
      <c r="J116" s="402"/>
      <c r="K116" s="402"/>
      <c r="L116" s="402"/>
      <c r="M116" s="402"/>
      <c r="N116" s="402"/>
      <c r="O116" s="402"/>
      <c r="P116" s="402"/>
      <c r="Q116" s="402"/>
      <c r="R116" s="402"/>
      <c r="S116" s="402"/>
      <c r="T116" s="402"/>
      <c r="U116" s="402"/>
      <c r="V116" s="402"/>
      <c r="W116" s="402"/>
      <c r="X116" s="402"/>
      <c r="Y116" s="402"/>
      <c r="Z116" s="402"/>
      <c r="AA116" s="402"/>
    </row>
    <row r="117">
      <c r="A117" s="455"/>
      <c r="B117" s="455"/>
      <c r="C117" s="455"/>
      <c r="D117" s="455"/>
      <c r="E117" s="402"/>
      <c r="F117" s="402"/>
      <c r="G117" s="402"/>
      <c r="H117" s="402"/>
      <c r="I117" s="402"/>
      <c r="J117" s="402"/>
      <c r="K117" s="402"/>
      <c r="L117" s="402"/>
      <c r="M117" s="402"/>
      <c r="N117" s="402"/>
      <c r="O117" s="402"/>
      <c r="P117" s="402"/>
      <c r="Q117" s="402"/>
      <c r="R117" s="402"/>
      <c r="S117" s="402"/>
      <c r="T117" s="402"/>
      <c r="U117" s="402"/>
      <c r="V117" s="402"/>
      <c r="W117" s="402"/>
      <c r="X117" s="402"/>
      <c r="Y117" s="402"/>
      <c r="Z117" s="402"/>
      <c r="AA117" s="402"/>
    </row>
    <row r="118">
      <c r="A118" s="455"/>
      <c r="B118" s="455"/>
      <c r="C118" s="455"/>
      <c r="D118" s="455"/>
      <c r="E118" s="402"/>
      <c r="F118" s="402"/>
      <c r="G118" s="402"/>
      <c r="H118" s="402"/>
      <c r="I118" s="402"/>
      <c r="J118" s="402"/>
      <c r="K118" s="402"/>
      <c r="L118" s="402"/>
      <c r="M118" s="402"/>
      <c r="N118" s="402"/>
      <c r="O118" s="402"/>
      <c r="P118" s="402"/>
      <c r="Q118" s="402"/>
      <c r="R118" s="402"/>
      <c r="S118" s="402"/>
      <c r="T118" s="402"/>
      <c r="U118" s="402"/>
      <c r="V118" s="402"/>
      <c r="W118" s="402"/>
      <c r="X118" s="402"/>
      <c r="Y118" s="402"/>
      <c r="Z118" s="402"/>
      <c r="AA118" s="402"/>
    </row>
    <row r="119">
      <c r="A119" s="455"/>
      <c r="B119" s="455"/>
      <c r="C119" s="455"/>
      <c r="D119" s="455"/>
      <c r="E119" s="402"/>
      <c r="F119" s="402"/>
      <c r="G119" s="402"/>
      <c r="H119" s="402"/>
      <c r="I119" s="402"/>
      <c r="J119" s="402"/>
      <c r="K119" s="402"/>
      <c r="L119" s="402"/>
      <c r="M119" s="402"/>
      <c r="N119" s="402"/>
      <c r="O119" s="402"/>
      <c r="P119" s="402"/>
      <c r="Q119" s="402"/>
      <c r="R119" s="402"/>
      <c r="S119" s="402"/>
      <c r="T119" s="402"/>
      <c r="U119" s="402"/>
      <c r="V119" s="402"/>
      <c r="W119" s="402"/>
      <c r="X119" s="402"/>
      <c r="Y119" s="402"/>
      <c r="Z119" s="402"/>
      <c r="AA119" s="402"/>
    </row>
    <row r="120">
      <c r="A120" s="455"/>
      <c r="B120" s="455"/>
      <c r="C120" s="455"/>
      <c r="D120" s="455"/>
      <c r="E120" s="402"/>
      <c r="F120" s="402"/>
      <c r="G120" s="402"/>
      <c r="H120" s="402"/>
      <c r="I120" s="402"/>
      <c r="J120" s="402"/>
      <c r="K120" s="402"/>
      <c r="L120" s="402"/>
      <c r="M120" s="402"/>
      <c r="N120" s="402"/>
      <c r="O120" s="402"/>
      <c r="P120" s="402"/>
      <c r="Q120" s="402"/>
      <c r="R120" s="402"/>
      <c r="S120" s="402"/>
      <c r="T120" s="402"/>
      <c r="U120" s="402"/>
      <c r="V120" s="402"/>
      <c r="W120" s="402"/>
      <c r="X120" s="402"/>
      <c r="Y120" s="402"/>
      <c r="Z120" s="402"/>
      <c r="AA120" s="402"/>
    </row>
    <row r="121">
      <c r="A121" s="455"/>
      <c r="B121" s="455"/>
      <c r="C121" s="455"/>
      <c r="D121" s="455"/>
      <c r="E121" s="402"/>
      <c r="F121" s="402"/>
      <c r="G121" s="402"/>
      <c r="H121" s="402"/>
      <c r="I121" s="402"/>
      <c r="J121" s="402"/>
      <c r="K121" s="402"/>
      <c r="L121" s="402"/>
      <c r="M121" s="402"/>
      <c r="N121" s="402"/>
      <c r="O121" s="402"/>
      <c r="P121" s="402"/>
      <c r="Q121" s="402"/>
      <c r="R121" s="402"/>
      <c r="S121" s="402"/>
      <c r="T121" s="402"/>
      <c r="U121" s="402"/>
      <c r="V121" s="402"/>
      <c r="W121" s="402"/>
      <c r="X121" s="402"/>
      <c r="Y121" s="402"/>
      <c r="Z121" s="402"/>
      <c r="AA121" s="402"/>
    </row>
    <row r="122">
      <c r="A122" s="455"/>
      <c r="B122" s="455"/>
      <c r="C122" s="455"/>
      <c r="D122" s="455"/>
      <c r="E122" s="402"/>
      <c r="F122" s="402"/>
      <c r="G122" s="402"/>
      <c r="H122" s="402"/>
      <c r="I122" s="402"/>
      <c r="J122" s="402"/>
      <c r="K122" s="402"/>
      <c r="L122" s="402"/>
      <c r="M122" s="402"/>
      <c r="N122" s="402"/>
      <c r="O122" s="402"/>
      <c r="P122" s="402"/>
      <c r="Q122" s="402"/>
      <c r="R122" s="402"/>
      <c r="S122" s="402"/>
      <c r="T122" s="402"/>
      <c r="U122" s="402"/>
      <c r="V122" s="402"/>
      <c r="W122" s="402"/>
      <c r="X122" s="402"/>
      <c r="Y122" s="402"/>
      <c r="Z122" s="402"/>
      <c r="AA122" s="402"/>
    </row>
    <row r="123">
      <c r="A123" s="455"/>
      <c r="B123" s="455"/>
      <c r="C123" s="455"/>
      <c r="D123" s="455"/>
      <c r="E123" s="402"/>
      <c r="F123" s="402"/>
      <c r="G123" s="402"/>
      <c r="H123" s="402"/>
      <c r="I123" s="402"/>
      <c r="J123" s="402"/>
      <c r="K123" s="402"/>
      <c r="L123" s="402"/>
      <c r="M123" s="402"/>
      <c r="N123" s="402"/>
      <c r="O123" s="402"/>
      <c r="P123" s="402"/>
      <c r="Q123" s="402"/>
      <c r="R123" s="402"/>
      <c r="S123" s="402"/>
      <c r="T123" s="402"/>
      <c r="U123" s="402"/>
      <c r="V123" s="402"/>
      <c r="W123" s="402"/>
      <c r="X123" s="402"/>
      <c r="Y123" s="402"/>
      <c r="Z123" s="402"/>
      <c r="AA123" s="402"/>
    </row>
    <row r="124">
      <c r="A124" s="455"/>
      <c r="B124" s="455"/>
      <c r="C124" s="455"/>
      <c r="D124" s="455"/>
      <c r="E124" s="402"/>
      <c r="F124" s="402"/>
      <c r="G124" s="402"/>
      <c r="H124" s="402"/>
      <c r="I124" s="402"/>
      <c r="J124" s="402"/>
      <c r="K124" s="402"/>
      <c r="L124" s="402"/>
      <c r="M124" s="402"/>
      <c r="N124" s="402"/>
      <c r="O124" s="402"/>
      <c r="P124" s="402"/>
      <c r="Q124" s="402"/>
      <c r="R124" s="402"/>
      <c r="S124" s="402"/>
      <c r="T124" s="402"/>
      <c r="U124" s="402"/>
      <c r="V124" s="402"/>
      <c r="W124" s="402"/>
      <c r="X124" s="402"/>
      <c r="Y124" s="402"/>
      <c r="Z124" s="402"/>
      <c r="AA124" s="402"/>
    </row>
    <row r="125">
      <c r="A125" s="455"/>
      <c r="B125" s="455"/>
      <c r="C125" s="455"/>
      <c r="D125" s="455"/>
      <c r="E125" s="402"/>
      <c r="F125" s="402"/>
      <c r="G125" s="402"/>
      <c r="H125" s="402"/>
      <c r="I125" s="402"/>
      <c r="J125" s="402"/>
      <c r="K125" s="402"/>
      <c r="L125" s="402"/>
      <c r="M125" s="402"/>
      <c r="N125" s="402"/>
      <c r="O125" s="402"/>
      <c r="P125" s="402"/>
      <c r="Q125" s="402"/>
      <c r="R125" s="402"/>
      <c r="S125" s="402"/>
      <c r="T125" s="402"/>
      <c r="U125" s="402"/>
      <c r="V125" s="402"/>
      <c r="W125" s="402"/>
      <c r="X125" s="402"/>
      <c r="Y125" s="402"/>
      <c r="Z125" s="402"/>
      <c r="AA125" s="402"/>
    </row>
    <row r="126">
      <c r="A126" s="455"/>
      <c r="B126" s="455"/>
      <c r="C126" s="455"/>
      <c r="D126" s="455"/>
      <c r="E126" s="402"/>
      <c r="F126" s="402"/>
      <c r="G126" s="402"/>
      <c r="H126" s="402"/>
      <c r="I126" s="402"/>
      <c r="J126" s="402"/>
      <c r="K126" s="402"/>
      <c r="L126" s="402"/>
      <c r="M126" s="402"/>
      <c r="N126" s="402"/>
      <c r="O126" s="402"/>
      <c r="P126" s="402"/>
      <c r="Q126" s="402"/>
      <c r="R126" s="402"/>
      <c r="S126" s="402"/>
      <c r="T126" s="402"/>
      <c r="U126" s="402"/>
      <c r="V126" s="402"/>
      <c r="W126" s="402"/>
      <c r="X126" s="402"/>
      <c r="Y126" s="402"/>
      <c r="Z126" s="402"/>
      <c r="AA126" s="402"/>
    </row>
    <row r="127">
      <c r="A127" s="455"/>
      <c r="B127" s="455"/>
      <c r="C127" s="455"/>
      <c r="D127" s="455"/>
      <c r="E127" s="402"/>
      <c r="F127" s="402"/>
      <c r="G127" s="402"/>
      <c r="H127" s="402"/>
      <c r="I127" s="402"/>
      <c r="J127" s="402"/>
      <c r="K127" s="402"/>
      <c r="L127" s="402"/>
      <c r="M127" s="402"/>
      <c r="N127" s="402"/>
      <c r="O127" s="402"/>
      <c r="P127" s="402"/>
      <c r="Q127" s="402"/>
      <c r="R127" s="402"/>
      <c r="S127" s="402"/>
      <c r="T127" s="402"/>
      <c r="U127" s="402"/>
      <c r="V127" s="402"/>
      <c r="W127" s="402"/>
      <c r="X127" s="402"/>
      <c r="Y127" s="402"/>
      <c r="Z127" s="402"/>
      <c r="AA127" s="402"/>
    </row>
    <row r="128">
      <c r="A128" s="455"/>
      <c r="B128" s="455"/>
      <c r="C128" s="455"/>
      <c r="D128" s="455"/>
      <c r="E128" s="402"/>
      <c r="F128" s="402"/>
      <c r="G128" s="402"/>
      <c r="H128" s="402"/>
      <c r="I128" s="402"/>
      <c r="J128" s="402"/>
      <c r="K128" s="402"/>
      <c r="L128" s="402"/>
      <c r="M128" s="402"/>
      <c r="N128" s="402"/>
      <c r="O128" s="402"/>
      <c r="P128" s="402"/>
      <c r="Q128" s="402"/>
      <c r="R128" s="402"/>
      <c r="S128" s="402"/>
      <c r="T128" s="402"/>
      <c r="U128" s="402"/>
      <c r="V128" s="402"/>
      <c r="W128" s="402"/>
      <c r="X128" s="402"/>
      <c r="Y128" s="402"/>
      <c r="Z128" s="402"/>
      <c r="AA128" s="402"/>
    </row>
    <row r="129">
      <c r="A129" s="455"/>
      <c r="B129" s="455"/>
      <c r="C129" s="455"/>
      <c r="D129" s="455"/>
      <c r="E129" s="402"/>
      <c r="F129" s="402"/>
      <c r="G129" s="402"/>
      <c r="H129" s="402"/>
      <c r="I129" s="402"/>
      <c r="J129" s="402"/>
      <c r="K129" s="402"/>
      <c r="L129" s="402"/>
      <c r="M129" s="402"/>
      <c r="N129" s="402"/>
      <c r="O129" s="402"/>
      <c r="P129" s="402"/>
      <c r="Q129" s="402"/>
      <c r="R129" s="402"/>
      <c r="S129" s="402"/>
      <c r="T129" s="402"/>
      <c r="U129" s="402"/>
      <c r="V129" s="402"/>
      <c r="W129" s="402"/>
      <c r="X129" s="402"/>
      <c r="Y129" s="402"/>
      <c r="Z129" s="402"/>
      <c r="AA129" s="402"/>
    </row>
    <row r="130">
      <c r="A130" s="455"/>
      <c r="B130" s="455"/>
      <c r="C130" s="455"/>
      <c r="D130" s="455"/>
      <c r="E130" s="402"/>
      <c r="F130" s="402"/>
      <c r="G130" s="402"/>
      <c r="H130" s="402"/>
      <c r="I130" s="402"/>
      <c r="J130" s="402"/>
      <c r="K130" s="402"/>
      <c r="L130" s="402"/>
      <c r="M130" s="402"/>
      <c r="N130" s="402"/>
      <c r="O130" s="402"/>
      <c r="P130" s="402"/>
      <c r="Q130" s="402"/>
      <c r="R130" s="402"/>
      <c r="S130" s="402"/>
      <c r="T130" s="402"/>
      <c r="U130" s="402"/>
      <c r="V130" s="402"/>
      <c r="W130" s="402"/>
      <c r="X130" s="402"/>
      <c r="Y130" s="402"/>
      <c r="Z130" s="402"/>
      <c r="AA130" s="402"/>
    </row>
    <row r="131">
      <c r="A131" s="455"/>
      <c r="B131" s="455"/>
      <c r="C131" s="455"/>
      <c r="D131" s="455"/>
      <c r="E131" s="402"/>
      <c r="F131" s="402"/>
      <c r="G131" s="402"/>
      <c r="H131" s="402"/>
      <c r="I131" s="402"/>
      <c r="J131" s="402"/>
      <c r="K131" s="402"/>
      <c r="L131" s="402"/>
      <c r="M131" s="402"/>
      <c r="N131" s="402"/>
      <c r="O131" s="402"/>
      <c r="P131" s="402"/>
      <c r="Q131" s="402"/>
      <c r="R131" s="402"/>
      <c r="S131" s="402"/>
      <c r="T131" s="402"/>
      <c r="U131" s="402"/>
      <c r="V131" s="402"/>
      <c r="W131" s="402"/>
      <c r="X131" s="402"/>
      <c r="Y131" s="402"/>
      <c r="Z131" s="402"/>
      <c r="AA131" s="402"/>
    </row>
    <row r="132">
      <c r="A132" s="455"/>
      <c r="B132" s="455"/>
      <c r="C132" s="455"/>
      <c r="D132" s="455"/>
      <c r="E132" s="402"/>
      <c r="F132" s="402"/>
      <c r="G132" s="402"/>
      <c r="H132" s="402"/>
      <c r="I132" s="402"/>
      <c r="J132" s="402"/>
      <c r="K132" s="402"/>
      <c r="L132" s="402"/>
      <c r="M132" s="402"/>
      <c r="N132" s="402"/>
      <c r="O132" s="402"/>
      <c r="P132" s="402"/>
      <c r="Q132" s="402"/>
      <c r="R132" s="402"/>
      <c r="S132" s="402"/>
      <c r="T132" s="402"/>
      <c r="U132" s="402"/>
      <c r="V132" s="402"/>
      <c r="W132" s="402"/>
      <c r="X132" s="402"/>
      <c r="Y132" s="402"/>
      <c r="Z132" s="402"/>
      <c r="AA132" s="402"/>
    </row>
    <row r="133">
      <c r="A133" s="455"/>
      <c r="B133" s="455"/>
      <c r="C133" s="455"/>
      <c r="D133" s="455"/>
      <c r="E133" s="402"/>
      <c r="F133" s="402"/>
      <c r="G133" s="402"/>
      <c r="H133" s="402"/>
      <c r="I133" s="402"/>
      <c r="J133" s="402"/>
      <c r="K133" s="402"/>
      <c r="L133" s="402"/>
      <c r="M133" s="402"/>
      <c r="N133" s="402"/>
      <c r="O133" s="402"/>
      <c r="P133" s="402"/>
      <c r="Q133" s="402"/>
      <c r="R133" s="402"/>
      <c r="S133" s="402"/>
      <c r="T133" s="402"/>
      <c r="U133" s="402"/>
      <c r="V133" s="402"/>
      <c r="W133" s="402"/>
      <c r="X133" s="402"/>
      <c r="Y133" s="402"/>
      <c r="Z133" s="402"/>
      <c r="AA133" s="402"/>
    </row>
    <row r="134">
      <c r="A134" s="455"/>
      <c r="B134" s="455"/>
      <c r="C134" s="455"/>
      <c r="D134" s="455"/>
      <c r="E134" s="402"/>
      <c r="F134" s="402"/>
      <c r="G134" s="402"/>
      <c r="H134" s="402"/>
      <c r="I134" s="402"/>
      <c r="J134" s="402"/>
      <c r="K134" s="402"/>
      <c r="L134" s="402"/>
      <c r="M134" s="402"/>
      <c r="N134" s="402"/>
      <c r="O134" s="402"/>
      <c r="P134" s="402"/>
      <c r="Q134" s="402"/>
      <c r="R134" s="402"/>
      <c r="S134" s="402"/>
      <c r="T134" s="402"/>
      <c r="U134" s="402"/>
      <c r="V134" s="402"/>
      <c r="W134" s="402"/>
      <c r="X134" s="402"/>
      <c r="Y134" s="402"/>
      <c r="Z134" s="402"/>
      <c r="AA134" s="402"/>
    </row>
    <row r="135">
      <c r="A135" s="455"/>
      <c r="B135" s="455"/>
      <c r="C135" s="455"/>
      <c r="D135" s="455"/>
      <c r="E135" s="402"/>
      <c r="F135" s="402"/>
      <c r="G135" s="402"/>
      <c r="H135" s="402"/>
      <c r="I135" s="402"/>
      <c r="J135" s="402"/>
      <c r="K135" s="402"/>
      <c r="L135" s="402"/>
      <c r="M135" s="402"/>
      <c r="N135" s="402"/>
      <c r="O135" s="402"/>
      <c r="P135" s="402"/>
      <c r="Q135" s="402"/>
      <c r="R135" s="402"/>
      <c r="S135" s="402"/>
      <c r="T135" s="402"/>
      <c r="U135" s="402"/>
      <c r="V135" s="402"/>
      <c r="W135" s="402"/>
      <c r="X135" s="402"/>
      <c r="Y135" s="402"/>
      <c r="Z135" s="402"/>
      <c r="AA135" s="402"/>
    </row>
    <row r="136">
      <c r="A136" s="455"/>
      <c r="B136" s="455"/>
      <c r="C136" s="455"/>
      <c r="D136" s="455"/>
      <c r="E136" s="402"/>
      <c r="F136" s="402"/>
      <c r="G136" s="402"/>
      <c r="H136" s="402"/>
      <c r="I136" s="402"/>
      <c r="J136" s="402"/>
      <c r="K136" s="402"/>
      <c r="L136" s="402"/>
      <c r="M136" s="402"/>
      <c r="N136" s="402"/>
      <c r="O136" s="402"/>
      <c r="P136" s="402"/>
      <c r="Q136" s="402"/>
      <c r="R136" s="402"/>
      <c r="S136" s="402"/>
      <c r="T136" s="402"/>
      <c r="U136" s="402"/>
      <c r="V136" s="402"/>
      <c r="W136" s="402"/>
      <c r="X136" s="402"/>
      <c r="Y136" s="402"/>
      <c r="Z136" s="402"/>
      <c r="AA136" s="402"/>
    </row>
    <row r="137">
      <c r="A137" s="455"/>
      <c r="B137" s="455"/>
      <c r="C137" s="455"/>
      <c r="D137" s="455"/>
      <c r="E137" s="402"/>
      <c r="F137" s="402"/>
      <c r="G137" s="402"/>
      <c r="H137" s="402"/>
      <c r="I137" s="402"/>
      <c r="J137" s="402"/>
      <c r="K137" s="402"/>
      <c r="L137" s="402"/>
      <c r="M137" s="402"/>
      <c r="N137" s="402"/>
      <c r="O137" s="402"/>
      <c r="P137" s="402"/>
      <c r="Q137" s="402"/>
      <c r="R137" s="402"/>
      <c r="S137" s="402"/>
      <c r="T137" s="402"/>
      <c r="U137" s="402"/>
      <c r="V137" s="402"/>
      <c r="W137" s="402"/>
      <c r="X137" s="402"/>
      <c r="Y137" s="402"/>
      <c r="Z137" s="402"/>
      <c r="AA137" s="402"/>
    </row>
    <row r="138">
      <c r="A138" s="455"/>
      <c r="B138" s="455"/>
      <c r="C138" s="455"/>
      <c r="D138" s="455"/>
      <c r="E138" s="402"/>
      <c r="F138" s="402"/>
      <c r="G138" s="402"/>
      <c r="H138" s="402"/>
      <c r="I138" s="402"/>
      <c r="J138" s="402"/>
      <c r="K138" s="402"/>
      <c r="L138" s="402"/>
      <c r="M138" s="402"/>
      <c r="N138" s="402"/>
      <c r="O138" s="402"/>
      <c r="P138" s="402"/>
      <c r="Q138" s="402"/>
      <c r="R138" s="402"/>
      <c r="S138" s="402"/>
      <c r="T138" s="402"/>
      <c r="U138" s="402"/>
      <c r="V138" s="402"/>
      <c r="W138" s="402"/>
      <c r="X138" s="402"/>
      <c r="Y138" s="402"/>
      <c r="Z138" s="402"/>
      <c r="AA138" s="402"/>
    </row>
    <row r="139">
      <c r="A139" s="455"/>
      <c r="B139" s="455"/>
      <c r="C139" s="455"/>
      <c r="D139" s="455"/>
      <c r="E139" s="402"/>
      <c r="F139" s="402"/>
      <c r="G139" s="402"/>
      <c r="H139" s="402"/>
      <c r="I139" s="402"/>
      <c r="J139" s="402"/>
      <c r="K139" s="402"/>
      <c r="L139" s="402"/>
      <c r="M139" s="402"/>
      <c r="N139" s="402"/>
      <c r="O139" s="402"/>
      <c r="P139" s="402"/>
      <c r="Q139" s="402"/>
      <c r="R139" s="402"/>
      <c r="S139" s="402"/>
      <c r="T139" s="402"/>
      <c r="U139" s="402"/>
      <c r="V139" s="402"/>
      <c r="W139" s="402"/>
      <c r="X139" s="402"/>
      <c r="Y139" s="402"/>
      <c r="Z139" s="402"/>
      <c r="AA139" s="402"/>
    </row>
    <row r="140">
      <c r="A140" s="455"/>
      <c r="B140" s="455"/>
      <c r="C140" s="455"/>
      <c r="D140" s="455"/>
      <c r="E140" s="402"/>
      <c r="F140" s="402"/>
      <c r="G140" s="402"/>
      <c r="H140" s="402"/>
      <c r="I140" s="402"/>
      <c r="J140" s="402"/>
      <c r="K140" s="402"/>
      <c r="L140" s="402"/>
      <c r="M140" s="402"/>
      <c r="N140" s="402"/>
      <c r="O140" s="402"/>
      <c r="P140" s="402"/>
      <c r="Q140" s="402"/>
      <c r="R140" s="402"/>
      <c r="S140" s="402"/>
      <c r="T140" s="402"/>
      <c r="U140" s="402"/>
      <c r="V140" s="402"/>
      <c r="W140" s="402"/>
      <c r="X140" s="402"/>
      <c r="Y140" s="402"/>
      <c r="Z140" s="402"/>
      <c r="AA140" s="402"/>
    </row>
    <row r="141">
      <c r="A141" s="455"/>
      <c r="B141" s="455"/>
      <c r="C141" s="455"/>
      <c r="D141" s="455"/>
      <c r="E141" s="402"/>
      <c r="F141" s="402"/>
      <c r="G141" s="402"/>
      <c r="H141" s="402"/>
      <c r="I141" s="402"/>
      <c r="J141" s="402"/>
      <c r="K141" s="402"/>
      <c r="L141" s="402"/>
      <c r="M141" s="402"/>
      <c r="N141" s="402"/>
      <c r="O141" s="402"/>
      <c r="P141" s="402"/>
      <c r="Q141" s="402"/>
      <c r="R141" s="402"/>
      <c r="S141" s="402"/>
      <c r="T141" s="402"/>
      <c r="U141" s="402"/>
      <c r="V141" s="402"/>
      <c r="W141" s="402"/>
      <c r="X141" s="402"/>
      <c r="Y141" s="402"/>
      <c r="Z141" s="402"/>
      <c r="AA141" s="402"/>
    </row>
    <row r="142">
      <c r="A142" s="455"/>
      <c r="B142" s="455"/>
      <c r="C142" s="455"/>
      <c r="D142" s="455"/>
      <c r="E142" s="402"/>
      <c r="F142" s="402"/>
      <c r="G142" s="402"/>
      <c r="H142" s="402"/>
      <c r="I142" s="402"/>
      <c r="J142" s="402"/>
      <c r="K142" s="402"/>
      <c r="L142" s="402"/>
      <c r="M142" s="402"/>
      <c r="N142" s="402"/>
      <c r="O142" s="402"/>
      <c r="P142" s="402"/>
      <c r="Q142" s="402"/>
      <c r="R142" s="402"/>
      <c r="S142" s="402"/>
      <c r="T142" s="402"/>
      <c r="U142" s="402"/>
      <c r="V142" s="402"/>
      <c r="W142" s="402"/>
      <c r="X142" s="402"/>
      <c r="Y142" s="402"/>
      <c r="Z142" s="402"/>
      <c r="AA142" s="402"/>
    </row>
    <row r="143">
      <c r="A143" s="455"/>
      <c r="B143" s="455"/>
      <c r="C143" s="455"/>
      <c r="D143" s="455"/>
      <c r="E143" s="402"/>
      <c r="F143" s="402"/>
      <c r="G143" s="402"/>
      <c r="H143" s="402"/>
      <c r="I143" s="402"/>
      <c r="J143" s="402"/>
      <c r="K143" s="402"/>
      <c r="L143" s="402"/>
      <c r="M143" s="402"/>
      <c r="N143" s="402"/>
      <c r="O143" s="402"/>
      <c r="P143" s="402"/>
      <c r="Q143" s="402"/>
      <c r="R143" s="402"/>
      <c r="S143" s="402"/>
      <c r="T143" s="402"/>
      <c r="U143" s="402"/>
      <c r="V143" s="402"/>
      <c r="W143" s="402"/>
      <c r="X143" s="402"/>
      <c r="Y143" s="402"/>
      <c r="Z143" s="402"/>
      <c r="AA143" s="402"/>
    </row>
    <row r="144">
      <c r="A144" s="455"/>
      <c r="B144" s="455"/>
      <c r="C144" s="455"/>
      <c r="D144" s="455"/>
      <c r="E144" s="402"/>
      <c r="F144" s="402"/>
      <c r="G144" s="402"/>
      <c r="H144" s="402"/>
      <c r="I144" s="402"/>
      <c r="J144" s="402"/>
      <c r="K144" s="402"/>
      <c r="L144" s="402"/>
      <c r="M144" s="402"/>
      <c r="N144" s="402"/>
      <c r="O144" s="402"/>
      <c r="P144" s="402"/>
      <c r="Q144" s="402"/>
      <c r="R144" s="402"/>
      <c r="S144" s="402"/>
      <c r="T144" s="402"/>
      <c r="U144" s="402"/>
      <c r="V144" s="402"/>
      <c r="W144" s="402"/>
      <c r="X144" s="402"/>
      <c r="Y144" s="402"/>
      <c r="Z144" s="402"/>
      <c r="AA144" s="402"/>
    </row>
    <row r="145">
      <c r="A145" s="455"/>
      <c r="B145" s="455"/>
      <c r="C145" s="455"/>
      <c r="D145" s="455"/>
      <c r="E145" s="402"/>
      <c r="F145" s="402"/>
      <c r="G145" s="402"/>
      <c r="H145" s="402"/>
      <c r="I145" s="402"/>
      <c r="J145" s="402"/>
      <c r="K145" s="402"/>
      <c r="L145" s="402"/>
      <c r="M145" s="402"/>
      <c r="N145" s="402"/>
      <c r="O145" s="402"/>
      <c r="P145" s="402"/>
      <c r="Q145" s="402"/>
      <c r="R145" s="402"/>
      <c r="S145" s="402"/>
      <c r="T145" s="402"/>
      <c r="U145" s="402"/>
      <c r="V145" s="402"/>
      <c r="W145" s="402"/>
      <c r="X145" s="402"/>
      <c r="Y145" s="402"/>
      <c r="Z145" s="402"/>
      <c r="AA145" s="402"/>
    </row>
    <row r="146">
      <c r="A146" s="455"/>
      <c r="B146" s="455"/>
      <c r="C146" s="455"/>
      <c r="D146" s="455"/>
      <c r="E146" s="402"/>
      <c r="F146" s="402"/>
      <c r="G146" s="402"/>
      <c r="H146" s="402"/>
      <c r="I146" s="402"/>
      <c r="J146" s="402"/>
      <c r="K146" s="402"/>
      <c r="L146" s="402"/>
      <c r="M146" s="402"/>
      <c r="N146" s="402"/>
      <c r="O146" s="402"/>
      <c r="P146" s="402"/>
      <c r="Q146" s="402"/>
      <c r="R146" s="402"/>
      <c r="S146" s="402"/>
      <c r="T146" s="402"/>
      <c r="U146" s="402"/>
      <c r="V146" s="402"/>
      <c r="W146" s="402"/>
      <c r="X146" s="402"/>
      <c r="Y146" s="402"/>
      <c r="Z146" s="402"/>
      <c r="AA146" s="402"/>
    </row>
    <row r="147">
      <c r="A147" s="455"/>
      <c r="B147" s="455"/>
      <c r="C147" s="455"/>
      <c r="D147" s="455"/>
      <c r="E147" s="402"/>
      <c r="F147" s="402"/>
      <c r="G147" s="402"/>
      <c r="H147" s="402"/>
      <c r="I147" s="402"/>
      <c r="J147" s="402"/>
      <c r="K147" s="402"/>
      <c r="L147" s="402"/>
      <c r="M147" s="402"/>
      <c r="N147" s="402"/>
      <c r="O147" s="402"/>
      <c r="P147" s="402"/>
      <c r="Q147" s="402"/>
      <c r="R147" s="402"/>
      <c r="S147" s="402"/>
      <c r="T147" s="402"/>
      <c r="U147" s="402"/>
      <c r="V147" s="402"/>
      <c r="W147" s="402"/>
      <c r="X147" s="402"/>
      <c r="Y147" s="402"/>
      <c r="Z147" s="402"/>
      <c r="AA147" s="402"/>
    </row>
    <row r="148">
      <c r="A148" s="455"/>
      <c r="B148" s="455"/>
      <c r="C148" s="455"/>
      <c r="D148" s="455"/>
      <c r="E148" s="402"/>
      <c r="F148" s="402"/>
      <c r="G148" s="402"/>
      <c r="H148" s="402"/>
      <c r="I148" s="402"/>
      <c r="J148" s="402"/>
      <c r="K148" s="402"/>
      <c r="L148" s="402"/>
      <c r="M148" s="402"/>
      <c r="N148" s="402"/>
      <c r="O148" s="402"/>
      <c r="P148" s="402"/>
      <c r="Q148" s="402"/>
      <c r="R148" s="402"/>
      <c r="S148" s="402"/>
      <c r="T148" s="402"/>
      <c r="U148" s="402"/>
      <c r="V148" s="402"/>
      <c r="W148" s="402"/>
      <c r="X148" s="402"/>
      <c r="Y148" s="402"/>
      <c r="Z148" s="402"/>
      <c r="AA148" s="402"/>
    </row>
    <row r="149">
      <c r="A149" s="455"/>
      <c r="B149" s="455"/>
      <c r="C149" s="455"/>
      <c r="D149" s="455"/>
      <c r="E149" s="402"/>
      <c r="F149" s="402"/>
      <c r="G149" s="402"/>
      <c r="H149" s="402"/>
      <c r="I149" s="402"/>
      <c r="J149" s="402"/>
      <c r="K149" s="402"/>
      <c r="L149" s="402"/>
      <c r="M149" s="402"/>
      <c r="N149" s="402"/>
      <c r="O149" s="402"/>
      <c r="P149" s="402"/>
      <c r="Q149" s="402"/>
      <c r="R149" s="402"/>
      <c r="S149" s="402"/>
      <c r="T149" s="402"/>
      <c r="U149" s="402"/>
      <c r="V149" s="402"/>
      <c r="W149" s="402"/>
      <c r="X149" s="402"/>
      <c r="Y149" s="402"/>
      <c r="Z149" s="402"/>
      <c r="AA149" s="402"/>
    </row>
    <row r="150">
      <c r="A150" s="455"/>
      <c r="B150" s="455"/>
      <c r="C150" s="455"/>
      <c r="D150" s="455"/>
      <c r="E150" s="402"/>
      <c r="F150" s="402"/>
      <c r="G150" s="402"/>
      <c r="H150" s="402"/>
      <c r="I150" s="402"/>
      <c r="J150" s="402"/>
      <c r="K150" s="402"/>
      <c r="L150" s="402"/>
      <c r="M150" s="402"/>
      <c r="N150" s="402"/>
      <c r="O150" s="402"/>
      <c r="P150" s="402"/>
      <c r="Q150" s="402"/>
      <c r="R150" s="402"/>
      <c r="S150" s="402"/>
      <c r="T150" s="402"/>
      <c r="U150" s="402"/>
      <c r="V150" s="402"/>
      <c r="W150" s="402"/>
      <c r="X150" s="402"/>
      <c r="Y150" s="402"/>
      <c r="Z150" s="402"/>
      <c r="AA150" s="402"/>
    </row>
    <row r="151">
      <c r="A151" s="455"/>
      <c r="B151" s="455"/>
      <c r="C151" s="455"/>
      <c r="D151" s="455"/>
      <c r="E151" s="402"/>
      <c r="F151" s="402"/>
      <c r="G151" s="402"/>
      <c r="H151" s="402"/>
      <c r="I151" s="402"/>
      <c r="J151" s="402"/>
      <c r="K151" s="402"/>
      <c r="L151" s="402"/>
      <c r="M151" s="402"/>
      <c r="N151" s="402"/>
      <c r="O151" s="402"/>
      <c r="P151" s="402"/>
      <c r="Q151" s="402"/>
      <c r="R151" s="402"/>
      <c r="S151" s="402"/>
      <c r="T151" s="402"/>
      <c r="U151" s="402"/>
      <c r="V151" s="402"/>
      <c r="W151" s="402"/>
      <c r="X151" s="402"/>
      <c r="Y151" s="402"/>
      <c r="Z151" s="402"/>
      <c r="AA151" s="402"/>
    </row>
    <row r="152">
      <c r="A152" s="455"/>
      <c r="B152" s="455"/>
      <c r="C152" s="455"/>
      <c r="D152" s="455"/>
      <c r="E152" s="402"/>
      <c r="F152" s="402"/>
      <c r="G152" s="402"/>
      <c r="H152" s="402"/>
      <c r="I152" s="402"/>
      <c r="J152" s="402"/>
      <c r="K152" s="402"/>
      <c r="L152" s="402"/>
      <c r="M152" s="402"/>
      <c r="N152" s="402"/>
      <c r="O152" s="402"/>
      <c r="P152" s="402"/>
      <c r="Q152" s="402"/>
      <c r="R152" s="402"/>
      <c r="S152" s="402"/>
      <c r="T152" s="402"/>
      <c r="U152" s="402"/>
      <c r="V152" s="402"/>
      <c r="W152" s="402"/>
      <c r="X152" s="402"/>
      <c r="Y152" s="402"/>
      <c r="Z152" s="402"/>
      <c r="AA152" s="402"/>
    </row>
    <row r="153">
      <c r="A153" s="455"/>
      <c r="B153" s="455"/>
      <c r="C153" s="455"/>
      <c r="D153" s="455"/>
      <c r="E153" s="402"/>
      <c r="F153" s="402"/>
      <c r="G153" s="402"/>
      <c r="H153" s="402"/>
      <c r="I153" s="402"/>
      <c r="J153" s="402"/>
      <c r="K153" s="402"/>
      <c r="L153" s="402"/>
      <c r="M153" s="402"/>
      <c r="N153" s="402"/>
      <c r="O153" s="402"/>
      <c r="P153" s="402"/>
      <c r="Q153" s="402"/>
      <c r="R153" s="402"/>
      <c r="S153" s="402"/>
      <c r="T153" s="402"/>
      <c r="U153" s="402"/>
      <c r="V153" s="402"/>
      <c r="W153" s="402"/>
      <c r="X153" s="402"/>
      <c r="Y153" s="402"/>
      <c r="Z153" s="402"/>
      <c r="AA153" s="402"/>
    </row>
    <row r="154">
      <c r="A154" s="455"/>
      <c r="B154" s="455"/>
      <c r="C154" s="455"/>
      <c r="D154" s="455"/>
      <c r="E154" s="402"/>
      <c r="F154" s="402"/>
      <c r="G154" s="402"/>
      <c r="H154" s="402"/>
      <c r="I154" s="402"/>
      <c r="J154" s="402"/>
      <c r="K154" s="402"/>
      <c r="L154" s="402"/>
      <c r="M154" s="402"/>
      <c r="N154" s="402"/>
      <c r="O154" s="402"/>
      <c r="P154" s="402"/>
      <c r="Q154" s="402"/>
      <c r="R154" s="402"/>
      <c r="S154" s="402"/>
      <c r="T154" s="402"/>
      <c r="U154" s="402"/>
      <c r="V154" s="402"/>
      <c r="W154" s="402"/>
      <c r="X154" s="402"/>
      <c r="Y154" s="402"/>
      <c r="Z154" s="402"/>
      <c r="AA154" s="402"/>
    </row>
    <row r="155">
      <c r="A155" s="455"/>
      <c r="B155" s="455"/>
      <c r="C155" s="455"/>
      <c r="D155" s="455"/>
      <c r="E155" s="402"/>
      <c r="F155" s="402"/>
      <c r="G155" s="402"/>
      <c r="H155" s="402"/>
      <c r="I155" s="402"/>
      <c r="J155" s="402"/>
      <c r="K155" s="402"/>
      <c r="L155" s="402"/>
      <c r="M155" s="402"/>
      <c r="N155" s="402"/>
      <c r="O155" s="402"/>
      <c r="P155" s="402"/>
      <c r="Q155" s="402"/>
      <c r="R155" s="402"/>
      <c r="S155" s="402"/>
      <c r="T155" s="402"/>
      <c r="U155" s="402"/>
      <c r="V155" s="402"/>
      <c r="W155" s="402"/>
      <c r="X155" s="402"/>
      <c r="Y155" s="402"/>
      <c r="Z155" s="402"/>
      <c r="AA155" s="402"/>
    </row>
    <row r="156">
      <c r="A156" s="455"/>
      <c r="B156" s="455"/>
      <c r="C156" s="455"/>
      <c r="D156" s="455"/>
      <c r="E156" s="402"/>
      <c r="F156" s="402"/>
      <c r="G156" s="402"/>
      <c r="H156" s="402"/>
      <c r="I156" s="402"/>
      <c r="J156" s="402"/>
      <c r="K156" s="402"/>
      <c r="L156" s="402"/>
      <c r="M156" s="402"/>
      <c r="N156" s="402"/>
      <c r="O156" s="402"/>
      <c r="P156" s="402"/>
      <c r="Q156" s="402"/>
      <c r="R156" s="402"/>
      <c r="S156" s="402"/>
      <c r="T156" s="402"/>
      <c r="U156" s="402"/>
      <c r="V156" s="402"/>
      <c r="W156" s="402"/>
      <c r="X156" s="402"/>
      <c r="Y156" s="402"/>
      <c r="Z156" s="402"/>
      <c r="AA156" s="402"/>
    </row>
    <row r="157">
      <c r="A157" s="455"/>
      <c r="B157" s="455"/>
      <c r="C157" s="455"/>
      <c r="D157" s="455"/>
      <c r="E157" s="402"/>
      <c r="F157" s="402"/>
      <c r="G157" s="402"/>
      <c r="H157" s="402"/>
      <c r="I157" s="402"/>
      <c r="J157" s="402"/>
      <c r="K157" s="402"/>
      <c r="L157" s="402"/>
      <c r="M157" s="402"/>
      <c r="N157" s="402"/>
      <c r="O157" s="402"/>
      <c r="P157" s="402"/>
      <c r="Q157" s="402"/>
      <c r="R157" s="402"/>
      <c r="S157" s="402"/>
      <c r="T157" s="402"/>
      <c r="U157" s="402"/>
      <c r="V157" s="402"/>
      <c r="W157" s="402"/>
      <c r="X157" s="402"/>
      <c r="Y157" s="402"/>
      <c r="Z157" s="402"/>
      <c r="AA157" s="402"/>
    </row>
    <row r="158">
      <c r="A158" s="455"/>
      <c r="B158" s="455"/>
      <c r="C158" s="455"/>
      <c r="D158" s="455"/>
      <c r="E158" s="402"/>
      <c r="F158" s="402"/>
      <c r="G158" s="402"/>
      <c r="H158" s="402"/>
      <c r="I158" s="402"/>
      <c r="J158" s="402"/>
      <c r="K158" s="402"/>
      <c r="L158" s="402"/>
      <c r="M158" s="402"/>
      <c r="N158" s="402"/>
      <c r="O158" s="402"/>
      <c r="P158" s="402"/>
      <c r="Q158" s="402"/>
      <c r="R158" s="402"/>
      <c r="S158" s="402"/>
      <c r="T158" s="402"/>
      <c r="U158" s="402"/>
      <c r="V158" s="402"/>
      <c r="W158" s="402"/>
      <c r="X158" s="402"/>
      <c r="Y158" s="402"/>
      <c r="Z158" s="402"/>
      <c r="AA158" s="402"/>
    </row>
    <row r="159">
      <c r="A159" s="455"/>
      <c r="B159" s="455"/>
      <c r="C159" s="455"/>
      <c r="D159" s="455"/>
      <c r="E159" s="402"/>
      <c r="F159" s="402"/>
      <c r="G159" s="402"/>
      <c r="H159" s="402"/>
      <c r="I159" s="402"/>
      <c r="J159" s="402"/>
      <c r="K159" s="402"/>
      <c r="L159" s="402"/>
      <c r="M159" s="402"/>
      <c r="N159" s="402"/>
      <c r="O159" s="402"/>
      <c r="P159" s="402"/>
      <c r="Q159" s="402"/>
      <c r="R159" s="402"/>
      <c r="S159" s="402"/>
      <c r="T159" s="402"/>
      <c r="U159" s="402"/>
      <c r="V159" s="402"/>
      <c r="W159" s="402"/>
      <c r="X159" s="402"/>
      <c r="Y159" s="402"/>
      <c r="Z159" s="402"/>
      <c r="AA159" s="402"/>
    </row>
    <row r="160">
      <c r="A160" s="455"/>
      <c r="B160" s="455"/>
      <c r="C160" s="455"/>
      <c r="D160" s="455"/>
      <c r="E160" s="402"/>
      <c r="F160" s="402"/>
      <c r="G160" s="402"/>
      <c r="H160" s="402"/>
      <c r="I160" s="402"/>
      <c r="J160" s="402"/>
      <c r="K160" s="402"/>
      <c r="L160" s="402"/>
      <c r="M160" s="402"/>
      <c r="N160" s="402"/>
      <c r="O160" s="402"/>
      <c r="P160" s="402"/>
      <c r="Q160" s="402"/>
      <c r="R160" s="402"/>
      <c r="S160" s="402"/>
      <c r="T160" s="402"/>
      <c r="U160" s="402"/>
      <c r="V160" s="402"/>
      <c r="W160" s="402"/>
      <c r="X160" s="402"/>
      <c r="Y160" s="402"/>
      <c r="Z160" s="402"/>
      <c r="AA160" s="402"/>
    </row>
    <row r="161">
      <c r="A161" s="455"/>
      <c r="B161" s="455"/>
      <c r="C161" s="455"/>
      <c r="D161" s="455"/>
      <c r="E161" s="402"/>
      <c r="F161" s="402"/>
      <c r="G161" s="402"/>
      <c r="H161" s="402"/>
      <c r="I161" s="402"/>
      <c r="J161" s="402"/>
      <c r="K161" s="402"/>
      <c r="L161" s="402"/>
      <c r="M161" s="402"/>
      <c r="N161" s="402"/>
      <c r="O161" s="402"/>
      <c r="P161" s="402"/>
      <c r="Q161" s="402"/>
      <c r="R161" s="402"/>
      <c r="S161" s="402"/>
      <c r="T161" s="402"/>
      <c r="U161" s="402"/>
      <c r="V161" s="402"/>
      <c r="W161" s="402"/>
      <c r="X161" s="402"/>
      <c r="Y161" s="402"/>
      <c r="Z161" s="402"/>
      <c r="AA161" s="402"/>
    </row>
    <row r="162">
      <c r="A162" s="455"/>
      <c r="B162" s="455"/>
      <c r="C162" s="455"/>
      <c r="D162" s="455"/>
      <c r="E162" s="402"/>
      <c r="F162" s="402"/>
      <c r="G162" s="402"/>
      <c r="H162" s="402"/>
      <c r="I162" s="402"/>
      <c r="J162" s="402"/>
      <c r="K162" s="402"/>
      <c r="L162" s="402"/>
      <c r="M162" s="402"/>
      <c r="N162" s="402"/>
      <c r="O162" s="402"/>
      <c r="P162" s="402"/>
      <c r="Q162" s="402"/>
      <c r="R162" s="402"/>
      <c r="S162" s="402"/>
      <c r="T162" s="402"/>
      <c r="U162" s="402"/>
      <c r="V162" s="402"/>
      <c r="W162" s="402"/>
      <c r="X162" s="402"/>
      <c r="Y162" s="402"/>
      <c r="Z162" s="402"/>
      <c r="AA162" s="402"/>
    </row>
    <row r="163">
      <c r="A163" s="455"/>
      <c r="B163" s="455"/>
      <c r="C163" s="455"/>
      <c r="D163" s="455"/>
      <c r="E163" s="402"/>
      <c r="F163" s="402"/>
      <c r="G163" s="402"/>
      <c r="H163" s="402"/>
      <c r="I163" s="402"/>
      <c r="J163" s="402"/>
      <c r="K163" s="402"/>
      <c r="L163" s="402"/>
      <c r="M163" s="402"/>
      <c r="N163" s="402"/>
      <c r="O163" s="402"/>
      <c r="P163" s="402"/>
      <c r="Q163" s="402"/>
      <c r="R163" s="402"/>
      <c r="S163" s="402"/>
      <c r="T163" s="402"/>
      <c r="U163" s="402"/>
      <c r="V163" s="402"/>
      <c r="W163" s="402"/>
      <c r="X163" s="402"/>
      <c r="Y163" s="402"/>
      <c r="Z163" s="402"/>
      <c r="AA163" s="402"/>
    </row>
    <row r="164">
      <c r="A164" s="455"/>
      <c r="B164" s="455"/>
      <c r="C164" s="455"/>
      <c r="D164" s="455"/>
      <c r="E164" s="402"/>
      <c r="F164" s="402"/>
      <c r="G164" s="402"/>
      <c r="H164" s="402"/>
      <c r="I164" s="402"/>
      <c r="J164" s="402"/>
      <c r="K164" s="402"/>
      <c r="L164" s="402"/>
      <c r="M164" s="402"/>
      <c r="N164" s="402"/>
      <c r="O164" s="402"/>
      <c r="P164" s="402"/>
      <c r="Q164" s="402"/>
      <c r="R164" s="402"/>
      <c r="S164" s="402"/>
      <c r="T164" s="402"/>
      <c r="U164" s="402"/>
      <c r="V164" s="402"/>
      <c r="W164" s="402"/>
      <c r="X164" s="402"/>
      <c r="Y164" s="402"/>
      <c r="Z164" s="402"/>
      <c r="AA164" s="402"/>
    </row>
    <row r="165">
      <c r="A165" s="455"/>
      <c r="B165" s="455"/>
      <c r="C165" s="455"/>
      <c r="D165" s="455"/>
      <c r="E165" s="402"/>
      <c r="F165" s="402"/>
      <c r="G165" s="402"/>
      <c r="H165" s="402"/>
      <c r="I165" s="402"/>
      <c r="J165" s="402"/>
      <c r="K165" s="402"/>
      <c r="L165" s="402"/>
      <c r="M165" s="402"/>
      <c r="N165" s="402"/>
      <c r="O165" s="402"/>
      <c r="P165" s="402"/>
      <c r="Q165" s="402"/>
      <c r="R165" s="402"/>
      <c r="S165" s="402"/>
      <c r="T165" s="402"/>
      <c r="U165" s="402"/>
      <c r="V165" s="402"/>
      <c r="W165" s="402"/>
      <c r="X165" s="402"/>
      <c r="Y165" s="402"/>
      <c r="Z165" s="402"/>
      <c r="AA165" s="402"/>
    </row>
    <row r="166">
      <c r="A166" s="455"/>
      <c r="B166" s="455"/>
      <c r="C166" s="455"/>
      <c r="D166" s="455"/>
      <c r="E166" s="402"/>
      <c r="F166" s="402"/>
      <c r="G166" s="402"/>
      <c r="H166" s="402"/>
      <c r="I166" s="402"/>
      <c r="J166" s="402"/>
      <c r="K166" s="402"/>
      <c r="L166" s="402"/>
      <c r="M166" s="402"/>
      <c r="N166" s="402"/>
      <c r="O166" s="402"/>
      <c r="P166" s="402"/>
      <c r="Q166" s="402"/>
      <c r="R166" s="402"/>
      <c r="S166" s="402"/>
      <c r="T166" s="402"/>
      <c r="U166" s="402"/>
      <c r="V166" s="402"/>
      <c r="W166" s="402"/>
      <c r="X166" s="402"/>
      <c r="Y166" s="402"/>
      <c r="Z166" s="402"/>
      <c r="AA166" s="402"/>
    </row>
    <row r="167">
      <c r="A167" s="455"/>
      <c r="B167" s="455"/>
      <c r="C167" s="455"/>
      <c r="D167" s="455"/>
      <c r="E167" s="402"/>
      <c r="F167" s="402"/>
      <c r="G167" s="402"/>
      <c r="H167" s="402"/>
      <c r="I167" s="402"/>
      <c r="J167" s="402"/>
      <c r="K167" s="402"/>
      <c r="L167" s="402"/>
      <c r="M167" s="402"/>
      <c r="N167" s="402"/>
      <c r="O167" s="402"/>
      <c r="P167" s="402"/>
      <c r="Q167" s="402"/>
      <c r="R167" s="402"/>
      <c r="S167" s="402"/>
      <c r="T167" s="402"/>
      <c r="U167" s="402"/>
      <c r="V167" s="402"/>
      <c r="W167" s="402"/>
      <c r="X167" s="402"/>
      <c r="Y167" s="402"/>
      <c r="Z167" s="402"/>
      <c r="AA167" s="402"/>
    </row>
    <row r="168">
      <c r="A168" s="455"/>
      <c r="B168" s="455"/>
      <c r="C168" s="455"/>
      <c r="D168" s="455"/>
      <c r="E168" s="402"/>
      <c r="F168" s="402"/>
      <c r="G168" s="402"/>
      <c r="H168" s="402"/>
      <c r="I168" s="402"/>
      <c r="J168" s="402"/>
      <c r="K168" s="402"/>
      <c r="L168" s="402"/>
      <c r="M168" s="402"/>
      <c r="N168" s="402"/>
      <c r="O168" s="402"/>
      <c r="P168" s="402"/>
      <c r="Q168" s="402"/>
      <c r="R168" s="402"/>
      <c r="S168" s="402"/>
      <c r="T168" s="402"/>
      <c r="U168" s="402"/>
      <c r="V168" s="402"/>
      <c r="W168" s="402"/>
      <c r="X168" s="402"/>
      <c r="Y168" s="402"/>
      <c r="Z168" s="402"/>
      <c r="AA168" s="402"/>
    </row>
    <row r="169">
      <c r="A169" s="455"/>
      <c r="B169" s="455"/>
      <c r="C169" s="455"/>
      <c r="D169" s="455"/>
      <c r="E169" s="402"/>
      <c r="F169" s="402"/>
      <c r="G169" s="402"/>
      <c r="H169" s="402"/>
      <c r="I169" s="402"/>
      <c r="J169" s="402"/>
      <c r="K169" s="402"/>
      <c r="L169" s="402"/>
      <c r="M169" s="402"/>
      <c r="N169" s="402"/>
      <c r="O169" s="402"/>
      <c r="P169" s="402"/>
      <c r="Q169" s="402"/>
      <c r="R169" s="402"/>
      <c r="S169" s="402"/>
      <c r="T169" s="402"/>
      <c r="U169" s="402"/>
      <c r="V169" s="402"/>
      <c r="W169" s="402"/>
      <c r="X169" s="402"/>
      <c r="Y169" s="402"/>
      <c r="Z169" s="402"/>
      <c r="AA169" s="402"/>
    </row>
    <row r="170">
      <c r="A170" s="455"/>
      <c r="B170" s="455"/>
      <c r="C170" s="455"/>
      <c r="D170" s="455"/>
      <c r="E170" s="402"/>
      <c r="F170" s="402"/>
      <c r="G170" s="402"/>
      <c r="H170" s="402"/>
      <c r="I170" s="402"/>
      <c r="J170" s="402"/>
      <c r="K170" s="402"/>
      <c r="L170" s="402"/>
      <c r="M170" s="402"/>
      <c r="N170" s="402"/>
      <c r="O170" s="402"/>
      <c r="P170" s="402"/>
      <c r="Q170" s="402"/>
      <c r="R170" s="402"/>
      <c r="S170" s="402"/>
      <c r="T170" s="402"/>
      <c r="U170" s="402"/>
      <c r="V170" s="402"/>
      <c r="W170" s="402"/>
      <c r="X170" s="402"/>
      <c r="Y170" s="402"/>
      <c r="Z170" s="402"/>
      <c r="AA170" s="402"/>
    </row>
    <row r="171">
      <c r="A171" s="455"/>
      <c r="B171" s="455"/>
      <c r="C171" s="455"/>
      <c r="D171" s="455"/>
      <c r="E171" s="402"/>
      <c r="F171" s="402"/>
      <c r="G171" s="402"/>
      <c r="H171" s="402"/>
      <c r="I171" s="402"/>
      <c r="J171" s="402"/>
      <c r="K171" s="402"/>
      <c r="L171" s="402"/>
      <c r="M171" s="402"/>
      <c r="N171" s="402"/>
      <c r="O171" s="402"/>
      <c r="P171" s="402"/>
      <c r="Q171" s="402"/>
      <c r="R171" s="402"/>
      <c r="S171" s="402"/>
      <c r="T171" s="402"/>
      <c r="U171" s="402"/>
      <c r="V171" s="402"/>
      <c r="W171" s="402"/>
      <c r="X171" s="402"/>
      <c r="Y171" s="402"/>
      <c r="Z171" s="402"/>
      <c r="AA171" s="402"/>
    </row>
    <row r="172">
      <c r="A172" s="455"/>
      <c r="B172" s="455"/>
      <c r="C172" s="455"/>
      <c r="D172" s="455"/>
      <c r="E172" s="402"/>
      <c r="F172" s="402"/>
      <c r="G172" s="402"/>
      <c r="H172" s="402"/>
      <c r="I172" s="402"/>
      <c r="J172" s="402"/>
      <c r="K172" s="402"/>
      <c r="L172" s="402"/>
      <c r="M172" s="402"/>
      <c r="N172" s="402"/>
      <c r="O172" s="402"/>
      <c r="P172" s="402"/>
      <c r="Q172" s="402"/>
      <c r="R172" s="402"/>
      <c r="S172" s="402"/>
      <c r="T172" s="402"/>
      <c r="U172" s="402"/>
      <c r="V172" s="402"/>
      <c r="W172" s="402"/>
      <c r="X172" s="402"/>
      <c r="Y172" s="402"/>
      <c r="Z172" s="402"/>
      <c r="AA172" s="402"/>
    </row>
    <row r="173">
      <c r="A173" s="455"/>
      <c r="B173" s="455"/>
      <c r="C173" s="455"/>
      <c r="D173" s="455"/>
      <c r="E173" s="402"/>
      <c r="F173" s="402"/>
      <c r="G173" s="402"/>
      <c r="H173" s="402"/>
      <c r="I173" s="402"/>
      <c r="J173" s="402"/>
      <c r="K173" s="402"/>
      <c r="L173" s="402"/>
      <c r="M173" s="402"/>
      <c r="N173" s="402"/>
      <c r="O173" s="402"/>
      <c r="P173" s="402"/>
      <c r="Q173" s="402"/>
      <c r="R173" s="402"/>
      <c r="S173" s="402"/>
      <c r="T173" s="402"/>
      <c r="U173" s="402"/>
      <c r="V173" s="402"/>
      <c r="W173" s="402"/>
      <c r="X173" s="402"/>
      <c r="Y173" s="402"/>
      <c r="Z173" s="402"/>
      <c r="AA173" s="402"/>
    </row>
    <row r="174">
      <c r="A174" s="455"/>
      <c r="B174" s="455"/>
      <c r="C174" s="455"/>
      <c r="D174" s="455"/>
      <c r="E174" s="402"/>
      <c r="F174" s="402"/>
      <c r="G174" s="402"/>
      <c r="H174" s="402"/>
      <c r="I174" s="402"/>
      <c r="J174" s="402"/>
      <c r="K174" s="402"/>
      <c r="L174" s="402"/>
      <c r="M174" s="402"/>
      <c r="N174" s="402"/>
      <c r="O174" s="402"/>
      <c r="P174" s="402"/>
      <c r="Q174" s="402"/>
      <c r="R174" s="402"/>
      <c r="S174" s="402"/>
      <c r="T174" s="402"/>
      <c r="U174" s="402"/>
      <c r="V174" s="402"/>
      <c r="W174" s="402"/>
      <c r="X174" s="402"/>
      <c r="Y174" s="402"/>
      <c r="Z174" s="402"/>
      <c r="AA174" s="402"/>
    </row>
    <row r="175">
      <c r="A175" s="455"/>
      <c r="B175" s="455"/>
      <c r="C175" s="455"/>
      <c r="D175" s="455"/>
      <c r="E175" s="402"/>
      <c r="F175" s="402"/>
      <c r="G175" s="402"/>
      <c r="H175" s="402"/>
      <c r="I175" s="402"/>
      <c r="J175" s="402"/>
      <c r="K175" s="402"/>
      <c r="L175" s="402"/>
      <c r="M175" s="402"/>
      <c r="N175" s="402"/>
      <c r="O175" s="402"/>
      <c r="P175" s="402"/>
      <c r="Q175" s="402"/>
      <c r="R175" s="402"/>
      <c r="S175" s="402"/>
      <c r="T175" s="402"/>
      <c r="U175" s="402"/>
      <c r="V175" s="402"/>
      <c r="W175" s="402"/>
      <c r="X175" s="402"/>
      <c r="Y175" s="402"/>
      <c r="Z175" s="402"/>
      <c r="AA175" s="402"/>
    </row>
    <row r="176">
      <c r="A176" s="455"/>
      <c r="B176" s="455"/>
      <c r="C176" s="455"/>
      <c r="D176" s="455"/>
      <c r="E176" s="402"/>
      <c r="F176" s="402"/>
      <c r="G176" s="402"/>
      <c r="H176" s="402"/>
      <c r="I176" s="402"/>
      <c r="J176" s="402"/>
      <c r="K176" s="402"/>
      <c r="L176" s="402"/>
      <c r="M176" s="402"/>
      <c r="N176" s="402"/>
      <c r="O176" s="402"/>
      <c r="P176" s="402"/>
      <c r="Q176" s="402"/>
      <c r="R176" s="402"/>
      <c r="S176" s="402"/>
      <c r="T176" s="402"/>
      <c r="U176" s="402"/>
      <c r="V176" s="402"/>
      <c r="W176" s="402"/>
      <c r="X176" s="402"/>
      <c r="Y176" s="402"/>
      <c r="Z176" s="402"/>
      <c r="AA176" s="402"/>
    </row>
    <row r="177">
      <c r="A177" s="455"/>
      <c r="B177" s="455"/>
      <c r="C177" s="455"/>
      <c r="D177" s="455"/>
      <c r="E177" s="402"/>
      <c r="F177" s="402"/>
      <c r="G177" s="402"/>
      <c r="H177" s="402"/>
      <c r="I177" s="402"/>
      <c r="J177" s="402"/>
      <c r="K177" s="402"/>
      <c r="L177" s="402"/>
      <c r="M177" s="402"/>
      <c r="N177" s="402"/>
      <c r="O177" s="402"/>
      <c r="P177" s="402"/>
      <c r="Q177" s="402"/>
      <c r="R177" s="402"/>
      <c r="S177" s="402"/>
      <c r="T177" s="402"/>
      <c r="U177" s="402"/>
      <c r="V177" s="402"/>
      <c r="W177" s="402"/>
      <c r="X177" s="402"/>
      <c r="Y177" s="402"/>
      <c r="Z177" s="402"/>
      <c r="AA177" s="402"/>
    </row>
    <row r="178">
      <c r="A178" s="455"/>
      <c r="B178" s="455"/>
      <c r="C178" s="455"/>
      <c r="D178" s="455"/>
      <c r="E178" s="402"/>
      <c r="F178" s="402"/>
      <c r="G178" s="402"/>
      <c r="H178" s="402"/>
      <c r="I178" s="402"/>
      <c r="J178" s="402"/>
      <c r="K178" s="402"/>
      <c r="L178" s="402"/>
      <c r="M178" s="402"/>
      <c r="N178" s="402"/>
      <c r="O178" s="402"/>
      <c r="P178" s="402"/>
      <c r="Q178" s="402"/>
      <c r="R178" s="402"/>
      <c r="S178" s="402"/>
      <c r="T178" s="402"/>
      <c r="U178" s="402"/>
      <c r="V178" s="402"/>
      <c r="W178" s="402"/>
      <c r="X178" s="402"/>
      <c r="Y178" s="402"/>
      <c r="Z178" s="402"/>
      <c r="AA178" s="402"/>
    </row>
    <row r="179">
      <c r="A179" s="455"/>
      <c r="B179" s="455"/>
      <c r="C179" s="455"/>
      <c r="D179" s="455"/>
      <c r="E179" s="402"/>
      <c r="F179" s="402"/>
      <c r="G179" s="402"/>
      <c r="H179" s="402"/>
      <c r="I179" s="402"/>
      <c r="J179" s="402"/>
      <c r="K179" s="402"/>
      <c r="L179" s="402"/>
      <c r="M179" s="402"/>
      <c r="N179" s="402"/>
      <c r="O179" s="402"/>
      <c r="P179" s="402"/>
      <c r="Q179" s="402"/>
      <c r="R179" s="402"/>
      <c r="S179" s="402"/>
      <c r="T179" s="402"/>
      <c r="U179" s="402"/>
      <c r="V179" s="402"/>
      <c r="W179" s="402"/>
      <c r="X179" s="402"/>
      <c r="Y179" s="402"/>
      <c r="Z179" s="402"/>
      <c r="AA179" s="402"/>
    </row>
    <row r="180">
      <c r="A180" s="455"/>
      <c r="B180" s="455"/>
      <c r="C180" s="455"/>
      <c r="D180" s="455"/>
      <c r="E180" s="402"/>
      <c r="F180" s="402"/>
      <c r="G180" s="402"/>
      <c r="H180" s="402"/>
      <c r="I180" s="402"/>
      <c r="J180" s="402"/>
      <c r="K180" s="402"/>
      <c r="L180" s="402"/>
      <c r="M180" s="402"/>
      <c r="N180" s="402"/>
      <c r="O180" s="402"/>
      <c r="P180" s="402"/>
      <c r="Q180" s="402"/>
      <c r="R180" s="402"/>
      <c r="S180" s="402"/>
      <c r="T180" s="402"/>
      <c r="U180" s="402"/>
      <c r="V180" s="402"/>
      <c r="W180" s="402"/>
      <c r="X180" s="402"/>
      <c r="Y180" s="402"/>
      <c r="Z180" s="402"/>
      <c r="AA180" s="402"/>
    </row>
    <row r="181">
      <c r="A181" s="455"/>
      <c r="B181" s="455"/>
      <c r="C181" s="455"/>
      <c r="D181" s="455"/>
      <c r="E181" s="402"/>
      <c r="F181" s="402"/>
      <c r="G181" s="402"/>
      <c r="H181" s="402"/>
      <c r="I181" s="402"/>
      <c r="J181" s="402"/>
      <c r="K181" s="402"/>
      <c r="L181" s="402"/>
      <c r="M181" s="402"/>
      <c r="N181" s="402"/>
      <c r="O181" s="402"/>
      <c r="P181" s="402"/>
      <c r="Q181" s="402"/>
      <c r="R181" s="402"/>
      <c r="S181" s="402"/>
      <c r="T181" s="402"/>
      <c r="U181" s="402"/>
      <c r="V181" s="402"/>
      <c r="W181" s="402"/>
      <c r="X181" s="402"/>
      <c r="Y181" s="402"/>
      <c r="Z181" s="402"/>
      <c r="AA181" s="402"/>
    </row>
    <row r="182">
      <c r="A182" s="455"/>
      <c r="B182" s="455"/>
      <c r="C182" s="455"/>
      <c r="D182" s="455"/>
      <c r="E182" s="402"/>
      <c r="F182" s="402"/>
      <c r="G182" s="402"/>
      <c r="H182" s="402"/>
      <c r="I182" s="402"/>
      <c r="J182" s="402"/>
      <c r="K182" s="402"/>
      <c r="L182" s="402"/>
      <c r="M182" s="402"/>
      <c r="N182" s="402"/>
      <c r="O182" s="402"/>
      <c r="P182" s="402"/>
      <c r="Q182" s="402"/>
      <c r="R182" s="402"/>
      <c r="S182" s="402"/>
      <c r="T182" s="402"/>
      <c r="U182" s="402"/>
      <c r="V182" s="402"/>
      <c r="W182" s="402"/>
      <c r="X182" s="402"/>
      <c r="Y182" s="402"/>
      <c r="Z182" s="402"/>
      <c r="AA182" s="402"/>
    </row>
    <row r="183">
      <c r="A183" s="455"/>
      <c r="B183" s="455"/>
      <c r="C183" s="455"/>
      <c r="D183" s="455"/>
      <c r="E183" s="402"/>
      <c r="F183" s="402"/>
      <c r="G183" s="402"/>
      <c r="H183" s="402"/>
      <c r="I183" s="402"/>
      <c r="J183" s="402"/>
      <c r="K183" s="402"/>
      <c r="L183" s="402"/>
      <c r="M183" s="402"/>
      <c r="N183" s="402"/>
      <c r="O183" s="402"/>
      <c r="P183" s="402"/>
      <c r="Q183" s="402"/>
      <c r="R183" s="402"/>
      <c r="S183" s="402"/>
      <c r="T183" s="402"/>
      <c r="U183" s="402"/>
      <c r="V183" s="402"/>
      <c r="W183" s="402"/>
      <c r="X183" s="402"/>
      <c r="Y183" s="402"/>
      <c r="Z183" s="402"/>
      <c r="AA183" s="402"/>
    </row>
    <row r="184">
      <c r="A184" s="455"/>
      <c r="B184" s="455"/>
      <c r="C184" s="455"/>
      <c r="D184" s="455"/>
      <c r="E184" s="402"/>
      <c r="F184" s="402"/>
      <c r="G184" s="402"/>
      <c r="H184" s="402"/>
      <c r="I184" s="402"/>
      <c r="J184" s="402"/>
      <c r="K184" s="402"/>
      <c r="L184" s="402"/>
      <c r="M184" s="402"/>
      <c r="N184" s="402"/>
      <c r="O184" s="402"/>
      <c r="P184" s="402"/>
      <c r="Q184" s="402"/>
      <c r="R184" s="402"/>
      <c r="S184" s="402"/>
      <c r="T184" s="402"/>
      <c r="U184" s="402"/>
      <c r="V184" s="402"/>
      <c r="W184" s="402"/>
      <c r="X184" s="402"/>
      <c r="Y184" s="402"/>
      <c r="Z184" s="402"/>
      <c r="AA184" s="402"/>
    </row>
    <row r="185">
      <c r="A185" s="455"/>
      <c r="B185" s="455"/>
      <c r="C185" s="455"/>
      <c r="D185" s="455"/>
      <c r="E185" s="402"/>
      <c r="F185" s="402"/>
      <c r="G185" s="402"/>
      <c r="H185" s="402"/>
      <c r="I185" s="402"/>
      <c r="J185" s="402"/>
      <c r="K185" s="402"/>
      <c r="L185" s="402"/>
      <c r="M185" s="402"/>
      <c r="N185" s="402"/>
      <c r="O185" s="402"/>
      <c r="P185" s="402"/>
      <c r="Q185" s="402"/>
      <c r="R185" s="402"/>
      <c r="S185" s="402"/>
      <c r="T185" s="402"/>
      <c r="U185" s="402"/>
      <c r="V185" s="402"/>
      <c r="W185" s="402"/>
      <c r="X185" s="402"/>
      <c r="Y185" s="402"/>
      <c r="Z185" s="402"/>
      <c r="AA185" s="402"/>
    </row>
    <row r="186">
      <c r="A186" s="455"/>
      <c r="B186" s="455"/>
      <c r="C186" s="455"/>
      <c r="D186" s="455"/>
      <c r="E186" s="402"/>
      <c r="F186" s="402"/>
      <c r="G186" s="402"/>
      <c r="H186" s="402"/>
      <c r="I186" s="402"/>
      <c r="J186" s="402"/>
      <c r="K186" s="402"/>
      <c r="L186" s="402"/>
      <c r="M186" s="402"/>
      <c r="N186" s="402"/>
      <c r="O186" s="402"/>
      <c r="P186" s="402"/>
      <c r="Q186" s="402"/>
      <c r="R186" s="402"/>
      <c r="S186" s="402"/>
      <c r="T186" s="402"/>
      <c r="U186" s="402"/>
      <c r="V186" s="402"/>
      <c r="W186" s="402"/>
      <c r="X186" s="402"/>
      <c r="Y186" s="402"/>
      <c r="Z186" s="402"/>
      <c r="AA186" s="402"/>
    </row>
    <row r="187">
      <c r="A187" s="455"/>
      <c r="B187" s="455"/>
      <c r="C187" s="455"/>
      <c r="D187" s="455"/>
      <c r="E187" s="402"/>
      <c r="F187" s="402"/>
      <c r="G187" s="402"/>
      <c r="H187" s="402"/>
      <c r="I187" s="402"/>
      <c r="J187" s="402"/>
      <c r="K187" s="402"/>
      <c r="L187" s="402"/>
      <c r="M187" s="402"/>
      <c r="N187" s="402"/>
      <c r="O187" s="402"/>
      <c r="P187" s="402"/>
      <c r="Q187" s="402"/>
      <c r="R187" s="402"/>
      <c r="S187" s="402"/>
      <c r="T187" s="402"/>
      <c r="U187" s="402"/>
      <c r="V187" s="402"/>
      <c r="W187" s="402"/>
      <c r="X187" s="402"/>
      <c r="Y187" s="402"/>
      <c r="Z187" s="402"/>
      <c r="AA187" s="402"/>
    </row>
    <row r="188">
      <c r="A188" s="455"/>
      <c r="B188" s="455"/>
      <c r="C188" s="455"/>
      <c r="D188" s="455"/>
      <c r="E188" s="402"/>
      <c r="F188" s="402"/>
      <c r="G188" s="402"/>
      <c r="H188" s="402"/>
      <c r="I188" s="402"/>
      <c r="J188" s="402"/>
      <c r="K188" s="402"/>
      <c r="L188" s="402"/>
      <c r="M188" s="402"/>
      <c r="N188" s="402"/>
      <c r="O188" s="402"/>
      <c r="P188" s="402"/>
      <c r="Q188" s="402"/>
      <c r="R188" s="402"/>
      <c r="S188" s="402"/>
      <c r="T188" s="402"/>
      <c r="U188" s="402"/>
      <c r="V188" s="402"/>
      <c r="W188" s="402"/>
      <c r="X188" s="402"/>
      <c r="Y188" s="402"/>
      <c r="Z188" s="402"/>
      <c r="AA188" s="402"/>
    </row>
    <row r="189">
      <c r="A189" s="455"/>
      <c r="B189" s="455"/>
      <c r="C189" s="455"/>
      <c r="D189" s="455"/>
      <c r="E189" s="402"/>
      <c r="F189" s="402"/>
      <c r="G189" s="402"/>
      <c r="H189" s="402"/>
      <c r="I189" s="402"/>
      <c r="J189" s="402"/>
      <c r="K189" s="402"/>
      <c r="L189" s="402"/>
      <c r="M189" s="402"/>
      <c r="N189" s="402"/>
      <c r="O189" s="402"/>
      <c r="P189" s="402"/>
      <c r="Q189" s="402"/>
      <c r="R189" s="402"/>
      <c r="S189" s="402"/>
      <c r="T189" s="402"/>
      <c r="U189" s="402"/>
      <c r="V189" s="402"/>
      <c r="W189" s="402"/>
      <c r="X189" s="402"/>
      <c r="Y189" s="402"/>
      <c r="Z189" s="402"/>
      <c r="AA189" s="402"/>
    </row>
    <row r="190">
      <c r="A190" s="455"/>
      <c r="B190" s="455"/>
      <c r="C190" s="455"/>
      <c r="D190" s="455"/>
      <c r="E190" s="402"/>
      <c r="F190" s="402"/>
      <c r="G190" s="402"/>
      <c r="H190" s="402"/>
      <c r="I190" s="402"/>
      <c r="J190" s="402"/>
      <c r="K190" s="402"/>
      <c r="L190" s="402"/>
      <c r="M190" s="402"/>
      <c r="N190" s="402"/>
      <c r="O190" s="402"/>
      <c r="P190" s="402"/>
      <c r="Q190" s="402"/>
      <c r="R190" s="402"/>
      <c r="S190" s="402"/>
      <c r="T190" s="402"/>
      <c r="U190" s="402"/>
      <c r="V190" s="402"/>
      <c r="W190" s="402"/>
      <c r="X190" s="402"/>
      <c r="Y190" s="402"/>
      <c r="Z190" s="402"/>
      <c r="AA190" s="402"/>
    </row>
    <row r="191">
      <c r="A191" s="455"/>
      <c r="B191" s="455"/>
      <c r="C191" s="455"/>
      <c r="D191" s="455"/>
      <c r="E191" s="402"/>
      <c r="F191" s="402"/>
      <c r="G191" s="402"/>
      <c r="H191" s="402"/>
      <c r="I191" s="402"/>
      <c r="J191" s="402"/>
      <c r="K191" s="402"/>
      <c r="L191" s="402"/>
      <c r="M191" s="402"/>
      <c r="N191" s="402"/>
      <c r="O191" s="402"/>
      <c r="P191" s="402"/>
      <c r="Q191" s="402"/>
      <c r="R191" s="402"/>
      <c r="S191" s="402"/>
      <c r="T191" s="402"/>
      <c r="U191" s="402"/>
      <c r="V191" s="402"/>
      <c r="W191" s="402"/>
      <c r="X191" s="402"/>
      <c r="Y191" s="402"/>
      <c r="Z191" s="402"/>
      <c r="AA191" s="402"/>
    </row>
    <row r="192">
      <c r="A192" s="455"/>
      <c r="B192" s="455"/>
      <c r="C192" s="455"/>
      <c r="D192" s="455"/>
      <c r="E192" s="402"/>
      <c r="F192" s="402"/>
      <c r="G192" s="402"/>
      <c r="H192" s="402"/>
      <c r="I192" s="402"/>
      <c r="J192" s="402"/>
      <c r="K192" s="402"/>
      <c r="L192" s="402"/>
      <c r="M192" s="402"/>
      <c r="N192" s="402"/>
      <c r="O192" s="402"/>
      <c r="P192" s="402"/>
      <c r="Q192" s="402"/>
      <c r="R192" s="402"/>
      <c r="S192" s="402"/>
      <c r="T192" s="402"/>
      <c r="U192" s="402"/>
      <c r="V192" s="402"/>
      <c r="W192" s="402"/>
      <c r="X192" s="402"/>
      <c r="Y192" s="402"/>
      <c r="Z192" s="402"/>
      <c r="AA192" s="402"/>
    </row>
    <row r="193">
      <c r="A193" s="455"/>
      <c r="B193" s="455"/>
      <c r="C193" s="455"/>
      <c r="D193" s="455"/>
      <c r="E193" s="402"/>
      <c r="F193" s="402"/>
      <c r="G193" s="402"/>
      <c r="H193" s="402"/>
      <c r="I193" s="402"/>
      <c r="J193" s="402"/>
      <c r="K193" s="402"/>
      <c r="L193" s="402"/>
      <c r="M193" s="402"/>
      <c r="N193" s="402"/>
      <c r="O193" s="402"/>
      <c r="P193" s="402"/>
      <c r="Q193" s="402"/>
      <c r="R193" s="402"/>
      <c r="S193" s="402"/>
      <c r="T193" s="402"/>
      <c r="U193" s="402"/>
      <c r="V193" s="402"/>
      <c r="W193" s="402"/>
      <c r="X193" s="402"/>
      <c r="Y193" s="402"/>
      <c r="Z193" s="402"/>
      <c r="AA193" s="402"/>
    </row>
    <row r="194">
      <c r="A194" s="455"/>
      <c r="B194" s="455"/>
      <c r="C194" s="455"/>
      <c r="D194" s="455"/>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row>
    <row r="195">
      <c r="A195" s="455"/>
      <c r="B195" s="455"/>
      <c r="C195" s="455"/>
      <c r="D195" s="455"/>
      <c r="E195" s="402"/>
      <c r="F195" s="402"/>
      <c r="G195" s="402"/>
      <c r="H195" s="402"/>
      <c r="I195" s="402"/>
      <c r="J195" s="402"/>
      <c r="K195" s="402"/>
      <c r="L195" s="402"/>
      <c r="M195" s="402"/>
      <c r="N195" s="402"/>
      <c r="O195" s="402"/>
      <c r="P195" s="402"/>
      <c r="Q195" s="402"/>
      <c r="R195" s="402"/>
      <c r="S195" s="402"/>
      <c r="T195" s="402"/>
      <c r="U195" s="402"/>
      <c r="V195" s="402"/>
      <c r="W195" s="402"/>
      <c r="X195" s="402"/>
      <c r="Y195" s="402"/>
      <c r="Z195" s="402"/>
      <c r="AA195" s="402"/>
    </row>
    <row r="196">
      <c r="A196" s="455"/>
      <c r="B196" s="455"/>
      <c r="C196" s="455"/>
      <c r="D196" s="455"/>
      <c r="E196" s="402"/>
      <c r="F196" s="402"/>
      <c r="G196" s="402"/>
      <c r="H196" s="402"/>
      <c r="I196" s="402"/>
      <c r="J196" s="402"/>
      <c r="K196" s="402"/>
      <c r="L196" s="402"/>
      <c r="M196" s="402"/>
      <c r="N196" s="402"/>
      <c r="O196" s="402"/>
      <c r="P196" s="402"/>
      <c r="Q196" s="402"/>
      <c r="R196" s="402"/>
      <c r="S196" s="402"/>
      <c r="T196" s="402"/>
      <c r="U196" s="402"/>
      <c r="V196" s="402"/>
      <c r="W196" s="402"/>
      <c r="X196" s="402"/>
      <c r="Y196" s="402"/>
      <c r="Z196" s="402"/>
      <c r="AA196" s="402"/>
    </row>
    <row r="197">
      <c r="A197" s="455"/>
      <c r="B197" s="455"/>
      <c r="C197" s="455"/>
      <c r="D197" s="455"/>
      <c r="E197" s="402"/>
      <c r="F197" s="402"/>
      <c r="G197" s="402"/>
      <c r="H197" s="402"/>
      <c r="I197" s="402"/>
      <c r="J197" s="402"/>
      <c r="K197" s="402"/>
      <c r="L197" s="402"/>
      <c r="M197" s="402"/>
      <c r="N197" s="402"/>
      <c r="O197" s="402"/>
      <c r="P197" s="402"/>
      <c r="Q197" s="402"/>
      <c r="R197" s="402"/>
      <c r="S197" s="402"/>
      <c r="T197" s="402"/>
      <c r="U197" s="402"/>
      <c r="V197" s="402"/>
      <c r="W197" s="402"/>
      <c r="X197" s="402"/>
      <c r="Y197" s="402"/>
      <c r="Z197" s="402"/>
      <c r="AA197" s="402"/>
    </row>
    <row r="198">
      <c r="A198" s="455"/>
      <c r="B198" s="455"/>
      <c r="C198" s="455"/>
      <c r="D198" s="455"/>
      <c r="E198" s="402"/>
      <c r="F198" s="402"/>
      <c r="G198" s="402"/>
      <c r="H198" s="402"/>
      <c r="I198" s="402"/>
      <c r="J198" s="402"/>
      <c r="K198" s="402"/>
      <c r="L198" s="402"/>
      <c r="M198" s="402"/>
      <c r="N198" s="402"/>
      <c r="O198" s="402"/>
      <c r="P198" s="402"/>
      <c r="Q198" s="402"/>
      <c r="R198" s="402"/>
      <c r="S198" s="402"/>
      <c r="T198" s="402"/>
      <c r="U198" s="402"/>
      <c r="V198" s="402"/>
      <c r="W198" s="402"/>
      <c r="X198" s="402"/>
      <c r="Y198" s="402"/>
      <c r="Z198" s="402"/>
      <c r="AA198" s="402"/>
    </row>
    <row r="199">
      <c r="A199" s="455"/>
      <c r="B199" s="455"/>
      <c r="C199" s="455"/>
      <c r="D199" s="455"/>
      <c r="E199" s="402"/>
      <c r="F199" s="402"/>
      <c r="G199" s="402"/>
      <c r="H199" s="402"/>
      <c r="I199" s="402"/>
      <c r="J199" s="402"/>
      <c r="K199" s="402"/>
      <c r="L199" s="402"/>
      <c r="M199" s="402"/>
      <c r="N199" s="402"/>
      <c r="O199" s="402"/>
      <c r="P199" s="402"/>
      <c r="Q199" s="402"/>
      <c r="R199" s="402"/>
      <c r="S199" s="402"/>
      <c r="T199" s="402"/>
      <c r="U199" s="402"/>
      <c r="V199" s="402"/>
      <c r="W199" s="402"/>
      <c r="X199" s="402"/>
      <c r="Y199" s="402"/>
      <c r="Z199" s="402"/>
      <c r="AA199" s="402"/>
    </row>
    <row r="200">
      <c r="A200" s="455"/>
      <c r="B200" s="455"/>
      <c r="C200" s="455"/>
      <c r="D200" s="455"/>
      <c r="E200" s="402"/>
      <c r="F200" s="402"/>
      <c r="G200" s="402"/>
      <c r="H200" s="402"/>
      <c r="I200" s="402"/>
      <c r="J200" s="402"/>
      <c r="K200" s="402"/>
      <c r="L200" s="402"/>
      <c r="M200" s="402"/>
      <c r="N200" s="402"/>
      <c r="O200" s="402"/>
      <c r="P200" s="402"/>
      <c r="Q200" s="402"/>
      <c r="R200" s="402"/>
      <c r="S200" s="402"/>
      <c r="T200" s="402"/>
      <c r="U200" s="402"/>
      <c r="V200" s="402"/>
      <c r="W200" s="402"/>
      <c r="X200" s="402"/>
      <c r="Y200" s="402"/>
      <c r="Z200" s="402"/>
      <c r="AA200" s="402"/>
    </row>
    <row r="201">
      <c r="A201" s="455"/>
      <c r="B201" s="455"/>
      <c r="C201" s="455"/>
      <c r="D201" s="455"/>
      <c r="E201" s="402"/>
      <c r="F201" s="402"/>
      <c r="G201" s="402"/>
      <c r="H201" s="402"/>
      <c r="I201" s="402"/>
      <c r="J201" s="402"/>
      <c r="K201" s="402"/>
      <c r="L201" s="402"/>
      <c r="M201" s="402"/>
      <c r="N201" s="402"/>
      <c r="O201" s="402"/>
      <c r="P201" s="402"/>
      <c r="Q201" s="402"/>
      <c r="R201" s="402"/>
      <c r="S201" s="402"/>
      <c r="T201" s="402"/>
      <c r="U201" s="402"/>
      <c r="V201" s="402"/>
      <c r="W201" s="402"/>
      <c r="X201" s="402"/>
      <c r="Y201" s="402"/>
      <c r="Z201" s="402"/>
      <c r="AA201" s="402"/>
    </row>
    <row r="202">
      <c r="A202" s="455"/>
      <c r="B202" s="455"/>
      <c r="C202" s="455"/>
      <c r="D202" s="455"/>
      <c r="E202" s="402"/>
      <c r="F202" s="402"/>
      <c r="G202" s="402"/>
      <c r="H202" s="402"/>
      <c r="I202" s="402"/>
      <c r="J202" s="402"/>
      <c r="K202" s="402"/>
      <c r="L202" s="402"/>
      <c r="M202" s="402"/>
      <c r="N202" s="402"/>
      <c r="O202" s="402"/>
      <c r="P202" s="402"/>
      <c r="Q202" s="402"/>
      <c r="R202" s="402"/>
      <c r="S202" s="402"/>
      <c r="T202" s="402"/>
      <c r="U202" s="402"/>
      <c r="V202" s="402"/>
      <c r="W202" s="402"/>
      <c r="X202" s="402"/>
      <c r="Y202" s="402"/>
      <c r="Z202" s="402"/>
      <c r="AA202" s="402"/>
    </row>
    <row r="203">
      <c r="A203" s="455"/>
      <c r="B203" s="455"/>
      <c r="C203" s="455"/>
      <c r="D203" s="455"/>
      <c r="E203" s="402"/>
      <c r="F203" s="402"/>
      <c r="G203" s="402"/>
      <c r="H203" s="402"/>
      <c r="I203" s="402"/>
      <c r="J203" s="402"/>
      <c r="K203" s="402"/>
      <c r="L203" s="402"/>
      <c r="M203" s="402"/>
      <c r="N203" s="402"/>
      <c r="O203" s="402"/>
      <c r="P203" s="402"/>
      <c r="Q203" s="402"/>
      <c r="R203" s="402"/>
      <c r="S203" s="402"/>
      <c r="T203" s="402"/>
      <c r="U203" s="402"/>
      <c r="V203" s="402"/>
      <c r="W203" s="402"/>
      <c r="X203" s="402"/>
      <c r="Y203" s="402"/>
      <c r="Z203" s="402"/>
      <c r="AA203" s="402"/>
    </row>
    <row r="204">
      <c r="A204" s="455"/>
      <c r="B204" s="455"/>
      <c r="C204" s="455"/>
      <c r="D204" s="455"/>
      <c r="E204" s="402"/>
      <c r="F204" s="402"/>
      <c r="G204" s="402"/>
      <c r="H204" s="402"/>
      <c r="I204" s="402"/>
      <c r="J204" s="402"/>
      <c r="K204" s="402"/>
      <c r="L204" s="402"/>
      <c r="M204" s="402"/>
      <c r="N204" s="402"/>
      <c r="O204" s="402"/>
      <c r="P204" s="402"/>
      <c r="Q204" s="402"/>
      <c r="R204" s="402"/>
      <c r="S204" s="402"/>
      <c r="T204" s="402"/>
      <c r="U204" s="402"/>
      <c r="V204" s="402"/>
      <c r="W204" s="402"/>
      <c r="X204" s="402"/>
      <c r="Y204" s="402"/>
      <c r="Z204" s="402"/>
      <c r="AA204" s="402"/>
    </row>
    <row r="205">
      <c r="A205" s="455"/>
      <c r="B205" s="455"/>
      <c r="C205" s="455"/>
      <c r="D205" s="455"/>
      <c r="E205" s="402"/>
      <c r="F205" s="402"/>
      <c r="G205" s="402"/>
      <c r="H205" s="402"/>
      <c r="I205" s="402"/>
      <c r="J205" s="402"/>
      <c r="K205" s="402"/>
      <c r="L205" s="402"/>
      <c r="M205" s="402"/>
      <c r="N205" s="402"/>
      <c r="O205" s="402"/>
      <c r="P205" s="402"/>
      <c r="Q205" s="402"/>
      <c r="R205" s="402"/>
      <c r="S205" s="402"/>
      <c r="T205" s="402"/>
      <c r="U205" s="402"/>
      <c r="V205" s="402"/>
      <c r="W205" s="402"/>
      <c r="X205" s="402"/>
      <c r="Y205" s="402"/>
      <c r="Z205" s="402"/>
      <c r="AA205" s="402"/>
    </row>
    <row r="206">
      <c r="A206" s="455"/>
      <c r="B206" s="455"/>
      <c r="C206" s="455"/>
      <c r="D206" s="455"/>
      <c r="E206" s="402"/>
      <c r="F206" s="402"/>
      <c r="G206" s="402"/>
      <c r="H206" s="402"/>
      <c r="I206" s="402"/>
      <c r="J206" s="402"/>
      <c r="K206" s="402"/>
      <c r="L206" s="402"/>
      <c r="M206" s="402"/>
      <c r="N206" s="402"/>
      <c r="O206" s="402"/>
      <c r="P206" s="402"/>
      <c r="Q206" s="402"/>
      <c r="R206" s="402"/>
      <c r="S206" s="402"/>
      <c r="T206" s="402"/>
      <c r="U206" s="402"/>
      <c r="V206" s="402"/>
      <c r="W206" s="402"/>
      <c r="X206" s="402"/>
      <c r="Y206" s="402"/>
      <c r="Z206" s="402"/>
      <c r="AA206" s="402"/>
    </row>
    <row r="207">
      <c r="A207" s="455"/>
      <c r="B207" s="455"/>
      <c r="C207" s="455"/>
      <c r="D207" s="455"/>
      <c r="E207" s="402"/>
      <c r="F207" s="402"/>
      <c r="G207" s="402"/>
      <c r="H207" s="402"/>
      <c r="I207" s="402"/>
      <c r="J207" s="402"/>
      <c r="K207" s="402"/>
      <c r="L207" s="402"/>
      <c r="M207" s="402"/>
      <c r="N207" s="402"/>
      <c r="O207" s="402"/>
      <c r="P207" s="402"/>
      <c r="Q207" s="402"/>
      <c r="R207" s="402"/>
      <c r="S207" s="402"/>
      <c r="T207" s="402"/>
      <c r="U207" s="402"/>
      <c r="V207" s="402"/>
      <c r="W207" s="402"/>
      <c r="X207" s="402"/>
      <c r="Y207" s="402"/>
      <c r="Z207" s="402"/>
      <c r="AA207" s="402"/>
    </row>
    <row r="208">
      <c r="A208" s="455"/>
      <c r="B208" s="455"/>
      <c r="C208" s="455"/>
      <c r="D208" s="455"/>
      <c r="E208" s="402"/>
      <c r="F208" s="402"/>
      <c r="G208" s="402"/>
      <c r="H208" s="402"/>
      <c r="I208" s="402"/>
      <c r="J208" s="402"/>
      <c r="K208" s="402"/>
      <c r="L208" s="402"/>
      <c r="M208" s="402"/>
      <c r="N208" s="402"/>
      <c r="O208" s="402"/>
      <c r="P208" s="402"/>
      <c r="Q208" s="402"/>
      <c r="R208" s="402"/>
      <c r="S208" s="402"/>
      <c r="T208" s="402"/>
      <c r="U208" s="402"/>
      <c r="V208" s="402"/>
      <c r="W208" s="402"/>
      <c r="X208" s="402"/>
      <c r="Y208" s="402"/>
      <c r="Z208" s="402"/>
      <c r="AA208" s="402"/>
    </row>
    <row r="209">
      <c r="A209" s="455"/>
      <c r="B209" s="455"/>
      <c r="C209" s="455"/>
      <c r="D209" s="455"/>
      <c r="E209" s="402"/>
      <c r="F209" s="402"/>
      <c r="G209" s="402"/>
      <c r="H209" s="402"/>
      <c r="I209" s="402"/>
      <c r="J209" s="402"/>
      <c r="K209" s="402"/>
      <c r="L209" s="402"/>
      <c r="M209" s="402"/>
      <c r="N209" s="402"/>
      <c r="O209" s="402"/>
      <c r="P209" s="402"/>
      <c r="Q209" s="402"/>
      <c r="R209" s="402"/>
      <c r="S209" s="402"/>
      <c r="T209" s="402"/>
      <c r="U209" s="402"/>
      <c r="V209" s="402"/>
      <c r="W209" s="402"/>
      <c r="X209" s="402"/>
      <c r="Y209" s="402"/>
      <c r="Z209" s="402"/>
      <c r="AA209" s="402"/>
    </row>
    <row r="210">
      <c r="A210" s="455"/>
      <c r="B210" s="455"/>
      <c r="C210" s="455"/>
      <c r="D210" s="455"/>
      <c r="E210" s="402"/>
      <c r="F210" s="402"/>
      <c r="G210" s="402"/>
      <c r="H210" s="402"/>
      <c r="I210" s="402"/>
      <c r="J210" s="402"/>
      <c r="K210" s="402"/>
      <c r="L210" s="402"/>
      <c r="M210" s="402"/>
      <c r="N210" s="402"/>
      <c r="O210" s="402"/>
      <c r="P210" s="402"/>
      <c r="Q210" s="402"/>
      <c r="R210" s="402"/>
      <c r="S210" s="402"/>
      <c r="T210" s="402"/>
      <c r="U210" s="402"/>
      <c r="V210" s="402"/>
      <c r="W210" s="402"/>
      <c r="X210" s="402"/>
      <c r="Y210" s="402"/>
      <c r="Z210" s="402"/>
      <c r="AA210" s="402"/>
    </row>
    <row r="211">
      <c r="A211" s="455"/>
      <c r="B211" s="455"/>
      <c r="C211" s="455"/>
      <c r="D211" s="455"/>
      <c r="E211" s="402"/>
      <c r="F211" s="402"/>
      <c r="G211" s="402"/>
      <c r="H211" s="402"/>
      <c r="I211" s="402"/>
      <c r="J211" s="402"/>
      <c r="K211" s="402"/>
      <c r="L211" s="402"/>
      <c r="M211" s="402"/>
      <c r="N211" s="402"/>
      <c r="O211" s="402"/>
      <c r="P211" s="402"/>
      <c r="Q211" s="402"/>
      <c r="R211" s="402"/>
      <c r="S211" s="402"/>
      <c r="T211" s="402"/>
      <c r="U211" s="402"/>
      <c r="V211" s="402"/>
      <c r="W211" s="402"/>
      <c r="X211" s="402"/>
      <c r="Y211" s="402"/>
      <c r="Z211" s="402"/>
      <c r="AA211" s="402"/>
    </row>
    <row r="212">
      <c r="A212" s="455"/>
      <c r="B212" s="455"/>
      <c r="C212" s="455"/>
      <c r="D212" s="455"/>
      <c r="E212" s="402"/>
      <c r="F212" s="402"/>
      <c r="G212" s="402"/>
      <c r="H212" s="402"/>
      <c r="I212" s="402"/>
      <c r="J212" s="402"/>
      <c r="K212" s="402"/>
      <c r="L212" s="402"/>
      <c r="M212" s="402"/>
      <c r="N212" s="402"/>
      <c r="O212" s="402"/>
      <c r="P212" s="402"/>
      <c r="Q212" s="402"/>
      <c r="R212" s="402"/>
      <c r="S212" s="402"/>
      <c r="T212" s="402"/>
      <c r="U212" s="402"/>
      <c r="V212" s="402"/>
      <c r="W212" s="402"/>
      <c r="X212" s="402"/>
      <c r="Y212" s="402"/>
      <c r="Z212" s="402"/>
      <c r="AA212" s="402"/>
    </row>
    <row r="213">
      <c r="A213" s="455"/>
      <c r="B213" s="455"/>
      <c r="C213" s="455"/>
      <c r="D213" s="455"/>
      <c r="E213" s="402"/>
      <c r="F213" s="402"/>
      <c r="G213" s="402"/>
      <c r="H213" s="402"/>
      <c r="I213" s="402"/>
      <c r="J213" s="402"/>
      <c r="K213" s="402"/>
      <c r="L213" s="402"/>
      <c r="M213" s="402"/>
      <c r="N213" s="402"/>
      <c r="O213" s="402"/>
      <c r="P213" s="402"/>
      <c r="Q213" s="402"/>
      <c r="R213" s="402"/>
      <c r="S213" s="402"/>
      <c r="T213" s="402"/>
      <c r="U213" s="402"/>
      <c r="V213" s="402"/>
      <c r="W213" s="402"/>
      <c r="X213" s="402"/>
      <c r="Y213" s="402"/>
      <c r="Z213" s="402"/>
      <c r="AA213" s="402"/>
    </row>
    <row r="214">
      <c r="A214" s="455"/>
      <c r="B214" s="455"/>
      <c r="C214" s="455"/>
      <c r="D214" s="455"/>
      <c r="E214" s="402"/>
      <c r="F214" s="402"/>
      <c r="G214" s="402"/>
      <c r="H214" s="402"/>
      <c r="I214" s="402"/>
      <c r="J214" s="402"/>
      <c r="K214" s="402"/>
      <c r="L214" s="402"/>
      <c r="M214" s="402"/>
      <c r="N214" s="402"/>
      <c r="O214" s="402"/>
      <c r="P214" s="402"/>
      <c r="Q214" s="402"/>
      <c r="R214" s="402"/>
      <c r="S214" s="402"/>
      <c r="T214" s="402"/>
      <c r="U214" s="402"/>
      <c r="V214" s="402"/>
      <c r="W214" s="402"/>
      <c r="X214" s="402"/>
      <c r="Y214" s="402"/>
      <c r="Z214" s="402"/>
      <c r="AA214" s="402"/>
    </row>
    <row r="215">
      <c r="A215" s="455"/>
      <c r="B215" s="455"/>
      <c r="C215" s="455"/>
      <c r="D215" s="455"/>
      <c r="E215" s="402"/>
      <c r="F215" s="402"/>
      <c r="G215" s="402"/>
      <c r="H215" s="402"/>
      <c r="I215" s="402"/>
      <c r="J215" s="402"/>
      <c r="K215" s="402"/>
      <c r="L215" s="402"/>
      <c r="M215" s="402"/>
      <c r="N215" s="402"/>
      <c r="O215" s="402"/>
      <c r="P215" s="402"/>
      <c r="Q215" s="402"/>
      <c r="R215" s="402"/>
      <c r="S215" s="402"/>
      <c r="T215" s="402"/>
      <c r="U215" s="402"/>
      <c r="V215" s="402"/>
      <c r="W215" s="402"/>
      <c r="X215" s="402"/>
      <c r="Y215" s="402"/>
      <c r="Z215" s="402"/>
      <c r="AA215" s="402"/>
    </row>
    <row r="216">
      <c r="A216" s="455"/>
      <c r="B216" s="455"/>
      <c r="C216" s="455"/>
      <c r="D216" s="455"/>
      <c r="E216" s="402"/>
      <c r="F216" s="402"/>
      <c r="G216" s="402"/>
      <c r="H216" s="402"/>
      <c r="I216" s="402"/>
      <c r="J216" s="402"/>
      <c r="K216" s="402"/>
      <c r="L216" s="402"/>
      <c r="M216" s="402"/>
      <c r="N216" s="402"/>
      <c r="O216" s="402"/>
      <c r="P216" s="402"/>
      <c r="Q216" s="402"/>
      <c r="R216" s="402"/>
      <c r="S216" s="402"/>
      <c r="T216" s="402"/>
      <c r="U216" s="402"/>
      <c r="V216" s="402"/>
      <c r="W216" s="402"/>
      <c r="X216" s="402"/>
      <c r="Y216" s="402"/>
      <c r="Z216" s="402"/>
      <c r="AA216" s="402"/>
    </row>
    <row r="217">
      <c r="A217" s="455"/>
      <c r="B217" s="455"/>
      <c r="C217" s="455"/>
      <c r="D217" s="455"/>
      <c r="E217" s="402"/>
      <c r="F217" s="402"/>
      <c r="G217" s="402"/>
      <c r="H217" s="402"/>
      <c r="I217" s="402"/>
      <c r="J217" s="402"/>
      <c r="K217" s="402"/>
      <c r="L217" s="402"/>
      <c r="M217" s="402"/>
      <c r="N217" s="402"/>
      <c r="O217" s="402"/>
      <c r="P217" s="402"/>
      <c r="Q217" s="402"/>
      <c r="R217" s="402"/>
      <c r="S217" s="402"/>
      <c r="T217" s="402"/>
      <c r="U217" s="402"/>
      <c r="V217" s="402"/>
      <c r="W217" s="402"/>
      <c r="X217" s="402"/>
      <c r="Y217" s="402"/>
      <c r="Z217" s="402"/>
      <c r="AA217" s="402"/>
    </row>
    <row r="218">
      <c r="A218" s="455"/>
      <c r="B218" s="455"/>
      <c r="C218" s="455"/>
      <c r="D218" s="455"/>
      <c r="E218" s="402"/>
      <c r="F218" s="402"/>
      <c r="G218" s="402"/>
      <c r="H218" s="402"/>
      <c r="I218" s="402"/>
      <c r="J218" s="402"/>
      <c r="K218" s="402"/>
      <c r="L218" s="402"/>
      <c r="M218" s="402"/>
      <c r="N218" s="402"/>
      <c r="O218" s="402"/>
      <c r="P218" s="402"/>
      <c r="Q218" s="402"/>
      <c r="R218" s="402"/>
      <c r="S218" s="402"/>
      <c r="T218" s="402"/>
      <c r="U218" s="402"/>
      <c r="V218" s="402"/>
      <c r="W218" s="402"/>
      <c r="X218" s="402"/>
      <c r="Y218" s="402"/>
      <c r="Z218" s="402"/>
      <c r="AA218" s="402"/>
    </row>
    <row r="219">
      <c r="A219" s="455"/>
      <c r="B219" s="455"/>
      <c r="C219" s="455"/>
      <c r="D219" s="455"/>
      <c r="E219" s="402"/>
      <c r="F219" s="402"/>
      <c r="G219" s="402"/>
      <c r="H219" s="402"/>
      <c r="I219" s="402"/>
      <c r="J219" s="402"/>
      <c r="K219" s="402"/>
      <c r="L219" s="402"/>
      <c r="M219" s="402"/>
      <c r="N219" s="402"/>
      <c r="O219" s="402"/>
      <c r="P219" s="402"/>
      <c r="Q219" s="402"/>
      <c r="R219" s="402"/>
      <c r="S219" s="402"/>
      <c r="T219" s="402"/>
      <c r="U219" s="402"/>
      <c r="V219" s="402"/>
      <c r="W219" s="402"/>
      <c r="X219" s="402"/>
      <c r="Y219" s="402"/>
      <c r="Z219" s="402"/>
      <c r="AA219" s="402"/>
    </row>
    <row r="220">
      <c r="A220" s="455"/>
      <c r="B220" s="455"/>
      <c r="C220" s="455"/>
      <c r="D220" s="455"/>
      <c r="E220" s="402"/>
      <c r="F220" s="402"/>
      <c r="G220" s="402"/>
      <c r="H220" s="402"/>
      <c r="I220" s="402"/>
      <c r="J220" s="402"/>
      <c r="K220" s="402"/>
      <c r="L220" s="402"/>
      <c r="M220" s="402"/>
      <c r="N220" s="402"/>
      <c r="O220" s="402"/>
      <c r="P220" s="402"/>
      <c r="Q220" s="402"/>
      <c r="R220" s="402"/>
      <c r="S220" s="402"/>
      <c r="T220" s="402"/>
      <c r="U220" s="402"/>
      <c r="V220" s="402"/>
      <c r="W220" s="402"/>
      <c r="X220" s="402"/>
      <c r="Y220" s="402"/>
      <c r="Z220" s="402"/>
      <c r="AA220" s="402"/>
    </row>
    <row r="221">
      <c r="A221" s="455"/>
      <c r="B221" s="455"/>
      <c r="C221" s="455"/>
      <c r="D221" s="455"/>
      <c r="E221" s="402"/>
      <c r="F221" s="402"/>
      <c r="G221" s="402"/>
      <c r="H221" s="402"/>
      <c r="I221" s="402"/>
      <c r="J221" s="402"/>
      <c r="K221" s="402"/>
      <c r="L221" s="402"/>
      <c r="M221" s="402"/>
      <c r="N221" s="402"/>
      <c r="O221" s="402"/>
      <c r="P221" s="402"/>
      <c r="Q221" s="402"/>
      <c r="R221" s="402"/>
      <c r="S221" s="402"/>
      <c r="T221" s="402"/>
      <c r="U221" s="402"/>
      <c r="V221" s="402"/>
      <c r="W221" s="402"/>
      <c r="X221" s="402"/>
      <c r="Y221" s="402"/>
      <c r="Z221" s="402"/>
      <c r="AA221" s="402"/>
    </row>
    <row r="222">
      <c r="A222" s="455"/>
      <c r="B222" s="455"/>
      <c r="C222" s="455"/>
      <c r="D222" s="455"/>
      <c r="E222" s="402"/>
      <c r="F222" s="402"/>
      <c r="G222" s="402"/>
      <c r="H222" s="402"/>
      <c r="I222" s="402"/>
      <c r="J222" s="402"/>
      <c r="K222" s="402"/>
      <c r="L222" s="402"/>
      <c r="M222" s="402"/>
      <c r="N222" s="402"/>
      <c r="O222" s="402"/>
      <c r="P222" s="402"/>
      <c r="Q222" s="402"/>
      <c r="R222" s="402"/>
      <c r="S222" s="402"/>
      <c r="T222" s="402"/>
      <c r="U222" s="402"/>
      <c r="V222" s="402"/>
      <c r="W222" s="402"/>
      <c r="X222" s="402"/>
      <c r="Y222" s="402"/>
      <c r="Z222" s="402"/>
      <c r="AA222" s="402"/>
    </row>
    <row r="223">
      <c r="A223" s="455"/>
      <c r="B223" s="455"/>
      <c r="C223" s="455"/>
      <c r="D223" s="455"/>
      <c r="E223" s="402"/>
      <c r="F223" s="402"/>
      <c r="G223" s="402"/>
      <c r="H223" s="402"/>
      <c r="I223" s="402"/>
      <c r="J223" s="402"/>
      <c r="K223" s="402"/>
      <c r="L223" s="402"/>
      <c r="M223" s="402"/>
      <c r="N223" s="402"/>
      <c r="O223" s="402"/>
      <c r="P223" s="402"/>
      <c r="Q223" s="402"/>
      <c r="R223" s="402"/>
      <c r="S223" s="402"/>
      <c r="T223" s="402"/>
      <c r="U223" s="402"/>
      <c r="V223" s="402"/>
      <c r="W223" s="402"/>
      <c r="X223" s="402"/>
      <c r="Y223" s="402"/>
      <c r="Z223" s="402"/>
      <c r="AA223" s="402"/>
    </row>
    <row r="224">
      <c r="A224" s="455"/>
      <c r="B224" s="455"/>
      <c r="C224" s="455"/>
      <c r="D224" s="455"/>
      <c r="E224" s="402"/>
      <c r="F224" s="402"/>
      <c r="G224" s="402"/>
      <c r="H224" s="402"/>
      <c r="I224" s="402"/>
      <c r="J224" s="402"/>
      <c r="K224" s="402"/>
      <c r="L224" s="402"/>
      <c r="M224" s="402"/>
      <c r="N224" s="402"/>
      <c r="O224" s="402"/>
      <c r="P224" s="402"/>
      <c r="Q224" s="402"/>
      <c r="R224" s="402"/>
      <c r="S224" s="402"/>
      <c r="T224" s="402"/>
      <c r="U224" s="402"/>
      <c r="V224" s="402"/>
      <c r="W224" s="402"/>
      <c r="X224" s="402"/>
      <c r="Y224" s="402"/>
      <c r="Z224" s="402"/>
      <c r="AA224" s="402"/>
    </row>
    <row r="225">
      <c r="A225" s="455"/>
      <c r="B225" s="455"/>
      <c r="C225" s="455"/>
      <c r="D225" s="455"/>
      <c r="E225" s="402"/>
      <c r="F225" s="402"/>
      <c r="G225" s="402"/>
      <c r="H225" s="402"/>
      <c r="I225" s="402"/>
      <c r="J225" s="402"/>
      <c r="K225" s="402"/>
      <c r="L225" s="402"/>
      <c r="M225" s="402"/>
      <c r="N225" s="402"/>
      <c r="O225" s="402"/>
      <c r="P225" s="402"/>
      <c r="Q225" s="402"/>
      <c r="R225" s="402"/>
      <c r="S225" s="402"/>
      <c r="T225" s="402"/>
      <c r="U225" s="402"/>
      <c r="V225" s="402"/>
      <c r="W225" s="402"/>
      <c r="X225" s="402"/>
      <c r="Y225" s="402"/>
      <c r="Z225" s="402"/>
      <c r="AA225" s="402"/>
    </row>
    <row r="226">
      <c r="A226" s="455"/>
      <c r="B226" s="455"/>
      <c r="C226" s="455"/>
      <c r="D226" s="455"/>
      <c r="E226" s="402"/>
      <c r="F226" s="402"/>
      <c r="G226" s="402"/>
      <c r="H226" s="402"/>
      <c r="I226" s="402"/>
      <c r="J226" s="402"/>
      <c r="K226" s="402"/>
      <c r="L226" s="402"/>
      <c r="M226" s="402"/>
      <c r="N226" s="402"/>
      <c r="O226" s="402"/>
      <c r="P226" s="402"/>
      <c r="Q226" s="402"/>
      <c r="R226" s="402"/>
      <c r="S226" s="402"/>
      <c r="T226" s="402"/>
      <c r="U226" s="402"/>
      <c r="V226" s="402"/>
      <c r="W226" s="402"/>
      <c r="X226" s="402"/>
      <c r="Y226" s="402"/>
      <c r="Z226" s="402"/>
      <c r="AA226" s="402"/>
    </row>
    <row r="227">
      <c r="A227" s="455"/>
      <c r="B227" s="455"/>
      <c r="C227" s="455"/>
      <c r="D227" s="455"/>
      <c r="E227" s="402"/>
      <c r="F227" s="402"/>
      <c r="G227" s="402"/>
      <c r="H227" s="402"/>
      <c r="I227" s="402"/>
      <c r="J227" s="402"/>
      <c r="K227" s="402"/>
      <c r="L227" s="402"/>
      <c r="M227" s="402"/>
      <c r="N227" s="402"/>
      <c r="O227" s="402"/>
      <c r="P227" s="402"/>
      <c r="Q227" s="402"/>
      <c r="R227" s="402"/>
      <c r="S227" s="402"/>
      <c r="T227" s="402"/>
      <c r="U227" s="402"/>
      <c r="V227" s="402"/>
      <c r="W227" s="402"/>
      <c r="X227" s="402"/>
      <c r="Y227" s="402"/>
      <c r="Z227" s="402"/>
      <c r="AA227" s="402"/>
    </row>
    <row r="228">
      <c r="A228" s="455"/>
      <c r="B228" s="455"/>
      <c r="C228" s="455"/>
      <c r="D228" s="455"/>
      <c r="E228" s="402"/>
      <c r="F228" s="402"/>
      <c r="G228" s="402"/>
      <c r="H228" s="402"/>
      <c r="I228" s="402"/>
      <c r="J228" s="402"/>
      <c r="K228" s="402"/>
      <c r="L228" s="402"/>
      <c r="M228" s="402"/>
      <c r="N228" s="402"/>
      <c r="O228" s="402"/>
      <c r="P228" s="402"/>
      <c r="Q228" s="402"/>
      <c r="R228" s="402"/>
      <c r="S228" s="402"/>
      <c r="T228" s="402"/>
      <c r="U228" s="402"/>
      <c r="V228" s="402"/>
      <c r="W228" s="402"/>
      <c r="X228" s="402"/>
      <c r="Y228" s="402"/>
      <c r="Z228" s="402"/>
      <c r="AA228" s="402"/>
    </row>
    <row r="229">
      <c r="A229" s="455"/>
      <c r="B229" s="455"/>
      <c r="C229" s="455"/>
      <c r="D229" s="455"/>
      <c r="E229" s="402"/>
      <c r="F229" s="402"/>
      <c r="G229" s="402"/>
      <c r="H229" s="402"/>
      <c r="I229" s="402"/>
      <c r="J229" s="402"/>
      <c r="K229" s="402"/>
      <c r="L229" s="402"/>
      <c r="M229" s="402"/>
      <c r="N229" s="402"/>
      <c r="O229" s="402"/>
      <c r="P229" s="402"/>
      <c r="Q229" s="402"/>
      <c r="R229" s="402"/>
      <c r="S229" s="402"/>
      <c r="T229" s="402"/>
      <c r="U229" s="402"/>
      <c r="V229" s="402"/>
      <c r="W229" s="402"/>
      <c r="X229" s="402"/>
      <c r="Y229" s="402"/>
      <c r="Z229" s="402"/>
      <c r="AA229" s="402"/>
    </row>
    <row r="230">
      <c r="A230" s="455"/>
      <c r="B230" s="455"/>
      <c r="C230" s="455"/>
      <c r="D230" s="455"/>
      <c r="E230" s="402"/>
      <c r="F230" s="402"/>
      <c r="G230" s="402"/>
      <c r="H230" s="402"/>
      <c r="I230" s="402"/>
      <c r="J230" s="402"/>
      <c r="K230" s="402"/>
      <c r="L230" s="402"/>
      <c r="M230" s="402"/>
      <c r="N230" s="402"/>
      <c r="O230" s="402"/>
      <c r="P230" s="402"/>
      <c r="Q230" s="402"/>
      <c r="R230" s="402"/>
      <c r="S230" s="402"/>
      <c r="T230" s="402"/>
      <c r="U230" s="402"/>
      <c r="V230" s="402"/>
      <c r="W230" s="402"/>
      <c r="X230" s="402"/>
      <c r="Y230" s="402"/>
      <c r="Z230" s="402"/>
      <c r="AA230" s="402"/>
    </row>
    <row r="231">
      <c r="A231" s="455"/>
      <c r="B231" s="455"/>
      <c r="C231" s="455"/>
      <c r="D231" s="455"/>
      <c r="E231" s="402"/>
      <c r="F231" s="402"/>
      <c r="G231" s="402"/>
      <c r="H231" s="402"/>
      <c r="I231" s="402"/>
      <c r="J231" s="402"/>
      <c r="K231" s="402"/>
      <c r="L231" s="402"/>
      <c r="M231" s="402"/>
      <c r="N231" s="402"/>
      <c r="O231" s="402"/>
      <c r="P231" s="402"/>
      <c r="Q231" s="402"/>
      <c r="R231" s="402"/>
      <c r="S231" s="402"/>
      <c r="T231" s="402"/>
      <c r="U231" s="402"/>
      <c r="V231" s="402"/>
      <c r="W231" s="402"/>
      <c r="X231" s="402"/>
      <c r="Y231" s="402"/>
      <c r="Z231" s="402"/>
      <c r="AA231" s="402"/>
    </row>
    <row r="232">
      <c r="A232" s="455"/>
      <c r="B232" s="455"/>
      <c r="C232" s="455"/>
      <c r="D232" s="455"/>
      <c r="E232" s="402"/>
      <c r="F232" s="402"/>
      <c r="G232" s="402"/>
      <c r="H232" s="402"/>
      <c r="I232" s="402"/>
      <c r="J232" s="402"/>
      <c r="K232" s="402"/>
      <c r="L232" s="402"/>
      <c r="M232" s="402"/>
      <c r="N232" s="402"/>
      <c r="O232" s="402"/>
      <c r="P232" s="402"/>
      <c r="Q232" s="402"/>
      <c r="R232" s="402"/>
      <c r="S232" s="402"/>
      <c r="T232" s="402"/>
      <c r="U232" s="402"/>
      <c r="V232" s="402"/>
      <c r="W232" s="402"/>
      <c r="X232" s="402"/>
      <c r="Y232" s="402"/>
      <c r="Z232" s="402"/>
      <c r="AA232" s="402"/>
    </row>
    <row r="233">
      <c r="A233" s="455"/>
      <c r="B233" s="455"/>
      <c r="C233" s="455"/>
      <c r="D233" s="455"/>
      <c r="E233" s="402"/>
      <c r="F233" s="402"/>
      <c r="G233" s="402"/>
      <c r="H233" s="402"/>
      <c r="I233" s="402"/>
      <c r="J233" s="402"/>
      <c r="K233" s="402"/>
      <c r="L233" s="402"/>
      <c r="M233" s="402"/>
      <c r="N233" s="402"/>
      <c r="O233" s="402"/>
      <c r="P233" s="402"/>
      <c r="Q233" s="402"/>
      <c r="R233" s="402"/>
      <c r="S233" s="402"/>
      <c r="T233" s="402"/>
      <c r="U233" s="402"/>
      <c r="V233" s="402"/>
      <c r="W233" s="402"/>
      <c r="X233" s="402"/>
      <c r="Y233" s="402"/>
      <c r="Z233" s="402"/>
      <c r="AA233" s="402"/>
    </row>
    <row r="234">
      <c r="A234" s="455"/>
      <c r="B234" s="455"/>
      <c r="C234" s="455"/>
      <c r="D234" s="455"/>
      <c r="E234" s="402"/>
      <c r="F234" s="402"/>
      <c r="G234" s="402"/>
      <c r="H234" s="402"/>
      <c r="I234" s="402"/>
      <c r="J234" s="402"/>
      <c r="K234" s="402"/>
      <c r="L234" s="402"/>
      <c r="M234" s="402"/>
      <c r="N234" s="402"/>
      <c r="O234" s="402"/>
      <c r="P234" s="402"/>
      <c r="Q234" s="402"/>
      <c r="R234" s="402"/>
      <c r="S234" s="402"/>
      <c r="T234" s="402"/>
      <c r="U234" s="402"/>
      <c r="V234" s="402"/>
      <c r="W234" s="402"/>
      <c r="X234" s="402"/>
      <c r="Y234" s="402"/>
      <c r="Z234" s="402"/>
      <c r="AA234" s="402"/>
    </row>
    <row r="235">
      <c r="A235" s="455"/>
      <c r="B235" s="455"/>
      <c r="C235" s="455"/>
      <c r="D235" s="455"/>
      <c r="E235" s="402"/>
      <c r="F235" s="402"/>
      <c r="G235" s="402"/>
      <c r="H235" s="402"/>
      <c r="I235" s="402"/>
      <c r="J235" s="402"/>
      <c r="K235" s="402"/>
      <c r="L235" s="402"/>
      <c r="M235" s="402"/>
      <c r="N235" s="402"/>
      <c r="O235" s="402"/>
      <c r="P235" s="402"/>
      <c r="Q235" s="402"/>
      <c r="R235" s="402"/>
      <c r="S235" s="402"/>
      <c r="T235" s="402"/>
      <c r="U235" s="402"/>
      <c r="V235" s="402"/>
      <c r="W235" s="402"/>
      <c r="X235" s="402"/>
      <c r="Y235" s="402"/>
      <c r="Z235" s="402"/>
      <c r="AA235" s="402"/>
    </row>
    <row r="236">
      <c r="A236" s="455"/>
      <c r="B236" s="455"/>
      <c r="C236" s="455"/>
      <c r="D236" s="455"/>
      <c r="E236" s="402"/>
      <c r="F236" s="402"/>
      <c r="G236" s="402"/>
      <c r="H236" s="402"/>
      <c r="I236" s="402"/>
      <c r="J236" s="402"/>
      <c r="K236" s="402"/>
      <c r="L236" s="402"/>
      <c r="M236" s="402"/>
      <c r="N236" s="402"/>
      <c r="O236" s="402"/>
      <c r="P236" s="402"/>
      <c r="Q236" s="402"/>
      <c r="R236" s="402"/>
      <c r="S236" s="402"/>
      <c r="T236" s="402"/>
      <c r="U236" s="402"/>
      <c r="V236" s="402"/>
      <c r="W236" s="402"/>
      <c r="X236" s="402"/>
      <c r="Y236" s="402"/>
      <c r="Z236" s="402"/>
      <c r="AA236" s="402"/>
    </row>
    <row r="237">
      <c r="A237" s="455"/>
      <c r="B237" s="455"/>
      <c r="C237" s="455"/>
      <c r="D237" s="455"/>
      <c r="E237" s="402"/>
      <c r="F237" s="402"/>
      <c r="G237" s="402"/>
      <c r="H237" s="402"/>
      <c r="I237" s="402"/>
      <c r="J237" s="402"/>
      <c r="K237" s="402"/>
      <c r="L237" s="402"/>
      <c r="M237" s="402"/>
      <c r="N237" s="402"/>
      <c r="O237" s="402"/>
      <c r="P237" s="402"/>
      <c r="Q237" s="402"/>
      <c r="R237" s="402"/>
      <c r="S237" s="402"/>
      <c r="T237" s="402"/>
      <c r="U237" s="402"/>
      <c r="V237" s="402"/>
      <c r="W237" s="402"/>
      <c r="X237" s="402"/>
      <c r="Y237" s="402"/>
      <c r="Z237" s="402"/>
      <c r="AA237" s="402"/>
    </row>
    <row r="238">
      <c r="A238" s="455"/>
      <c r="B238" s="455"/>
      <c r="C238" s="455"/>
      <c r="D238" s="455"/>
      <c r="E238" s="402"/>
      <c r="F238" s="402"/>
      <c r="G238" s="402"/>
      <c r="H238" s="402"/>
      <c r="I238" s="402"/>
      <c r="J238" s="402"/>
      <c r="K238" s="402"/>
      <c r="L238" s="402"/>
      <c r="M238" s="402"/>
      <c r="N238" s="402"/>
      <c r="O238" s="402"/>
      <c r="P238" s="402"/>
      <c r="Q238" s="402"/>
      <c r="R238" s="402"/>
      <c r="S238" s="402"/>
      <c r="T238" s="402"/>
      <c r="U238" s="402"/>
      <c r="V238" s="402"/>
      <c r="W238" s="402"/>
      <c r="X238" s="402"/>
      <c r="Y238" s="402"/>
      <c r="Z238" s="402"/>
      <c r="AA238" s="402"/>
    </row>
    <row r="239">
      <c r="A239" s="455"/>
      <c r="B239" s="455"/>
      <c r="C239" s="455"/>
      <c r="D239" s="455"/>
      <c r="E239" s="402"/>
      <c r="F239" s="402"/>
      <c r="G239" s="402"/>
      <c r="H239" s="402"/>
      <c r="I239" s="402"/>
      <c r="J239" s="402"/>
      <c r="K239" s="402"/>
      <c r="L239" s="402"/>
      <c r="M239" s="402"/>
      <c r="N239" s="402"/>
      <c r="O239" s="402"/>
      <c r="P239" s="402"/>
      <c r="Q239" s="402"/>
      <c r="R239" s="402"/>
      <c r="S239" s="402"/>
      <c r="T239" s="402"/>
      <c r="U239" s="402"/>
      <c r="V239" s="402"/>
      <c r="W239" s="402"/>
      <c r="X239" s="402"/>
      <c r="Y239" s="402"/>
      <c r="Z239" s="402"/>
      <c r="AA239" s="402"/>
    </row>
    <row r="240">
      <c r="A240" s="455"/>
      <c r="B240" s="455"/>
      <c r="C240" s="455"/>
      <c r="D240" s="455"/>
      <c r="E240" s="402"/>
      <c r="F240" s="402"/>
      <c r="G240" s="402"/>
      <c r="H240" s="402"/>
      <c r="I240" s="402"/>
      <c r="J240" s="402"/>
      <c r="K240" s="402"/>
      <c r="L240" s="402"/>
      <c r="M240" s="402"/>
      <c r="N240" s="402"/>
      <c r="O240" s="402"/>
      <c r="P240" s="402"/>
      <c r="Q240" s="402"/>
      <c r="R240" s="402"/>
      <c r="S240" s="402"/>
      <c r="T240" s="402"/>
      <c r="U240" s="402"/>
      <c r="V240" s="402"/>
      <c r="W240" s="402"/>
      <c r="X240" s="402"/>
      <c r="Y240" s="402"/>
      <c r="Z240" s="402"/>
      <c r="AA240" s="402"/>
    </row>
    <row r="241">
      <c r="A241" s="455"/>
      <c r="B241" s="455"/>
      <c r="C241" s="455"/>
      <c r="D241" s="455"/>
      <c r="E241" s="402"/>
      <c r="F241" s="402"/>
      <c r="G241" s="402"/>
      <c r="H241" s="402"/>
      <c r="I241" s="402"/>
      <c r="J241" s="402"/>
      <c r="K241" s="402"/>
      <c r="L241" s="402"/>
      <c r="M241" s="402"/>
      <c r="N241" s="402"/>
      <c r="O241" s="402"/>
      <c r="P241" s="402"/>
      <c r="Q241" s="402"/>
      <c r="R241" s="402"/>
      <c r="S241" s="402"/>
      <c r="T241" s="402"/>
      <c r="U241" s="402"/>
      <c r="V241" s="402"/>
      <c r="W241" s="402"/>
      <c r="X241" s="402"/>
      <c r="Y241" s="402"/>
      <c r="Z241" s="402"/>
      <c r="AA241" s="402"/>
    </row>
    <row r="242">
      <c r="A242" s="455"/>
      <c r="B242" s="455"/>
      <c r="C242" s="455"/>
      <c r="D242" s="455"/>
      <c r="E242" s="402"/>
      <c r="F242" s="402"/>
      <c r="G242" s="402"/>
      <c r="H242" s="402"/>
      <c r="I242" s="402"/>
      <c r="J242" s="402"/>
      <c r="K242" s="402"/>
      <c r="L242" s="402"/>
      <c r="M242" s="402"/>
      <c r="N242" s="402"/>
      <c r="O242" s="402"/>
      <c r="P242" s="402"/>
      <c r="Q242" s="402"/>
      <c r="R242" s="402"/>
      <c r="S242" s="402"/>
      <c r="T242" s="402"/>
      <c r="U242" s="402"/>
      <c r="V242" s="402"/>
      <c r="W242" s="402"/>
      <c r="X242" s="402"/>
      <c r="Y242" s="402"/>
      <c r="Z242" s="402"/>
      <c r="AA242" s="402"/>
    </row>
    <row r="243">
      <c r="A243" s="455"/>
      <c r="B243" s="455"/>
      <c r="C243" s="455"/>
      <c r="D243" s="455"/>
      <c r="E243" s="402"/>
      <c r="F243" s="402"/>
      <c r="G243" s="402"/>
      <c r="H243" s="402"/>
      <c r="I243" s="402"/>
      <c r="J243" s="402"/>
      <c r="K243" s="402"/>
      <c r="L243" s="402"/>
      <c r="M243" s="402"/>
      <c r="N243" s="402"/>
      <c r="O243" s="402"/>
      <c r="P243" s="402"/>
      <c r="Q243" s="402"/>
      <c r="R243" s="402"/>
      <c r="S243" s="402"/>
      <c r="T243" s="402"/>
      <c r="U243" s="402"/>
      <c r="V243" s="402"/>
      <c r="W243" s="402"/>
      <c r="X243" s="402"/>
      <c r="Y243" s="402"/>
      <c r="Z243" s="402"/>
      <c r="AA243" s="402"/>
    </row>
    <row r="244">
      <c r="A244" s="455"/>
      <c r="B244" s="455"/>
      <c r="C244" s="455"/>
      <c r="D244" s="455"/>
      <c r="E244" s="402"/>
      <c r="F244" s="402"/>
      <c r="G244" s="402"/>
      <c r="H244" s="402"/>
      <c r="I244" s="402"/>
      <c r="J244" s="402"/>
      <c r="K244" s="402"/>
      <c r="L244" s="402"/>
      <c r="M244" s="402"/>
      <c r="N244" s="402"/>
      <c r="O244" s="402"/>
      <c r="P244" s="402"/>
      <c r="Q244" s="402"/>
      <c r="R244" s="402"/>
      <c r="S244" s="402"/>
      <c r="T244" s="402"/>
      <c r="U244" s="402"/>
      <c r="V244" s="402"/>
      <c r="W244" s="402"/>
      <c r="X244" s="402"/>
      <c r="Y244" s="402"/>
      <c r="Z244" s="402"/>
      <c r="AA244" s="402"/>
    </row>
    <row r="245">
      <c r="A245" s="455"/>
      <c r="B245" s="455"/>
      <c r="C245" s="455"/>
      <c r="D245" s="455"/>
      <c r="E245" s="402"/>
      <c r="F245" s="402"/>
      <c r="G245" s="402"/>
      <c r="H245" s="402"/>
      <c r="I245" s="402"/>
      <c r="J245" s="402"/>
      <c r="K245" s="402"/>
      <c r="L245" s="402"/>
      <c r="M245" s="402"/>
      <c r="N245" s="402"/>
      <c r="O245" s="402"/>
      <c r="P245" s="402"/>
      <c r="Q245" s="402"/>
      <c r="R245" s="402"/>
      <c r="S245" s="402"/>
      <c r="T245" s="402"/>
      <c r="U245" s="402"/>
      <c r="V245" s="402"/>
      <c r="W245" s="402"/>
      <c r="X245" s="402"/>
      <c r="Y245" s="402"/>
      <c r="Z245" s="402"/>
      <c r="AA245" s="402"/>
    </row>
    <row r="246">
      <c r="A246" s="455"/>
      <c r="B246" s="455"/>
      <c r="C246" s="455"/>
      <c r="D246" s="455"/>
      <c r="E246" s="402"/>
      <c r="F246" s="402"/>
      <c r="G246" s="402"/>
      <c r="H246" s="402"/>
      <c r="I246" s="402"/>
      <c r="J246" s="402"/>
      <c r="K246" s="402"/>
      <c r="L246" s="402"/>
      <c r="M246" s="402"/>
      <c r="N246" s="402"/>
      <c r="O246" s="402"/>
      <c r="P246" s="402"/>
      <c r="Q246" s="402"/>
      <c r="R246" s="402"/>
      <c r="S246" s="402"/>
      <c r="T246" s="402"/>
      <c r="U246" s="402"/>
      <c r="V246" s="402"/>
      <c r="W246" s="402"/>
      <c r="X246" s="402"/>
      <c r="Y246" s="402"/>
      <c r="Z246" s="402"/>
      <c r="AA246" s="402"/>
    </row>
    <row r="247">
      <c r="A247" s="455"/>
      <c r="B247" s="455"/>
      <c r="C247" s="455"/>
      <c r="D247" s="455"/>
      <c r="E247" s="402"/>
      <c r="F247" s="402"/>
      <c r="G247" s="402"/>
      <c r="H247" s="402"/>
      <c r="I247" s="402"/>
      <c r="J247" s="402"/>
      <c r="K247" s="402"/>
      <c r="L247" s="402"/>
      <c r="M247" s="402"/>
      <c r="N247" s="402"/>
      <c r="O247" s="402"/>
      <c r="P247" s="402"/>
      <c r="Q247" s="402"/>
      <c r="R247" s="402"/>
      <c r="S247" s="402"/>
      <c r="T247" s="402"/>
      <c r="U247" s="402"/>
      <c r="V247" s="402"/>
      <c r="W247" s="402"/>
      <c r="X247" s="402"/>
      <c r="Y247" s="402"/>
      <c r="Z247" s="402"/>
      <c r="AA247" s="402"/>
    </row>
    <row r="248">
      <c r="A248" s="455"/>
      <c r="B248" s="455"/>
      <c r="C248" s="455"/>
      <c r="D248" s="455"/>
      <c r="E248" s="402"/>
      <c r="F248" s="402"/>
      <c r="G248" s="402"/>
      <c r="H248" s="402"/>
      <c r="I248" s="402"/>
      <c r="J248" s="402"/>
      <c r="K248" s="402"/>
      <c r="L248" s="402"/>
      <c r="M248" s="402"/>
      <c r="N248" s="402"/>
      <c r="O248" s="402"/>
      <c r="P248" s="402"/>
      <c r="Q248" s="402"/>
      <c r="R248" s="402"/>
      <c r="S248" s="402"/>
      <c r="T248" s="402"/>
      <c r="U248" s="402"/>
      <c r="V248" s="402"/>
      <c r="W248" s="402"/>
      <c r="X248" s="402"/>
      <c r="Y248" s="402"/>
      <c r="Z248" s="402"/>
      <c r="AA248" s="402"/>
    </row>
    <row r="249">
      <c r="A249" s="455"/>
      <c r="B249" s="455"/>
      <c r="C249" s="455"/>
      <c r="D249" s="455"/>
      <c r="E249" s="402"/>
      <c r="F249" s="402"/>
      <c r="G249" s="402"/>
      <c r="H249" s="402"/>
      <c r="I249" s="402"/>
      <c r="J249" s="402"/>
      <c r="K249" s="402"/>
      <c r="L249" s="402"/>
      <c r="M249" s="402"/>
      <c r="N249" s="402"/>
      <c r="O249" s="402"/>
      <c r="P249" s="402"/>
      <c r="Q249" s="402"/>
      <c r="R249" s="402"/>
      <c r="S249" s="402"/>
      <c r="T249" s="402"/>
      <c r="U249" s="402"/>
      <c r="V249" s="402"/>
      <c r="W249" s="402"/>
      <c r="X249" s="402"/>
      <c r="Y249" s="402"/>
      <c r="Z249" s="402"/>
      <c r="AA249" s="402"/>
    </row>
    <row r="250">
      <c r="A250" s="455"/>
      <c r="B250" s="455"/>
      <c r="C250" s="455"/>
      <c r="D250" s="455"/>
      <c r="E250" s="402"/>
      <c r="F250" s="402"/>
      <c r="G250" s="402"/>
      <c r="H250" s="402"/>
      <c r="I250" s="402"/>
      <c r="J250" s="402"/>
      <c r="K250" s="402"/>
      <c r="L250" s="402"/>
      <c r="M250" s="402"/>
      <c r="N250" s="402"/>
      <c r="O250" s="402"/>
      <c r="P250" s="402"/>
      <c r="Q250" s="402"/>
      <c r="R250" s="402"/>
      <c r="S250" s="402"/>
      <c r="T250" s="402"/>
      <c r="U250" s="402"/>
      <c r="V250" s="402"/>
      <c r="W250" s="402"/>
      <c r="X250" s="402"/>
      <c r="Y250" s="402"/>
      <c r="Z250" s="402"/>
      <c r="AA250" s="402"/>
    </row>
    <row r="251">
      <c r="A251" s="455"/>
      <c r="B251" s="455"/>
      <c r="C251" s="455"/>
      <c r="D251" s="455"/>
      <c r="E251" s="402"/>
      <c r="F251" s="402"/>
      <c r="G251" s="402"/>
      <c r="H251" s="402"/>
      <c r="I251" s="402"/>
      <c r="J251" s="402"/>
      <c r="K251" s="402"/>
      <c r="L251" s="402"/>
      <c r="M251" s="402"/>
      <c r="N251" s="402"/>
      <c r="O251" s="402"/>
      <c r="P251" s="402"/>
      <c r="Q251" s="402"/>
      <c r="R251" s="402"/>
      <c r="S251" s="402"/>
      <c r="T251" s="402"/>
      <c r="U251" s="402"/>
      <c r="V251" s="402"/>
      <c r="W251" s="402"/>
      <c r="X251" s="402"/>
      <c r="Y251" s="402"/>
      <c r="Z251" s="402"/>
      <c r="AA251" s="402"/>
    </row>
    <row r="252">
      <c r="A252" s="455"/>
      <c r="B252" s="455"/>
      <c r="C252" s="455"/>
      <c r="D252" s="455"/>
      <c r="E252" s="402"/>
      <c r="F252" s="402"/>
      <c r="G252" s="402"/>
      <c r="H252" s="402"/>
      <c r="I252" s="402"/>
      <c r="J252" s="402"/>
      <c r="K252" s="402"/>
      <c r="L252" s="402"/>
      <c r="M252" s="402"/>
      <c r="N252" s="402"/>
      <c r="O252" s="402"/>
      <c r="P252" s="402"/>
      <c r="Q252" s="402"/>
      <c r="R252" s="402"/>
      <c r="S252" s="402"/>
      <c r="T252" s="402"/>
      <c r="U252" s="402"/>
      <c r="V252" s="402"/>
      <c r="W252" s="402"/>
      <c r="X252" s="402"/>
      <c r="Y252" s="402"/>
      <c r="Z252" s="402"/>
      <c r="AA252" s="402"/>
    </row>
    <row r="253">
      <c r="A253" s="455"/>
      <c r="B253" s="455"/>
      <c r="C253" s="455"/>
      <c r="D253" s="455"/>
      <c r="E253" s="402"/>
      <c r="F253" s="402"/>
      <c r="G253" s="402"/>
      <c r="H253" s="402"/>
      <c r="I253" s="402"/>
      <c r="J253" s="402"/>
      <c r="K253" s="402"/>
      <c r="L253" s="402"/>
      <c r="M253" s="402"/>
      <c r="N253" s="402"/>
      <c r="O253" s="402"/>
      <c r="P253" s="402"/>
      <c r="Q253" s="402"/>
      <c r="R253" s="402"/>
      <c r="S253" s="402"/>
      <c r="T253" s="402"/>
      <c r="U253" s="402"/>
      <c r="V253" s="402"/>
      <c r="W253" s="402"/>
      <c r="X253" s="402"/>
      <c r="Y253" s="402"/>
      <c r="Z253" s="402"/>
      <c r="AA253" s="402"/>
    </row>
    <row r="254">
      <c r="A254" s="455"/>
      <c r="B254" s="455"/>
      <c r="C254" s="455"/>
      <c r="D254" s="455"/>
      <c r="E254" s="402"/>
      <c r="F254" s="402"/>
      <c r="G254" s="402"/>
      <c r="H254" s="402"/>
      <c r="I254" s="402"/>
      <c r="J254" s="402"/>
      <c r="K254" s="402"/>
      <c r="L254" s="402"/>
      <c r="M254" s="402"/>
      <c r="N254" s="402"/>
      <c r="O254" s="402"/>
      <c r="P254" s="402"/>
      <c r="Q254" s="402"/>
      <c r="R254" s="402"/>
      <c r="S254" s="402"/>
      <c r="T254" s="402"/>
      <c r="U254" s="402"/>
      <c r="V254" s="402"/>
      <c r="W254" s="402"/>
      <c r="X254" s="402"/>
      <c r="Y254" s="402"/>
      <c r="Z254" s="402"/>
      <c r="AA254" s="402"/>
    </row>
    <row r="255">
      <c r="A255" s="455"/>
      <c r="B255" s="455"/>
      <c r="C255" s="455"/>
      <c r="D255" s="455"/>
      <c r="E255" s="402"/>
      <c r="F255" s="402"/>
      <c r="G255" s="402"/>
      <c r="H255" s="402"/>
      <c r="I255" s="402"/>
      <c r="J255" s="402"/>
      <c r="K255" s="402"/>
      <c r="L255" s="402"/>
      <c r="M255" s="402"/>
      <c r="N255" s="402"/>
      <c r="O255" s="402"/>
      <c r="P255" s="402"/>
      <c r="Q255" s="402"/>
      <c r="R255" s="402"/>
      <c r="S255" s="402"/>
      <c r="T255" s="402"/>
      <c r="U255" s="402"/>
      <c r="V255" s="402"/>
      <c r="W255" s="402"/>
      <c r="X255" s="402"/>
      <c r="Y255" s="402"/>
      <c r="Z255" s="402"/>
      <c r="AA255" s="402"/>
    </row>
    <row r="256">
      <c r="A256" s="455"/>
      <c r="B256" s="455"/>
      <c r="C256" s="455"/>
      <c r="D256" s="455"/>
      <c r="E256" s="402"/>
      <c r="F256" s="402"/>
      <c r="G256" s="402"/>
      <c r="H256" s="402"/>
      <c r="I256" s="402"/>
      <c r="J256" s="402"/>
      <c r="K256" s="402"/>
      <c r="L256" s="402"/>
      <c r="M256" s="402"/>
      <c r="N256" s="402"/>
      <c r="O256" s="402"/>
      <c r="P256" s="402"/>
      <c r="Q256" s="402"/>
      <c r="R256" s="402"/>
      <c r="S256" s="402"/>
      <c r="T256" s="402"/>
      <c r="U256" s="402"/>
      <c r="V256" s="402"/>
      <c r="W256" s="402"/>
      <c r="X256" s="402"/>
      <c r="Y256" s="402"/>
      <c r="Z256" s="402"/>
      <c r="AA256" s="402"/>
    </row>
    <row r="257">
      <c r="A257" s="455"/>
      <c r="B257" s="455"/>
      <c r="C257" s="455"/>
      <c r="D257" s="455"/>
      <c r="E257" s="402"/>
      <c r="F257" s="402"/>
      <c r="G257" s="402"/>
      <c r="H257" s="402"/>
      <c r="I257" s="402"/>
      <c r="J257" s="402"/>
      <c r="K257" s="402"/>
      <c r="L257" s="402"/>
      <c r="M257" s="402"/>
      <c r="N257" s="402"/>
      <c r="O257" s="402"/>
      <c r="P257" s="402"/>
      <c r="Q257" s="402"/>
      <c r="R257" s="402"/>
      <c r="S257" s="402"/>
      <c r="T257" s="402"/>
      <c r="U257" s="402"/>
      <c r="V257" s="402"/>
      <c r="W257" s="402"/>
      <c r="X257" s="402"/>
      <c r="Y257" s="402"/>
      <c r="Z257" s="402"/>
      <c r="AA257" s="402"/>
    </row>
    <row r="258">
      <c r="A258" s="455"/>
      <c r="B258" s="455"/>
      <c r="C258" s="455"/>
      <c r="D258" s="455"/>
      <c r="E258" s="402"/>
      <c r="F258" s="402"/>
      <c r="G258" s="402"/>
      <c r="H258" s="402"/>
      <c r="I258" s="402"/>
      <c r="J258" s="402"/>
      <c r="K258" s="402"/>
      <c r="L258" s="402"/>
      <c r="M258" s="402"/>
      <c r="N258" s="402"/>
      <c r="O258" s="402"/>
      <c r="P258" s="402"/>
      <c r="Q258" s="402"/>
      <c r="R258" s="402"/>
      <c r="S258" s="402"/>
      <c r="T258" s="402"/>
      <c r="U258" s="402"/>
      <c r="V258" s="402"/>
      <c r="W258" s="402"/>
      <c r="X258" s="402"/>
      <c r="Y258" s="402"/>
      <c r="Z258" s="402"/>
      <c r="AA258" s="402"/>
    </row>
    <row r="259">
      <c r="A259" s="455"/>
      <c r="B259" s="455"/>
      <c r="C259" s="455"/>
      <c r="D259" s="455"/>
      <c r="E259" s="402"/>
      <c r="F259" s="402"/>
      <c r="G259" s="402"/>
      <c r="H259" s="402"/>
      <c r="I259" s="402"/>
      <c r="J259" s="402"/>
      <c r="K259" s="402"/>
      <c r="L259" s="402"/>
      <c r="M259" s="402"/>
      <c r="N259" s="402"/>
      <c r="O259" s="402"/>
      <c r="P259" s="402"/>
      <c r="Q259" s="402"/>
      <c r="R259" s="402"/>
      <c r="S259" s="402"/>
      <c r="T259" s="402"/>
      <c r="U259" s="402"/>
      <c r="V259" s="402"/>
      <c r="W259" s="402"/>
      <c r="X259" s="402"/>
      <c r="Y259" s="402"/>
      <c r="Z259" s="402"/>
      <c r="AA259" s="402"/>
    </row>
    <row r="260">
      <c r="A260" s="455"/>
      <c r="B260" s="455"/>
      <c r="C260" s="455"/>
      <c r="D260" s="455"/>
      <c r="E260" s="402"/>
      <c r="F260" s="402"/>
      <c r="G260" s="402"/>
      <c r="H260" s="402"/>
      <c r="I260" s="402"/>
      <c r="J260" s="402"/>
      <c r="K260" s="402"/>
      <c r="L260" s="402"/>
      <c r="M260" s="402"/>
      <c r="N260" s="402"/>
      <c r="O260" s="402"/>
      <c r="P260" s="402"/>
      <c r="Q260" s="402"/>
      <c r="R260" s="402"/>
      <c r="S260" s="402"/>
      <c r="T260" s="402"/>
      <c r="U260" s="402"/>
      <c r="V260" s="402"/>
      <c r="W260" s="402"/>
      <c r="X260" s="402"/>
      <c r="Y260" s="402"/>
      <c r="Z260" s="402"/>
      <c r="AA260" s="402"/>
    </row>
    <row r="261">
      <c r="A261" s="455"/>
      <c r="B261" s="455"/>
      <c r="C261" s="455"/>
      <c r="D261" s="455"/>
      <c r="E261" s="402"/>
      <c r="F261" s="402"/>
      <c r="G261" s="402"/>
      <c r="H261" s="402"/>
      <c r="I261" s="402"/>
      <c r="J261" s="402"/>
      <c r="K261" s="402"/>
      <c r="L261" s="402"/>
      <c r="M261" s="402"/>
      <c r="N261" s="402"/>
      <c r="O261" s="402"/>
      <c r="P261" s="402"/>
      <c r="Q261" s="402"/>
      <c r="R261" s="402"/>
      <c r="S261" s="402"/>
      <c r="T261" s="402"/>
      <c r="U261" s="402"/>
      <c r="V261" s="402"/>
      <c r="W261" s="402"/>
      <c r="X261" s="402"/>
      <c r="Y261" s="402"/>
      <c r="Z261" s="402"/>
      <c r="AA261" s="402"/>
    </row>
    <row r="262">
      <c r="A262" s="455"/>
      <c r="B262" s="455"/>
      <c r="C262" s="455"/>
      <c r="D262" s="455"/>
      <c r="E262" s="402"/>
      <c r="F262" s="402"/>
      <c r="G262" s="402"/>
      <c r="H262" s="402"/>
      <c r="I262" s="402"/>
      <c r="J262" s="402"/>
      <c r="K262" s="402"/>
      <c r="L262" s="402"/>
      <c r="M262" s="402"/>
      <c r="N262" s="402"/>
      <c r="O262" s="402"/>
      <c r="P262" s="402"/>
      <c r="Q262" s="402"/>
      <c r="R262" s="402"/>
      <c r="S262" s="402"/>
      <c r="T262" s="402"/>
      <c r="U262" s="402"/>
      <c r="V262" s="402"/>
      <c r="W262" s="402"/>
      <c r="X262" s="402"/>
      <c r="Y262" s="402"/>
      <c r="Z262" s="402"/>
      <c r="AA262" s="402"/>
    </row>
    <row r="263">
      <c r="A263" s="455"/>
      <c r="B263" s="455"/>
      <c r="C263" s="455"/>
      <c r="D263" s="455"/>
      <c r="E263" s="402"/>
      <c r="F263" s="402"/>
      <c r="G263" s="402"/>
      <c r="H263" s="402"/>
      <c r="I263" s="402"/>
      <c r="J263" s="402"/>
      <c r="K263" s="402"/>
      <c r="L263" s="402"/>
      <c r="M263" s="402"/>
      <c r="N263" s="402"/>
      <c r="O263" s="402"/>
      <c r="P263" s="402"/>
      <c r="Q263" s="402"/>
      <c r="R263" s="402"/>
      <c r="S263" s="402"/>
      <c r="T263" s="402"/>
      <c r="U263" s="402"/>
      <c r="V263" s="402"/>
      <c r="W263" s="402"/>
      <c r="X263" s="402"/>
      <c r="Y263" s="402"/>
      <c r="Z263" s="402"/>
      <c r="AA263" s="402"/>
    </row>
    <row r="264">
      <c r="A264" s="455"/>
      <c r="B264" s="455"/>
      <c r="C264" s="455"/>
      <c r="D264" s="455"/>
      <c r="E264" s="402"/>
      <c r="F264" s="402"/>
      <c r="G264" s="402"/>
      <c r="H264" s="402"/>
      <c r="I264" s="402"/>
      <c r="J264" s="402"/>
      <c r="K264" s="402"/>
      <c r="L264" s="402"/>
      <c r="M264" s="402"/>
      <c r="N264" s="402"/>
      <c r="O264" s="402"/>
      <c r="P264" s="402"/>
      <c r="Q264" s="402"/>
      <c r="R264" s="402"/>
      <c r="S264" s="402"/>
      <c r="T264" s="402"/>
      <c r="U264" s="402"/>
      <c r="V264" s="402"/>
      <c r="W264" s="402"/>
      <c r="X264" s="402"/>
      <c r="Y264" s="402"/>
      <c r="Z264" s="402"/>
      <c r="AA264" s="402"/>
    </row>
    <row r="265">
      <c r="A265" s="455"/>
      <c r="B265" s="455"/>
      <c r="C265" s="455"/>
      <c r="D265" s="455"/>
      <c r="E265" s="402"/>
      <c r="F265" s="402"/>
      <c r="G265" s="402"/>
      <c r="H265" s="402"/>
      <c r="I265" s="402"/>
      <c r="J265" s="402"/>
      <c r="K265" s="402"/>
      <c r="L265" s="402"/>
      <c r="M265" s="402"/>
      <c r="N265" s="402"/>
      <c r="O265" s="402"/>
      <c r="P265" s="402"/>
      <c r="Q265" s="402"/>
      <c r="R265" s="402"/>
      <c r="S265" s="402"/>
      <c r="T265" s="402"/>
      <c r="U265" s="402"/>
      <c r="V265" s="402"/>
      <c r="W265" s="402"/>
      <c r="X265" s="402"/>
      <c r="Y265" s="402"/>
      <c r="Z265" s="402"/>
      <c r="AA265" s="402"/>
    </row>
    <row r="266">
      <c r="A266" s="455"/>
      <c r="B266" s="455"/>
      <c r="C266" s="455"/>
      <c r="D266" s="455"/>
      <c r="E266" s="402"/>
      <c r="F266" s="402"/>
      <c r="G266" s="402"/>
      <c r="H266" s="402"/>
      <c r="I266" s="402"/>
      <c r="J266" s="402"/>
      <c r="K266" s="402"/>
      <c r="L266" s="402"/>
      <c r="M266" s="402"/>
      <c r="N266" s="402"/>
      <c r="O266" s="402"/>
      <c r="P266" s="402"/>
      <c r="Q266" s="402"/>
      <c r="R266" s="402"/>
      <c r="S266" s="402"/>
      <c r="T266" s="402"/>
      <c r="U266" s="402"/>
      <c r="V266" s="402"/>
      <c r="W266" s="402"/>
      <c r="X266" s="402"/>
      <c r="Y266" s="402"/>
      <c r="Z266" s="402"/>
      <c r="AA266" s="402"/>
    </row>
    <row r="267">
      <c r="A267" s="455"/>
      <c r="B267" s="455"/>
      <c r="C267" s="455"/>
      <c r="D267" s="455"/>
      <c r="E267" s="402"/>
      <c r="F267" s="402"/>
      <c r="G267" s="402"/>
      <c r="H267" s="402"/>
      <c r="I267" s="402"/>
      <c r="J267" s="402"/>
      <c r="K267" s="402"/>
      <c r="L267" s="402"/>
      <c r="M267" s="402"/>
      <c r="N267" s="402"/>
      <c r="O267" s="402"/>
      <c r="P267" s="402"/>
      <c r="Q267" s="402"/>
      <c r="R267" s="402"/>
      <c r="S267" s="402"/>
      <c r="T267" s="402"/>
      <c r="U267" s="402"/>
      <c r="V267" s="402"/>
      <c r="W267" s="402"/>
      <c r="X267" s="402"/>
      <c r="Y267" s="402"/>
      <c r="Z267" s="402"/>
      <c r="AA267" s="402"/>
    </row>
    <row r="268">
      <c r="A268" s="455"/>
      <c r="B268" s="455"/>
      <c r="C268" s="455"/>
      <c r="D268" s="455"/>
      <c r="E268" s="402"/>
      <c r="F268" s="402"/>
      <c r="G268" s="402"/>
      <c r="H268" s="402"/>
      <c r="I268" s="402"/>
      <c r="J268" s="402"/>
      <c r="K268" s="402"/>
      <c r="L268" s="402"/>
      <c r="M268" s="402"/>
      <c r="N268" s="402"/>
      <c r="O268" s="402"/>
      <c r="P268" s="402"/>
      <c r="Q268" s="402"/>
      <c r="R268" s="402"/>
      <c r="S268" s="402"/>
      <c r="T268" s="402"/>
      <c r="U268" s="402"/>
      <c r="V268" s="402"/>
      <c r="W268" s="402"/>
      <c r="X268" s="402"/>
      <c r="Y268" s="402"/>
      <c r="Z268" s="402"/>
      <c r="AA268" s="402"/>
    </row>
    <row r="269">
      <c r="A269" s="455"/>
      <c r="B269" s="455"/>
      <c r="C269" s="455"/>
      <c r="D269" s="455"/>
      <c r="E269" s="402"/>
      <c r="F269" s="402"/>
      <c r="G269" s="402"/>
      <c r="H269" s="402"/>
      <c r="I269" s="402"/>
      <c r="J269" s="402"/>
      <c r="K269" s="402"/>
      <c r="L269" s="402"/>
      <c r="M269" s="402"/>
      <c r="N269" s="402"/>
      <c r="O269" s="402"/>
      <c r="P269" s="402"/>
      <c r="Q269" s="402"/>
      <c r="R269" s="402"/>
      <c r="S269" s="402"/>
      <c r="T269" s="402"/>
      <c r="U269" s="402"/>
      <c r="V269" s="402"/>
      <c r="W269" s="402"/>
      <c r="X269" s="402"/>
      <c r="Y269" s="402"/>
      <c r="Z269" s="402"/>
      <c r="AA269" s="402"/>
    </row>
    <row r="270">
      <c r="A270" s="455"/>
      <c r="B270" s="455"/>
      <c r="C270" s="455"/>
      <c r="D270" s="455"/>
      <c r="E270" s="402"/>
      <c r="F270" s="402"/>
      <c r="G270" s="402"/>
      <c r="H270" s="402"/>
      <c r="I270" s="402"/>
      <c r="J270" s="402"/>
      <c r="K270" s="402"/>
      <c r="L270" s="402"/>
      <c r="M270" s="402"/>
      <c r="N270" s="402"/>
      <c r="O270" s="402"/>
      <c r="P270" s="402"/>
      <c r="Q270" s="402"/>
      <c r="R270" s="402"/>
      <c r="S270" s="402"/>
      <c r="T270" s="402"/>
      <c r="U270" s="402"/>
      <c r="V270" s="402"/>
      <c r="W270" s="402"/>
      <c r="X270" s="402"/>
      <c r="Y270" s="402"/>
      <c r="Z270" s="402"/>
      <c r="AA270" s="402"/>
    </row>
    <row r="271">
      <c r="A271" s="455"/>
      <c r="B271" s="455"/>
      <c r="C271" s="455"/>
      <c r="D271" s="455"/>
      <c r="E271" s="402"/>
      <c r="F271" s="402"/>
      <c r="G271" s="402"/>
      <c r="H271" s="402"/>
      <c r="I271" s="402"/>
      <c r="J271" s="402"/>
      <c r="K271" s="402"/>
      <c r="L271" s="402"/>
      <c r="M271" s="402"/>
      <c r="N271" s="402"/>
      <c r="O271" s="402"/>
      <c r="P271" s="402"/>
      <c r="Q271" s="402"/>
      <c r="R271" s="402"/>
      <c r="S271" s="402"/>
      <c r="T271" s="402"/>
      <c r="U271" s="402"/>
      <c r="V271" s="402"/>
      <c r="W271" s="402"/>
      <c r="X271" s="402"/>
      <c r="Y271" s="402"/>
      <c r="Z271" s="402"/>
      <c r="AA271" s="402"/>
    </row>
    <row r="272">
      <c r="A272" s="455"/>
      <c r="B272" s="455"/>
      <c r="C272" s="455"/>
      <c r="D272" s="455"/>
      <c r="E272" s="402"/>
      <c r="F272" s="402"/>
      <c r="G272" s="402"/>
      <c r="H272" s="402"/>
      <c r="I272" s="402"/>
      <c r="J272" s="402"/>
      <c r="K272" s="402"/>
      <c r="L272" s="402"/>
      <c r="M272" s="402"/>
      <c r="N272" s="402"/>
      <c r="O272" s="402"/>
      <c r="P272" s="402"/>
      <c r="Q272" s="402"/>
      <c r="R272" s="402"/>
      <c r="S272" s="402"/>
      <c r="T272" s="402"/>
      <c r="U272" s="402"/>
      <c r="V272" s="402"/>
      <c r="W272" s="402"/>
      <c r="X272" s="402"/>
      <c r="Y272" s="402"/>
      <c r="Z272" s="402"/>
      <c r="AA272" s="402"/>
    </row>
    <row r="273">
      <c r="A273" s="455"/>
      <c r="B273" s="455"/>
      <c r="C273" s="455"/>
      <c r="D273" s="455"/>
      <c r="E273" s="402"/>
      <c r="F273" s="402"/>
      <c r="G273" s="402"/>
      <c r="H273" s="402"/>
      <c r="I273" s="402"/>
      <c r="J273" s="402"/>
      <c r="K273" s="402"/>
      <c r="L273" s="402"/>
      <c r="M273" s="402"/>
      <c r="N273" s="402"/>
      <c r="O273" s="402"/>
      <c r="P273" s="402"/>
      <c r="Q273" s="402"/>
      <c r="R273" s="402"/>
      <c r="S273" s="402"/>
      <c r="T273" s="402"/>
      <c r="U273" s="402"/>
      <c r="V273" s="402"/>
      <c r="W273" s="402"/>
      <c r="X273" s="402"/>
      <c r="Y273" s="402"/>
      <c r="Z273" s="402"/>
      <c r="AA273" s="402"/>
    </row>
    <row r="274">
      <c r="A274" s="455"/>
      <c r="B274" s="455"/>
      <c r="C274" s="455"/>
      <c r="D274" s="455"/>
      <c r="E274" s="402"/>
      <c r="F274" s="402"/>
      <c r="G274" s="402"/>
      <c r="H274" s="402"/>
      <c r="I274" s="402"/>
      <c r="J274" s="402"/>
      <c r="K274" s="402"/>
      <c r="L274" s="402"/>
      <c r="M274" s="402"/>
      <c r="N274" s="402"/>
      <c r="O274" s="402"/>
      <c r="P274" s="402"/>
      <c r="Q274" s="402"/>
      <c r="R274" s="402"/>
      <c r="S274" s="402"/>
      <c r="T274" s="402"/>
      <c r="U274" s="402"/>
      <c r="V274" s="402"/>
      <c r="W274" s="402"/>
      <c r="X274" s="402"/>
      <c r="Y274" s="402"/>
      <c r="Z274" s="402"/>
      <c r="AA274" s="402"/>
    </row>
    <row r="275">
      <c r="A275" s="455"/>
      <c r="B275" s="455"/>
      <c r="C275" s="455"/>
      <c r="D275" s="455"/>
      <c r="E275" s="402"/>
      <c r="F275" s="402"/>
      <c r="G275" s="402"/>
      <c r="H275" s="402"/>
      <c r="I275" s="402"/>
      <c r="J275" s="402"/>
      <c r="K275" s="402"/>
      <c r="L275" s="402"/>
      <c r="M275" s="402"/>
      <c r="N275" s="402"/>
      <c r="O275" s="402"/>
      <c r="P275" s="402"/>
      <c r="Q275" s="402"/>
      <c r="R275" s="402"/>
      <c r="S275" s="402"/>
      <c r="T275" s="402"/>
      <c r="U275" s="402"/>
      <c r="V275" s="402"/>
      <c r="W275" s="402"/>
      <c r="X275" s="402"/>
      <c r="Y275" s="402"/>
      <c r="Z275" s="402"/>
      <c r="AA275" s="402"/>
    </row>
    <row r="276">
      <c r="A276" s="455"/>
      <c r="B276" s="455"/>
      <c r="C276" s="455"/>
      <c r="D276" s="455"/>
      <c r="E276" s="402"/>
      <c r="F276" s="402"/>
      <c r="G276" s="402"/>
      <c r="H276" s="402"/>
      <c r="I276" s="402"/>
      <c r="J276" s="402"/>
      <c r="K276" s="402"/>
      <c r="L276" s="402"/>
      <c r="M276" s="402"/>
      <c r="N276" s="402"/>
      <c r="O276" s="402"/>
      <c r="P276" s="402"/>
      <c r="Q276" s="402"/>
      <c r="R276" s="402"/>
      <c r="S276" s="402"/>
      <c r="T276" s="402"/>
      <c r="U276" s="402"/>
      <c r="V276" s="402"/>
      <c r="W276" s="402"/>
      <c r="X276" s="402"/>
      <c r="Y276" s="402"/>
      <c r="Z276" s="402"/>
      <c r="AA276" s="402"/>
    </row>
    <row r="277">
      <c r="A277" s="455"/>
      <c r="B277" s="455"/>
      <c r="C277" s="455"/>
      <c r="D277" s="455"/>
      <c r="E277" s="402"/>
      <c r="F277" s="402"/>
      <c r="G277" s="402"/>
      <c r="H277" s="402"/>
      <c r="I277" s="402"/>
      <c r="J277" s="402"/>
      <c r="K277" s="402"/>
      <c r="L277" s="402"/>
      <c r="M277" s="402"/>
      <c r="N277" s="402"/>
      <c r="O277" s="402"/>
      <c r="P277" s="402"/>
      <c r="Q277" s="402"/>
      <c r="R277" s="402"/>
      <c r="S277" s="402"/>
      <c r="T277" s="402"/>
      <c r="U277" s="402"/>
      <c r="V277" s="402"/>
      <c r="W277" s="402"/>
      <c r="X277" s="402"/>
      <c r="Y277" s="402"/>
      <c r="Z277" s="402"/>
      <c r="AA277" s="402"/>
    </row>
    <row r="278">
      <c r="A278" s="455"/>
      <c r="B278" s="455"/>
      <c r="C278" s="455"/>
      <c r="D278" s="455"/>
      <c r="E278" s="402"/>
      <c r="F278" s="402"/>
      <c r="G278" s="402"/>
      <c r="H278" s="402"/>
      <c r="I278" s="402"/>
      <c r="J278" s="402"/>
      <c r="K278" s="402"/>
      <c r="L278" s="402"/>
      <c r="M278" s="402"/>
      <c r="N278" s="402"/>
      <c r="O278" s="402"/>
      <c r="P278" s="402"/>
      <c r="Q278" s="402"/>
      <c r="R278" s="402"/>
      <c r="S278" s="402"/>
      <c r="T278" s="402"/>
      <c r="U278" s="402"/>
      <c r="V278" s="402"/>
      <c r="W278" s="402"/>
      <c r="X278" s="402"/>
      <c r="Y278" s="402"/>
      <c r="Z278" s="402"/>
      <c r="AA278" s="402"/>
    </row>
    <row r="279">
      <c r="A279" s="455"/>
      <c r="B279" s="455"/>
      <c r="C279" s="455"/>
      <c r="D279" s="455"/>
      <c r="E279" s="402"/>
      <c r="F279" s="402"/>
      <c r="G279" s="402"/>
      <c r="H279" s="402"/>
      <c r="I279" s="402"/>
      <c r="J279" s="402"/>
      <c r="K279" s="402"/>
      <c r="L279" s="402"/>
      <c r="M279" s="402"/>
      <c r="N279" s="402"/>
      <c r="O279" s="402"/>
      <c r="P279" s="402"/>
      <c r="Q279" s="402"/>
      <c r="R279" s="402"/>
      <c r="S279" s="402"/>
      <c r="T279" s="402"/>
      <c r="U279" s="402"/>
      <c r="V279" s="402"/>
      <c r="W279" s="402"/>
      <c r="X279" s="402"/>
      <c r="Y279" s="402"/>
      <c r="Z279" s="402"/>
      <c r="AA279" s="402"/>
    </row>
    <row r="280">
      <c r="A280" s="455"/>
      <c r="B280" s="455"/>
      <c r="C280" s="455"/>
      <c r="D280" s="455"/>
      <c r="E280" s="402"/>
      <c r="F280" s="402"/>
      <c r="G280" s="402"/>
      <c r="H280" s="402"/>
      <c r="I280" s="402"/>
      <c r="J280" s="402"/>
      <c r="K280" s="402"/>
      <c r="L280" s="402"/>
      <c r="M280" s="402"/>
      <c r="N280" s="402"/>
      <c r="O280" s="402"/>
      <c r="P280" s="402"/>
      <c r="Q280" s="402"/>
      <c r="R280" s="402"/>
      <c r="S280" s="402"/>
      <c r="T280" s="402"/>
      <c r="U280" s="402"/>
      <c r="V280" s="402"/>
      <c r="W280" s="402"/>
      <c r="X280" s="402"/>
      <c r="Y280" s="402"/>
      <c r="Z280" s="402"/>
      <c r="AA280" s="402"/>
    </row>
    <row r="281">
      <c r="A281" s="455"/>
      <c r="B281" s="455"/>
      <c r="C281" s="455"/>
      <c r="D281" s="455"/>
      <c r="E281" s="402"/>
      <c r="F281" s="402"/>
      <c r="G281" s="402"/>
      <c r="H281" s="402"/>
      <c r="I281" s="402"/>
      <c r="J281" s="402"/>
      <c r="K281" s="402"/>
      <c r="L281" s="402"/>
      <c r="M281" s="402"/>
      <c r="N281" s="402"/>
      <c r="O281" s="402"/>
      <c r="P281" s="402"/>
      <c r="Q281" s="402"/>
      <c r="R281" s="402"/>
      <c r="S281" s="402"/>
      <c r="T281" s="402"/>
      <c r="U281" s="402"/>
      <c r="V281" s="402"/>
      <c r="W281" s="402"/>
      <c r="X281" s="402"/>
      <c r="Y281" s="402"/>
      <c r="Z281" s="402"/>
      <c r="AA281" s="402"/>
    </row>
    <row r="282">
      <c r="A282" s="455"/>
      <c r="B282" s="455"/>
      <c r="C282" s="455"/>
      <c r="D282" s="455"/>
      <c r="E282" s="402"/>
      <c r="F282" s="402"/>
      <c r="G282" s="402"/>
      <c r="H282" s="402"/>
      <c r="I282" s="402"/>
      <c r="J282" s="402"/>
      <c r="K282" s="402"/>
      <c r="L282" s="402"/>
      <c r="M282" s="402"/>
      <c r="N282" s="402"/>
      <c r="O282" s="402"/>
      <c r="P282" s="402"/>
      <c r="Q282" s="402"/>
      <c r="R282" s="402"/>
      <c r="S282" s="402"/>
      <c r="T282" s="402"/>
      <c r="U282" s="402"/>
      <c r="V282" s="402"/>
      <c r="W282" s="402"/>
      <c r="X282" s="402"/>
      <c r="Y282" s="402"/>
      <c r="Z282" s="402"/>
      <c r="AA282" s="402"/>
    </row>
    <row r="283">
      <c r="A283" s="455"/>
      <c r="B283" s="455"/>
      <c r="C283" s="455"/>
      <c r="D283" s="455"/>
      <c r="E283" s="402"/>
      <c r="F283" s="402"/>
      <c r="G283" s="402"/>
      <c r="H283" s="402"/>
      <c r="I283" s="402"/>
      <c r="J283" s="402"/>
      <c r="K283" s="402"/>
      <c r="L283" s="402"/>
      <c r="M283" s="402"/>
      <c r="N283" s="402"/>
      <c r="O283" s="402"/>
      <c r="P283" s="402"/>
      <c r="Q283" s="402"/>
      <c r="R283" s="402"/>
      <c r="S283" s="402"/>
      <c r="T283" s="402"/>
      <c r="U283" s="402"/>
      <c r="V283" s="402"/>
      <c r="W283" s="402"/>
      <c r="X283" s="402"/>
      <c r="Y283" s="402"/>
      <c r="Z283" s="402"/>
      <c r="AA283" s="402"/>
    </row>
    <row r="284">
      <c r="A284" s="455"/>
      <c r="B284" s="455"/>
      <c r="C284" s="455"/>
      <c r="D284" s="455"/>
      <c r="E284" s="402"/>
      <c r="F284" s="402"/>
      <c r="G284" s="402"/>
      <c r="H284" s="402"/>
      <c r="I284" s="402"/>
      <c r="J284" s="402"/>
      <c r="K284" s="402"/>
      <c r="L284" s="402"/>
      <c r="M284" s="402"/>
      <c r="N284" s="402"/>
      <c r="O284" s="402"/>
      <c r="P284" s="402"/>
      <c r="Q284" s="402"/>
      <c r="R284" s="402"/>
      <c r="S284" s="402"/>
      <c r="T284" s="402"/>
      <c r="U284" s="402"/>
      <c r="V284" s="402"/>
      <c r="W284" s="402"/>
      <c r="X284" s="402"/>
      <c r="Y284" s="402"/>
      <c r="Z284" s="402"/>
      <c r="AA284" s="402"/>
    </row>
    <row r="285">
      <c r="A285" s="455"/>
      <c r="B285" s="455"/>
      <c r="C285" s="455"/>
      <c r="D285" s="455"/>
      <c r="E285" s="402"/>
      <c r="F285" s="402"/>
      <c r="G285" s="402"/>
      <c r="H285" s="402"/>
      <c r="I285" s="402"/>
      <c r="J285" s="402"/>
      <c r="K285" s="402"/>
      <c r="L285" s="402"/>
      <c r="M285" s="402"/>
      <c r="N285" s="402"/>
      <c r="O285" s="402"/>
      <c r="P285" s="402"/>
      <c r="Q285" s="402"/>
      <c r="R285" s="402"/>
      <c r="S285" s="402"/>
      <c r="T285" s="402"/>
      <c r="U285" s="402"/>
      <c r="V285" s="402"/>
      <c r="W285" s="402"/>
      <c r="X285" s="402"/>
      <c r="Y285" s="402"/>
      <c r="Z285" s="402"/>
      <c r="AA285" s="402"/>
    </row>
    <row r="286">
      <c r="A286" s="455"/>
      <c r="B286" s="455"/>
      <c r="C286" s="455"/>
      <c r="D286" s="455"/>
      <c r="E286" s="402"/>
      <c r="F286" s="402"/>
      <c r="G286" s="402"/>
      <c r="H286" s="402"/>
      <c r="I286" s="402"/>
      <c r="J286" s="402"/>
      <c r="K286" s="402"/>
      <c r="L286" s="402"/>
      <c r="M286" s="402"/>
      <c r="N286" s="402"/>
      <c r="O286" s="402"/>
      <c r="P286" s="402"/>
      <c r="Q286" s="402"/>
      <c r="R286" s="402"/>
      <c r="S286" s="402"/>
      <c r="T286" s="402"/>
      <c r="U286" s="402"/>
      <c r="V286" s="402"/>
      <c r="W286" s="402"/>
      <c r="X286" s="402"/>
      <c r="Y286" s="402"/>
      <c r="Z286" s="402"/>
      <c r="AA286" s="402"/>
    </row>
    <row r="287">
      <c r="A287" s="455"/>
      <c r="B287" s="455"/>
      <c r="C287" s="455"/>
      <c r="D287" s="455"/>
      <c r="E287" s="402"/>
      <c r="F287" s="402"/>
      <c r="G287" s="402"/>
      <c r="H287" s="402"/>
      <c r="I287" s="402"/>
      <c r="J287" s="402"/>
      <c r="K287" s="402"/>
      <c r="L287" s="402"/>
      <c r="M287" s="402"/>
      <c r="N287" s="402"/>
      <c r="O287" s="402"/>
      <c r="P287" s="402"/>
      <c r="Q287" s="402"/>
      <c r="R287" s="402"/>
      <c r="S287" s="402"/>
      <c r="T287" s="402"/>
      <c r="U287" s="402"/>
      <c r="V287" s="402"/>
      <c r="W287" s="402"/>
      <c r="X287" s="402"/>
      <c r="Y287" s="402"/>
      <c r="Z287" s="402"/>
      <c r="AA287" s="402"/>
    </row>
    <row r="288">
      <c r="A288" s="455"/>
      <c r="B288" s="455"/>
      <c r="C288" s="455"/>
      <c r="D288" s="455"/>
      <c r="E288" s="402"/>
      <c r="F288" s="402"/>
      <c r="G288" s="402"/>
      <c r="H288" s="402"/>
      <c r="I288" s="402"/>
      <c r="J288" s="402"/>
      <c r="K288" s="402"/>
      <c r="L288" s="402"/>
      <c r="M288" s="402"/>
      <c r="N288" s="402"/>
      <c r="O288" s="402"/>
      <c r="P288" s="402"/>
      <c r="Q288" s="402"/>
      <c r="R288" s="402"/>
      <c r="S288" s="402"/>
      <c r="T288" s="402"/>
      <c r="U288" s="402"/>
      <c r="V288" s="402"/>
      <c r="W288" s="402"/>
      <c r="X288" s="402"/>
      <c r="Y288" s="402"/>
      <c r="Z288" s="402"/>
      <c r="AA288" s="402"/>
    </row>
    <row r="289">
      <c r="A289" s="455"/>
      <c r="B289" s="455"/>
      <c r="C289" s="455"/>
      <c r="D289" s="455"/>
      <c r="E289" s="402"/>
      <c r="F289" s="402"/>
      <c r="G289" s="402"/>
      <c r="H289" s="402"/>
      <c r="I289" s="402"/>
      <c r="J289" s="402"/>
      <c r="K289" s="402"/>
      <c r="L289" s="402"/>
      <c r="M289" s="402"/>
      <c r="N289" s="402"/>
      <c r="O289" s="402"/>
      <c r="P289" s="402"/>
      <c r="Q289" s="402"/>
      <c r="R289" s="402"/>
      <c r="S289" s="402"/>
      <c r="T289" s="402"/>
      <c r="U289" s="402"/>
      <c r="V289" s="402"/>
      <c r="W289" s="402"/>
      <c r="X289" s="402"/>
      <c r="Y289" s="402"/>
      <c r="Z289" s="402"/>
      <c r="AA289" s="402"/>
    </row>
    <row r="290">
      <c r="A290" s="455"/>
      <c r="B290" s="455"/>
      <c r="C290" s="455"/>
      <c r="D290" s="455"/>
      <c r="E290" s="402"/>
      <c r="F290" s="402"/>
      <c r="G290" s="402"/>
      <c r="H290" s="402"/>
      <c r="I290" s="402"/>
      <c r="J290" s="402"/>
      <c r="K290" s="402"/>
      <c r="L290" s="402"/>
      <c r="M290" s="402"/>
      <c r="N290" s="402"/>
      <c r="O290" s="402"/>
      <c r="P290" s="402"/>
      <c r="Q290" s="402"/>
      <c r="R290" s="402"/>
      <c r="S290" s="402"/>
      <c r="T290" s="402"/>
      <c r="U290" s="402"/>
      <c r="V290" s="402"/>
      <c r="W290" s="402"/>
      <c r="X290" s="402"/>
      <c r="Y290" s="402"/>
      <c r="Z290" s="402"/>
      <c r="AA290" s="402"/>
    </row>
    <row r="291">
      <c r="A291" s="455"/>
      <c r="B291" s="455"/>
      <c r="C291" s="455"/>
      <c r="D291" s="455"/>
      <c r="E291" s="402"/>
      <c r="F291" s="402"/>
      <c r="G291" s="402"/>
      <c r="H291" s="402"/>
      <c r="I291" s="402"/>
      <c r="J291" s="402"/>
      <c r="K291" s="402"/>
      <c r="L291" s="402"/>
      <c r="M291" s="402"/>
      <c r="N291" s="402"/>
      <c r="O291" s="402"/>
      <c r="P291" s="402"/>
      <c r="Q291" s="402"/>
      <c r="R291" s="402"/>
      <c r="S291" s="402"/>
      <c r="T291" s="402"/>
      <c r="U291" s="402"/>
      <c r="V291" s="402"/>
      <c r="W291" s="402"/>
      <c r="X291" s="402"/>
      <c r="Y291" s="402"/>
      <c r="Z291" s="402"/>
      <c r="AA291" s="402"/>
    </row>
    <row r="292">
      <c r="A292" s="455"/>
      <c r="B292" s="455"/>
      <c r="C292" s="455"/>
      <c r="D292" s="455"/>
      <c r="E292" s="402"/>
      <c r="F292" s="402"/>
      <c r="G292" s="402"/>
      <c r="H292" s="402"/>
      <c r="I292" s="402"/>
      <c r="J292" s="402"/>
      <c r="K292" s="402"/>
      <c r="L292" s="402"/>
      <c r="M292" s="402"/>
      <c r="N292" s="402"/>
      <c r="O292" s="402"/>
      <c r="P292" s="402"/>
      <c r="Q292" s="402"/>
      <c r="R292" s="402"/>
      <c r="S292" s="402"/>
      <c r="T292" s="402"/>
      <c r="U292" s="402"/>
      <c r="V292" s="402"/>
      <c r="W292" s="402"/>
      <c r="X292" s="402"/>
      <c r="Y292" s="402"/>
      <c r="Z292" s="402"/>
      <c r="AA292" s="402"/>
    </row>
    <row r="293">
      <c r="A293" s="455"/>
      <c r="B293" s="455"/>
      <c r="C293" s="455"/>
      <c r="D293" s="455"/>
      <c r="E293" s="402"/>
      <c r="F293" s="402"/>
      <c r="G293" s="402"/>
      <c r="H293" s="402"/>
      <c r="I293" s="402"/>
      <c r="J293" s="402"/>
      <c r="K293" s="402"/>
      <c r="L293" s="402"/>
      <c r="M293" s="402"/>
      <c r="N293" s="402"/>
      <c r="O293" s="402"/>
      <c r="P293" s="402"/>
      <c r="Q293" s="402"/>
      <c r="R293" s="402"/>
      <c r="S293" s="402"/>
      <c r="T293" s="402"/>
      <c r="U293" s="402"/>
      <c r="V293" s="402"/>
      <c r="W293" s="402"/>
      <c r="X293" s="402"/>
      <c r="Y293" s="402"/>
      <c r="Z293" s="402"/>
      <c r="AA293" s="402"/>
    </row>
    <row r="294">
      <c r="A294" s="455"/>
      <c r="B294" s="455"/>
      <c r="C294" s="455"/>
      <c r="D294" s="455"/>
      <c r="E294" s="402"/>
      <c r="F294" s="402"/>
      <c r="G294" s="402"/>
      <c r="H294" s="402"/>
      <c r="I294" s="402"/>
      <c r="J294" s="402"/>
      <c r="K294" s="402"/>
      <c r="L294" s="402"/>
      <c r="M294" s="402"/>
      <c r="N294" s="402"/>
      <c r="O294" s="402"/>
      <c r="P294" s="402"/>
      <c r="Q294" s="402"/>
      <c r="R294" s="402"/>
      <c r="S294" s="402"/>
      <c r="T294" s="402"/>
      <c r="U294" s="402"/>
      <c r="V294" s="402"/>
      <c r="W294" s="402"/>
      <c r="X294" s="402"/>
      <c r="Y294" s="402"/>
      <c r="Z294" s="402"/>
      <c r="AA294" s="402"/>
    </row>
    <row r="295">
      <c r="A295" s="455"/>
      <c r="B295" s="455"/>
      <c r="C295" s="455"/>
      <c r="D295" s="455"/>
      <c r="E295" s="402"/>
      <c r="F295" s="402"/>
      <c r="G295" s="402"/>
      <c r="H295" s="402"/>
      <c r="I295" s="402"/>
      <c r="J295" s="402"/>
      <c r="K295" s="402"/>
      <c r="L295" s="402"/>
      <c r="M295" s="402"/>
      <c r="N295" s="402"/>
      <c r="O295" s="402"/>
      <c r="P295" s="402"/>
      <c r="Q295" s="402"/>
      <c r="R295" s="402"/>
      <c r="S295" s="402"/>
      <c r="T295" s="402"/>
      <c r="U295" s="402"/>
      <c r="V295" s="402"/>
      <c r="W295" s="402"/>
      <c r="X295" s="402"/>
      <c r="Y295" s="402"/>
      <c r="Z295" s="402"/>
      <c r="AA295" s="402"/>
    </row>
    <row r="296">
      <c r="A296" s="455"/>
      <c r="B296" s="455"/>
      <c r="C296" s="455"/>
      <c r="D296" s="455"/>
      <c r="E296" s="402"/>
      <c r="F296" s="402"/>
      <c r="G296" s="402"/>
      <c r="H296" s="402"/>
      <c r="I296" s="402"/>
      <c r="J296" s="402"/>
      <c r="K296" s="402"/>
      <c r="L296" s="402"/>
      <c r="M296" s="402"/>
      <c r="N296" s="402"/>
      <c r="O296" s="402"/>
      <c r="P296" s="402"/>
      <c r="Q296" s="402"/>
      <c r="R296" s="402"/>
      <c r="S296" s="402"/>
      <c r="T296" s="402"/>
      <c r="U296" s="402"/>
      <c r="V296" s="402"/>
      <c r="W296" s="402"/>
      <c r="X296" s="402"/>
      <c r="Y296" s="402"/>
      <c r="Z296" s="402"/>
      <c r="AA296" s="402"/>
    </row>
    <row r="297">
      <c r="A297" s="455"/>
      <c r="B297" s="455"/>
      <c r="C297" s="455"/>
      <c r="D297" s="455"/>
      <c r="E297" s="402"/>
      <c r="F297" s="402"/>
      <c r="G297" s="402"/>
      <c r="H297" s="402"/>
      <c r="I297" s="402"/>
      <c r="J297" s="402"/>
      <c r="K297" s="402"/>
      <c r="L297" s="402"/>
      <c r="M297" s="402"/>
      <c r="N297" s="402"/>
      <c r="O297" s="402"/>
      <c r="P297" s="402"/>
      <c r="Q297" s="402"/>
      <c r="R297" s="402"/>
      <c r="S297" s="402"/>
      <c r="T297" s="402"/>
      <c r="U297" s="402"/>
      <c r="V297" s="402"/>
      <c r="W297" s="402"/>
      <c r="X297" s="402"/>
      <c r="Y297" s="402"/>
      <c r="Z297" s="402"/>
      <c r="AA297" s="402"/>
    </row>
    <row r="298">
      <c r="A298" s="455"/>
      <c r="B298" s="455"/>
      <c r="C298" s="455"/>
      <c r="D298" s="455"/>
      <c r="E298" s="402"/>
      <c r="F298" s="402"/>
      <c r="G298" s="402"/>
      <c r="H298" s="402"/>
      <c r="I298" s="402"/>
      <c r="J298" s="402"/>
      <c r="K298" s="402"/>
      <c r="L298" s="402"/>
      <c r="M298" s="402"/>
      <c r="N298" s="402"/>
      <c r="O298" s="402"/>
      <c r="P298" s="402"/>
      <c r="Q298" s="402"/>
      <c r="R298" s="402"/>
      <c r="S298" s="402"/>
      <c r="T298" s="402"/>
      <c r="U298" s="402"/>
      <c r="V298" s="402"/>
      <c r="W298" s="402"/>
      <c r="X298" s="402"/>
      <c r="Y298" s="402"/>
      <c r="Z298" s="402"/>
      <c r="AA298" s="402"/>
    </row>
    <row r="299">
      <c r="A299" s="455"/>
      <c r="B299" s="455"/>
      <c r="C299" s="455"/>
      <c r="D299" s="455"/>
      <c r="E299" s="402"/>
      <c r="F299" s="402"/>
      <c r="G299" s="402"/>
      <c r="H299" s="402"/>
      <c r="I299" s="402"/>
      <c r="J299" s="402"/>
      <c r="K299" s="402"/>
      <c r="L299" s="402"/>
      <c r="M299" s="402"/>
      <c r="N299" s="402"/>
      <c r="O299" s="402"/>
      <c r="P299" s="402"/>
      <c r="Q299" s="402"/>
      <c r="R299" s="402"/>
      <c r="S299" s="402"/>
      <c r="T299" s="402"/>
      <c r="U299" s="402"/>
      <c r="V299" s="402"/>
      <c r="W299" s="402"/>
      <c r="X299" s="402"/>
      <c r="Y299" s="402"/>
      <c r="Z299" s="402"/>
      <c r="AA299" s="402"/>
    </row>
    <row r="300">
      <c r="A300" s="455"/>
      <c r="B300" s="455"/>
      <c r="C300" s="455"/>
      <c r="D300" s="455"/>
      <c r="E300" s="402"/>
      <c r="F300" s="402"/>
      <c r="G300" s="402"/>
      <c r="H300" s="402"/>
      <c r="I300" s="402"/>
      <c r="J300" s="402"/>
      <c r="K300" s="402"/>
      <c r="L300" s="402"/>
      <c r="M300" s="402"/>
      <c r="N300" s="402"/>
      <c r="O300" s="402"/>
      <c r="P300" s="402"/>
      <c r="Q300" s="402"/>
      <c r="R300" s="402"/>
      <c r="S300" s="402"/>
      <c r="T300" s="402"/>
      <c r="U300" s="402"/>
      <c r="V300" s="402"/>
      <c r="W300" s="402"/>
      <c r="X300" s="402"/>
      <c r="Y300" s="402"/>
      <c r="Z300" s="402"/>
      <c r="AA300" s="402"/>
    </row>
    <row r="301">
      <c r="A301" s="455"/>
      <c r="B301" s="455"/>
      <c r="C301" s="455"/>
      <c r="D301" s="455"/>
      <c r="E301" s="402"/>
      <c r="F301" s="402"/>
      <c r="G301" s="402"/>
      <c r="H301" s="402"/>
      <c r="I301" s="402"/>
      <c r="J301" s="402"/>
      <c r="K301" s="402"/>
      <c r="L301" s="402"/>
      <c r="M301" s="402"/>
      <c r="N301" s="402"/>
      <c r="O301" s="402"/>
      <c r="P301" s="402"/>
      <c r="Q301" s="402"/>
      <c r="R301" s="402"/>
      <c r="S301" s="402"/>
      <c r="T301" s="402"/>
      <c r="U301" s="402"/>
      <c r="V301" s="402"/>
      <c r="W301" s="402"/>
      <c r="X301" s="402"/>
      <c r="Y301" s="402"/>
      <c r="Z301" s="402"/>
      <c r="AA301" s="402"/>
    </row>
    <row r="302">
      <c r="A302" s="455"/>
      <c r="B302" s="455"/>
      <c r="C302" s="455"/>
      <c r="D302" s="455"/>
      <c r="E302" s="402"/>
      <c r="F302" s="402"/>
      <c r="G302" s="402"/>
      <c r="H302" s="402"/>
      <c r="I302" s="402"/>
      <c r="J302" s="402"/>
      <c r="K302" s="402"/>
      <c r="L302" s="402"/>
      <c r="M302" s="402"/>
      <c r="N302" s="402"/>
      <c r="O302" s="402"/>
      <c r="P302" s="402"/>
      <c r="Q302" s="402"/>
      <c r="R302" s="402"/>
      <c r="S302" s="402"/>
      <c r="T302" s="402"/>
      <c r="U302" s="402"/>
      <c r="V302" s="402"/>
      <c r="W302" s="402"/>
      <c r="X302" s="402"/>
      <c r="Y302" s="402"/>
      <c r="Z302" s="402"/>
      <c r="AA302" s="402"/>
    </row>
    <row r="303">
      <c r="A303" s="455"/>
      <c r="B303" s="455"/>
      <c r="C303" s="455"/>
      <c r="D303" s="455"/>
      <c r="E303" s="402"/>
      <c r="F303" s="402"/>
      <c r="G303" s="402"/>
      <c r="H303" s="402"/>
      <c r="I303" s="402"/>
      <c r="J303" s="402"/>
      <c r="K303" s="402"/>
      <c r="L303" s="402"/>
      <c r="M303" s="402"/>
      <c r="N303" s="402"/>
      <c r="O303" s="402"/>
      <c r="P303" s="402"/>
      <c r="Q303" s="402"/>
      <c r="R303" s="402"/>
      <c r="S303" s="402"/>
      <c r="T303" s="402"/>
      <c r="U303" s="402"/>
      <c r="V303" s="402"/>
      <c r="W303" s="402"/>
      <c r="X303" s="402"/>
      <c r="Y303" s="402"/>
      <c r="Z303" s="402"/>
      <c r="AA303" s="402"/>
    </row>
    <row r="304">
      <c r="A304" s="455"/>
      <c r="B304" s="455"/>
      <c r="C304" s="455"/>
      <c r="D304" s="455"/>
      <c r="E304" s="402"/>
      <c r="F304" s="402"/>
      <c r="G304" s="402"/>
      <c r="H304" s="402"/>
      <c r="I304" s="402"/>
      <c r="J304" s="402"/>
      <c r="K304" s="402"/>
      <c r="L304" s="402"/>
      <c r="M304" s="402"/>
      <c r="N304" s="402"/>
      <c r="O304" s="402"/>
      <c r="P304" s="402"/>
      <c r="Q304" s="402"/>
      <c r="R304" s="402"/>
      <c r="S304" s="402"/>
      <c r="T304" s="402"/>
      <c r="U304" s="402"/>
      <c r="V304" s="402"/>
      <c r="W304" s="402"/>
      <c r="X304" s="402"/>
      <c r="Y304" s="402"/>
      <c r="Z304" s="402"/>
      <c r="AA304" s="402"/>
    </row>
    <row r="305">
      <c r="A305" s="455"/>
      <c r="B305" s="455"/>
      <c r="C305" s="455"/>
      <c r="D305" s="455"/>
      <c r="E305" s="402"/>
      <c r="F305" s="402"/>
      <c r="G305" s="402"/>
      <c r="H305" s="402"/>
      <c r="I305" s="402"/>
      <c r="J305" s="402"/>
      <c r="K305" s="402"/>
      <c r="L305" s="402"/>
      <c r="M305" s="402"/>
      <c r="N305" s="402"/>
      <c r="O305" s="402"/>
      <c r="P305" s="402"/>
      <c r="Q305" s="402"/>
      <c r="R305" s="402"/>
      <c r="S305" s="402"/>
      <c r="T305" s="402"/>
      <c r="U305" s="402"/>
      <c r="V305" s="402"/>
      <c r="W305" s="402"/>
      <c r="X305" s="402"/>
      <c r="Y305" s="402"/>
      <c r="Z305" s="402"/>
      <c r="AA305" s="402"/>
    </row>
    <row r="306">
      <c r="A306" s="455"/>
      <c r="B306" s="455"/>
      <c r="C306" s="455"/>
      <c r="D306" s="455"/>
      <c r="E306" s="402"/>
      <c r="F306" s="402"/>
      <c r="G306" s="402"/>
      <c r="H306" s="402"/>
      <c r="I306" s="402"/>
      <c r="J306" s="402"/>
      <c r="K306" s="402"/>
      <c r="L306" s="402"/>
      <c r="M306" s="402"/>
      <c r="N306" s="402"/>
      <c r="O306" s="402"/>
      <c r="P306" s="402"/>
      <c r="Q306" s="402"/>
      <c r="R306" s="402"/>
      <c r="S306" s="402"/>
      <c r="T306" s="402"/>
      <c r="U306" s="402"/>
      <c r="V306" s="402"/>
      <c r="W306" s="402"/>
      <c r="X306" s="402"/>
      <c r="Y306" s="402"/>
      <c r="Z306" s="402"/>
      <c r="AA306" s="402"/>
    </row>
    <row r="307">
      <c r="A307" s="455"/>
      <c r="B307" s="455"/>
      <c r="C307" s="455"/>
      <c r="D307" s="455"/>
      <c r="E307" s="402"/>
      <c r="F307" s="402"/>
      <c r="G307" s="402"/>
      <c r="H307" s="402"/>
      <c r="I307" s="402"/>
      <c r="J307" s="402"/>
      <c r="K307" s="402"/>
      <c r="L307" s="402"/>
      <c r="M307" s="402"/>
      <c r="N307" s="402"/>
      <c r="O307" s="402"/>
      <c r="P307" s="402"/>
      <c r="Q307" s="402"/>
      <c r="R307" s="402"/>
      <c r="S307" s="402"/>
      <c r="T307" s="402"/>
      <c r="U307" s="402"/>
      <c r="V307" s="402"/>
      <c r="W307" s="402"/>
      <c r="X307" s="402"/>
      <c r="Y307" s="402"/>
      <c r="Z307" s="402"/>
      <c r="AA307" s="402"/>
    </row>
    <row r="308">
      <c r="A308" s="455"/>
      <c r="B308" s="455"/>
      <c r="C308" s="455"/>
      <c r="D308" s="455"/>
      <c r="E308" s="402"/>
      <c r="F308" s="402"/>
      <c r="G308" s="402"/>
      <c r="H308" s="402"/>
      <c r="I308" s="402"/>
      <c r="J308" s="402"/>
      <c r="K308" s="402"/>
      <c r="L308" s="402"/>
      <c r="M308" s="402"/>
      <c r="N308" s="402"/>
      <c r="O308" s="402"/>
      <c r="P308" s="402"/>
      <c r="Q308" s="402"/>
      <c r="R308" s="402"/>
      <c r="S308" s="402"/>
      <c r="T308" s="402"/>
      <c r="U308" s="402"/>
      <c r="V308" s="402"/>
      <c r="W308" s="402"/>
      <c r="X308" s="402"/>
      <c r="Y308" s="402"/>
      <c r="Z308" s="402"/>
      <c r="AA308" s="402"/>
    </row>
    <row r="309">
      <c r="A309" s="455"/>
      <c r="B309" s="455"/>
      <c r="C309" s="455"/>
      <c r="D309" s="455"/>
      <c r="E309" s="402"/>
      <c r="F309" s="402"/>
      <c r="G309" s="402"/>
      <c r="H309" s="402"/>
      <c r="I309" s="402"/>
      <c r="J309" s="402"/>
      <c r="K309" s="402"/>
      <c r="L309" s="402"/>
      <c r="M309" s="402"/>
      <c r="N309" s="402"/>
      <c r="O309" s="402"/>
      <c r="P309" s="402"/>
      <c r="Q309" s="402"/>
      <c r="R309" s="402"/>
      <c r="S309" s="402"/>
      <c r="T309" s="402"/>
      <c r="U309" s="402"/>
      <c r="V309" s="402"/>
      <c r="W309" s="402"/>
      <c r="X309" s="402"/>
      <c r="Y309" s="402"/>
      <c r="Z309" s="402"/>
      <c r="AA309" s="402"/>
    </row>
    <row r="310">
      <c r="A310" s="455"/>
      <c r="B310" s="455"/>
      <c r="C310" s="455"/>
      <c r="D310" s="455"/>
      <c r="E310" s="402"/>
      <c r="F310" s="402"/>
      <c r="G310" s="402"/>
      <c r="H310" s="402"/>
      <c r="I310" s="402"/>
      <c r="J310" s="402"/>
      <c r="K310" s="402"/>
      <c r="L310" s="402"/>
      <c r="M310" s="402"/>
      <c r="N310" s="402"/>
      <c r="O310" s="402"/>
      <c r="P310" s="402"/>
      <c r="Q310" s="402"/>
      <c r="R310" s="402"/>
      <c r="S310" s="402"/>
      <c r="T310" s="402"/>
      <c r="U310" s="402"/>
      <c r="V310" s="402"/>
      <c r="W310" s="402"/>
      <c r="X310" s="402"/>
      <c r="Y310" s="402"/>
      <c r="Z310" s="402"/>
      <c r="AA310" s="402"/>
    </row>
    <row r="311">
      <c r="A311" s="455"/>
      <c r="B311" s="455"/>
      <c r="C311" s="455"/>
      <c r="D311" s="455"/>
      <c r="E311" s="402"/>
      <c r="F311" s="402"/>
      <c r="G311" s="402"/>
      <c r="H311" s="402"/>
      <c r="I311" s="402"/>
      <c r="J311" s="402"/>
      <c r="K311" s="402"/>
      <c r="L311" s="402"/>
      <c r="M311" s="402"/>
      <c r="N311" s="402"/>
      <c r="O311" s="402"/>
      <c r="P311" s="402"/>
      <c r="Q311" s="402"/>
      <c r="R311" s="402"/>
      <c r="S311" s="402"/>
      <c r="T311" s="402"/>
      <c r="U311" s="402"/>
      <c r="V311" s="402"/>
      <c r="W311" s="402"/>
      <c r="X311" s="402"/>
      <c r="Y311" s="402"/>
      <c r="Z311" s="402"/>
      <c r="AA311" s="402"/>
    </row>
    <row r="312">
      <c r="A312" s="455"/>
      <c r="B312" s="455"/>
      <c r="C312" s="455"/>
      <c r="D312" s="455"/>
      <c r="E312" s="402"/>
      <c r="F312" s="402"/>
      <c r="G312" s="402"/>
      <c r="H312" s="402"/>
      <c r="I312" s="402"/>
      <c r="J312" s="402"/>
      <c r="K312" s="402"/>
      <c r="L312" s="402"/>
      <c r="M312" s="402"/>
      <c r="N312" s="402"/>
      <c r="O312" s="402"/>
      <c r="P312" s="402"/>
      <c r="Q312" s="402"/>
      <c r="R312" s="402"/>
      <c r="S312" s="402"/>
      <c r="T312" s="402"/>
      <c r="U312" s="402"/>
      <c r="V312" s="402"/>
      <c r="W312" s="402"/>
      <c r="X312" s="402"/>
      <c r="Y312" s="402"/>
      <c r="Z312" s="402"/>
      <c r="AA312" s="402"/>
    </row>
    <row r="313">
      <c r="A313" s="455"/>
      <c r="B313" s="455"/>
      <c r="C313" s="455"/>
      <c r="D313" s="455"/>
      <c r="E313" s="402"/>
      <c r="F313" s="402"/>
      <c r="G313" s="402"/>
      <c r="H313" s="402"/>
      <c r="I313" s="402"/>
      <c r="J313" s="402"/>
      <c r="K313" s="402"/>
      <c r="L313" s="402"/>
      <c r="M313" s="402"/>
      <c r="N313" s="402"/>
      <c r="O313" s="402"/>
      <c r="P313" s="402"/>
      <c r="Q313" s="402"/>
      <c r="R313" s="402"/>
      <c r="S313" s="402"/>
      <c r="T313" s="402"/>
      <c r="U313" s="402"/>
      <c r="V313" s="402"/>
      <c r="W313" s="402"/>
      <c r="X313" s="402"/>
      <c r="Y313" s="402"/>
      <c r="Z313" s="402"/>
      <c r="AA313" s="402"/>
    </row>
    <row r="314">
      <c r="A314" s="455"/>
      <c r="B314" s="455"/>
      <c r="C314" s="455"/>
      <c r="D314" s="455"/>
      <c r="E314" s="402"/>
      <c r="F314" s="402"/>
      <c r="G314" s="402"/>
      <c r="H314" s="402"/>
      <c r="I314" s="402"/>
      <c r="J314" s="402"/>
      <c r="K314" s="402"/>
      <c r="L314" s="402"/>
      <c r="M314" s="402"/>
      <c r="N314" s="402"/>
      <c r="O314" s="402"/>
      <c r="P314" s="402"/>
      <c r="Q314" s="402"/>
      <c r="R314" s="402"/>
      <c r="S314" s="402"/>
      <c r="T314" s="402"/>
      <c r="U314" s="402"/>
      <c r="V314" s="402"/>
      <c r="W314" s="402"/>
      <c r="X314" s="402"/>
      <c r="Y314" s="402"/>
      <c r="Z314" s="402"/>
      <c r="AA314" s="402"/>
    </row>
    <row r="315">
      <c r="A315" s="455"/>
      <c r="B315" s="455"/>
      <c r="C315" s="455"/>
      <c r="D315" s="455"/>
      <c r="E315" s="402"/>
      <c r="F315" s="402"/>
      <c r="G315" s="402"/>
      <c r="H315" s="402"/>
      <c r="I315" s="402"/>
      <c r="J315" s="402"/>
      <c r="K315" s="402"/>
      <c r="L315" s="402"/>
      <c r="M315" s="402"/>
      <c r="N315" s="402"/>
      <c r="O315" s="402"/>
      <c r="P315" s="402"/>
      <c r="Q315" s="402"/>
      <c r="R315" s="402"/>
      <c r="S315" s="402"/>
      <c r="T315" s="402"/>
      <c r="U315" s="402"/>
      <c r="V315" s="402"/>
      <c r="W315" s="402"/>
      <c r="X315" s="402"/>
      <c r="Y315" s="402"/>
      <c r="Z315" s="402"/>
      <c r="AA315" s="402"/>
    </row>
    <row r="316">
      <c r="A316" s="455"/>
      <c r="B316" s="455"/>
      <c r="C316" s="455"/>
      <c r="D316" s="455"/>
      <c r="E316" s="402"/>
      <c r="F316" s="402"/>
      <c r="G316" s="402"/>
      <c r="H316" s="402"/>
      <c r="I316" s="402"/>
      <c r="J316" s="402"/>
      <c r="K316" s="402"/>
      <c r="L316" s="402"/>
      <c r="M316" s="402"/>
      <c r="N316" s="402"/>
      <c r="O316" s="402"/>
      <c r="P316" s="402"/>
      <c r="Q316" s="402"/>
      <c r="R316" s="402"/>
      <c r="S316" s="402"/>
      <c r="T316" s="402"/>
      <c r="U316" s="402"/>
      <c r="V316" s="402"/>
      <c r="W316" s="402"/>
      <c r="X316" s="402"/>
      <c r="Y316" s="402"/>
      <c r="Z316" s="402"/>
      <c r="AA316" s="402"/>
    </row>
    <row r="317">
      <c r="A317" s="455"/>
      <c r="B317" s="455"/>
      <c r="C317" s="455"/>
      <c r="D317" s="455"/>
      <c r="E317" s="402"/>
      <c r="F317" s="402"/>
      <c r="G317" s="402"/>
      <c r="H317" s="402"/>
      <c r="I317" s="402"/>
      <c r="J317" s="402"/>
      <c r="K317" s="402"/>
      <c r="L317" s="402"/>
      <c r="M317" s="402"/>
      <c r="N317" s="402"/>
      <c r="O317" s="402"/>
      <c r="P317" s="402"/>
      <c r="Q317" s="402"/>
      <c r="R317" s="402"/>
      <c r="S317" s="402"/>
      <c r="T317" s="402"/>
      <c r="U317" s="402"/>
      <c r="V317" s="402"/>
      <c r="W317" s="402"/>
      <c r="X317" s="402"/>
      <c r="Y317" s="402"/>
      <c r="Z317" s="402"/>
      <c r="AA317" s="402"/>
    </row>
    <row r="318">
      <c r="A318" s="455"/>
      <c r="B318" s="455"/>
      <c r="C318" s="455"/>
      <c r="D318" s="455"/>
      <c r="E318" s="402"/>
      <c r="F318" s="402"/>
      <c r="G318" s="402"/>
      <c r="H318" s="402"/>
      <c r="I318" s="402"/>
      <c r="J318" s="402"/>
      <c r="K318" s="402"/>
      <c r="L318" s="402"/>
      <c r="M318" s="402"/>
      <c r="N318" s="402"/>
      <c r="O318" s="402"/>
      <c r="P318" s="402"/>
      <c r="Q318" s="402"/>
      <c r="R318" s="402"/>
      <c r="S318" s="402"/>
      <c r="T318" s="402"/>
      <c r="U318" s="402"/>
      <c r="V318" s="402"/>
      <c r="W318" s="402"/>
      <c r="X318" s="402"/>
      <c r="Y318" s="402"/>
      <c r="Z318" s="402"/>
      <c r="AA318" s="402"/>
    </row>
    <row r="319">
      <c r="A319" s="455"/>
      <c r="B319" s="455"/>
      <c r="C319" s="455"/>
      <c r="D319" s="455"/>
      <c r="E319" s="402"/>
      <c r="F319" s="402"/>
      <c r="G319" s="402"/>
      <c r="H319" s="402"/>
      <c r="I319" s="402"/>
      <c r="J319" s="402"/>
      <c r="K319" s="402"/>
      <c r="L319" s="402"/>
      <c r="M319" s="402"/>
      <c r="N319" s="402"/>
      <c r="O319" s="402"/>
      <c r="P319" s="402"/>
      <c r="Q319" s="402"/>
      <c r="R319" s="402"/>
      <c r="S319" s="402"/>
      <c r="T319" s="402"/>
      <c r="U319" s="402"/>
      <c r="V319" s="402"/>
      <c r="W319" s="402"/>
      <c r="X319" s="402"/>
      <c r="Y319" s="402"/>
      <c r="Z319" s="402"/>
      <c r="AA319" s="402"/>
    </row>
    <row r="320">
      <c r="A320" s="455"/>
      <c r="B320" s="455"/>
      <c r="C320" s="455"/>
      <c r="D320" s="455"/>
      <c r="E320" s="402"/>
      <c r="F320" s="402"/>
      <c r="G320" s="402"/>
      <c r="H320" s="402"/>
      <c r="I320" s="402"/>
      <c r="J320" s="402"/>
      <c r="K320" s="402"/>
      <c r="L320" s="402"/>
      <c r="M320" s="402"/>
      <c r="N320" s="402"/>
      <c r="O320" s="402"/>
      <c r="P320" s="402"/>
      <c r="Q320" s="402"/>
      <c r="R320" s="402"/>
      <c r="S320" s="402"/>
      <c r="T320" s="402"/>
      <c r="U320" s="402"/>
      <c r="V320" s="402"/>
      <c r="W320" s="402"/>
      <c r="X320" s="402"/>
      <c r="Y320" s="402"/>
      <c r="Z320" s="402"/>
      <c r="AA320" s="402"/>
    </row>
    <row r="321">
      <c r="A321" s="455"/>
      <c r="B321" s="455"/>
      <c r="C321" s="455"/>
      <c r="D321" s="455"/>
      <c r="E321" s="402"/>
      <c r="F321" s="402"/>
      <c r="G321" s="402"/>
      <c r="H321" s="402"/>
      <c r="I321" s="402"/>
      <c r="J321" s="402"/>
      <c r="K321" s="402"/>
      <c r="L321" s="402"/>
      <c r="M321" s="402"/>
      <c r="N321" s="402"/>
      <c r="O321" s="402"/>
      <c r="P321" s="402"/>
      <c r="Q321" s="402"/>
      <c r="R321" s="402"/>
      <c r="S321" s="402"/>
      <c r="T321" s="402"/>
      <c r="U321" s="402"/>
      <c r="V321" s="402"/>
      <c r="W321" s="402"/>
      <c r="X321" s="402"/>
      <c r="Y321" s="402"/>
      <c r="Z321" s="402"/>
      <c r="AA321" s="402"/>
    </row>
    <row r="322">
      <c r="A322" s="455"/>
      <c r="B322" s="455"/>
      <c r="C322" s="455"/>
      <c r="D322" s="455"/>
      <c r="E322" s="402"/>
      <c r="F322" s="402"/>
      <c r="G322" s="402"/>
      <c r="H322" s="402"/>
      <c r="I322" s="402"/>
      <c r="J322" s="402"/>
      <c r="K322" s="402"/>
      <c r="L322" s="402"/>
      <c r="M322" s="402"/>
      <c r="N322" s="402"/>
      <c r="O322" s="402"/>
      <c r="P322" s="402"/>
      <c r="Q322" s="402"/>
      <c r="R322" s="402"/>
      <c r="S322" s="402"/>
      <c r="T322" s="402"/>
      <c r="U322" s="402"/>
      <c r="V322" s="402"/>
      <c r="W322" s="402"/>
      <c r="X322" s="402"/>
      <c r="Y322" s="402"/>
      <c r="Z322" s="402"/>
      <c r="AA322" s="402"/>
    </row>
    <row r="323">
      <c r="A323" s="455"/>
      <c r="B323" s="455"/>
      <c r="C323" s="455"/>
      <c r="D323" s="455"/>
      <c r="E323" s="402"/>
      <c r="F323" s="402"/>
      <c r="G323" s="402"/>
      <c r="H323" s="402"/>
      <c r="I323" s="402"/>
      <c r="J323" s="402"/>
      <c r="K323" s="402"/>
      <c r="L323" s="402"/>
      <c r="M323" s="402"/>
      <c r="N323" s="402"/>
      <c r="O323" s="402"/>
      <c r="P323" s="402"/>
      <c r="Q323" s="402"/>
      <c r="R323" s="402"/>
      <c r="S323" s="402"/>
      <c r="T323" s="402"/>
      <c r="U323" s="402"/>
      <c r="V323" s="402"/>
      <c r="W323" s="402"/>
      <c r="X323" s="402"/>
      <c r="Y323" s="402"/>
      <c r="Z323" s="402"/>
      <c r="AA323" s="402"/>
    </row>
    <row r="324">
      <c r="A324" s="455"/>
      <c r="B324" s="455"/>
      <c r="C324" s="455"/>
      <c r="D324" s="455"/>
      <c r="E324" s="402"/>
      <c r="F324" s="402"/>
      <c r="G324" s="402"/>
      <c r="H324" s="402"/>
      <c r="I324" s="402"/>
      <c r="J324" s="402"/>
      <c r="K324" s="402"/>
      <c r="L324" s="402"/>
      <c r="M324" s="402"/>
      <c r="N324" s="402"/>
      <c r="O324" s="402"/>
      <c r="P324" s="402"/>
      <c r="Q324" s="402"/>
      <c r="R324" s="402"/>
      <c r="S324" s="402"/>
      <c r="T324" s="402"/>
      <c r="U324" s="402"/>
      <c r="V324" s="402"/>
      <c r="W324" s="402"/>
      <c r="X324" s="402"/>
      <c r="Y324" s="402"/>
      <c r="Z324" s="402"/>
      <c r="AA324" s="402"/>
    </row>
    <row r="325">
      <c r="A325" s="455"/>
      <c r="B325" s="455"/>
      <c r="C325" s="455"/>
      <c r="D325" s="455"/>
      <c r="E325" s="402"/>
      <c r="F325" s="402"/>
      <c r="G325" s="402"/>
      <c r="H325" s="402"/>
      <c r="I325" s="402"/>
      <c r="J325" s="402"/>
      <c r="K325" s="402"/>
      <c r="L325" s="402"/>
      <c r="M325" s="402"/>
      <c r="N325" s="402"/>
      <c r="O325" s="402"/>
      <c r="P325" s="402"/>
      <c r="Q325" s="402"/>
      <c r="R325" s="402"/>
      <c r="S325" s="402"/>
      <c r="T325" s="402"/>
      <c r="U325" s="402"/>
      <c r="V325" s="402"/>
      <c r="W325" s="402"/>
      <c r="X325" s="402"/>
      <c r="Y325" s="402"/>
      <c r="Z325" s="402"/>
      <c r="AA325" s="402"/>
    </row>
    <row r="326">
      <c r="A326" s="455"/>
      <c r="B326" s="455"/>
      <c r="C326" s="455"/>
      <c r="D326" s="455"/>
      <c r="E326" s="402"/>
      <c r="F326" s="402"/>
      <c r="G326" s="402"/>
      <c r="H326" s="402"/>
      <c r="I326" s="402"/>
      <c r="J326" s="402"/>
      <c r="K326" s="402"/>
      <c r="L326" s="402"/>
      <c r="M326" s="402"/>
      <c r="N326" s="402"/>
      <c r="O326" s="402"/>
      <c r="P326" s="402"/>
      <c r="Q326" s="402"/>
      <c r="R326" s="402"/>
      <c r="S326" s="402"/>
      <c r="T326" s="402"/>
      <c r="U326" s="402"/>
      <c r="V326" s="402"/>
      <c r="W326" s="402"/>
      <c r="X326" s="402"/>
      <c r="Y326" s="402"/>
      <c r="Z326" s="402"/>
      <c r="AA326" s="402"/>
    </row>
    <row r="327">
      <c r="A327" s="455"/>
      <c r="B327" s="455"/>
      <c r="C327" s="455"/>
      <c r="D327" s="455"/>
      <c r="E327" s="402"/>
      <c r="F327" s="402"/>
      <c r="G327" s="402"/>
      <c r="H327" s="402"/>
      <c r="I327" s="402"/>
      <c r="J327" s="402"/>
      <c r="K327" s="402"/>
      <c r="L327" s="402"/>
      <c r="M327" s="402"/>
      <c r="N327" s="402"/>
      <c r="O327" s="402"/>
      <c r="P327" s="402"/>
      <c r="Q327" s="402"/>
      <c r="R327" s="402"/>
      <c r="S327" s="402"/>
      <c r="T327" s="402"/>
      <c r="U327" s="402"/>
      <c r="V327" s="402"/>
      <c r="W327" s="402"/>
      <c r="X327" s="402"/>
      <c r="Y327" s="402"/>
      <c r="Z327" s="402"/>
      <c r="AA327" s="402"/>
    </row>
    <row r="328">
      <c r="A328" s="455"/>
      <c r="B328" s="455"/>
      <c r="C328" s="455"/>
      <c r="D328" s="455"/>
      <c r="E328" s="402"/>
      <c r="F328" s="402"/>
      <c r="G328" s="402"/>
      <c r="H328" s="402"/>
      <c r="I328" s="402"/>
      <c r="J328" s="402"/>
      <c r="K328" s="402"/>
      <c r="L328" s="402"/>
      <c r="M328" s="402"/>
      <c r="N328" s="402"/>
      <c r="O328" s="402"/>
      <c r="P328" s="402"/>
      <c r="Q328" s="402"/>
      <c r="R328" s="402"/>
      <c r="S328" s="402"/>
      <c r="T328" s="402"/>
      <c r="U328" s="402"/>
      <c r="V328" s="402"/>
      <c r="W328" s="402"/>
      <c r="X328" s="402"/>
      <c r="Y328" s="402"/>
      <c r="Z328" s="402"/>
      <c r="AA328" s="402"/>
    </row>
    <row r="329">
      <c r="A329" s="455"/>
      <c r="B329" s="455"/>
      <c r="C329" s="455"/>
      <c r="D329" s="455"/>
      <c r="E329" s="402"/>
      <c r="F329" s="402"/>
      <c r="G329" s="402"/>
      <c r="H329" s="402"/>
      <c r="I329" s="402"/>
      <c r="J329" s="402"/>
      <c r="K329" s="402"/>
      <c r="L329" s="402"/>
      <c r="M329" s="402"/>
      <c r="N329" s="402"/>
      <c r="O329" s="402"/>
      <c r="P329" s="402"/>
      <c r="Q329" s="402"/>
      <c r="R329" s="402"/>
      <c r="S329" s="402"/>
      <c r="T329" s="402"/>
      <c r="U329" s="402"/>
      <c r="V329" s="402"/>
      <c r="W329" s="402"/>
      <c r="X329" s="402"/>
      <c r="Y329" s="402"/>
      <c r="Z329" s="402"/>
      <c r="AA329" s="402"/>
    </row>
    <row r="330">
      <c r="A330" s="455"/>
      <c r="B330" s="455"/>
      <c r="C330" s="455"/>
      <c r="D330" s="455"/>
      <c r="E330" s="402"/>
      <c r="F330" s="402"/>
      <c r="G330" s="402"/>
      <c r="H330" s="402"/>
      <c r="I330" s="402"/>
      <c r="J330" s="402"/>
      <c r="K330" s="402"/>
      <c r="L330" s="402"/>
      <c r="M330" s="402"/>
      <c r="N330" s="402"/>
      <c r="O330" s="402"/>
      <c r="P330" s="402"/>
      <c r="Q330" s="402"/>
      <c r="R330" s="402"/>
      <c r="S330" s="402"/>
      <c r="T330" s="402"/>
      <c r="U330" s="402"/>
      <c r="V330" s="402"/>
      <c r="W330" s="402"/>
      <c r="X330" s="402"/>
      <c r="Y330" s="402"/>
      <c r="Z330" s="402"/>
      <c r="AA330" s="402"/>
    </row>
    <row r="331">
      <c r="A331" s="455"/>
      <c r="B331" s="455"/>
      <c r="C331" s="455"/>
      <c r="D331" s="455"/>
      <c r="E331" s="402"/>
      <c r="F331" s="402"/>
      <c r="G331" s="402"/>
      <c r="H331" s="402"/>
      <c r="I331" s="402"/>
      <c r="J331" s="402"/>
      <c r="K331" s="402"/>
      <c r="L331" s="402"/>
      <c r="M331" s="402"/>
      <c r="N331" s="402"/>
      <c r="O331" s="402"/>
      <c r="P331" s="402"/>
      <c r="Q331" s="402"/>
      <c r="R331" s="402"/>
      <c r="S331" s="402"/>
      <c r="T331" s="402"/>
      <c r="U331" s="402"/>
      <c r="V331" s="402"/>
      <c r="W331" s="402"/>
      <c r="X331" s="402"/>
      <c r="Y331" s="402"/>
      <c r="Z331" s="402"/>
      <c r="AA331" s="402"/>
    </row>
    <row r="332">
      <c r="A332" s="455"/>
      <c r="B332" s="455"/>
      <c r="C332" s="455"/>
      <c r="D332" s="455"/>
      <c r="E332" s="402"/>
      <c r="F332" s="402"/>
      <c r="G332" s="402"/>
      <c r="H332" s="402"/>
      <c r="I332" s="402"/>
      <c r="J332" s="402"/>
      <c r="K332" s="402"/>
      <c r="L332" s="402"/>
      <c r="M332" s="402"/>
      <c r="N332" s="402"/>
      <c r="O332" s="402"/>
      <c r="P332" s="402"/>
      <c r="Q332" s="402"/>
      <c r="R332" s="402"/>
      <c r="S332" s="402"/>
      <c r="T332" s="402"/>
      <c r="U332" s="402"/>
      <c r="V332" s="402"/>
      <c r="W332" s="402"/>
      <c r="X332" s="402"/>
      <c r="Y332" s="402"/>
      <c r="Z332" s="402"/>
      <c r="AA332" s="402"/>
    </row>
    <row r="333">
      <c r="A333" s="455"/>
      <c r="B333" s="455"/>
      <c r="C333" s="455"/>
      <c r="D333" s="455"/>
      <c r="E333" s="402"/>
      <c r="F333" s="402"/>
      <c r="G333" s="402"/>
      <c r="H333" s="402"/>
      <c r="I333" s="402"/>
      <c r="J333" s="402"/>
      <c r="K333" s="402"/>
      <c r="L333" s="402"/>
      <c r="M333" s="402"/>
      <c r="N333" s="402"/>
      <c r="O333" s="402"/>
      <c r="P333" s="402"/>
      <c r="Q333" s="402"/>
      <c r="R333" s="402"/>
      <c r="S333" s="402"/>
      <c r="T333" s="402"/>
      <c r="U333" s="402"/>
      <c r="V333" s="402"/>
      <c r="W333" s="402"/>
      <c r="X333" s="402"/>
      <c r="Y333" s="402"/>
      <c r="Z333" s="402"/>
      <c r="AA333" s="402"/>
    </row>
    <row r="334">
      <c r="A334" s="455"/>
      <c r="B334" s="455"/>
      <c r="C334" s="455"/>
      <c r="D334" s="455"/>
      <c r="E334" s="402"/>
      <c r="F334" s="402"/>
      <c r="G334" s="402"/>
      <c r="H334" s="402"/>
      <c r="I334" s="402"/>
      <c r="J334" s="402"/>
      <c r="K334" s="402"/>
      <c r="L334" s="402"/>
      <c r="M334" s="402"/>
      <c r="N334" s="402"/>
      <c r="O334" s="402"/>
      <c r="P334" s="402"/>
      <c r="Q334" s="402"/>
      <c r="R334" s="402"/>
      <c r="S334" s="402"/>
      <c r="T334" s="402"/>
      <c r="U334" s="402"/>
      <c r="V334" s="402"/>
      <c r="W334" s="402"/>
      <c r="X334" s="402"/>
      <c r="Y334" s="402"/>
      <c r="Z334" s="402"/>
      <c r="AA334" s="402"/>
    </row>
    <row r="335">
      <c r="A335" s="455"/>
      <c r="B335" s="455"/>
      <c r="C335" s="455"/>
      <c r="D335" s="455"/>
      <c r="E335" s="402"/>
      <c r="F335" s="402"/>
      <c r="G335" s="402"/>
      <c r="H335" s="402"/>
      <c r="I335" s="402"/>
      <c r="J335" s="402"/>
      <c r="K335" s="402"/>
      <c r="L335" s="402"/>
      <c r="M335" s="402"/>
      <c r="N335" s="402"/>
      <c r="O335" s="402"/>
      <c r="P335" s="402"/>
      <c r="Q335" s="402"/>
      <c r="R335" s="402"/>
      <c r="S335" s="402"/>
      <c r="T335" s="402"/>
      <c r="U335" s="402"/>
      <c r="V335" s="402"/>
      <c r="W335" s="402"/>
      <c r="X335" s="402"/>
      <c r="Y335" s="402"/>
      <c r="Z335" s="402"/>
      <c r="AA335" s="402"/>
    </row>
    <row r="336">
      <c r="A336" s="455"/>
      <c r="B336" s="455"/>
      <c r="C336" s="455"/>
      <c r="D336" s="455"/>
      <c r="E336" s="402"/>
      <c r="F336" s="402"/>
      <c r="G336" s="402"/>
      <c r="H336" s="402"/>
      <c r="I336" s="402"/>
      <c r="J336" s="402"/>
      <c r="K336" s="402"/>
      <c r="L336" s="402"/>
      <c r="M336" s="402"/>
      <c r="N336" s="402"/>
      <c r="O336" s="402"/>
      <c r="P336" s="402"/>
      <c r="Q336" s="402"/>
      <c r="R336" s="402"/>
      <c r="S336" s="402"/>
      <c r="T336" s="402"/>
      <c r="U336" s="402"/>
      <c r="V336" s="402"/>
      <c r="W336" s="402"/>
      <c r="X336" s="402"/>
      <c r="Y336" s="402"/>
      <c r="Z336" s="402"/>
      <c r="AA336" s="402"/>
    </row>
    <row r="337">
      <c r="A337" s="455"/>
      <c r="B337" s="455"/>
      <c r="C337" s="455"/>
      <c r="D337" s="455"/>
      <c r="E337" s="402"/>
      <c r="F337" s="402"/>
      <c r="G337" s="402"/>
      <c r="H337" s="402"/>
      <c r="I337" s="402"/>
      <c r="J337" s="402"/>
      <c r="K337" s="402"/>
      <c r="L337" s="402"/>
      <c r="M337" s="402"/>
      <c r="N337" s="402"/>
      <c r="O337" s="402"/>
      <c r="P337" s="402"/>
      <c r="Q337" s="402"/>
      <c r="R337" s="402"/>
      <c r="S337" s="402"/>
      <c r="T337" s="402"/>
      <c r="U337" s="402"/>
      <c r="V337" s="402"/>
      <c r="W337" s="402"/>
      <c r="X337" s="402"/>
      <c r="Y337" s="402"/>
      <c r="Z337" s="402"/>
      <c r="AA337" s="402"/>
    </row>
    <row r="338">
      <c r="A338" s="455"/>
      <c r="B338" s="455"/>
      <c r="C338" s="455"/>
      <c r="D338" s="455"/>
      <c r="E338" s="402"/>
      <c r="F338" s="402"/>
      <c r="G338" s="402"/>
      <c r="H338" s="402"/>
      <c r="I338" s="402"/>
      <c r="J338" s="402"/>
      <c r="K338" s="402"/>
      <c r="L338" s="402"/>
      <c r="M338" s="402"/>
      <c r="N338" s="402"/>
      <c r="O338" s="402"/>
      <c r="P338" s="402"/>
      <c r="Q338" s="402"/>
      <c r="R338" s="402"/>
      <c r="S338" s="402"/>
      <c r="T338" s="402"/>
      <c r="U338" s="402"/>
      <c r="V338" s="402"/>
      <c r="W338" s="402"/>
      <c r="X338" s="402"/>
      <c r="Y338" s="402"/>
      <c r="Z338" s="402"/>
      <c r="AA338" s="402"/>
    </row>
    <row r="339">
      <c r="A339" s="455"/>
      <c r="B339" s="455"/>
      <c r="C339" s="455"/>
      <c r="D339" s="455"/>
      <c r="E339" s="402"/>
      <c r="F339" s="402"/>
      <c r="G339" s="402"/>
      <c r="H339" s="402"/>
      <c r="I339" s="402"/>
      <c r="J339" s="402"/>
      <c r="K339" s="402"/>
      <c r="L339" s="402"/>
      <c r="M339" s="402"/>
      <c r="N339" s="402"/>
      <c r="O339" s="402"/>
      <c r="P339" s="402"/>
      <c r="Q339" s="402"/>
      <c r="R339" s="402"/>
      <c r="S339" s="402"/>
      <c r="T339" s="402"/>
      <c r="U339" s="402"/>
      <c r="V339" s="402"/>
      <c r="W339" s="402"/>
      <c r="X339" s="402"/>
      <c r="Y339" s="402"/>
      <c r="Z339" s="402"/>
      <c r="AA339" s="402"/>
    </row>
    <row r="340">
      <c r="A340" s="455"/>
      <c r="B340" s="455"/>
      <c r="C340" s="455"/>
      <c r="D340" s="455"/>
      <c r="E340" s="402"/>
      <c r="F340" s="402"/>
      <c r="G340" s="402"/>
      <c r="H340" s="402"/>
      <c r="I340" s="402"/>
      <c r="J340" s="402"/>
      <c r="K340" s="402"/>
      <c r="L340" s="402"/>
      <c r="M340" s="402"/>
      <c r="N340" s="402"/>
      <c r="O340" s="402"/>
      <c r="P340" s="402"/>
      <c r="Q340" s="402"/>
      <c r="R340" s="402"/>
      <c r="S340" s="402"/>
      <c r="T340" s="402"/>
      <c r="U340" s="402"/>
      <c r="V340" s="402"/>
      <c r="W340" s="402"/>
      <c r="X340" s="402"/>
      <c r="Y340" s="402"/>
      <c r="Z340" s="402"/>
      <c r="AA340" s="402"/>
    </row>
    <row r="341">
      <c r="A341" s="455"/>
      <c r="B341" s="455"/>
      <c r="C341" s="455"/>
      <c r="D341" s="455"/>
      <c r="E341" s="402"/>
      <c r="F341" s="402"/>
      <c r="G341" s="402"/>
      <c r="H341" s="402"/>
      <c r="I341" s="402"/>
      <c r="J341" s="402"/>
      <c r="K341" s="402"/>
      <c r="L341" s="402"/>
      <c r="M341" s="402"/>
      <c r="N341" s="402"/>
      <c r="O341" s="402"/>
      <c r="P341" s="402"/>
      <c r="Q341" s="402"/>
      <c r="R341" s="402"/>
      <c r="S341" s="402"/>
      <c r="T341" s="402"/>
      <c r="U341" s="402"/>
      <c r="V341" s="402"/>
      <c r="W341" s="402"/>
      <c r="X341" s="402"/>
      <c r="Y341" s="402"/>
      <c r="Z341" s="402"/>
      <c r="AA341" s="402"/>
    </row>
    <row r="342">
      <c r="A342" s="455"/>
      <c r="B342" s="455"/>
      <c r="C342" s="455"/>
      <c r="D342" s="455"/>
      <c r="E342" s="402"/>
      <c r="F342" s="402"/>
      <c r="G342" s="402"/>
      <c r="H342" s="402"/>
      <c r="I342" s="402"/>
      <c r="J342" s="402"/>
      <c r="K342" s="402"/>
      <c r="L342" s="402"/>
      <c r="M342" s="402"/>
      <c r="N342" s="402"/>
      <c r="O342" s="402"/>
      <c r="P342" s="402"/>
      <c r="Q342" s="402"/>
      <c r="R342" s="402"/>
      <c r="S342" s="402"/>
      <c r="T342" s="402"/>
      <c r="U342" s="402"/>
      <c r="V342" s="402"/>
      <c r="W342" s="402"/>
      <c r="X342" s="402"/>
      <c r="Y342" s="402"/>
      <c r="Z342" s="402"/>
      <c r="AA342" s="402"/>
    </row>
    <row r="343">
      <c r="A343" s="455"/>
      <c r="B343" s="455"/>
      <c r="C343" s="455"/>
      <c r="D343" s="455"/>
      <c r="E343" s="402"/>
      <c r="F343" s="402"/>
      <c r="G343" s="402"/>
      <c r="H343" s="402"/>
      <c r="I343" s="402"/>
      <c r="J343" s="402"/>
      <c r="K343" s="402"/>
      <c r="L343" s="402"/>
      <c r="M343" s="402"/>
      <c r="N343" s="402"/>
      <c r="O343" s="402"/>
      <c r="P343" s="402"/>
      <c r="Q343" s="402"/>
      <c r="R343" s="402"/>
      <c r="S343" s="402"/>
      <c r="T343" s="402"/>
      <c r="U343" s="402"/>
      <c r="V343" s="402"/>
      <c r="W343" s="402"/>
      <c r="X343" s="402"/>
      <c r="Y343" s="402"/>
      <c r="Z343" s="402"/>
      <c r="AA343" s="402"/>
    </row>
    <row r="344">
      <c r="A344" s="455"/>
      <c r="B344" s="455"/>
      <c r="C344" s="455"/>
      <c r="D344" s="455"/>
      <c r="E344" s="402"/>
      <c r="F344" s="402"/>
      <c r="G344" s="402"/>
      <c r="H344" s="402"/>
      <c r="I344" s="402"/>
      <c r="J344" s="402"/>
      <c r="K344" s="402"/>
      <c r="L344" s="402"/>
      <c r="M344" s="402"/>
      <c r="N344" s="402"/>
      <c r="O344" s="402"/>
      <c r="P344" s="402"/>
      <c r="Q344" s="402"/>
      <c r="R344" s="402"/>
      <c r="S344" s="402"/>
      <c r="T344" s="402"/>
      <c r="U344" s="402"/>
      <c r="V344" s="402"/>
      <c r="W344" s="402"/>
      <c r="X344" s="402"/>
      <c r="Y344" s="402"/>
      <c r="Z344" s="402"/>
      <c r="AA344" s="402"/>
    </row>
    <row r="345">
      <c r="A345" s="455"/>
      <c r="B345" s="455"/>
      <c r="C345" s="455"/>
      <c r="D345" s="455"/>
      <c r="E345" s="402"/>
      <c r="F345" s="402"/>
      <c r="G345" s="402"/>
      <c r="H345" s="402"/>
      <c r="I345" s="402"/>
      <c r="J345" s="402"/>
      <c r="K345" s="402"/>
      <c r="L345" s="402"/>
      <c r="M345" s="402"/>
      <c r="N345" s="402"/>
      <c r="O345" s="402"/>
      <c r="P345" s="402"/>
      <c r="Q345" s="402"/>
      <c r="R345" s="402"/>
      <c r="S345" s="402"/>
      <c r="T345" s="402"/>
      <c r="U345" s="402"/>
      <c r="V345" s="402"/>
      <c r="W345" s="402"/>
      <c r="X345" s="402"/>
      <c r="Y345" s="402"/>
      <c r="Z345" s="402"/>
      <c r="AA345" s="402"/>
    </row>
    <row r="346">
      <c r="A346" s="455"/>
      <c r="B346" s="455"/>
      <c r="C346" s="455"/>
      <c r="D346" s="455"/>
      <c r="E346" s="402"/>
      <c r="F346" s="402"/>
      <c r="G346" s="402"/>
      <c r="H346" s="402"/>
      <c r="I346" s="402"/>
      <c r="J346" s="402"/>
      <c r="K346" s="402"/>
      <c r="L346" s="402"/>
      <c r="M346" s="402"/>
      <c r="N346" s="402"/>
      <c r="O346" s="402"/>
      <c r="P346" s="402"/>
      <c r="Q346" s="402"/>
      <c r="R346" s="402"/>
      <c r="S346" s="402"/>
      <c r="T346" s="402"/>
      <c r="U346" s="402"/>
      <c r="V346" s="402"/>
      <c r="W346" s="402"/>
      <c r="X346" s="402"/>
      <c r="Y346" s="402"/>
      <c r="Z346" s="402"/>
      <c r="AA346" s="402"/>
    </row>
    <row r="347">
      <c r="A347" s="455"/>
      <c r="B347" s="455"/>
      <c r="C347" s="455"/>
      <c r="D347" s="455"/>
      <c r="E347" s="402"/>
      <c r="F347" s="402"/>
      <c r="G347" s="402"/>
      <c r="H347" s="402"/>
      <c r="I347" s="402"/>
      <c r="J347" s="402"/>
      <c r="K347" s="402"/>
      <c r="L347" s="402"/>
      <c r="M347" s="402"/>
      <c r="N347" s="402"/>
      <c r="O347" s="402"/>
      <c r="P347" s="402"/>
      <c r="Q347" s="402"/>
      <c r="R347" s="402"/>
      <c r="S347" s="402"/>
      <c r="T347" s="402"/>
      <c r="U347" s="402"/>
      <c r="V347" s="402"/>
      <c r="W347" s="402"/>
      <c r="X347" s="402"/>
      <c r="Y347" s="402"/>
      <c r="Z347" s="402"/>
      <c r="AA347" s="402"/>
    </row>
    <row r="348">
      <c r="A348" s="455"/>
      <c r="B348" s="455"/>
      <c r="C348" s="455"/>
      <c r="D348" s="455"/>
      <c r="E348" s="402"/>
      <c r="F348" s="402"/>
      <c r="G348" s="402"/>
      <c r="H348" s="402"/>
      <c r="I348" s="402"/>
      <c r="J348" s="402"/>
      <c r="K348" s="402"/>
      <c r="L348" s="402"/>
      <c r="M348" s="402"/>
      <c r="N348" s="402"/>
      <c r="O348" s="402"/>
      <c r="P348" s="402"/>
      <c r="Q348" s="402"/>
      <c r="R348" s="402"/>
      <c r="S348" s="402"/>
      <c r="T348" s="402"/>
      <c r="U348" s="402"/>
      <c r="V348" s="402"/>
      <c r="W348" s="402"/>
      <c r="X348" s="402"/>
      <c r="Y348" s="402"/>
      <c r="Z348" s="402"/>
      <c r="AA348" s="402"/>
    </row>
    <row r="349">
      <c r="A349" s="455"/>
      <c r="B349" s="455"/>
      <c r="C349" s="455"/>
      <c r="D349" s="455"/>
      <c r="E349" s="402"/>
      <c r="F349" s="402"/>
      <c r="G349" s="402"/>
      <c r="H349" s="402"/>
      <c r="I349" s="402"/>
      <c r="J349" s="402"/>
      <c r="K349" s="402"/>
      <c r="L349" s="402"/>
      <c r="M349" s="402"/>
      <c r="N349" s="402"/>
      <c r="O349" s="402"/>
      <c r="P349" s="402"/>
      <c r="Q349" s="402"/>
      <c r="R349" s="402"/>
      <c r="S349" s="402"/>
      <c r="T349" s="402"/>
      <c r="U349" s="402"/>
      <c r="V349" s="402"/>
      <c r="W349" s="402"/>
      <c r="X349" s="402"/>
      <c r="Y349" s="402"/>
      <c r="Z349" s="402"/>
      <c r="AA349" s="402"/>
    </row>
    <row r="350">
      <c r="A350" s="455"/>
      <c r="B350" s="455"/>
      <c r="C350" s="455"/>
      <c r="D350" s="455"/>
      <c r="E350" s="402"/>
      <c r="F350" s="402"/>
      <c r="G350" s="402"/>
      <c r="H350" s="402"/>
      <c r="I350" s="402"/>
      <c r="J350" s="402"/>
      <c r="K350" s="402"/>
      <c r="L350" s="402"/>
      <c r="M350" s="402"/>
      <c r="N350" s="402"/>
      <c r="O350" s="402"/>
      <c r="P350" s="402"/>
      <c r="Q350" s="402"/>
      <c r="R350" s="402"/>
      <c r="S350" s="402"/>
      <c r="T350" s="402"/>
      <c r="U350" s="402"/>
      <c r="V350" s="402"/>
      <c r="W350" s="402"/>
      <c r="X350" s="402"/>
      <c r="Y350" s="402"/>
      <c r="Z350" s="402"/>
      <c r="AA350" s="402"/>
    </row>
    <row r="351">
      <c r="A351" s="455"/>
      <c r="B351" s="455"/>
      <c r="C351" s="455"/>
      <c r="D351" s="455"/>
      <c r="E351" s="402"/>
      <c r="F351" s="402"/>
      <c r="G351" s="402"/>
      <c r="H351" s="402"/>
      <c r="I351" s="402"/>
      <c r="J351" s="402"/>
      <c r="K351" s="402"/>
      <c r="L351" s="402"/>
      <c r="M351" s="402"/>
      <c r="N351" s="402"/>
      <c r="O351" s="402"/>
      <c r="P351" s="402"/>
      <c r="Q351" s="402"/>
      <c r="R351" s="402"/>
      <c r="S351" s="402"/>
      <c r="T351" s="402"/>
      <c r="U351" s="402"/>
      <c r="V351" s="402"/>
      <c r="W351" s="402"/>
      <c r="X351" s="402"/>
      <c r="Y351" s="402"/>
      <c r="Z351" s="402"/>
      <c r="AA351" s="402"/>
    </row>
    <row r="352">
      <c r="A352" s="455"/>
      <c r="B352" s="455"/>
      <c r="C352" s="455"/>
      <c r="D352" s="455"/>
      <c r="E352" s="402"/>
      <c r="F352" s="402"/>
      <c r="G352" s="402"/>
      <c r="H352" s="402"/>
      <c r="I352" s="402"/>
      <c r="J352" s="402"/>
      <c r="K352" s="402"/>
      <c r="L352" s="402"/>
      <c r="M352" s="402"/>
      <c r="N352" s="402"/>
      <c r="O352" s="402"/>
      <c r="P352" s="402"/>
      <c r="Q352" s="402"/>
      <c r="R352" s="402"/>
      <c r="S352" s="402"/>
      <c r="T352" s="402"/>
      <c r="U352" s="402"/>
      <c r="V352" s="402"/>
      <c r="W352" s="402"/>
      <c r="X352" s="402"/>
      <c r="Y352" s="402"/>
      <c r="Z352" s="402"/>
      <c r="AA352" s="402"/>
    </row>
    <row r="353">
      <c r="A353" s="455"/>
      <c r="B353" s="455"/>
      <c r="C353" s="455"/>
      <c r="D353" s="455"/>
      <c r="E353" s="402"/>
      <c r="F353" s="402"/>
      <c r="G353" s="402"/>
      <c r="H353" s="402"/>
      <c r="I353" s="402"/>
      <c r="J353" s="402"/>
      <c r="K353" s="402"/>
      <c r="L353" s="402"/>
      <c r="M353" s="402"/>
      <c r="N353" s="402"/>
      <c r="O353" s="402"/>
      <c r="P353" s="402"/>
      <c r="Q353" s="402"/>
      <c r="R353" s="402"/>
      <c r="S353" s="402"/>
      <c r="T353" s="402"/>
      <c r="U353" s="402"/>
      <c r="V353" s="402"/>
      <c r="W353" s="402"/>
      <c r="X353" s="402"/>
      <c r="Y353" s="402"/>
      <c r="Z353" s="402"/>
      <c r="AA353" s="402"/>
    </row>
    <row r="354">
      <c r="A354" s="455"/>
      <c r="B354" s="455"/>
      <c r="C354" s="455"/>
      <c r="D354" s="455"/>
      <c r="E354" s="402"/>
      <c r="F354" s="402"/>
      <c r="G354" s="402"/>
      <c r="H354" s="402"/>
      <c r="I354" s="402"/>
      <c r="J354" s="402"/>
      <c r="K354" s="402"/>
      <c r="L354" s="402"/>
      <c r="M354" s="402"/>
      <c r="N354" s="402"/>
      <c r="O354" s="402"/>
      <c r="P354" s="402"/>
      <c r="Q354" s="402"/>
      <c r="R354" s="402"/>
      <c r="S354" s="402"/>
      <c r="T354" s="402"/>
      <c r="U354" s="402"/>
      <c r="V354" s="402"/>
      <c r="W354" s="402"/>
      <c r="X354" s="402"/>
      <c r="Y354" s="402"/>
      <c r="Z354" s="402"/>
      <c r="AA354" s="402"/>
    </row>
    <row r="355">
      <c r="A355" s="455"/>
      <c r="B355" s="455"/>
      <c r="C355" s="455"/>
      <c r="D355" s="455"/>
      <c r="E355" s="402"/>
      <c r="F355" s="402"/>
      <c r="G355" s="402"/>
      <c r="H355" s="402"/>
      <c r="I355" s="402"/>
      <c r="J355" s="402"/>
      <c r="K355" s="402"/>
      <c r="L355" s="402"/>
      <c r="M355" s="402"/>
      <c r="N355" s="402"/>
      <c r="O355" s="402"/>
      <c r="P355" s="402"/>
      <c r="Q355" s="402"/>
      <c r="R355" s="402"/>
      <c r="S355" s="402"/>
      <c r="T355" s="402"/>
      <c r="U355" s="402"/>
      <c r="V355" s="402"/>
      <c r="W355" s="402"/>
      <c r="X355" s="402"/>
      <c r="Y355" s="402"/>
      <c r="Z355" s="402"/>
      <c r="AA355" s="402"/>
    </row>
    <row r="356">
      <c r="A356" s="455"/>
      <c r="B356" s="455"/>
      <c r="C356" s="455"/>
      <c r="D356" s="455"/>
      <c r="E356" s="402"/>
      <c r="F356" s="402"/>
      <c r="G356" s="402"/>
      <c r="H356" s="402"/>
      <c r="I356" s="402"/>
      <c r="J356" s="402"/>
      <c r="K356" s="402"/>
      <c r="L356" s="402"/>
      <c r="M356" s="402"/>
      <c r="N356" s="402"/>
      <c r="O356" s="402"/>
      <c r="P356" s="402"/>
      <c r="Q356" s="402"/>
      <c r="R356" s="402"/>
      <c r="S356" s="402"/>
      <c r="T356" s="402"/>
      <c r="U356" s="402"/>
      <c r="V356" s="402"/>
      <c r="W356" s="402"/>
      <c r="X356" s="402"/>
      <c r="Y356" s="402"/>
      <c r="Z356" s="402"/>
      <c r="AA356" s="402"/>
    </row>
    <row r="357">
      <c r="A357" s="455"/>
      <c r="B357" s="455"/>
      <c r="C357" s="455"/>
      <c r="D357" s="455"/>
      <c r="E357" s="402"/>
      <c r="F357" s="402"/>
      <c r="G357" s="402"/>
      <c r="H357" s="402"/>
      <c r="I357" s="402"/>
      <c r="J357" s="402"/>
      <c r="K357" s="402"/>
      <c r="L357" s="402"/>
      <c r="M357" s="402"/>
      <c r="N357" s="402"/>
      <c r="O357" s="402"/>
      <c r="P357" s="402"/>
      <c r="Q357" s="402"/>
      <c r="R357" s="402"/>
      <c r="S357" s="402"/>
      <c r="T357" s="402"/>
      <c r="U357" s="402"/>
      <c r="V357" s="402"/>
      <c r="W357" s="402"/>
      <c r="X357" s="402"/>
      <c r="Y357" s="402"/>
      <c r="Z357" s="402"/>
      <c r="AA357" s="402"/>
    </row>
    <row r="358">
      <c r="A358" s="455"/>
      <c r="B358" s="455"/>
      <c r="C358" s="455"/>
      <c r="D358" s="455"/>
      <c r="E358" s="402"/>
      <c r="F358" s="402"/>
      <c r="G358" s="402"/>
      <c r="H358" s="402"/>
      <c r="I358" s="402"/>
      <c r="J358" s="402"/>
      <c r="K358" s="402"/>
      <c r="L358" s="402"/>
      <c r="M358" s="402"/>
      <c r="N358" s="402"/>
      <c r="O358" s="402"/>
      <c r="P358" s="402"/>
      <c r="Q358" s="402"/>
      <c r="R358" s="402"/>
      <c r="S358" s="402"/>
      <c r="T358" s="402"/>
      <c r="U358" s="402"/>
      <c r="V358" s="402"/>
      <c r="W358" s="402"/>
      <c r="X358" s="402"/>
      <c r="Y358" s="402"/>
      <c r="Z358" s="402"/>
      <c r="AA358" s="402"/>
    </row>
    <row r="359">
      <c r="A359" s="455"/>
      <c r="B359" s="455"/>
      <c r="C359" s="455"/>
      <c r="D359" s="455"/>
      <c r="E359" s="402"/>
      <c r="F359" s="402"/>
      <c r="G359" s="402"/>
      <c r="H359" s="402"/>
      <c r="I359" s="402"/>
      <c r="J359" s="402"/>
      <c r="K359" s="402"/>
      <c r="L359" s="402"/>
      <c r="M359" s="402"/>
      <c r="N359" s="402"/>
      <c r="O359" s="402"/>
      <c r="P359" s="402"/>
      <c r="Q359" s="402"/>
      <c r="R359" s="402"/>
      <c r="S359" s="402"/>
      <c r="T359" s="402"/>
      <c r="U359" s="402"/>
      <c r="V359" s="402"/>
      <c r="W359" s="402"/>
      <c r="X359" s="402"/>
      <c r="Y359" s="402"/>
      <c r="Z359" s="402"/>
      <c r="AA359" s="402"/>
    </row>
    <row r="360">
      <c r="A360" s="455"/>
      <c r="B360" s="455"/>
      <c r="C360" s="455"/>
      <c r="D360" s="455"/>
      <c r="E360" s="402"/>
      <c r="F360" s="402"/>
      <c r="G360" s="402"/>
      <c r="H360" s="402"/>
      <c r="I360" s="402"/>
      <c r="J360" s="402"/>
      <c r="K360" s="402"/>
      <c r="L360" s="402"/>
      <c r="M360" s="402"/>
      <c r="N360" s="402"/>
      <c r="O360" s="402"/>
      <c r="P360" s="402"/>
      <c r="Q360" s="402"/>
      <c r="R360" s="402"/>
      <c r="S360" s="402"/>
      <c r="T360" s="402"/>
      <c r="U360" s="402"/>
      <c r="V360" s="402"/>
      <c r="W360" s="402"/>
      <c r="X360" s="402"/>
      <c r="Y360" s="402"/>
      <c r="Z360" s="402"/>
      <c r="AA360" s="402"/>
    </row>
    <row r="361">
      <c r="A361" s="455"/>
      <c r="B361" s="455"/>
      <c r="C361" s="455"/>
      <c r="D361" s="455"/>
      <c r="E361" s="402"/>
      <c r="F361" s="402"/>
      <c r="G361" s="402"/>
      <c r="H361" s="402"/>
      <c r="I361" s="402"/>
      <c r="J361" s="402"/>
      <c r="K361" s="402"/>
      <c r="L361" s="402"/>
      <c r="M361" s="402"/>
      <c r="N361" s="402"/>
      <c r="O361" s="402"/>
      <c r="P361" s="402"/>
      <c r="Q361" s="402"/>
      <c r="R361" s="402"/>
      <c r="S361" s="402"/>
      <c r="T361" s="402"/>
      <c r="U361" s="402"/>
      <c r="V361" s="402"/>
      <c r="W361" s="402"/>
      <c r="X361" s="402"/>
      <c r="Y361" s="402"/>
      <c r="Z361" s="402"/>
      <c r="AA361" s="402"/>
    </row>
    <row r="362">
      <c r="A362" s="455"/>
      <c r="B362" s="455"/>
      <c r="C362" s="455"/>
      <c r="D362" s="455"/>
      <c r="E362" s="402"/>
      <c r="F362" s="402"/>
      <c r="G362" s="402"/>
      <c r="H362" s="402"/>
      <c r="I362" s="402"/>
      <c r="J362" s="402"/>
      <c r="K362" s="402"/>
      <c r="L362" s="402"/>
      <c r="M362" s="402"/>
      <c r="N362" s="402"/>
      <c r="O362" s="402"/>
      <c r="P362" s="402"/>
      <c r="Q362" s="402"/>
      <c r="R362" s="402"/>
      <c r="S362" s="402"/>
      <c r="T362" s="402"/>
      <c r="U362" s="402"/>
      <c r="V362" s="402"/>
      <c r="W362" s="402"/>
      <c r="X362" s="402"/>
      <c r="Y362" s="402"/>
      <c r="Z362" s="402"/>
      <c r="AA362" s="402"/>
    </row>
    <row r="363">
      <c r="A363" s="455"/>
      <c r="B363" s="455"/>
      <c r="C363" s="455"/>
      <c r="D363" s="455"/>
      <c r="E363" s="402"/>
      <c r="F363" s="402"/>
      <c r="G363" s="402"/>
      <c r="H363" s="402"/>
      <c r="I363" s="402"/>
      <c r="J363" s="402"/>
      <c r="K363" s="402"/>
      <c r="L363" s="402"/>
      <c r="M363" s="402"/>
      <c r="N363" s="402"/>
      <c r="O363" s="402"/>
      <c r="P363" s="402"/>
      <c r="Q363" s="402"/>
      <c r="R363" s="402"/>
      <c r="S363" s="402"/>
      <c r="T363" s="402"/>
      <c r="U363" s="402"/>
      <c r="V363" s="402"/>
      <c r="W363" s="402"/>
      <c r="X363" s="402"/>
      <c r="Y363" s="402"/>
      <c r="Z363" s="402"/>
      <c r="AA363" s="402"/>
    </row>
    <row r="364">
      <c r="A364" s="455"/>
      <c r="B364" s="455"/>
      <c r="C364" s="455"/>
      <c r="D364" s="455"/>
      <c r="E364" s="402"/>
      <c r="F364" s="402"/>
      <c r="G364" s="402"/>
      <c r="H364" s="402"/>
      <c r="I364" s="402"/>
      <c r="J364" s="402"/>
      <c r="K364" s="402"/>
      <c r="L364" s="402"/>
      <c r="M364" s="402"/>
      <c r="N364" s="402"/>
      <c r="O364" s="402"/>
      <c r="P364" s="402"/>
      <c r="Q364" s="402"/>
      <c r="R364" s="402"/>
      <c r="S364" s="402"/>
      <c r="T364" s="402"/>
      <c r="U364" s="402"/>
      <c r="V364" s="402"/>
      <c r="W364" s="402"/>
      <c r="X364" s="402"/>
      <c r="Y364" s="402"/>
      <c r="Z364" s="402"/>
      <c r="AA364" s="402"/>
    </row>
    <row r="365">
      <c r="A365" s="455"/>
      <c r="B365" s="455"/>
      <c r="C365" s="455"/>
      <c r="D365" s="455"/>
      <c r="E365" s="402"/>
      <c r="F365" s="402"/>
      <c r="G365" s="402"/>
      <c r="H365" s="402"/>
      <c r="I365" s="402"/>
      <c r="J365" s="402"/>
      <c r="K365" s="402"/>
      <c r="L365" s="402"/>
      <c r="M365" s="402"/>
      <c r="N365" s="402"/>
      <c r="O365" s="402"/>
      <c r="P365" s="402"/>
      <c r="Q365" s="402"/>
      <c r="R365" s="402"/>
      <c r="S365" s="402"/>
      <c r="T365" s="402"/>
      <c r="U365" s="402"/>
      <c r="V365" s="402"/>
      <c r="W365" s="402"/>
      <c r="X365" s="402"/>
      <c r="Y365" s="402"/>
      <c r="Z365" s="402"/>
      <c r="AA365" s="402"/>
    </row>
    <row r="366">
      <c r="A366" s="455"/>
      <c r="B366" s="455"/>
      <c r="C366" s="455"/>
      <c r="D366" s="455"/>
      <c r="E366" s="402"/>
      <c r="F366" s="402"/>
      <c r="G366" s="402"/>
      <c r="H366" s="402"/>
      <c r="I366" s="402"/>
      <c r="J366" s="402"/>
      <c r="K366" s="402"/>
      <c r="L366" s="402"/>
      <c r="M366" s="402"/>
      <c r="N366" s="402"/>
      <c r="O366" s="402"/>
      <c r="P366" s="402"/>
      <c r="Q366" s="402"/>
      <c r="R366" s="402"/>
      <c r="S366" s="402"/>
      <c r="T366" s="402"/>
      <c r="U366" s="402"/>
      <c r="V366" s="402"/>
      <c r="W366" s="402"/>
      <c r="X366" s="402"/>
      <c r="Y366" s="402"/>
      <c r="Z366" s="402"/>
      <c r="AA366" s="402"/>
    </row>
    <row r="367">
      <c r="A367" s="455"/>
      <c r="B367" s="455"/>
      <c r="C367" s="455"/>
      <c r="D367" s="455"/>
      <c r="E367" s="402"/>
      <c r="F367" s="402"/>
      <c r="G367" s="402"/>
      <c r="H367" s="402"/>
      <c r="I367" s="402"/>
      <c r="J367" s="402"/>
      <c r="K367" s="402"/>
      <c r="L367" s="402"/>
      <c r="M367" s="402"/>
      <c r="N367" s="402"/>
      <c r="O367" s="402"/>
      <c r="P367" s="402"/>
      <c r="Q367" s="402"/>
      <c r="R367" s="402"/>
      <c r="S367" s="402"/>
      <c r="T367" s="402"/>
      <c r="U367" s="402"/>
      <c r="V367" s="402"/>
      <c r="W367" s="402"/>
      <c r="X367" s="402"/>
      <c r="Y367" s="402"/>
      <c r="Z367" s="402"/>
      <c r="AA367" s="402"/>
    </row>
    <row r="368">
      <c r="A368" s="455"/>
      <c r="B368" s="455"/>
      <c r="C368" s="455"/>
      <c r="D368" s="455"/>
      <c r="E368" s="402"/>
      <c r="F368" s="402"/>
      <c r="G368" s="402"/>
      <c r="H368" s="402"/>
      <c r="I368" s="402"/>
      <c r="J368" s="402"/>
      <c r="K368" s="402"/>
      <c r="L368" s="402"/>
      <c r="M368" s="402"/>
      <c r="N368" s="402"/>
      <c r="O368" s="402"/>
      <c r="P368" s="402"/>
      <c r="Q368" s="402"/>
      <c r="R368" s="402"/>
      <c r="S368" s="402"/>
      <c r="T368" s="402"/>
      <c r="U368" s="402"/>
      <c r="V368" s="402"/>
      <c r="W368" s="402"/>
      <c r="X368" s="402"/>
      <c r="Y368" s="402"/>
      <c r="Z368" s="402"/>
      <c r="AA368" s="402"/>
    </row>
    <row r="369">
      <c r="A369" s="455"/>
      <c r="B369" s="455"/>
      <c r="C369" s="455"/>
      <c r="D369" s="455"/>
      <c r="E369" s="402"/>
      <c r="F369" s="402"/>
      <c r="G369" s="402"/>
      <c r="H369" s="402"/>
      <c r="I369" s="402"/>
      <c r="J369" s="402"/>
      <c r="K369" s="402"/>
      <c r="L369" s="402"/>
      <c r="M369" s="402"/>
      <c r="N369" s="402"/>
      <c r="O369" s="402"/>
      <c r="P369" s="402"/>
      <c r="Q369" s="402"/>
      <c r="R369" s="402"/>
      <c r="S369" s="402"/>
      <c r="T369" s="402"/>
      <c r="U369" s="402"/>
      <c r="V369" s="402"/>
      <c r="W369" s="402"/>
      <c r="X369" s="402"/>
      <c r="Y369" s="402"/>
      <c r="Z369" s="402"/>
      <c r="AA369" s="402"/>
    </row>
    <row r="370">
      <c r="A370" s="455"/>
      <c r="B370" s="455"/>
      <c r="C370" s="455"/>
      <c r="D370" s="455"/>
      <c r="E370" s="402"/>
      <c r="F370" s="402"/>
      <c r="G370" s="402"/>
      <c r="H370" s="402"/>
      <c r="I370" s="402"/>
      <c r="J370" s="402"/>
      <c r="K370" s="402"/>
      <c r="L370" s="402"/>
      <c r="M370" s="402"/>
      <c r="N370" s="402"/>
      <c r="O370" s="402"/>
      <c r="P370" s="402"/>
      <c r="Q370" s="402"/>
      <c r="R370" s="402"/>
      <c r="S370" s="402"/>
      <c r="T370" s="402"/>
      <c r="U370" s="402"/>
      <c r="V370" s="402"/>
      <c r="W370" s="402"/>
      <c r="X370" s="402"/>
      <c r="Y370" s="402"/>
      <c r="Z370" s="402"/>
      <c r="AA370" s="402"/>
    </row>
    <row r="371">
      <c r="A371" s="455"/>
      <c r="B371" s="455"/>
      <c r="C371" s="455"/>
      <c r="D371" s="455"/>
      <c r="E371" s="402"/>
      <c r="F371" s="402"/>
      <c r="G371" s="402"/>
      <c r="H371" s="402"/>
      <c r="I371" s="402"/>
      <c r="J371" s="402"/>
      <c r="K371" s="402"/>
      <c r="L371" s="402"/>
      <c r="M371" s="402"/>
      <c r="N371" s="402"/>
      <c r="O371" s="402"/>
      <c r="P371" s="402"/>
      <c r="Q371" s="402"/>
      <c r="R371" s="402"/>
      <c r="S371" s="402"/>
      <c r="T371" s="402"/>
      <c r="U371" s="402"/>
      <c r="V371" s="402"/>
      <c r="W371" s="402"/>
      <c r="X371" s="402"/>
      <c r="Y371" s="402"/>
      <c r="Z371" s="402"/>
      <c r="AA371" s="402"/>
    </row>
    <row r="372">
      <c r="A372" s="455"/>
      <c r="B372" s="455"/>
      <c r="C372" s="455"/>
      <c r="D372" s="455"/>
      <c r="E372" s="402"/>
      <c r="F372" s="402"/>
      <c r="G372" s="402"/>
      <c r="H372" s="402"/>
      <c r="I372" s="402"/>
      <c r="J372" s="402"/>
      <c r="K372" s="402"/>
      <c r="L372" s="402"/>
      <c r="M372" s="402"/>
      <c r="N372" s="402"/>
      <c r="O372" s="402"/>
      <c r="P372" s="402"/>
      <c r="Q372" s="402"/>
      <c r="R372" s="402"/>
      <c r="S372" s="402"/>
      <c r="T372" s="402"/>
      <c r="U372" s="402"/>
      <c r="V372" s="402"/>
      <c r="W372" s="402"/>
      <c r="X372" s="402"/>
      <c r="Y372" s="402"/>
      <c r="Z372" s="402"/>
      <c r="AA372" s="402"/>
    </row>
    <row r="373">
      <c r="A373" s="455"/>
      <c r="B373" s="455"/>
      <c r="C373" s="455"/>
      <c r="D373" s="455"/>
      <c r="E373" s="402"/>
      <c r="F373" s="402"/>
      <c r="G373" s="402"/>
      <c r="H373" s="402"/>
      <c r="I373" s="402"/>
      <c r="J373" s="402"/>
      <c r="K373" s="402"/>
      <c r="L373" s="402"/>
      <c r="M373" s="402"/>
      <c r="N373" s="402"/>
      <c r="O373" s="402"/>
      <c r="P373" s="402"/>
      <c r="Q373" s="402"/>
      <c r="R373" s="402"/>
      <c r="S373" s="402"/>
      <c r="T373" s="402"/>
      <c r="U373" s="402"/>
      <c r="V373" s="402"/>
      <c r="W373" s="402"/>
      <c r="X373" s="402"/>
      <c r="Y373" s="402"/>
      <c r="Z373" s="402"/>
      <c r="AA373" s="402"/>
    </row>
    <row r="374">
      <c r="A374" s="455"/>
      <c r="B374" s="455"/>
      <c r="C374" s="455"/>
      <c r="D374" s="455"/>
      <c r="E374" s="402"/>
      <c r="F374" s="402"/>
      <c r="G374" s="402"/>
      <c r="H374" s="402"/>
      <c r="I374" s="402"/>
      <c r="J374" s="402"/>
      <c r="K374" s="402"/>
      <c r="L374" s="402"/>
      <c r="M374" s="402"/>
      <c r="N374" s="402"/>
      <c r="O374" s="402"/>
      <c r="P374" s="402"/>
      <c r="Q374" s="402"/>
      <c r="R374" s="402"/>
      <c r="S374" s="402"/>
      <c r="T374" s="402"/>
      <c r="U374" s="402"/>
      <c r="V374" s="402"/>
      <c r="W374" s="402"/>
      <c r="X374" s="402"/>
      <c r="Y374" s="402"/>
      <c r="Z374" s="402"/>
      <c r="AA374" s="402"/>
    </row>
    <row r="375">
      <c r="A375" s="455"/>
      <c r="B375" s="455"/>
      <c r="C375" s="455"/>
      <c r="D375" s="455"/>
      <c r="E375" s="402"/>
      <c r="F375" s="402"/>
      <c r="G375" s="402"/>
      <c r="H375" s="402"/>
      <c r="I375" s="402"/>
      <c r="J375" s="402"/>
      <c r="K375" s="402"/>
      <c r="L375" s="402"/>
      <c r="M375" s="402"/>
      <c r="N375" s="402"/>
      <c r="O375" s="402"/>
      <c r="P375" s="402"/>
      <c r="Q375" s="402"/>
      <c r="R375" s="402"/>
      <c r="S375" s="402"/>
      <c r="T375" s="402"/>
      <c r="U375" s="402"/>
      <c r="V375" s="402"/>
      <c r="W375" s="402"/>
      <c r="X375" s="402"/>
      <c r="Y375" s="402"/>
      <c r="Z375" s="402"/>
      <c r="AA375" s="402"/>
    </row>
    <row r="376">
      <c r="A376" s="455"/>
      <c r="B376" s="455"/>
      <c r="C376" s="455"/>
      <c r="D376" s="455"/>
      <c r="E376" s="402"/>
      <c r="F376" s="402"/>
      <c r="G376" s="402"/>
      <c r="H376" s="402"/>
      <c r="I376" s="402"/>
      <c r="J376" s="402"/>
      <c r="K376" s="402"/>
      <c r="L376" s="402"/>
      <c r="M376" s="402"/>
      <c r="N376" s="402"/>
      <c r="O376" s="402"/>
      <c r="P376" s="402"/>
      <c r="Q376" s="402"/>
      <c r="R376" s="402"/>
      <c r="S376" s="402"/>
      <c r="T376" s="402"/>
      <c r="U376" s="402"/>
      <c r="V376" s="402"/>
      <c r="W376" s="402"/>
      <c r="X376" s="402"/>
      <c r="Y376" s="402"/>
      <c r="Z376" s="402"/>
      <c r="AA376" s="402"/>
    </row>
    <row r="377">
      <c r="A377" s="455"/>
      <c r="B377" s="455"/>
      <c r="C377" s="455"/>
      <c r="D377" s="455"/>
      <c r="E377" s="402"/>
      <c r="F377" s="402"/>
      <c r="G377" s="402"/>
      <c r="H377" s="402"/>
      <c r="I377" s="402"/>
      <c r="J377" s="402"/>
      <c r="K377" s="402"/>
      <c r="L377" s="402"/>
      <c r="M377" s="402"/>
      <c r="N377" s="402"/>
      <c r="O377" s="402"/>
      <c r="P377" s="402"/>
      <c r="Q377" s="402"/>
      <c r="R377" s="402"/>
      <c r="S377" s="402"/>
      <c r="T377" s="402"/>
      <c r="U377" s="402"/>
      <c r="V377" s="402"/>
      <c r="W377" s="402"/>
      <c r="X377" s="402"/>
      <c r="Y377" s="402"/>
      <c r="Z377" s="402"/>
      <c r="AA377" s="402"/>
    </row>
    <row r="378">
      <c r="A378" s="455"/>
      <c r="B378" s="455"/>
      <c r="C378" s="455"/>
      <c r="D378" s="455"/>
      <c r="E378" s="402"/>
      <c r="F378" s="402"/>
      <c r="G378" s="402"/>
      <c r="H378" s="402"/>
      <c r="I378" s="402"/>
      <c r="J378" s="402"/>
      <c r="K378" s="402"/>
      <c r="L378" s="402"/>
      <c r="M378" s="402"/>
      <c r="N378" s="402"/>
      <c r="O378" s="402"/>
      <c r="P378" s="402"/>
      <c r="Q378" s="402"/>
      <c r="R378" s="402"/>
      <c r="S378" s="402"/>
      <c r="T378" s="402"/>
      <c r="U378" s="402"/>
      <c r="V378" s="402"/>
      <c r="W378" s="402"/>
      <c r="X378" s="402"/>
      <c r="Y378" s="402"/>
      <c r="Z378" s="402"/>
      <c r="AA378" s="402"/>
    </row>
    <row r="379">
      <c r="A379" s="455"/>
      <c r="B379" s="455"/>
      <c r="C379" s="455"/>
      <c r="D379" s="455"/>
      <c r="E379" s="402"/>
      <c r="F379" s="402"/>
      <c r="G379" s="402"/>
      <c r="H379" s="402"/>
      <c r="I379" s="402"/>
      <c r="J379" s="402"/>
      <c r="K379" s="402"/>
      <c r="L379" s="402"/>
      <c r="M379" s="402"/>
      <c r="N379" s="402"/>
      <c r="O379" s="402"/>
      <c r="P379" s="402"/>
      <c r="Q379" s="402"/>
      <c r="R379" s="402"/>
      <c r="S379" s="402"/>
      <c r="T379" s="402"/>
      <c r="U379" s="402"/>
      <c r="V379" s="402"/>
      <c r="W379" s="402"/>
      <c r="X379" s="402"/>
      <c r="Y379" s="402"/>
      <c r="Z379" s="402"/>
      <c r="AA379" s="402"/>
    </row>
    <row r="380">
      <c r="A380" s="455"/>
      <c r="B380" s="455"/>
      <c r="C380" s="455"/>
      <c r="D380" s="455"/>
      <c r="E380" s="402"/>
      <c r="F380" s="402"/>
      <c r="G380" s="402"/>
      <c r="H380" s="402"/>
      <c r="I380" s="402"/>
      <c r="J380" s="402"/>
      <c r="K380" s="402"/>
      <c r="L380" s="402"/>
      <c r="M380" s="402"/>
      <c r="N380" s="402"/>
      <c r="O380" s="402"/>
      <c r="P380" s="402"/>
      <c r="Q380" s="402"/>
      <c r="R380" s="402"/>
      <c r="S380" s="402"/>
      <c r="T380" s="402"/>
      <c r="U380" s="402"/>
      <c r="V380" s="402"/>
      <c r="W380" s="402"/>
      <c r="X380" s="402"/>
      <c r="Y380" s="402"/>
      <c r="Z380" s="402"/>
      <c r="AA380" s="402"/>
    </row>
    <row r="381">
      <c r="A381" s="455"/>
      <c r="B381" s="455"/>
      <c r="C381" s="455"/>
      <c r="D381" s="455"/>
      <c r="E381" s="402"/>
      <c r="F381" s="402"/>
      <c r="G381" s="402"/>
      <c r="H381" s="402"/>
      <c r="I381" s="402"/>
      <c r="J381" s="402"/>
      <c r="K381" s="402"/>
      <c r="L381" s="402"/>
      <c r="M381" s="402"/>
      <c r="N381" s="402"/>
      <c r="O381" s="402"/>
      <c r="P381" s="402"/>
      <c r="Q381" s="402"/>
      <c r="R381" s="402"/>
      <c r="S381" s="402"/>
      <c r="T381" s="402"/>
      <c r="U381" s="402"/>
      <c r="V381" s="402"/>
      <c r="W381" s="402"/>
      <c r="X381" s="402"/>
      <c r="Y381" s="402"/>
      <c r="Z381" s="402"/>
      <c r="AA381" s="402"/>
    </row>
    <row r="382">
      <c r="A382" s="455"/>
      <c r="B382" s="455"/>
      <c r="C382" s="455"/>
      <c r="D382" s="455"/>
      <c r="E382" s="402"/>
      <c r="F382" s="402"/>
      <c r="G382" s="402"/>
      <c r="H382" s="402"/>
      <c r="I382" s="402"/>
      <c r="J382" s="402"/>
      <c r="K382" s="402"/>
      <c r="L382" s="402"/>
      <c r="M382" s="402"/>
      <c r="N382" s="402"/>
      <c r="O382" s="402"/>
      <c r="P382" s="402"/>
      <c r="Q382" s="402"/>
      <c r="R382" s="402"/>
      <c r="S382" s="402"/>
      <c r="T382" s="402"/>
      <c r="U382" s="402"/>
      <c r="V382" s="402"/>
      <c r="W382" s="402"/>
      <c r="X382" s="402"/>
      <c r="Y382" s="402"/>
      <c r="Z382" s="402"/>
      <c r="AA382" s="402"/>
    </row>
    <row r="383">
      <c r="A383" s="455"/>
      <c r="B383" s="455"/>
      <c r="C383" s="455"/>
      <c r="D383" s="455"/>
      <c r="E383" s="402"/>
      <c r="F383" s="402"/>
      <c r="G383" s="402"/>
      <c r="H383" s="402"/>
      <c r="I383" s="402"/>
      <c r="J383" s="402"/>
      <c r="K383" s="402"/>
      <c r="L383" s="402"/>
      <c r="M383" s="402"/>
      <c r="N383" s="402"/>
      <c r="O383" s="402"/>
      <c r="P383" s="402"/>
      <c r="Q383" s="402"/>
      <c r="R383" s="402"/>
      <c r="S383" s="402"/>
      <c r="T383" s="402"/>
      <c r="U383" s="402"/>
      <c r="V383" s="402"/>
      <c r="W383" s="402"/>
      <c r="X383" s="402"/>
      <c r="Y383" s="402"/>
      <c r="Z383" s="402"/>
      <c r="AA383" s="402"/>
    </row>
    <row r="384">
      <c r="A384" s="455"/>
      <c r="B384" s="455"/>
      <c r="C384" s="455"/>
      <c r="D384" s="455"/>
      <c r="E384" s="402"/>
      <c r="F384" s="402"/>
      <c r="G384" s="402"/>
      <c r="H384" s="402"/>
      <c r="I384" s="402"/>
      <c r="J384" s="402"/>
      <c r="K384" s="402"/>
      <c r="L384" s="402"/>
      <c r="M384" s="402"/>
      <c r="N384" s="402"/>
      <c r="O384" s="402"/>
      <c r="P384" s="402"/>
      <c r="Q384" s="402"/>
      <c r="R384" s="402"/>
      <c r="S384" s="402"/>
      <c r="T384" s="402"/>
      <c r="U384" s="402"/>
      <c r="V384" s="402"/>
      <c r="W384" s="402"/>
      <c r="X384" s="402"/>
      <c r="Y384" s="402"/>
      <c r="Z384" s="402"/>
      <c r="AA384" s="402"/>
    </row>
    <row r="385">
      <c r="A385" s="455"/>
      <c r="B385" s="455"/>
      <c r="C385" s="455"/>
      <c r="D385" s="455"/>
      <c r="E385" s="402"/>
      <c r="F385" s="402"/>
      <c r="G385" s="402"/>
      <c r="H385" s="402"/>
      <c r="I385" s="402"/>
      <c r="J385" s="402"/>
      <c r="K385" s="402"/>
      <c r="L385" s="402"/>
      <c r="M385" s="402"/>
      <c r="N385" s="402"/>
      <c r="O385" s="402"/>
      <c r="P385" s="402"/>
      <c r="Q385" s="402"/>
      <c r="R385" s="402"/>
      <c r="S385" s="402"/>
      <c r="T385" s="402"/>
      <c r="U385" s="402"/>
      <c r="V385" s="402"/>
      <c r="W385" s="402"/>
      <c r="X385" s="402"/>
      <c r="Y385" s="402"/>
      <c r="Z385" s="402"/>
      <c r="AA385" s="402"/>
    </row>
    <row r="386">
      <c r="A386" s="455"/>
      <c r="B386" s="455"/>
      <c r="C386" s="455"/>
      <c r="D386" s="455"/>
      <c r="E386" s="402"/>
      <c r="F386" s="402"/>
      <c r="G386" s="402"/>
      <c r="H386" s="402"/>
      <c r="I386" s="402"/>
      <c r="J386" s="402"/>
      <c r="K386" s="402"/>
      <c r="L386" s="402"/>
      <c r="M386" s="402"/>
      <c r="N386" s="402"/>
      <c r="O386" s="402"/>
      <c r="P386" s="402"/>
      <c r="Q386" s="402"/>
      <c r="R386" s="402"/>
      <c r="S386" s="402"/>
      <c r="T386" s="402"/>
      <c r="U386" s="402"/>
      <c r="V386" s="402"/>
      <c r="W386" s="402"/>
      <c r="X386" s="402"/>
      <c r="Y386" s="402"/>
      <c r="Z386" s="402"/>
      <c r="AA386" s="402"/>
    </row>
    <row r="387">
      <c r="A387" s="455"/>
      <c r="B387" s="455"/>
      <c r="C387" s="455"/>
      <c r="D387" s="455"/>
      <c r="E387" s="402"/>
      <c r="F387" s="402"/>
      <c r="G387" s="402"/>
      <c r="H387" s="402"/>
      <c r="I387" s="402"/>
      <c r="J387" s="402"/>
      <c r="K387" s="402"/>
      <c r="L387" s="402"/>
      <c r="M387" s="402"/>
      <c r="N387" s="402"/>
      <c r="O387" s="402"/>
      <c r="P387" s="402"/>
      <c r="Q387" s="402"/>
      <c r="R387" s="402"/>
      <c r="S387" s="402"/>
      <c r="T387" s="402"/>
      <c r="U387" s="402"/>
      <c r="V387" s="402"/>
      <c r="W387" s="402"/>
      <c r="X387" s="402"/>
      <c r="Y387" s="402"/>
      <c r="Z387" s="402"/>
      <c r="AA387" s="402"/>
    </row>
    <row r="388">
      <c r="A388" s="455"/>
      <c r="B388" s="455"/>
      <c r="C388" s="455"/>
      <c r="D388" s="455"/>
      <c r="E388" s="402"/>
      <c r="F388" s="402"/>
      <c r="G388" s="402"/>
      <c r="H388" s="402"/>
      <c r="I388" s="402"/>
      <c r="J388" s="402"/>
      <c r="K388" s="402"/>
      <c r="L388" s="402"/>
      <c r="M388" s="402"/>
      <c r="N388" s="402"/>
      <c r="O388" s="402"/>
      <c r="P388" s="402"/>
      <c r="Q388" s="402"/>
      <c r="R388" s="402"/>
      <c r="S388" s="402"/>
      <c r="T388" s="402"/>
      <c r="U388" s="402"/>
      <c r="V388" s="402"/>
      <c r="W388" s="402"/>
      <c r="X388" s="402"/>
      <c r="Y388" s="402"/>
      <c r="Z388" s="402"/>
      <c r="AA388" s="402"/>
    </row>
    <row r="389">
      <c r="A389" s="455"/>
      <c r="B389" s="455"/>
      <c r="C389" s="455"/>
      <c r="D389" s="455"/>
      <c r="E389" s="402"/>
      <c r="F389" s="402"/>
      <c r="G389" s="402"/>
      <c r="H389" s="402"/>
      <c r="I389" s="402"/>
      <c r="J389" s="402"/>
      <c r="K389" s="402"/>
      <c r="L389" s="402"/>
      <c r="M389" s="402"/>
      <c r="N389" s="402"/>
      <c r="O389" s="402"/>
      <c r="P389" s="402"/>
      <c r="Q389" s="402"/>
      <c r="R389" s="402"/>
      <c r="S389" s="402"/>
      <c r="T389" s="402"/>
      <c r="U389" s="402"/>
      <c r="V389" s="402"/>
      <c r="W389" s="402"/>
      <c r="X389" s="402"/>
      <c r="Y389" s="402"/>
      <c r="Z389" s="402"/>
      <c r="AA389" s="402"/>
    </row>
    <row r="390">
      <c r="A390" s="455"/>
      <c r="B390" s="455"/>
      <c r="C390" s="455"/>
      <c r="D390" s="455"/>
      <c r="E390" s="402"/>
      <c r="F390" s="402"/>
      <c r="G390" s="402"/>
      <c r="H390" s="402"/>
      <c r="I390" s="402"/>
      <c r="J390" s="402"/>
      <c r="K390" s="402"/>
      <c r="L390" s="402"/>
      <c r="M390" s="402"/>
      <c r="N390" s="402"/>
      <c r="O390" s="402"/>
      <c r="P390" s="402"/>
      <c r="Q390" s="402"/>
      <c r="R390" s="402"/>
      <c r="S390" s="402"/>
      <c r="T390" s="402"/>
      <c r="U390" s="402"/>
      <c r="V390" s="402"/>
      <c r="W390" s="402"/>
      <c r="X390" s="402"/>
      <c r="Y390" s="402"/>
      <c r="Z390" s="402"/>
      <c r="AA390" s="402"/>
    </row>
    <row r="391">
      <c r="A391" s="455"/>
      <c r="B391" s="455"/>
      <c r="C391" s="455"/>
      <c r="D391" s="455"/>
      <c r="E391" s="402"/>
      <c r="F391" s="402"/>
      <c r="G391" s="402"/>
      <c r="H391" s="402"/>
      <c r="I391" s="402"/>
      <c r="J391" s="402"/>
      <c r="K391" s="402"/>
      <c r="L391" s="402"/>
      <c r="M391" s="402"/>
      <c r="N391" s="402"/>
      <c r="O391" s="402"/>
      <c r="P391" s="402"/>
      <c r="Q391" s="402"/>
      <c r="R391" s="402"/>
      <c r="S391" s="402"/>
      <c r="T391" s="402"/>
      <c r="U391" s="402"/>
      <c r="V391" s="402"/>
      <c r="W391" s="402"/>
      <c r="X391" s="402"/>
      <c r="Y391" s="402"/>
      <c r="Z391" s="402"/>
      <c r="AA391" s="402"/>
    </row>
    <row r="392">
      <c r="A392" s="455"/>
      <c r="B392" s="455"/>
      <c r="C392" s="455"/>
      <c r="D392" s="455"/>
      <c r="E392" s="402"/>
      <c r="F392" s="402"/>
      <c r="G392" s="402"/>
      <c r="H392" s="402"/>
      <c r="I392" s="402"/>
      <c r="J392" s="402"/>
      <c r="K392" s="402"/>
      <c r="L392" s="402"/>
      <c r="M392" s="402"/>
      <c r="N392" s="402"/>
      <c r="O392" s="402"/>
      <c r="P392" s="402"/>
      <c r="Q392" s="402"/>
      <c r="R392" s="402"/>
      <c r="S392" s="402"/>
      <c r="T392" s="402"/>
      <c r="U392" s="402"/>
      <c r="V392" s="402"/>
      <c r="W392" s="402"/>
      <c r="X392" s="402"/>
      <c r="Y392" s="402"/>
      <c r="Z392" s="402"/>
      <c r="AA392" s="402"/>
    </row>
    <row r="393">
      <c r="A393" s="455"/>
      <c r="B393" s="455"/>
      <c r="C393" s="455"/>
      <c r="D393" s="455"/>
      <c r="E393" s="402"/>
      <c r="F393" s="402"/>
      <c r="G393" s="402"/>
      <c r="H393" s="402"/>
      <c r="I393" s="402"/>
      <c r="J393" s="402"/>
      <c r="K393" s="402"/>
      <c r="L393" s="402"/>
      <c r="M393" s="402"/>
      <c r="N393" s="402"/>
      <c r="O393" s="402"/>
      <c r="P393" s="402"/>
      <c r="Q393" s="402"/>
      <c r="R393" s="402"/>
      <c r="S393" s="402"/>
      <c r="T393" s="402"/>
      <c r="U393" s="402"/>
      <c r="V393" s="402"/>
      <c r="W393" s="402"/>
      <c r="X393" s="402"/>
      <c r="Y393" s="402"/>
      <c r="Z393" s="402"/>
      <c r="AA393" s="402"/>
    </row>
    <row r="394">
      <c r="A394" s="455"/>
      <c r="B394" s="455"/>
      <c r="C394" s="455"/>
      <c r="D394" s="455"/>
      <c r="E394" s="402"/>
      <c r="F394" s="402"/>
      <c r="G394" s="402"/>
      <c r="H394" s="402"/>
      <c r="I394" s="402"/>
      <c r="J394" s="402"/>
      <c r="K394" s="402"/>
      <c r="L394" s="402"/>
      <c r="M394" s="402"/>
      <c r="N394" s="402"/>
      <c r="O394" s="402"/>
      <c r="P394" s="402"/>
      <c r="Q394" s="402"/>
      <c r="R394" s="402"/>
      <c r="S394" s="402"/>
      <c r="T394" s="402"/>
      <c r="U394" s="402"/>
      <c r="V394" s="402"/>
      <c r="W394" s="402"/>
      <c r="X394" s="402"/>
      <c r="Y394" s="402"/>
      <c r="Z394" s="402"/>
      <c r="AA394" s="402"/>
    </row>
    <row r="395">
      <c r="A395" s="455"/>
      <c r="B395" s="455"/>
      <c r="C395" s="455"/>
      <c r="D395" s="455"/>
      <c r="E395" s="402"/>
      <c r="F395" s="402"/>
      <c r="G395" s="402"/>
      <c r="H395" s="402"/>
      <c r="I395" s="402"/>
      <c r="J395" s="402"/>
      <c r="K395" s="402"/>
      <c r="L395" s="402"/>
      <c r="M395" s="402"/>
      <c r="N395" s="402"/>
      <c r="O395" s="402"/>
      <c r="P395" s="402"/>
      <c r="Q395" s="402"/>
      <c r="R395" s="402"/>
      <c r="S395" s="402"/>
      <c r="T395" s="402"/>
      <c r="U395" s="402"/>
      <c r="V395" s="402"/>
      <c r="W395" s="402"/>
      <c r="X395" s="402"/>
      <c r="Y395" s="402"/>
      <c r="Z395" s="402"/>
      <c r="AA395" s="402"/>
    </row>
    <row r="396">
      <c r="A396" s="455"/>
      <c r="B396" s="455"/>
      <c r="C396" s="455"/>
      <c r="D396" s="455"/>
      <c r="E396" s="402"/>
      <c r="F396" s="402"/>
      <c r="G396" s="402"/>
      <c r="H396" s="402"/>
      <c r="I396" s="402"/>
      <c r="J396" s="402"/>
      <c r="K396" s="402"/>
      <c r="L396" s="402"/>
      <c r="M396" s="402"/>
      <c r="N396" s="402"/>
      <c r="O396" s="402"/>
      <c r="P396" s="402"/>
      <c r="Q396" s="402"/>
      <c r="R396" s="402"/>
      <c r="S396" s="402"/>
      <c r="T396" s="402"/>
      <c r="U396" s="402"/>
      <c r="V396" s="402"/>
      <c r="W396" s="402"/>
      <c r="X396" s="402"/>
      <c r="Y396" s="402"/>
      <c r="Z396" s="402"/>
      <c r="AA396" s="402"/>
    </row>
    <row r="397">
      <c r="A397" s="455"/>
      <c r="B397" s="455"/>
      <c r="C397" s="455"/>
      <c r="D397" s="455"/>
      <c r="E397" s="402"/>
      <c r="F397" s="402"/>
      <c r="G397" s="402"/>
      <c r="H397" s="402"/>
      <c r="I397" s="402"/>
      <c r="J397" s="402"/>
      <c r="K397" s="402"/>
      <c r="L397" s="402"/>
      <c r="M397" s="402"/>
      <c r="N397" s="402"/>
      <c r="O397" s="402"/>
      <c r="P397" s="402"/>
      <c r="Q397" s="402"/>
      <c r="R397" s="402"/>
      <c r="S397" s="402"/>
      <c r="T397" s="402"/>
      <c r="U397" s="402"/>
      <c r="V397" s="402"/>
      <c r="W397" s="402"/>
      <c r="X397" s="402"/>
      <c r="Y397" s="402"/>
      <c r="Z397" s="402"/>
      <c r="AA397" s="402"/>
    </row>
    <row r="398">
      <c r="A398" s="455"/>
      <c r="B398" s="455"/>
      <c r="C398" s="455"/>
      <c r="D398" s="455"/>
      <c r="E398" s="402"/>
      <c r="F398" s="402"/>
      <c r="G398" s="402"/>
      <c r="H398" s="402"/>
      <c r="I398" s="402"/>
      <c r="J398" s="402"/>
      <c r="K398" s="402"/>
      <c r="L398" s="402"/>
      <c r="M398" s="402"/>
      <c r="N398" s="402"/>
      <c r="O398" s="402"/>
      <c r="P398" s="402"/>
      <c r="Q398" s="402"/>
      <c r="R398" s="402"/>
      <c r="S398" s="402"/>
      <c r="T398" s="402"/>
      <c r="U398" s="402"/>
      <c r="V398" s="402"/>
      <c r="W398" s="402"/>
      <c r="X398" s="402"/>
      <c r="Y398" s="402"/>
      <c r="Z398" s="402"/>
      <c r="AA398" s="402"/>
    </row>
    <row r="399">
      <c r="A399" s="455"/>
      <c r="B399" s="455"/>
      <c r="C399" s="455"/>
      <c r="D399" s="455"/>
      <c r="E399" s="402"/>
      <c r="F399" s="402"/>
      <c r="G399" s="402"/>
      <c r="H399" s="402"/>
      <c r="I399" s="402"/>
      <c r="J399" s="402"/>
      <c r="K399" s="402"/>
      <c r="L399" s="402"/>
      <c r="M399" s="402"/>
      <c r="N399" s="402"/>
      <c r="O399" s="402"/>
      <c r="P399" s="402"/>
      <c r="Q399" s="402"/>
      <c r="R399" s="402"/>
      <c r="S399" s="402"/>
      <c r="T399" s="402"/>
      <c r="U399" s="402"/>
      <c r="V399" s="402"/>
      <c r="W399" s="402"/>
      <c r="X399" s="402"/>
      <c r="Y399" s="402"/>
      <c r="Z399" s="402"/>
      <c r="AA399" s="402"/>
    </row>
    <row r="400">
      <c r="A400" s="455"/>
      <c r="B400" s="455"/>
      <c r="C400" s="455"/>
      <c r="D400" s="455"/>
      <c r="E400" s="402"/>
      <c r="F400" s="402"/>
      <c r="G400" s="402"/>
      <c r="H400" s="402"/>
      <c r="I400" s="402"/>
      <c r="J400" s="402"/>
      <c r="K400" s="402"/>
      <c r="L400" s="402"/>
      <c r="M400" s="402"/>
      <c r="N400" s="402"/>
      <c r="O400" s="402"/>
      <c r="P400" s="402"/>
      <c r="Q400" s="402"/>
      <c r="R400" s="402"/>
      <c r="S400" s="402"/>
      <c r="T400" s="402"/>
      <c r="U400" s="402"/>
      <c r="V400" s="402"/>
      <c r="W400" s="402"/>
      <c r="X400" s="402"/>
      <c r="Y400" s="402"/>
      <c r="Z400" s="402"/>
      <c r="AA400" s="402"/>
    </row>
    <row r="401">
      <c r="A401" s="455"/>
      <c r="B401" s="455"/>
      <c r="C401" s="455"/>
      <c r="D401" s="455"/>
      <c r="E401" s="402"/>
      <c r="F401" s="402"/>
      <c r="G401" s="402"/>
      <c r="H401" s="402"/>
      <c r="I401" s="402"/>
      <c r="J401" s="402"/>
      <c r="K401" s="402"/>
      <c r="L401" s="402"/>
      <c r="M401" s="402"/>
      <c r="N401" s="402"/>
      <c r="O401" s="402"/>
      <c r="P401" s="402"/>
      <c r="Q401" s="402"/>
      <c r="R401" s="402"/>
      <c r="S401" s="402"/>
      <c r="T401" s="402"/>
      <c r="U401" s="402"/>
      <c r="V401" s="402"/>
      <c r="W401" s="402"/>
      <c r="X401" s="402"/>
      <c r="Y401" s="402"/>
      <c r="Z401" s="402"/>
      <c r="AA401" s="402"/>
    </row>
    <row r="402">
      <c r="A402" s="455"/>
      <c r="B402" s="455"/>
      <c r="C402" s="455"/>
      <c r="D402" s="455"/>
      <c r="E402" s="402"/>
      <c r="F402" s="402"/>
      <c r="G402" s="402"/>
      <c r="H402" s="402"/>
      <c r="I402" s="402"/>
      <c r="J402" s="402"/>
      <c r="K402" s="402"/>
      <c r="L402" s="402"/>
      <c r="M402" s="402"/>
      <c r="N402" s="402"/>
      <c r="O402" s="402"/>
      <c r="P402" s="402"/>
      <c r="Q402" s="402"/>
      <c r="R402" s="402"/>
      <c r="S402" s="402"/>
      <c r="T402" s="402"/>
      <c r="U402" s="402"/>
      <c r="V402" s="402"/>
      <c r="W402" s="402"/>
      <c r="X402" s="402"/>
      <c r="Y402" s="402"/>
      <c r="Z402" s="402"/>
      <c r="AA402" s="402"/>
    </row>
    <row r="403">
      <c r="A403" s="455"/>
      <c r="B403" s="455"/>
      <c r="C403" s="455"/>
      <c r="D403" s="455"/>
      <c r="E403" s="402"/>
      <c r="F403" s="402"/>
      <c r="G403" s="402"/>
      <c r="H403" s="402"/>
      <c r="I403" s="402"/>
      <c r="J403" s="402"/>
      <c r="K403" s="402"/>
      <c r="L403" s="402"/>
      <c r="M403" s="402"/>
      <c r="N403" s="402"/>
      <c r="O403" s="402"/>
      <c r="P403" s="402"/>
      <c r="Q403" s="402"/>
      <c r="R403" s="402"/>
      <c r="S403" s="402"/>
      <c r="T403" s="402"/>
      <c r="U403" s="402"/>
      <c r="V403" s="402"/>
      <c r="W403" s="402"/>
      <c r="X403" s="402"/>
      <c r="Y403" s="402"/>
      <c r="Z403" s="402"/>
      <c r="AA403" s="402"/>
    </row>
    <row r="404">
      <c r="A404" s="455"/>
      <c r="B404" s="455"/>
      <c r="C404" s="455"/>
      <c r="D404" s="455"/>
      <c r="E404" s="402"/>
      <c r="F404" s="402"/>
      <c r="G404" s="402"/>
      <c r="H404" s="402"/>
      <c r="I404" s="402"/>
      <c r="J404" s="402"/>
      <c r="K404" s="402"/>
      <c r="L404" s="402"/>
      <c r="M404" s="402"/>
      <c r="N404" s="402"/>
      <c r="O404" s="402"/>
      <c r="P404" s="402"/>
      <c r="Q404" s="402"/>
      <c r="R404" s="402"/>
      <c r="S404" s="402"/>
      <c r="T404" s="402"/>
      <c r="U404" s="402"/>
      <c r="V404" s="402"/>
      <c r="W404" s="402"/>
      <c r="X404" s="402"/>
      <c r="Y404" s="402"/>
      <c r="Z404" s="402"/>
      <c r="AA404" s="402"/>
    </row>
    <row r="405">
      <c r="A405" s="455"/>
      <c r="B405" s="455"/>
      <c r="C405" s="455"/>
      <c r="D405" s="455"/>
      <c r="E405" s="402"/>
      <c r="F405" s="402"/>
      <c r="G405" s="402"/>
      <c r="H405" s="402"/>
      <c r="I405" s="402"/>
      <c r="J405" s="402"/>
      <c r="K405" s="402"/>
      <c r="L405" s="402"/>
      <c r="M405" s="402"/>
      <c r="N405" s="402"/>
      <c r="O405" s="402"/>
      <c r="P405" s="402"/>
      <c r="Q405" s="402"/>
      <c r="R405" s="402"/>
      <c r="S405" s="402"/>
      <c r="T405" s="402"/>
      <c r="U405" s="402"/>
      <c r="V405" s="402"/>
      <c r="W405" s="402"/>
      <c r="X405" s="402"/>
      <c r="Y405" s="402"/>
      <c r="Z405" s="402"/>
      <c r="AA405" s="402"/>
    </row>
    <row r="406">
      <c r="A406" s="455"/>
      <c r="B406" s="455"/>
      <c r="C406" s="455"/>
      <c r="D406" s="455"/>
      <c r="E406" s="402"/>
      <c r="F406" s="402"/>
      <c r="G406" s="402"/>
      <c r="H406" s="402"/>
      <c r="I406" s="402"/>
      <c r="J406" s="402"/>
      <c r="K406" s="402"/>
      <c r="L406" s="402"/>
      <c r="M406" s="402"/>
      <c r="N406" s="402"/>
      <c r="O406" s="402"/>
      <c r="P406" s="402"/>
      <c r="Q406" s="402"/>
      <c r="R406" s="402"/>
      <c r="S406" s="402"/>
      <c r="T406" s="402"/>
      <c r="U406" s="402"/>
      <c r="V406" s="402"/>
      <c r="W406" s="402"/>
      <c r="X406" s="402"/>
      <c r="Y406" s="402"/>
      <c r="Z406" s="402"/>
      <c r="AA406" s="402"/>
    </row>
    <row r="407">
      <c r="A407" s="455"/>
      <c r="B407" s="455"/>
      <c r="C407" s="455"/>
      <c r="D407" s="455"/>
      <c r="E407" s="402"/>
      <c r="F407" s="402"/>
      <c r="G407" s="402"/>
      <c r="H407" s="402"/>
      <c r="I407" s="402"/>
      <c r="J407" s="402"/>
      <c r="K407" s="402"/>
      <c r="L407" s="402"/>
      <c r="M407" s="402"/>
      <c r="N407" s="402"/>
      <c r="O407" s="402"/>
      <c r="P407" s="402"/>
      <c r="Q407" s="402"/>
      <c r="R407" s="402"/>
      <c r="S407" s="402"/>
      <c r="T407" s="402"/>
      <c r="U407" s="402"/>
      <c r="V407" s="402"/>
      <c r="W407" s="402"/>
      <c r="X407" s="402"/>
      <c r="Y407" s="402"/>
      <c r="Z407" s="402"/>
      <c r="AA407" s="402"/>
    </row>
    <row r="408">
      <c r="A408" s="455"/>
      <c r="B408" s="455"/>
      <c r="C408" s="455"/>
      <c r="D408" s="455"/>
      <c r="E408" s="402"/>
      <c r="F408" s="402"/>
      <c r="G408" s="402"/>
      <c r="H408" s="402"/>
      <c r="I408" s="402"/>
      <c r="J408" s="402"/>
      <c r="K408" s="402"/>
      <c r="L408" s="402"/>
      <c r="M408" s="402"/>
      <c r="N408" s="402"/>
      <c r="O408" s="402"/>
      <c r="P408" s="402"/>
      <c r="Q408" s="402"/>
      <c r="R408" s="402"/>
      <c r="S408" s="402"/>
      <c r="T408" s="402"/>
      <c r="U408" s="402"/>
      <c r="V408" s="402"/>
      <c r="W408" s="402"/>
      <c r="X408" s="402"/>
      <c r="Y408" s="402"/>
      <c r="Z408" s="402"/>
      <c r="AA408" s="402"/>
    </row>
    <row r="409">
      <c r="A409" s="455"/>
      <c r="B409" s="455"/>
      <c r="C409" s="455"/>
      <c r="D409" s="455"/>
      <c r="E409" s="402"/>
      <c r="F409" s="402"/>
      <c r="G409" s="402"/>
      <c r="H409" s="402"/>
      <c r="I409" s="402"/>
      <c r="J409" s="402"/>
      <c r="K409" s="402"/>
      <c r="L409" s="402"/>
      <c r="M409" s="402"/>
      <c r="N409" s="402"/>
      <c r="O409" s="402"/>
      <c r="P409" s="402"/>
      <c r="Q409" s="402"/>
      <c r="R409" s="402"/>
      <c r="S409" s="402"/>
      <c r="T409" s="402"/>
      <c r="U409" s="402"/>
      <c r="V409" s="402"/>
      <c r="W409" s="402"/>
      <c r="X409" s="402"/>
      <c r="Y409" s="402"/>
      <c r="Z409" s="402"/>
      <c r="AA409" s="402"/>
    </row>
    <row r="410">
      <c r="A410" s="455"/>
      <c r="B410" s="455"/>
      <c r="C410" s="455"/>
      <c r="D410" s="455"/>
      <c r="E410" s="402"/>
      <c r="F410" s="402"/>
      <c r="G410" s="402"/>
      <c r="H410" s="402"/>
      <c r="I410" s="402"/>
      <c r="J410" s="402"/>
      <c r="K410" s="402"/>
      <c r="L410" s="402"/>
      <c r="M410" s="402"/>
      <c r="N410" s="402"/>
      <c r="O410" s="402"/>
      <c r="P410" s="402"/>
      <c r="Q410" s="402"/>
      <c r="R410" s="402"/>
      <c r="S410" s="402"/>
      <c r="T410" s="402"/>
      <c r="U410" s="402"/>
      <c r="V410" s="402"/>
      <c r="W410" s="402"/>
      <c r="X410" s="402"/>
      <c r="Y410" s="402"/>
      <c r="Z410" s="402"/>
      <c r="AA410" s="402"/>
    </row>
    <row r="411">
      <c r="A411" s="455"/>
      <c r="B411" s="455"/>
      <c r="C411" s="455"/>
      <c r="D411" s="455"/>
      <c r="E411" s="402"/>
      <c r="F411" s="402"/>
      <c r="G411" s="402"/>
      <c r="H411" s="402"/>
      <c r="I411" s="402"/>
      <c r="J411" s="402"/>
      <c r="K411" s="402"/>
      <c r="L411" s="402"/>
      <c r="M411" s="402"/>
      <c r="N411" s="402"/>
      <c r="O411" s="402"/>
      <c r="P411" s="402"/>
      <c r="Q411" s="402"/>
      <c r="R411" s="402"/>
      <c r="S411" s="402"/>
      <c r="T411" s="402"/>
      <c r="U411" s="402"/>
      <c r="V411" s="402"/>
      <c r="W411" s="402"/>
      <c r="X411" s="402"/>
      <c r="Y411" s="402"/>
      <c r="Z411" s="402"/>
      <c r="AA411" s="402"/>
    </row>
    <row r="412">
      <c r="A412" s="455"/>
      <c r="B412" s="455"/>
      <c r="C412" s="455"/>
      <c r="D412" s="455"/>
      <c r="E412" s="402"/>
      <c r="F412" s="402"/>
      <c r="G412" s="402"/>
      <c r="H412" s="402"/>
      <c r="I412" s="402"/>
      <c r="J412" s="402"/>
      <c r="K412" s="402"/>
      <c r="L412" s="402"/>
      <c r="M412" s="402"/>
      <c r="N412" s="402"/>
      <c r="O412" s="402"/>
      <c r="P412" s="402"/>
      <c r="Q412" s="402"/>
      <c r="R412" s="402"/>
      <c r="S412" s="402"/>
      <c r="T412" s="402"/>
      <c r="U412" s="402"/>
      <c r="V412" s="402"/>
      <c r="W412" s="402"/>
      <c r="X412" s="402"/>
      <c r="Y412" s="402"/>
      <c r="Z412" s="402"/>
      <c r="AA412" s="402"/>
    </row>
    <row r="413">
      <c r="A413" s="455"/>
      <c r="B413" s="455"/>
      <c r="C413" s="455"/>
      <c r="D413" s="455"/>
      <c r="E413" s="402"/>
      <c r="F413" s="402"/>
      <c r="G413" s="402"/>
      <c r="H413" s="402"/>
      <c r="I413" s="402"/>
      <c r="J413" s="402"/>
      <c r="K413" s="402"/>
      <c r="L413" s="402"/>
      <c r="M413" s="402"/>
      <c r="N413" s="402"/>
      <c r="O413" s="402"/>
      <c r="P413" s="402"/>
      <c r="Q413" s="402"/>
      <c r="R413" s="402"/>
      <c r="S413" s="402"/>
      <c r="T413" s="402"/>
      <c r="U413" s="402"/>
      <c r="V413" s="402"/>
      <c r="W413" s="402"/>
      <c r="X413" s="402"/>
      <c r="Y413" s="402"/>
      <c r="Z413" s="402"/>
      <c r="AA413" s="402"/>
    </row>
    <row r="414">
      <c r="A414" s="455"/>
      <c r="B414" s="455"/>
      <c r="C414" s="455"/>
      <c r="D414" s="455"/>
      <c r="E414" s="402"/>
      <c r="F414" s="402"/>
      <c r="G414" s="402"/>
      <c r="H414" s="402"/>
      <c r="I414" s="402"/>
      <c r="J414" s="402"/>
      <c r="K414" s="402"/>
      <c r="L414" s="402"/>
      <c r="M414" s="402"/>
      <c r="N414" s="402"/>
      <c r="O414" s="402"/>
      <c r="P414" s="402"/>
      <c r="Q414" s="402"/>
      <c r="R414" s="402"/>
      <c r="S414" s="402"/>
      <c r="T414" s="402"/>
      <c r="U414" s="402"/>
      <c r="V414" s="402"/>
      <c r="W414" s="402"/>
      <c r="X414" s="402"/>
      <c r="Y414" s="402"/>
      <c r="Z414" s="402"/>
      <c r="AA414" s="402"/>
    </row>
    <row r="415">
      <c r="A415" s="455"/>
      <c r="B415" s="455"/>
      <c r="C415" s="455"/>
      <c r="D415" s="455"/>
      <c r="E415" s="402"/>
      <c r="F415" s="402"/>
      <c r="G415" s="402"/>
      <c r="H415" s="402"/>
      <c r="I415" s="402"/>
      <c r="J415" s="402"/>
      <c r="K415" s="402"/>
      <c r="L415" s="402"/>
      <c r="M415" s="402"/>
      <c r="N415" s="402"/>
      <c r="O415" s="402"/>
      <c r="P415" s="402"/>
      <c r="Q415" s="402"/>
      <c r="R415" s="402"/>
      <c r="S415" s="402"/>
      <c r="T415" s="402"/>
      <c r="U415" s="402"/>
      <c r="V415" s="402"/>
      <c r="W415" s="402"/>
      <c r="X415" s="402"/>
      <c r="Y415" s="402"/>
      <c r="Z415" s="402"/>
      <c r="AA415" s="402"/>
    </row>
    <row r="416">
      <c r="A416" s="455"/>
      <c r="B416" s="455"/>
      <c r="C416" s="455"/>
      <c r="D416" s="455"/>
      <c r="E416" s="402"/>
      <c r="F416" s="402"/>
      <c r="G416" s="402"/>
      <c r="H416" s="402"/>
      <c r="I416" s="402"/>
      <c r="J416" s="402"/>
      <c r="K416" s="402"/>
      <c r="L416" s="402"/>
      <c r="M416" s="402"/>
      <c r="N416" s="402"/>
      <c r="O416" s="402"/>
      <c r="P416" s="402"/>
      <c r="Q416" s="402"/>
      <c r="R416" s="402"/>
      <c r="S416" s="402"/>
      <c r="T416" s="402"/>
      <c r="U416" s="402"/>
      <c r="V416" s="402"/>
      <c r="W416" s="402"/>
      <c r="X416" s="402"/>
      <c r="Y416" s="402"/>
      <c r="Z416" s="402"/>
      <c r="AA416" s="402"/>
    </row>
    <row r="417">
      <c r="A417" s="455"/>
      <c r="B417" s="455"/>
      <c r="C417" s="455"/>
      <c r="D417" s="455"/>
      <c r="E417" s="402"/>
      <c r="F417" s="402"/>
      <c r="G417" s="402"/>
      <c r="H417" s="402"/>
      <c r="I417" s="402"/>
      <c r="J417" s="402"/>
      <c r="K417" s="402"/>
      <c r="L417" s="402"/>
      <c r="M417" s="402"/>
      <c r="N417" s="402"/>
      <c r="O417" s="402"/>
      <c r="P417" s="402"/>
      <c r="Q417" s="402"/>
      <c r="R417" s="402"/>
      <c r="S417" s="402"/>
      <c r="T417" s="402"/>
      <c r="U417" s="402"/>
      <c r="V417" s="402"/>
      <c r="W417" s="402"/>
      <c r="X417" s="402"/>
      <c r="Y417" s="402"/>
      <c r="Z417" s="402"/>
      <c r="AA417" s="402"/>
    </row>
    <row r="418">
      <c r="A418" s="455"/>
      <c r="B418" s="455"/>
      <c r="C418" s="455"/>
      <c r="D418" s="455"/>
      <c r="E418" s="402"/>
      <c r="F418" s="402"/>
      <c r="G418" s="402"/>
      <c r="H418" s="402"/>
      <c r="I418" s="402"/>
      <c r="J418" s="402"/>
      <c r="K418" s="402"/>
      <c r="L418" s="402"/>
      <c r="M418" s="402"/>
      <c r="N418" s="402"/>
      <c r="O418" s="402"/>
      <c r="P418" s="402"/>
      <c r="Q418" s="402"/>
      <c r="R418" s="402"/>
      <c r="S418" s="402"/>
      <c r="T418" s="402"/>
      <c r="U418" s="402"/>
      <c r="V418" s="402"/>
      <c r="W418" s="402"/>
      <c r="X418" s="402"/>
      <c r="Y418" s="402"/>
      <c r="Z418" s="402"/>
      <c r="AA418" s="402"/>
    </row>
    <row r="419">
      <c r="A419" s="455"/>
      <c r="B419" s="455"/>
      <c r="C419" s="455"/>
      <c r="D419" s="455"/>
      <c r="E419" s="402"/>
      <c r="F419" s="402"/>
      <c r="G419" s="402"/>
      <c r="H419" s="402"/>
      <c r="I419" s="402"/>
      <c r="J419" s="402"/>
      <c r="K419" s="402"/>
      <c r="L419" s="402"/>
      <c r="M419" s="402"/>
      <c r="N419" s="402"/>
      <c r="O419" s="402"/>
      <c r="P419" s="402"/>
      <c r="Q419" s="402"/>
      <c r="R419" s="402"/>
      <c r="S419" s="402"/>
      <c r="T419" s="402"/>
      <c r="U419" s="402"/>
      <c r="V419" s="402"/>
      <c r="W419" s="402"/>
      <c r="X419" s="402"/>
      <c r="Y419" s="402"/>
      <c r="Z419" s="402"/>
      <c r="AA419" s="402"/>
    </row>
    <row r="420">
      <c r="A420" s="455"/>
      <c r="B420" s="455"/>
      <c r="C420" s="455"/>
      <c r="D420" s="455"/>
      <c r="E420" s="402"/>
      <c r="F420" s="402"/>
      <c r="G420" s="402"/>
      <c r="H420" s="402"/>
      <c r="I420" s="402"/>
      <c r="J420" s="402"/>
      <c r="K420" s="402"/>
      <c r="L420" s="402"/>
      <c r="M420" s="402"/>
      <c r="N420" s="402"/>
      <c r="O420" s="402"/>
      <c r="P420" s="402"/>
      <c r="Q420" s="402"/>
      <c r="R420" s="402"/>
      <c r="S420" s="402"/>
      <c r="T420" s="402"/>
      <c r="U420" s="402"/>
      <c r="V420" s="402"/>
      <c r="W420" s="402"/>
      <c r="X420" s="402"/>
      <c r="Y420" s="402"/>
      <c r="Z420" s="402"/>
      <c r="AA420" s="402"/>
    </row>
    <row r="421">
      <c r="A421" s="455"/>
      <c r="B421" s="455"/>
      <c r="C421" s="455"/>
      <c r="D421" s="455"/>
      <c r="E421" s="402"/>
      <c r="F421" s="402"/>
      <c r="G421" s="402"/>
      <c r="H421" s="402"/>
      <c r="I421" s="402"/>
      <c r="J421" s="402"/>
      <c r="K421" s="402"/>
      <c r="L421" s="402"/>
      <c r="M421" s="402"/>
      <c r="N421" s="402"/>
      <c r="O421" s="402"/>
      <c r="P421" s="402"/>
      <c r="Q421" s="402"/>
      <c r="R421" s="402"/>
      <c r="S421" s="402"/>
      <c r="T421" s="402"/>
      <c r="U421" s="402"/>
      <c r="V421" s="402"/>
      <c r="W421" s="402"/>
      <c r="X421" s="402"/>
      <c r="Y421" s="402"/>
      <c r="Z421" s="402"/>
      <c r="AA421" s="402"/>
    </row>
    <row r="422">
      <c r="A422" s="455"/>
      <c r="B422" s="455"/>
      <c r="C422" s="455"/>
      <c r="D422" s="455"/>
      <c r="E422" s="402"/>
      <c r="F422" s="402"/>
      <c r="G422" s="402"/>
      <c r="H422" s="402"/>
      <c r="I422" s="402"/>
      <c r="J422" s="402"/>
      <c r="K422" s="402"/>
      <c r="L422" s="402"/>
      <c r="M422" s="402"/>
      <c r="N422" s="402"/>
      <c r="O422" s="402"/>
      <c r="P422" s="402"/>
      <c r="Q422" s="402"/>
      <c r="R422" s="402"/>
      <c r="S422" s="402"/>
      <c r="T422" s="402"/>
      <c r="U422" s="402"/>
      <c r="V422" s="402"/>
      <c r="W422" s="402"/>
      <c r="X422" s="402"/>
      <c r="Y422" s="402"/>
      <c r="Z422" s="402"/>
      <c r="AA422" s="402"/>
    </row>
    <row r="423">
      <c r="A423" s="455"/>
      <c r="B423" s="455"/>
      <c r="C423" s="455"/>
      <c r="D423" s="455"/>
      <c r="E423" s="402"/>
      <c r="F423" s="402"/>
      <c r="G423" s="402"/>
      <c r="H423" s="402"/>
      <c r="I423" s="402"/>
      <c r="J423" s="402"/>
      <c r="K423" s="402"/>
      <c r="L423" s="402"/>
      <c r="M423" s="402"/>
      <c r="N423" s="402"/>
      <c r="O423" s="402"/>
      <c r="P423" s="402"/>
      <c r="Q423" s="402"/>
      <c r="R423" s="402"/>
      <c r="S423" s="402"/>
      <c r="T423" s="402"/>
      <c r="U423" s="402"/>
      <c r="V423" s="402"/>
      <c r="W423" s="402"/>
      <c r="X423" s="402"/>
      <c r="Y423" s="402"/>
      <c r="Z423" s="402"/>
      <c r="AA423" s="402"/>
    </row>
    <row r="424">
      <c r="A424" s="455"/>
      <c r="B424" s="455"/>
      <c r="C424" s="455"/>
      <c r="D424" s="455"/>
      <c r="E424" s="402"/>
      <c r="F424" s="402"/>
      <c r="G424" s="402"/>
      <c r="H424" s="402"/>
      <c r="I424" s="402"/>
      <c r="J424" s="402"/>
      <c r="K424" s="402"/>
      <c r="L424" s="402"/>
      <c r="M424" s="402"/>
      <c r="N424" s="402"/>
      <c r="O424" s="402"/>
      <c r="P424" s="402"/>
      <c r="Q424" s="402"/>
      <c r="R424" s="402"/>
      <c r="S424" s="402"/>
      <c r="T424" s="402"/>
      <c r="U424" s="402"/>
      <c r="V424" s="402"/>
      <c r="W424" s="402"/>
      <c r="X424" s="402"/>
      <c r="Y424" s="402"/>
      <c r="Z424" s="402"/>
      <c r="AA424" s="402"/>
    </row>
    <row r="425">
      <c r="A425" s="455"/>
      <c r="B425" s="455"/>
      <c r="C425" s="455"/>
      <c r="D425" s="455"/>
      <c r="E425" s="402"/>
      <c r="F425" s="402"/>
      <c r="G425" s="402"/>
      <c r="H425" s="402"/>
      <c r="I425" s="402"/>
      <c r="J425" s="402"/>
      <c r="K425" s="402"/>
      <c r="L425" s="402"/>
      <c r="M425" s="402"/>
      <c r="N425" s="402"/>
      <c r="O425" s="402"/>
      <c r="P425" s="402"/>
      <c r="Q425" s="402"/>
      <c r="R425" s="402"/>
      <c r="S425" s="402"/>
      <c r="T425" s="402"/>
      <c r="U425" s="402"/>
      <c r="V425" s="402"/>
      <c r="W425" s="402"/>
      <c r="X425" s="402"/>
      <c r="Y425" s="402"/>
      <c r="Z425" s="402"/>
      <c r="AA425" s="402"/>
    </row>
    <row r="426">
      <c r="A426" s="455"/>
      <c r="B426" s="455"/>
      <c r="C426" s="455"/>
      <c r="D426" s="455"/>
      <c r="E426" s="402"/>
      <c r="F426" s="402"/>
      <c r="G426" s="402"/>
      <c r="H426" s="402"/>
      <c r="I426" s="402"/>
      <c r="J426" s="402"/>
      <c r="K426" s="402"/>
      <c r="L426" s="402"/>
      <c r="M426" s="402"/>
      <c r="N426" s="402"/>
      <c r="O426" s="402"/>
      <c r="P426" s="402"/>
      <c r="Q426" s="402"/>
      <c r="R426" s="402"/>
      <c r="S426" s="402"/>
      <c r="T426" s="402"/>
      <c r="U426" s="402"/>
      <c r="V426" s="402"/>
      <c r="W426" s="402"/>
      <c r="X426" s="402"/>
      <c r="Y426" s="402"/>
      <c r="Z426" s="402"/>
      <c r="AA426" s="402"/>
    </row>
    <row r="427">
      <c r="A427" s="455"/>
      <c r="B427" s="455"/>
      <c r="C427" s="455"/>
      <c r="D427" s="455"/>
      <c r="E427" s="402"/>
      <c r="F427" s="402"/>
      <c r="G427" s="402"/>
      <c r="H427" s="402"/>
      <c r="I427" s="402"/>
      <c r="J427" s="402"/>
      <c r="K427" s="402"/>
      <c r="L427" s="402"/>
      <c r="M427" s="402"/>
      <c r="N427" s="402"/>
      <c r="O427" s="402"/>
      <c r="P427" s="402"/>
      <c r="Q427" s="402"/>
      <c r="R427" s="402"/>
      <c r="S427" s="402"/>
      <c r="T427" s="402"/>
      <c r="U427" s="402"/>
      <c r="V427" s="402"/>
      <c r="W427" s="402"/>
      <c r="X427" s="402"/>
      <c r="Y427" s="402"/>
      <c r="Z427" s="402"/>
      <c r="AA427" s="402"/>
    </row>
    <row r="428">
      <c r="A428" s="455"/>
      <c r="B428" s="455"/>
      <c r="C428" s="455"/>
      <c r="D428" s="455"/>
      <c r="E428" s="402"/>
      <c r="F428" s="402"/>
      <c r="G428" s="402"/>
      <c r="H428" s="402"/>
      <c r="I428" s="402"/>
      <c r="J428" s="402"/>
      <c r="K428" s="402"/>
      <c r="L428" s="402"/>
      <c r="M428" s="402"/>
      <c r="N428" s="402"/>
      <c r="O428" s="402"/>
      <c r="P428" s="402"/>
      <c r="Q428" s="402"/>
      <c r="R428" s="402"/>
      <c r="S428" s="402"/>
      <c r="T428" s="402"/>
      <c r="U428" s="402"/>
      <c r="V428" s="402"/>
      <c r="W428" s="402"/>
      <c r="X428" s="402"/>
      <c r="Y428" s="402"/>
      <c r="Z428" s="402"/>
      <c r="AA428" s="402"/>
    </row>
    <row r="429">
      <c r="A429" s="455"/>
      <c r="B429" s="455"/>
      <c r="C429" s="455"/>
      <c r="D429" s="455"/>
      <c r="E429" s="402"/>
      <c r="F429" s="402"/>
      <c r="G429" s="402"/>
      <c r="H429" s="402"/>
      <c r="I429" s="402"/>
      <c r="J429" s="402"/>
      <c r="K429" s="402"/>
      <c r="L429" s="402"/>
      <c r="M429" s="402"/>
      <c r="N429" s="402"/>
      <c r="O429" s="402"/>
      <c r="P429" s="402"/>
      <c r="Q429" s="402"/>
      <c r="R429" s="402"/>
      <c r="S429" s="402"/>
      <c r="T429" s="402"/>
      <c r="U429" s="402"/>
      <c r="V429" s="402"/>
      <c r="W429" s="402"/>
      <c r="X429" s="402"/>
      <c r="Y429" s="402"/>
      <c r="Z429" s="402"/>
      <c r="AA429" s="402"/>
    </row>
    <row r="430">
      <c r="A430" s="455"/>
      <c r="B430" s="455"/>
      <c r="C430" s="455"/>
      <c r="D430" s="455"/>
      <c r="E430" s="402"/>
      <c r="F430" s="402"/>
      <c r="G430" s="402"/>
      <c r="H430" s="402"/>
      <c r="I430" s="402"/>
      <c r="J430" s="402"/>
      <c r="K430" s="402"/>
      <c r="L430" s="402"/>
      <c r="M430" s="402"/>
      <c r="N430" s="402"/>
      <c r="O430" s="402"/>
      <c r="P430" s="402"/>
      <c r="Q430" s="402"/>
      <c r="R430" s="402"/>
      <c r="S430" s="402"/>
      <c r="T430" s="402"/>
      <c r="U430" s="402"/>
      <c r="V430" s="402"/>
      <c r="W430" s="402"/>
      <c r="X430" s="402"/>
      <c r="Y430" s="402"/>
      <c r="Z430" s="402"/>
      <c r="AA430" s="402"/>
    </row>
    <row r="431">
      <c r="A431" s="455"/>
      <c r="B431" s="455"/>
      <c r="C431" s="455"/>
      <c r="D431" s="455"/>
      <c r="E431" s="402"/>
      <c r="F431" s="402"/>
      <c r="G431" s="402"/>
      <c r="H431" s="402"/>
      <c r="I431" s="402"/>
      <c r="J431" s="402"/>
      <c r="K431" s="402"/>
      <c r="L431" s="402"/>
      <c r="M431" s="402"/>
      <c r="N431" s="402"/>
      <c r="O431" s="402"/>
      <c r="P431" s="402"/>
      <c r="Q431" s="402"/>
      <c r="R431" s="402"/>
      <c r="S431" s="402"/>
      <c r="T431" s="402"/>
      <c r="U431" s="402"/>
      <c r="V431" s="402"/>
      <c r="W431" s="402"/>
      <c r="X431" s="402"/>
      <c r="Y431" s="402"/>
      <c r="Z431" s="402"/>
      <c r="AA431" s="402"/>
    </row>
    <row r="432">
      <c r="A432" s="455"/>
      <c r="B432" s="455"/>
      <c r="C432" s="455"/>
      <c r="D432" s="455"/>
      <c r="E432" s="402"/>
      <c r="F432" s="402"/>
      <c r="G432" s="402"/>
      <c r="H432" s="402"/>
      <c r="I432" s="402"/>
      <c r="J432" s="402"/>
      <c r="K432" s="402"/>
      <c r="L432" s="402"/>
      <c r="M432" s="402"/>
      <c r="N432" s="402"/>
      <c r="O432" s="402"/>
      <c r="P432" s="402"/>
      <c r="Q432" s="402"/>
      <c r="R432" s="402"/>
      <c r="S432" s="402"/>
      <c r="T432" s="402"/>
      <c r="U432" s="402"/>
      <c r="V432" s="402"/>
      <c r="W432" s="402"/>
      <c r="X432" s="402"/>
      <c r="Y432" s="402"/>
      <c r="Z432" s="402"/>
      <c r="AA432" s="402"/>
    </row>
    <row r="433">
      <c r="A433" s="455"/>
      <c r="B433" s="455"/>
      <c r="C433" s="455"/>
      <c r="D433" s="455"/>
      <c r="E433" s="402"/>
      <c r="F433" s="402"/>
      <c r="G433" s="402"/>
      <c r="H433" s="402"/>
      <c r="I433" s="402"/>
      <c r="J433" s="402"/>
      <c r="K433" s="402"/>
      <c r="L433" s="402"/>
      <c r="M433" s="402"/>
      <c r="N433" s="402"/>
      <c r="O433" s="402"/>
      <c r="P433" s="402"/>
      <c r="Q433" s="402"/>
      <c r="R433" s="402"/>
      <c r="S433" s="402"/>
      <c r="T433" s="402"/>
      <c r="U433" s="402"/>
      <c r="V433" s="402"/>
      <c r="W433" s="402"/>
      <c r="X433" s="402"/>
      <c r="Y433" s="402"/>
      <c r="Z433" s="402"/>
      <c r="AA433" s="402"/>
    </row>
    <row r="434">
      <c r="A434" s="455"/>
      <c r="B434" s="455"/>
      <c r="C434" s="455"/>
      <c r="D434" s="455"/>
      <c r="E434" s="402"/>
      <c r="F434" s="402"/>
      <c r="G434" s="402"/>
      <c r="H434" s="402"/>
      <c r="I434" s="402"/>
      <c r="J434" s="402"/>
      <c r="K434" s="402"/>
      <c r="L434" s="402"/>
      <c r="M434" s="402"/>
      <c r="N434" s="402"/>
      <c r="O434" s="402"/>
      <c r="P434" s="402"/>
      <c r="Q434" s="402"/>
      <c r="R434" s="402"/>
      <c r="S434" s="402"/>
      <c r="T434" s="402"/>
      <c r="U434" s="402"/>
      <c r="V434" s="402"/>
      <c r="W434" s="402"/>
      <c r="X434" s="402"/>
      <c r="Y434" s="402"/>
      <c r="Z434" s="402"/>
      <c r="AA434" s="402"/>
    </row>
    <row r="435">
      <c r="A435" s="455"/>
      <c r="B435" s="455"/>
      <c r="C435" s="455"/>
      <c r="D435" s="455"/>
      <c r="E435" s="402"/>
      <c r="F435" s="402"/>
      <c r="G435" s="402"/>
      <c r="H435" s="402"/>
      <c r="I435" s="402"/>
      <c r="J435" s="402"/>
      <c r="K435" s="402"/>
      <c r="L435" s="402"/>
      <c r="M435" s="402"/>
      <c r="N435" s="402"/>
      <c r="O435" s="402"/>
      <c r="P435" s="402"/>
      <c r="Q435" s="402"/>
      <c r="R435" s="402"/>
      <c r="S435" s="402"/>
      <c r="T435" s="402"/>
      <c r="U435" s="402"/>
      <c r="V435" s="402"/>
      <c r="W435" s="402"/>
      <c r="X435" s="402"/>
      <c r="Y435" s="402"/>
      <c r="Z435" s="402"/>
      <c r="AA435" s="402"/>
    </row>
    <row r="436">
      <c r="A436" s="455"/>
      <c r="B436" s="455"/>
      <c r="C436" s="455"/>
      <c r="D436" s="455"/>
      <c r="E436" s="402"/>
      <c r="F436" s="402"/>
      <c r="G436" s="402"/>
      <c r="H436" s="402"/>
      <c r="I436" s="402"/>
      <c r="J436" s="402"/>
      <c r="K436" s="402"/>
      <c r="L436" s="402"/>
      <c r="M436" s="402"/>
      <c r="N436" s="402"/>
      <c r="O436" s="402"/>
      <c r="P436" s="402"/>
      <c r="Q436" s="402"/>
      <c r="R436" s="402"/>
      <c r="S436" s="402"/>
      <c r="T436" s="402"/>
      <c r="U436" s="402"/>
      <c r="V436" s="402"/>
      <c r="W436" s="402"/>
      <c r="X436" s="402"/>
      <c r="Y436" s="402"/>
      <c r="Z436" s="402"/>
      <c r="AA436" s="402"/>
    </row>
    <row r="437">
      <c r="A437" s="455"/>
      <c r="B437" s="455"/>
      <c r="C437" s="455"/>
      <c r="D437" s="455"/>
      <c r="E437" s="402"/>
      <c r="F437" s="402"/>
      <c r="G437" s="402"/>
      <c r="H437" s="402"/>
      <c r="I437" s="402"/>
      <c r="J437" s="402"/>
      <c r="K437" s="402"/>
      <c r="L437" s="402"/>
      <c r="M437" s="402"/>
      <c r="N437" s="402"/>
      <c r="O437" s="402"/>
      <c r="P437" s="402"/>
      <c r="Q437" s="402"/>
      <c r="R437" s="402"/>
      <c r="S437" s="402"/>
      <c r="T437" s="402"/>
      <c r="U437" s="402"/>
      <c r="V437" s="402"/>
      <c r="W437" s="402"/>
      <c r="X437" s="402"/>
      <c r="Y437" s="402"/>
      <c r="Z437" s="402"/>
      <c r="AA437" s="402"/>
    </row>
    <row r="438">
      <c r="A438" s="455"/>
      <c r="B438" s="455"/>
      <c r="C438" s="455"/>
      <c r="D438" s="455"/>
      <c r="E438" s="402"/>
      <c r="F438" s="402"/>
      <c r="G438" s="402"/>
      <c r="H438" s="402"/>
      <c r="I438" s="402"/>
      <c r="J438" s="402"/>
      <c r="K438" s="402"/>
      <c r="L438" s="402"/>
      <c r="M438" s="402"/>
      <c r="N438" s="402"/>
      <c r="O438" s="402"/>
      <c r="P438" s="402"/>
      <c r="Q438" s="402"/>
      <c r="R438" s="402"/>
      <c r="S438" s="402"/>
      <c r="T438" s="402"/>
      <c r="U438" s="402"/>
      <c r="V438" s="402"/>
      <c r="W438" s="402"/>
      <c r="X438" s="402"/>
      <c r="Y438" s="402"/>
      <c r="Z438" s="402"/>
      <c r="AA438" s="402"/>
    </row>
    <row r="439">
      <c r="A439" s="455"/>
      <c r="B439" s="455"/>
      <c r="C439" s="455"/>
      <c r="D439" s="455"/>
      <c r="E439" s="402"/>
      <c r="F439" s="402"/>
      <c r="G439" s="402"/>
      <c r="H439" s="402"/>
      <c r="I439" s="402"/>
      <c r="J439" s="402"/>
      <c r="K439" s="402"/>
      <c r="L439" s="402"/>
      <c r="M439" s="402"/>
      <c r="N439" s="402"/>
      <c r="O439" s="402"/>
      <c r="P439" s="402"/>
      <c r="Q439" s="402"/>
      <c r="R439" s="402"/>
      <c r="S439" s="402"/>
      <c r="T439" s="402"/>
      <c r="U439" s="402"/>
      <c r="V439" s="402"/>
      <c r="W439" s="402"/>
      <c r="X439" s="402"/>
      <c r="Y439" s="402"/>
      <c r="Z439" s="402"/>
      <c r="AA439" s="402"/>
    </row>
    <row r="440">
      <c r="A440" s="455"/>
      <c r="B440" s="455"/>
      <c r="C440" s="455"/>
      <c r="D440" s="455"/>
      <c r="E440" s="402"/>
      <c r="F440" s="402"/>
      <c r="G440" s="402"/>
      <c r="H440" s="402"/>
      <c r="I440" s="402"/>
      <c r="J440" s="402"/>
      <c r="K440" s="402"/>
      <c r="L440" s="402"/>
      <c r="M440" s="402"/>
      <c r="N440" s="402"/>
      <c r="O440" s="402"/>
      <c r="P440" s="402"/>
      <c r="Q440" s="402"/>
      <c r="R440" s="402"/>
      <c r="S440" s="402"/>
      <c r="T440" s="402"/>
      <c r="U440" s="402"/>
      <c r="V440" s="402"/>
      <c r="W440" s="402"/>
      <c r="X440" s="402"/>
      <c r="Y440" s="402"/>
      <c r="Z440" s="402"/>
      <c r="AA440" s="402"/>
    </row>
    <row r="441">
      <c r="A441" s="455"/>
      <c r="B441" s="455"/>
      <c r="C441" s="455"/>
      <c r="D441" s="455"/>
      <c r="E441" s="402"/>
      <c r="F441" s="402"/>
      <c r="G441" s="402"/>
      <c r="H441" s="402"/>
      <c r="I441" s="402"/>
      <c r="J441" s="402"/>
      <c r="K441" s="402"/>
      <c r="L441" s="402"/>
      <c r="M441" s="402"/>
      <c r="N441" s="402"/>
      <c r="O441" s="402"/>
      <c r="P441" s="402"/>
      <c r="Q441" s="402"/>
      <c r="R441" s="402"/>
      <c r="S441" s="402"/>
      <c r="T441" s="402"/>
      <c r="U441" s="402"/>
      <c r="V441" s="402"/>
      <c r="W441" s="402"/>
      <c r="X441" s="402"/>
      <c r="Y441" s="402"/>
      <c r="Z441" s="402"/>
      <c r="AA441" s="402"/>
    </row>
    <row r="442">
      <c r="A442" s="455"/>
      <c r="B442" s="455"/>
      <c r="C442" s="455"/>
      <c r="D442" s="455"/>
      <c r="E442" s="402"/>
      <c r="F442" s="402"/>
      <c r="G442" s="402"/>
      <c r="H442" s="402"/>
      <c r="I442" s="402"/>
      <c r="J442" s="402"/>
      <c r="K442" s="402"/>
      <c r="L442" s="402"/>
      <c r="M442" s="402"/>
      <c r="N442" s="402"/>
      <c r="O442" s="402"/>
      <c r="P442" s="402"/>
      <c r="Q442" s="402"/>
      <c r="R442" s="402"/>
      <c r="S442" s="402"/>
      <c r="T442" s="402"/>
      <c r="U442" s="402"/>
      <c r="V442" s="402"/>
      <c r="W442" s="402"/>
      <c r="X442" s="402"/>
      <c r="Y442" s="402"/>
      <c r="Z442" s="402"/>
      <c r="AA442" s="402"/>
    </row>
    <row r="443">
      <c r="A443" s="455"/>
      <c r="B443" s="455"/>
      <c r="C443" s="455"/>
      <c r="D443" s="455"/>
      <c r="E443" s="402"/>
      <c r="F443" s="402"/>
      <c r="G443" s="402"/>
      <c r="H443" s="402"/>
      <c r="I443" s="402"/>
      <c r="J443" s="402"/>
      <c r="K443" s="402"/>
      <c r="L443" s="402"/>
      <c r="M443" s="402"/>
      <c r="N443" s="402"/>
      <c r="O443" s="402"/>
      <c r="P443" s="402"/>
      <c r="Q443" s="402"/>
      <c r="R443" s="402"/>
      <c r="S443" s="402"/>
      <c r="T443" s="402"/>
      <c r="U443" s="402"/>
      <c r="V443" s="402"/>
      <c r="W443" s="402"/>
      <c r="X443" s="402"/>
      <c r="Y443" s="402"/>
      <c r="Z443" s="402"/>
      <c r="AA443" s="402"/>
    </row>
    <row r="444">
      <c r="A444" s="455"/>
      <c r="B444" s="455"/>
      <c r="C444" s="455"/>
      <c r="D444" s="455"/>
      <c r="E444" s="402"/>
      <c r="F444" s="402"/>
      <c r="G444" s="402"/>
      <c r="H444" s="402"/>
      <c r="I444" s="402"/>
      <c r="J444" s="402"/>
      <c r="K444" s="402"/>
      <c r="L444" s="402"/>
      <c r="M444" s="402"/>
      <c r="N444" s="402"/>
      <c r="O444" s="402"/>
      <c r="P444" s="402"/>
      <c r="Q444" s="402"/>
      <c r="R444" s="402"/>
      <c r="S444" s="402"/>
      <c r="T444" s="402"/>
      <c r="U444" s="402"/>
      <c r="V444" s="402"/>
      <c r="W444" s="402"/>
      <c r="X444" s="402"/>
      <c r="Y444" s="402"/>
      <c r="Z444" s="402"/>
      <c r="AA444" s="402"/>
    </row>
    <row r="445">
      <c r="A445" s="455"/>
      <c r="B445" s="455"/>
      <c r="C445" s="455"/>
      <c r="D445" s="455"/>
      <c r="E445" s="402"/>
      <c r="F445" s="402"/>
      <c r="G445" s="402"/>
      <c r="H445" s="402"/>
      <c r="I445" s="402"/>
      <c r="J445" s="402"/>
      <c r="K445" s="402"/>
      <c r="L445" s="402"/>
      <c r="M445" s="402"/>
      <c r="N445" s="402"/>
      <c r="O445" s="402"/>
      <c r="P445" s="402"/>
      <c r="Q445" s="402"/>
      <c r="R445" s="402"/>
      <c r="S445" s="402"/>
      <c r="T445" s="402"/>
      <c r="U445" s="402"/>
      <c r="V445" s="402"/>
      <c r="W445" s="402"/>
      <c r="X445" s="402"/>
      <c r="Y445" s="402"/>
      <c r="Z445" s="402"/>
      <c r="AA445" s="402"/>
    </row>
    <row r="446">
      <c r="A446" s="455"/>
      <c r="B446" s="455"/>
      <c r="C446" s="455"/>
      <c r="D446" s="455"/>
      <c r="E446" s="402"/>
      <c r="F446" s="402"/>
      <c r="G446" s="402"/>
      <c r="H446" s="402"/>
      <c r="I446" s="402"/>
      <c r="J446" s="402"/>
      <c r="K446" s="402"/>
      <c r="L446" s="402"/>
      <c r="M446" s="402"/>
      <c r="N446" s="402"/>
      <c r="O446" s="402"/>
      <c r="P446" s="402"/>
      <c r="Q446" s="402"/>
      <c r="R446" s="402"/>
      <c r="S446" s="402"/>
      <c r="T446" s="402"/>
      <c r="U446" s="402"/>
      <c r="V446" s="402"/>
      <c r="W446" s="402"/>
      <c r="X446" s="402"/>
      <c r="Y446" s="402"/>
      <c r="Z446" s="402"/>
      <c r="AA446" s="402"/>
    </row>
    <row r="447">
      <c r="A447" s="455"/>
      <c r="B447" s="455"/>
      <c r="C447" s="455"/>
      <c r="D447" s="455"/>
      <c r="E447" s="402"/>
      <c r="F447" s="402"/>
      <c r="G447" s="402"/>
      <c r="H447" s="402"/>
      <c r="I447" s="402"/>
      <c r="J447" s="402"/>
      <c r="K447" s="402"/>
      <c r="L447" s="402"/>
      <c r="M447" s="402"/>
      <c r="N447" s="402"/>
      <c r="O447" s="402"/>
      <c r="P447" s="402"/>
      <c r="Q447" s="402"/>
      <c r="R447" s="402"/>
      <c r="S447" s="402"/>
      <c r="T447" s="402"/>
      <c r="U447" s="402"/>
      <c r="V447" s="402"/>
      <c r="W447" s="402"/>
      <c r="X447" s="402"/>
      <c r="Y447" s="402"/>
      <c r="Z447" s="402"/>
      <c r="AA447" s="402"/>
    </row>
    <row r="448">
      <c r="A448" s="455"/>
      <c r="B448" s="455"/>
      <c r="C448" s="455"/>
      <c r="D448" s="455"/>
      <c r="E448" s="402"/>
      <c r="F448" s="402"/>
      <c r="G448" s="402"/>
      <c r="H448" s="402"/>
      <c r="I448" s="402"/>
      <c r="J448" s="402"/>
      <c r="K448" s="402"/>
      <c r="L448" s="402"/>
      <c r="M448" s="402"/>
      <c r="N448" s="402"/>
      <c r="O448" s="402"/>
      <c r="P448" s="402"/>
      <c r="Q448" s="402"/>
      <c r="R448" s="402"/>
      <c r="S448" s="402"/>
      <c r="T448" s="402"/>
      <c r="U448" s="402"/>
      <c r="V448" s="402"/>
      <c r="W448" s="402"/>
      <c r="X448" s="402"/>
      <c r="Y448" s="402"/>
      <c r="Z448" s="402"/>
      <c r="AA448" s="402"/>
    </row>
    <row r="449">
      <c r="A449" s="455"/>
      <c r="B449" s="455"/>
      <c r="C449" s="455"/>
      <c r="D449" s="455"/>
      <c r="E449" s="402"/>
      <c r="F449" s="402"/>
      <c r="G449" s="402"/>
      <c r="H449" s="402"/>
      <c r="I449" s="402"/>
      <c r="J449" s="402"/>
      <c r="K449" s="402"/>
      <c r="L449" s="402"/>
      <c r="M449" s="402"/>
      <c r="N449" s="402"/>
      <c r="O449" s="402"/>
      <c r="P449" s="402"/>
      <c r="Q449" s="402"/>
      <c r="R449" s="402"/>
      <c r="S449" s="402"/>
      <c r="T449" s="402"/>
      <c r="U449" s="402"/>
      <c r="V449" s="402"/>
      <c r="W449" s="402"/>
      <c r="X449" s="402"/>
      <c r="Y449" s="402"/>
      <c r="Z449" s="402"/>
      <c r="AA449" s="402"/>
    </row>
    <row r="450">
      <c r="A450" s="455"/>
      <c r="B450" s="455"/>
      <c r="C450" s="455"/>
      <c r="D450" s="455"/>
      <c r="E450" s="402"/>
      <c r="F450" s="402"/>
      <c r="G450" s="402"/>
      <c r="H450" s="402"/>
      <c r="I450" s="402"/>
      <c r="J450" s="402"/>
      <c r="K450" s="402"/>
      <c r="L450" s="402"/>
      <c r="M450" s="402"/>
      <c r="N450" s="402"/>
      <c r="O450" s="402"/>
      <c r="P450" s="402"/>
      <c r="Q450" s="402"/>
      <c r="R450" s="402"/>
      <c r="S450" s="402"/>
      <c r="T450" s="402"/>
      <c r="U450" s="402"/>
      <c r="V450" s="402"/>
      <c r="W450" s="402"/>
      <c r="X450" s="402"/>
      <c r="Y450" s="402"/>
      <c r="Z450" s="402"/>
      <c r="AA450" s="402"/>
    </row>
    <row r="451">
      <c r="A451" s="455"/>
      <c r="B451" s="455"/>
      <c r="C451" s="455"/>
      <c r="D451" s="455"/>
      <c r="E451" s="402"/>
      <c r="F451" s="402"/>
      <c r="G451" s="402"/>
      <c r="H451" s="402"/>
      <c r="I451" s="402"/>
      <c r="J451" s="402"/>
      <c r="K451" s="402"/>
      <c r="L451" s="402"/>
      <c r="M451" s="402"/>
      <c r="N451" s="402"/>
      <c r="O451" s="402"/>
      <c r="P451" s="402"/>
      <c r="Q451" s="402"/>
      <c r="R451" s="402"/>
      <c r="S451" s="402"/>
      <c r="T451" s="402"/>
      <c r="U451" s="402"/>
      <c r="V451" s="402"/>
      <c r="W451" s="402"/>
      <c r="X451" s="402"/>
      <c r="Y451" s="402"/>
      <c r="Z451" s="402"/>
      <c r="AA451" s="402"/>
    </row>
    <row r="452">
      <c r="A452" s="455"/>
      <c r="B452" s="455"/>
      <c r="C452" s="455"/>
      <c r="D452" s="455"/>
      <c r="E452" s="402"/>
      <c r="F452" s="402"/>
      <c r="G452" s="402"/>
      <c r="H452" s="402"/>
      <c r="I452" s="402"/>
      <c r="J452" s="402"/>
      <c r="K452" s="402"/>
      <c r="L452" s="402"/>
      <c r="M452" s="402"/>
      <c r="N452" s="402"/>
      <c r="O452" s="402"/>
      <c r="P452" s="402"/>
      <c r="Q452" s="402"/>
      <c r="R452" s="402"/>
      <c r="S452" s="402"/>
      <c r="T452" s="402"/>
      <c r="U452" s="402"/>
      <c r="V452" s="402"/>
      <c r="W452" s="402"/>
      <c r="X452" s="402"/>
      <c r="Y452" s="402"/>
      <c r="Z452" s="402"/>
      <c r="AA452" s="402"/>
    </row>
    <row r="453">
      <c r="A453" s="455"/>
      <c r="B453" s="455"/>
      <c r="C453" s="455"/>
      <c r="D453" s="455"/>
      <c r="E453" s="402"/>
      <c r="F453" s="402"/>
      <c r="G453" s="402"/>
      <c r="H453" s="402"/>
      <c r="I453" s="402"/>
      <c r="J453" s="402"/>
      <c r="K453" s="402"/>
      <c r="L453" s="402"/>
      <c r="M453" s="402"/>
      <c r="N453" s="402"/>
      <c r="O453" s="402"/>
      <c r="P453" s="402"/>
      <c r="Q453" s="402"/>
      <c r="R453" s="402"/>
      <c r="S453" s="402"/>
      <c r="T453" s="402"/>
      <c r="U453" s="402"/>
      <c r="V453" s="402"/>
      <c r="W453" s="402"/>
      <c r="X453" s="402"/>
      <c r="Y453" s="402"/>
      <c r="Z453" s="402"/>
      <c r="AA453" s="402"/>
    </row>
    <row r="454">
      <c r="A454" s="455"/>
      <c r="B454" s="455"/>
      <c r="C454" s="455"/>
      <c r="D454" s="455"/>
      <c r="E454" s="402"/>
      <c r="F454" s="402"/>
      <c r="G454" s="402"/>
      <c r="H454" s="402"/>
      <c r="I454" s="402"/>
      <c r="J454" s="402"/>
      <c r="K454" s="402"/>
      <c r="L454" s="402"/>
      <c r="M454" s="402"/>
      <c r="N454" s="402"/>
      <c r="O454" s="402"/>
      <c r="P454" s="402"/>
      <c r="Q454" s="402"/>
      <c r="R454" s="402"/>
      <c r="S454" s="402"/>
      <c r="T454" s="402"/>
      <c r="U454" s="402"/>
      <c r="V454" s="402"/>
      <c r="W454" s="402"/>
      <c r="X454" s="402"/>
      <c r="Y454" s="402"/>
      <c r="Z454" s="402"/>
      <c r="AA454" s="402"/>
    </row>
    <row r="455">
      <c r="A455" s="455"/>
      <c r="B455" s="455"/>
      <c r="C455" s="455"/>
      <c r="D455" s="455"/>
      <c r="E455" s="402"/>
      <c r="F455" s="402"/>
      <c r="G455" s="402"/>
      <c r="H455" s="402"/>
      <c r="I455" s="402"/>
      <c r="J455" s="402"/>
      <c r="K455" s="402"/>
      <c r="L455" s="402"/>
      <c r="M455" s="402"/>
      <c r="N455" s="402"/>
      <c r="O455" s="402"/>
      <c r="P455" s="402"/>
      <c r="Q455" s="402"/>
      <c r="R455" s="402"/>
      <c r="S455" s="402"/>
      <c r="T455" s="402"/>
      <c r="U455" s="402"/>
      <c r="V455" s="402"/>
      <c r="W455" s="402"/>
      <c r="X455" s="402"/>
      <c r="Y455" s="402"/>
      <c r="Z455" s="402"/>
      <c r="AA455" s="402"/>
    </row>
    <row r="456">
      <c r="A456" s="455"/>
      <c r="B456" s="455"/>
      <c r="C456" s="455"/>
      <c r="D456" s="455"/>
      <c r="E456" s="402"/>
      <c r="F456" s="402"/>
      <c r="G456" s="402"/>
      <c r="H456" s="402"/>
      <c r="I456" s="402"/>
      <c r="J456" s="402"/>
      <c r="K456" s="402"/>
      <c r="L456" s="402"/>
      <c r="M456" s="402"/>
      <c r="N456" s="402"/>
      <c r="O456" s="402"/>
      <c r="P456" s="402"/>
      <c r="Q456" s="402"/>
      <c r="R456" s="402"/>
      <c r="S456" s="402"/>
      <c r="T456" s="402"/>
      <c r="U456" s="402"/>
      <c r="V456" s="402"/>
      <c r="W456" s="402"/>
      <c r="X456" s="402"/>
      <c r="Y456" s="402"/>
      <c r="Z456" s="402"/>
      <c r="AA456" s="402"/>
    </row>
    <row r="457">
      <c r="A457" s="455"/>
      <c r="B457" s="455"/>
      <c r="C457" s="455"/>
      <c r="D457" s="455"/>
      <c r="E457" s="402"/>
      <c r="F457" s="402"/>
      <c r="G457" s="402"/>
      <c r="H457" s="402"/>
      <c r="I457" s="402"/>
      <c r="J457" s="402"/>
      <c r="K457" s="402"/>
      <c r="L457" s="402"/>
      <c r="M457" s="402"/>
      <c r="N457" s="402"/>
      <c r="O457" s="402"/>
      <c r="P457" s="402"/>
      <c r="Q457" s="402"/>
      <c r="R457" s="402"/>
      <c r="S457" s="402"/>
      <c r="T457" s="402"/>
      <c r="U457" s="402"/>
      <c r="V457" s="402"/>
      <c r="W457" s="402"/>
      <c r="X457" s="402"/>
      <c r="Y457" s="402"/>
      <c r="Z457" s="402"/>
      <c r="AA457" s="402"/>
    </row>
    <row r="458">
      <c r="A458" s="455"/>
      <c r="B458" s="455"/>
      <c r="C458" s="455"/>
      <c r="D458" s="455"/>
      <c r="E458" s="402"/>
      <c r="F458" s="402"/>
      <c r="G458" s="402"/>
      <c r="H458" s="402"/>
      <c r="I458" s="402"/>
      <c r="J458" s="402"/>
      <c r="K458" s="402"/>
      <c r="L458" s="402"/>
      <c r="M458" s="402"/>
      <c r="N458" s="402"/>
      <c r="O458" s="402"/>
      <c r="P458" s="402"/>
      <c r="Q458" s="402"/>
      <c r="R458" s="402"/>
      <c r="S458" s="402"/>
      <c r="T458" s="402"/>
      <c r="U458" s="402"/>
      <c r="V458" s="402"/>
      <c r="W458" s="402"/>
      <c r="X458" s="402"/>
      <c r="Y458" s="402"/>
      <c r="Z458" s="402"/>
      <c r="AA458" s="402"/>
    </row>
    <row r="459">
      <c r="A459" s="455"/>
      <c r="B459" s="455"/>
      <c r="C459" s="455"/>
      <c r="D459" s="455"/>
      <c r="E459" s="402"/>
      <c r="F459" s="402"/>
      <c r="G459" s="402"/>
      <c r="H459" s="402"/>
      <c r="I459" s="402"/>
      <c r="J459" s="402"/>
      <c r="K459" s="402"/>
      <c r="L459" s="402"/>
      <c r="M459" s="402"/>
      <c r="N459" s="402"/>
      <c r="O459" s="402"/>
      <c r="P459" s="402"/>
      <c r="Q459" s="402"/>
      <c r="R459" s="402"/>
      <c r="S459" s="402"/>
      <c r="T459" s="402"/>
      <c r="U459" s="402"/>
      <c r="V459" s="402"/>
      <c r="W459" s="402"/>
      <c r="X459" s="402"/>
      <c r="Y459" s="402"/>
      <c r="Z459" s="402"/>
      <c r="AA459" s="402"/>
    </row>
    <row r="460">
      <c r="A460" s="455"/>
      <c r="B460" s="455"/>
      <c r="C460" s="455"/>
      <c r="D460" s="455"/>
      <c r="E460" s="402"/>
      <c r="F460" s="402"/>
      <c r="G460" s="402"/>
      <c r="H460" s="402"/>
      <c r="I460" s="402"/>
      <c r="J460" s="402"/>
      <c r="K460" s="402"/>
      <c r="L460" s="402"/>
      <c r="M460" s="402"/>
      <c r="N460" s="402"/>
      <c r="O460" s="402"/>
      <c r="P460" s="402"/>
      <c r="Q460" s="402"/>
      <c r="R460" s="402"/>
      <c r="S460" s="402"/>
      <c r="T460" s="402"/>
      <c r="U460" s="402"/>
      <c r="V460" s="402"/>
      <c r="W460" s="402"/>
      <c r="X460" s="402"/>
      <c r="Y460" s="402"/>
      <c r="Z460" s="402"/>
      <c r="AA460" s="402"/>
    </row>
    <row r="461">
      <c r="A461" s="455"/>
      <c r="B461" s="455"/>
      <c r="C461" s="455"/>
      <c r="D461" s="455"/>
      <c r="E461" s="402"/>
      <c r="F461" s="402"/>
      <c r="G461" s="402"/>
      <c r="H461" s="402"/>
      <c r="I461" s="402"/>
      <c r="J461" s="402"/>
      <c r="K461" s="402"/>
      <c r="L461" s="402"/>
      <c r="M461" s="402"/>
      <c r="N461" s="402"/>
      <c r="O461" s="402"/>
      <c r="P461" s="402"/>
      <c r="Q461" s="402"/>
      <c r="R461" s="402"/>
      <c r="S461" s="402"/>
      <c r="T461" s="402"/>
      <c r="U461" s="402"/>
      <c r="V461" s="402"/>
      <c r="W461" s="402"/>
      <c r="X461" s="402"/>
      <c r="Y461" s="402"/>
      <c r="Z461" s="402"/>
      <c r="AA461" s="402"/>
    </row>
    <row r="462">
      <c r="A462" s="455"/>
      <c r="B462" s="455"/>
      <c r="C462" s="455"/>
      <c r="D462" s="455"/>
      <c r="E462" s="402"/>
      <c r="F462" s="402"/>
      <c r="G462" s="402"/>
      <c r="H462" s="402"/>
      <c r="I462" s="402"/>
      <c r="J462" s="402"/>
      <c r="K462" s="402"/>
      <c r="L462" s="402"/>
      <c r="M462" s="402"/>
      <c r="N462" s="402"/>
      <c r="O462" s="402"/>
      <c r="P462" s="402"/>
      <c r="Q462" s="402"/>
      <c r="R462" s="402"/>
      <c r="S462" s="402"/>
      <c r="T462" s="402"/>
      <c r="U462" s="402"/>
      <c r="V462" s="402"/>
      <c r="W462" s="402"/>
      <c r="X462" s="402"/>
      <c r="Y462" s="402"/>
      <c r="Z462" s="402"/>
      <c r="AA462" s="402"/>
    </row>
    <row r="463">
      <c r="A463" s="455"/>
      <c r="B463" s="455"/>
      <c r="C463" s="455"/>
      <c r="D463" s="455"/>
      <c r="E463" s="402"/>
      <c r="F463" s="402"/>
      <c r="G463" s="402"/>
      <c r="H463" s="402"/>
      <c r="I463" s="402"/>
      <c r="J463" s="402"/>
      <c r="K463" s="402"/>
      <c r="L463" s="402"/>
      <c r="M463" s="402"/>
      <c r="N463" s="402"/>
      <c r="O463" s="402"/>
      <c r="P463" s="402"/>
      <c r="Q463" s="402"/>
      <c r="R463" s="402"/>
      <c r="S463" s="402"/>
      <c r="T463" s="402"/>
      <c r="U463" s="402"/>
      <c r="V463" s="402"/>
      <c r="W463" s="402"/>
      <c r="X463" s="402"/>
      <c r="Y463" s="402"/>
      <c r="Z463" s="402"/>
      <c r="AA463" s="402"/>
    </row>
    <row r="464">
      <c r="A464" s="455"/>
      <c r="B464" s="455"/>
      <c r="C464" s="455"/>
      <c r="D464" s="455"/>
      <c r="E464" s="402"/>
      <c r="F464" s="402"/>
      <c r="G464" s="402"/>
      <c r="H464" s="402"/>
      <c r="I464" s="402"/>
      <c r="J464" s="402"/>
      <c r="K464" s="402"/>
      <c r="L464" s="402"/>
      <c r="M464" s="402"/>
      <c r="N464" s="402"/>
      <c r="O464" s="402"/>
      <c r="P464" s="402"/>
      <c r="Q464" s="402"/>
      <c r="R464" s="402"/>
      <c r="S464" s="402"/>
      <c r="T464" s="402"/>
      <c r="U464" s="402"/>
      <c r="V464" s="402"/>
      <c r="W464" s="402"/>
      <c r="X464" s="402"/>
      <c r="Y464" s="402"/>
      <c r="Z464" s="402"/>
      <c r="AA464" s="402"/>
    </row>
    <row r="465">
      <c r="A465" s="455"/>
      <c r="B465" s="455"/>
      <c r="C465" s="455"/>
      <c r="D465" s="455"/>
      <c r="E465" s="402"/>
      <c r="F465" s="402"/>
      <c r="G465" s="402"/>
      <c r="H465" s="402"/>
      <c r="I465" s="402"/>
      <c r="J465" s="402"/>
      <c r="K465" s="402"/>
      <c r="L465" s="402"/>
      <c r="M465" s="402"/>
      <c r="N465" s="402"/>
      <c r="O465" s="402"/>
      <c r="P465" s="402"/>
      <c r="Q465" s="402"/>
      <c r="R465" s="402"/>
      <c r="S465" s="402"/>
      <c r="T465" s="402"/>
      <c r="U465" s="402"/>
      <c r="V465" s="402"/>
      <c r="W465" s="402"/>
      <c r="X465" s="402"/>
      <c r="Y465" s="402"/>
      <c r="Z465" s="402"/>
      <c r="AA465" s="402"/>
    </row>
    <row r="466">
      <c r="A466" s="455"/>
      <c r="B466" s="455"/>
      <c r="C466" s="455"/>
      <c r="D466" s="455"/>
      <c r="E466" s="402"/>
      <c r="F466" s="402"/>
      <c r="G466" s="402"/>
      <c r="H466" s="402"/>
      <c r="I466" s="402"/>
      <c r="J466" s="402"/>
      <c r="K466" s="402"/>
      <c r="L466" s="402"/>
      <c r="M466" s="402"/>
      <c r="N466" s="402"/>
      <c r="O466" s="402"/>
      <c r="P466" s="402"/>
      <c r="Q466" s="402"/>
      <c r="R466" s="402"/>
      <c r="S466" s="402"/>
      <c r="T466" s="402"/>
      <c r="U466" s="402"/>
      <c r="V466" s="402"/>
      <c r="W466" s="402"/>
      <c r="X466" s="402"/>
      <c r="Y466" s="402"/>
      <c r="Z466" s="402"/>
      <c r="AA466" s="402"/>
    </row>
    <row r="467">
      <c r="A467" s="455"/>
      <c r="B467" s="455"/>
      <c r="C467" s="455"/>
      <c r="D467" s="455"/>
      <c r="E467" s="402"/>
      <c r="F467" s="402"/>
      <c r="G467" s="402"/>
      <c r="H467" s="402"/>
      <c r="I467" s="402"/>
      <c r="J467" s="402"/>
      <c r="K467" s="402"/>
      <c r="L467" s="402"/>
      <c r="M467" s="402"/>
      <c r="N467" s="402"/>
      <c r="O467" s="402"/>
      <c r="P467" s="402"/>
      <c r="Q467" s="402"/>
      <c r="R467" s="402"/>
      <c r="S467" s="402"/>
      <c r="T467" s="402"/>
      <c r="U467" s="402"/>
      <c r="V467" s="402"/>
      <c r="W467" s="402"/>
      <c r="X467" s="402"/>
      <c r="Y467" s="402"/>
      <c r="Z467" s="402"/>
      <c r="AA467" s="402"/>
    </row>
    <row r="468">
      <c r="A468" s="455"/>
      <c r="B468" s="455"/>
      <c r="C468" s="455"/>
      <c r="D468" s="455"/>
      <c r="E468" s="402"/>
      <c r="F468" s="402"/>
      <c r="G468" s="402"/>
      <c r="H468" s="402"/>
      <c r="I468" s="402"/>
      <c r="J468" s="402"/>
      <c r="K468" s="402"/>
      <c r="L468" s="402"/>
      <c r="M468" s="402"/>
      <c r="N468" s="402"/>
      <c r="O468" s="402"/>
      <c r="P468" s="402"/>
      <c r="Q468" s="402"/>
      <c r="R468" s="402"/>
      <c r="S468" s="402"/>
      <c r="T468" s="402"/>
      <c r="U468" s="402"/>
      <c r="V468" s="402"/>
      <c r="W468" s="402"/>
      <c r="X468" s="402"/>
      <c r="Y468" s="402"/>
      <c r="Z468" s="402"/>
      <c r="AA468" s="402"/>
    </row>
    <row r="469">
      <c r="A469" s="455"/>
      <c r="B469" s="455"/>
      <c r="C469" s="455"/>
      <c r="D469" s="455"/>
      <c r="E469" s="402"/>
      <c r="F469" s="402"/>
      <c r="G469" s="402"/>
      <c r="H469" s="402"/>
      <c r="I469" s="402"/>
      <c r="J469" s="402"/>
      <c r="K469" s="402"/>
      <c r="L469" s="402"/>
      <c r="M469" s="402"/>
      <c r="N469" s="402"/>
      <c r="O469" s="402"/>
      <c r="P469" s="402"/>
      <c r="Q469" s="402"/>
      <c r="R469" s="402"/>
      <c r="S469" s="402"/>
      <c r="T469" s="402"/>
      <c r="U469" s="402"/>
      <c r="V469" s="402"/>
      <c r="W469" s="402"/>
      <c r="X469" s="402"/>
      <c r="Y469" s="402"/>
      <c r="Z469" s="402"/>
      <c r="AA469" s="402"/>
    </row>
    <row r="470">
      <c r="A470" s="455"/>
      <c r="B470" s="455"/>
      <c r="C470" s="455"/>
      <c r="D470" s="455"/>
      <c r="E470" s="402"/>
      <c r="F470" s="402"/>
      <c r="G470" s="402"/>
      <c r="H470" s="402"/>
      <c r="I470" s="402"/>
      <c r="J470" s="402"/>
      <c r="K470" s="402"/>
      <c r="L470" s="402"/>
      <c r="M470" s="402"/>
      <c r="N470" s="402"/>
      <c r="O470" s="402"/>
      <c r="P470" s="402"/>
      <c r="Q470" s="402"/>
      <c r="R470" s="402"/>
      <c r="S470" s="402"/>
      <c r="T470" s="402"/>
      <c r="U470" s="402"/>
      <c r="V470" s="402"/>
      <c r="W470" s="402"/>
      <c r="X470" s="402"/>
      <c r="Y470" s="402"/>
      <c r="Z470" s="402"/>
      <c r="AA470" s="402"/>
    </row>
    <row r="471">
      <c r="A471" s="455"/>
      <c r="B471" s="455"/>
      <c r="C471" s="455"/>
      <c r="D471" s="455"/>
      <c r="E471" s="402"/>
      <c r="F471" s="402"/>
      <c r="G471" s="402"/>
      <c r="H471" s="402"/>
      <c r="I471" s="402"/>
      <c r="J471" s="402"/>
      <c r="K471" s="402"/>
      <c r="L471" s="402"/>
      <c r="M471" s="402"/>
      <c r="N471" s="402"/>
      <c r="O471" s="402"/>
      <c r="P471" s="402"/>
      <c r="Q471" s="402"/>
      <c r="R471" s="402"/>
      <c r="S471" s="402"/>
      <c r="T471" s="402"/>
      <c r="U471" s="402"/>
      <c r="V471" s="402"/>
      <c r="W471" s="402"/>
      <c r="X471" s="402"/>
      <c r="Y471" s="402"/>
      <c r="Z471" s="402"/>
      <c r="AA471" s="402"/>
    </row>
    <row r="472">
      <c r="A472" s="455"/>
      <c r="B472" s="455"/>
      <c r="C472" s="455"/>
      <c r="D472" s="455"/>
      <c r="E472" s="402"/>
      <c r="F472" s="402"/>
      <c r="G472" s="402"/>
      <c r="H472" s="402"/>
      <c r="I472" s="402"/>
      <c r="J472" s="402"/>
      <c r="K472" s="402"/>
      <c r="L472" s="402"/>
      <c r="M472" s="402"/>
      <c r="N472" s="402"/>
      <c r="O472" s="402"/>
      <c r="P472" s="402"/>
      <c r="Q472" s="402"/>
      <c r="R472" s="402"/>
      <c r="S472" s="402"/>
      <c r="T472" s="402"/>
      <c r="U472" s="402"/>
      <c r="V472" s="402"/>
      <c r="W472" s="402"/>
      <c r="X472" s="402"/>
      <c r="Y472" s="402"/>
      <c r="Z472" s="402"/>
      <c r="AA472" s="402"/>
    </row>
    <row r="473">
      <c r="A473" s="455"/>
      <c r="B473" s="455"/>
      <c r="C473" s="455"/>
      <c r="D473" s="455"/>
      <c r="E473" s="402"/>
      <c r="F473" s="402"/>
      <c r="G473" s="402"/>
      <c r="H473" s="402"/>
      <c r="I473" s="402"/>
      <c r="J473" s="402"/>
      <c r="K473" s="402"/>
      <c r="L473" s="402"/>
      <c r="M473" s="402"/>
      <c r="N473" s="402"/>
      <c r="O473" s="402"/>
      <c r="P473" s="402"/>
      <c r="Q473" s="402"/>
      <c r="R473" s="402"/>
      <c r="S473" s="402"/>
      <c r="T473" s="402"/>
      <c r="U473" s="402"/>
      <c r="V473" s="402"/>
      <c r="W473" s="402"/>
      <c r="X473" s="402"/>
      <c r="Y473" s="402"/>
      <c r="Z473" s="402"/>
      <c r="AA473" s="402"/>
    </row>
    <row r="474">
      <c r="A474" s="455"/>
      <c r="B474" s="455"/>
      <c r="C474" s="455"/>
      <c r="D474" s="455"/>
      <c r="E474" s="402"/>
      <c r="F474" s="402"/>
      <c r="G474" s="402"/>
      <c r="H474" s="402"/>
      <c r="I474" s="402"/>
      <c r="J474" s="402"/>
      <c r="K474" s="402"/>
      <c r="L474" s="402"/>
      <c r="M474" s="402"/>
      <c r="N474" s="402"/>
      <c r="O474" s="402"/>
      <c r="P474" s="402"/>
      <c r="Q474" s="402"/>
      <c r="R474" s="402"/>
      <c r="S474" s="402"/>
      <c r="T474" s="402"/>
      <c r="U474" s="402"/>
      <c r="V474" s="402"/>
      <c r="W474" s="402"/>
      <c r="X474" s="402"/>
      <c r="Y474" s="402"/>
      <c r="Z474" s="402"/>
      <c r="AA474" s="402"/>
    </row>
    <row r="475">
      <c r="A475" s="455"/>
      <c r="B475" s="455"/>
      <c r="C475" s="455"/>
      <c r="D475" s="455"/>
      <c r="E475" s="402"/>
      <c r="F475" s="402"/>
      <c r="G475" s="402"/>
      <c r="H475" s="402"/>
      <c r="I475" s="402"/>
      <c r="J475" s="402"/>
      <c r="K475" s="402"/>
      <c r="L475" s="402"/>
      <c r="M475" s="402"/>
      <c r="N475" s="402"/>
      <c r="O475" s="402"/>
      <c r="P475" s="402"/>
      <c r="Q475" s="402"/>
      <c r="R475" s="402"/>
      <c r="S475" s="402"/>
      <c r="T475" s="402"/>
      <c r="U475" s="402"/>
      <c r="V475" s="402"/>
      <c r="W475" s="402"/>
      <c r="X475" s="402"/>
      <c r="Y475" s="402"/>
      <c r="Z475" s="402"/>
      <c r="AA475" s="402"/>
    </row>
    <row r="476">
      <c r="A476" s="455"/>
      <c r="B476" s="455"/>
      <c r="C476" s="455"/>
      <c r="D476" s="455"/>
      <c r="E476" s="402"/>
      <c r="F476" s="402"/>
      <c r="G476" s="402"/>
      <c r="H476" s="402"/>
      <c r="I476" s="402"/>
      <c r="J476" s="402"/>
      <c r="K476" s="402"/>
      <c r="L476" s="402"/>
      <c r="M476" s="402"/>
      <c r="N476" s="402"/>
      <c r="O476" s="402"/>
      <c r="P476" s="402"/>
      <c r="Q476" s="402"/>
      <c r="R476" s="402"/>
      <c r="S476" s="402"/>
      <c r="T476" s="402"/>
      <c r="U476" s="402"/>
      <c r="V476" s="402"/>
      <c r="W476" s="402"/>
      <c r="X476" s="402"/>
      <c r="Y476" s="402"/>
      <c r="Z476" s="402"/>
      <c r="AA476" s="402"/>
    </row>
    <row r="477">
      <c r="A477" s="455"/>
      <c r="B477" s="455"/>
      <c r="C477" s="455"/>
      <c r="D477" s="455"/>
      <c r="E477" s="402"/>
      <c r="F477" s="402"/>
      <c r="G477" s="402"/>
      <c r="H477" s="402"/>
      <c r="I477" s="402"/>
      <c r="J477" s="402"/>
      <c r="K477" s="402"/>
      <c r="L477" s="402"/>
      <c r="M477" s="402"/>
      <c r="N477" s="402"/>
      <c r="O477" s="402"/>
      <c r="P477" s="402"/>
      <c r="Q477" s="402"/>
      <c r="R477" s="402"/>
      <c r="S477" s="402"/>
      <c r="T477" s="402"/>
      <c r="U477" s="402"/>
      <c r="V477" s="402"/>
      <c r="W477" s="402"/>
      <c r="X477" s="402"/>
      <c r="Y477" s="402"/>
      <c r="Z477" s="402"/>
      <c r="AA477" s="402"/>
    </row>
    <row r="478">
      <c r="A478" s="455"/>
      <c r="B478" s="455"/>
      <c r="C478" s="455"/>
      <c r="D478" s="455"/>
      <c r="E478" s="402"/>
      <c r="F478" s="402"/>
      <c r="G478" s="402"/>
      <c r="H478" s="402"/>
      <c r="I478" s="402"/>
      <c r="J478" s="402"/>
      <c r="K478" s="402"/>
      <c r="L478" s="402"/>
      <c r="M478" s="402"/>
      <c r="N478" s="402"/>
      <c r="O478" s="402"/>
      <c r="P478" s="402"/>
      <c r="Q478" s="402"/>
      <c r="R478" s="402"/>
      <c r="S478" s="402"/>
      <c r="T478" s="402"/>
      <c r="U478" s="402"/>
      <c r="V478" s="402"/>
      <c r="W478" s="402"/>
      <c r="X478" s="402"/>
      <c r="Y478" s="402"/>
      <c r="Z478" s="402"/>
      <c r="AA478" s="402"/>
    </row>
    <row r="479">
      <c r="A479" s="455"/>
      <c r="B479" s="455"/>
      <c r="C479" s="455"/>
      <c r="D479" s="455"/>
      <c r="E479" s="402"/>
      <c r="F479" s="402"/>
      <c r="G479" s="402"/>
      <c r="H479" s="402"/>
      <c r="I479" s="402"/>
      <c r="J479" s="402"/>
      <c r="K479" s="402"/>
      <c r="L479" s="402"/>
      <c r="M479" s="402"/>
      <c r="N479" s="402"/>
      <c r="O479" s="402"/>
      <c r="P479" s="402"/>
      <c r="Q479" s="402"/>
      <c r="R479" s="402"/>
      <c r="S479" s="402"/>
      <c r="T479" s="402"/>
      <c r="U479" s="402"/>
      <c r="V479" s="402"/>
      <c r="W479" s="402"/>
      <c r="X479" s="402"/>
      <c r="Y479" s="402"/>
      <c r="Z479" s="402"/>
      <c r="AA479" s="402"/>
    </row>
    <row r="480">
      <c r="A480" s="455"/>
      <c r="B480" s="455"/>
      <c r="C480" s="455"/>
      <c r="D480" s="455"/>
      <c r="E480" s="402"/>
      <c r="F480" s="402"/>
      <c r="G480" s="402"/>
      <c r="H480" s="402"/>
      <c r="I480" s="402"/>
      <c r="J480" s="402"/>
      <c r="K480" s="402"/>
      <c r="L480" s="402"/>
      <c r="M480" s="402"/>
      <c r="N480" s="402"/>
      <c r="O480" s="402"/>
      <c r="P480" s="402"/>
      <c r="Q480" s="402"/>
      <c r="R480" s="402"/>
      <c r="S480" s="402"/>
      <c r="T480" s="402"/>
      <c r="U480" s="402"/>
      <c r="V480" s="402"/>
      <c r="W480" s="402"/>
      <c r="X480" s="402"/>
      <c r="Y480" s="402"/>
      <c r="Z480" s="402"/>
      <c r="AA480" s="402"/>
    </row>
    <row r="481">
      <c r="A481" s="455"/>
      <c r="B481" s="455"/>
      <c r="C481" s="455"/>
      <c r="D481" s="455"/>
      <c r="E481" s="402"/>
      <c r="F481" s="402"/>
      <c r="G481" s="402"/>
      <c r="H481" s="402"/>
      <c r="I481" s="402"/>
      <c r="J481" s="402"/>
      <c r="K481" s="402"/>
      <c r="L481" s="402"/>
      <c r="M481" s="402"/>
      <c r="N481" s="402"/>
      <c r="O481" s="402"/>
      <c r="P481" s="402"/>
      <c r="Q481" s="402"/>
      <c r="R481" s="402"/>
      <c r="S481" s="402"/>
      <c r="T481" s="402"/>
      <c r="U481" s="402"/>
      <c r="V481" s="402"/>
      <c r="W481" s="402"/>
      <c r="X481" s="402"/>
      <c r="Y481" s="402"/>
      <c r="Z481" s="402"/>
      <c r="AA481" s="402"/>
    </row>
    <row r="482">
      <c r="A482" s="455"/>
      <c r="B482" s="455"/>
      <c r="C482" s="455"/>
      <c r="D482" s="455"/>
      <c r="E482" s="402"/>
      <c r="F482" s="402"/>
      <c r="G482" s="402"/>
      <c r="H482" s="402"/>
      <c r="I482" s="402"/>
      <c r="J482" s="402"/>
      <c r="K482" s="402"/>
      <c r="L482" s="402"/>
      <c r="M482" s="402"/>
      <c r="N482" s="402"/>
      <c r="O482" s="402"/>
      <c r="P482" s="402"/>
      <c r="Q482" s="402"/>
      <c r="R482" s="402"/>
      <c r="S482" s="402"/>
      <c r="T482" s="402"/>
      <c r="U482" s="402"/>
      <c r="V482" s="402"/>
      <c r="W482" s="402"/>
      <c r="X482" s="402"/>
      <c r="Y482" s="402"/>
      <c r="Z482" s="402"/>
      <c r="AA482" s="402"/>
    </row>
    <row r="483">
      <c r="A483" s="455"/>
      <c r="B483" s="455"/>
      <c r="C483" s="455"/>
      <c r="D483" s="455"/>
      <c r="E483" s="402"/>
      <c r="F483" s="402"/>
      <c r="G483" s="402"/>
      <c r="H483" s="402"/>
      <c r="I483" s="402"/>
      <c r="J483" s="402"/>
      <c r="K483" s="402"/>
      <c r="L483" s="402"/>
      <c r="M483" s="402"/>
      <c r="N483" s="402"/>
      <c r="O483" s="402"/>
      <c r="P483" s="402"/>
      <c r="Q483" s="402"/>
      <c r="R483" s="402"/>
      <c r="S483" s="402"/>
      <c r="T483" s="402"/>
      <c r="U483" s="402"/>
      <c r="V483" s="402"/>
      <c r="W483" s="402"/>
      <c r="X483" s="402"/>
      <c r="Y483" s="402"/>
      <c r="Z483" s="402"/>
      <c r="AA483" s="402"/>
    </row>
    <row r="484">
      <c r="A484" s="455"/>
      <c r="B484" s="455"/>
      <c r="C484" s="455"/>
      <c r="D484" s="455"/>
      <c r="E484" s="402"/>
      <c r="F484" s="402"/>
      <c r="G484" s="402"/>
      <c r="H484" s="402"/>
      <c r="I484" s="402"/>
      <c r="J484" s="402"/>
      <c r="K484" s="402"/>
      <c r="L484" s="402"/>
      <c r="M484" s="402"/>
      <c r="N484" s="402"/>
      <c r="O484" s="402"/>
      <c r="P484" s="402"/>
      <c r="Q484" s="402"/>
      <c r="R484" s="402"/>
      <c r="S484" s="402"/>
      <c r="T484" s="402"/>
      <c r="U484" s="402"/>
      <c r="V484" s="402"/>
      <c r="W484" s="402"/>
      <c r="X484" s="402"/>
      <c r="Y484" s="402"/>
      <c r="Z484" s="402"/>
      <c r="AA484" s="402"/>
    </row>
    <row r="485">
      <c r="A485" s="455"/>
      <c r="B485" s="455"/>
      <c r="C485" s="455"/>
      <c r="D485" s="455"/>
      <c r="E485" s="402"/>
      <c r="F485" s="402"/>
      <c r="G485" s="402"/>
      <c r="H485" s="402"/>
      <c r="I485" s="402"/>
      <c r="J485" s="402"/>
      <c r="K485" s="402"/>
      <c r="L485" s="402"/>
      <c r="M485" s="402"/>
      <c r="N485" s="402"/>
      <c r="O485" s="402"/>
      <c r="P485" s="402"/>
      <c r="Q485" s="402"/>
      <c r="R485" s="402"/>
      <c r="S485" s="402"/>
      <c r="T485" s="402"/>
      <c r="U485" s="402"/>
      <c r="V485" s="402"/>
      <c r="W485" s="402"/>
      <c r="X485" s="402"/>
      <c r="Y485" s="402"/>
      <c r="Z485" s="402"/>
      <c r="AA485" s="402"/>
    </row>
    <row r="486">
      <c r="A486" s="455"/>
      <c r="B486" s="455"/>
      <c r="C486" s="455"/>
      <c r="D486" s="455"/>
      <c r="E486" s="402"/>
      <c r="F486" s="402"/>
      <c r="G486" s="402"/>
      <c r="H486" s="402"/>
      <c r="I486" s="402"/>
      <c r="J486" s="402"/>
      <c r="K486" s="402"/>
      <c r="L486" s="402"/>
      <c r="M486" s="402"/>
      <c r="N486" s="402"/>
      <c r="O486" s="402"/>
      <c r="P486" s="402"/>
      <c r="Q486" s="402"/>
      <c r="R486" s="402"/>
      <c r="S486" s="402"/>
      <c r="T486" s="402"/>
      <c r="U486" s="402"/>
      <c r="V486" s="402"/>
      <c r="W486" s="402"/>
      <c r="X486" s="402"/>
      <c r="Y486" s="402"/>
      <c r="Z486" s="402"/>
      <c r="AA486" s="402"/>
    </row>
    <row r="487">
      <c r="A487" s="455"/>
      <c r="B487" s="455"/>
      <c r="C487" s="455"/>
      <c r="D487" s="455"/>
      <c r="E487" s="402"/>
      <c r="F487" s="402"/>
      <c r="G487" s="402"/>
      <c r="H487" s="402"/>
      <c r="I487" s="402"/>
      <c r="J487" s="402"/>
      <c r="K487" s="402"/>
      <c r="L487" s="402"/>
      <c r="M487" s="402"/>
      <c r="N487" s="402"/>
      <c r="O487" s="402"/>
      <c r="P487" s="402"/>
      <c r="Q487" s="402"/>
      <c r="R487" s="402"/>
      <c r="S487" s="402"/>
      <c r="T487" s="402"/>
      <c r="U487" s="402"/>
      <c r="V487" s="402"/>
      <c r="W487" s="402"/>
      <c r="X487" s="402"/>
      <c r="Y487" s="402"/>
      <c r="Z487" s="402"/>
      <c r="AA487" s="402"/>
    </row>
    <row r="488">
      <c r="A488" s="455"/>
      <c r="B488" s="455"/>
      <c r="C488" s="455"/>
      <c r="D488" s="455"/>
      <c r="E488" s="402"/>
      <c r="F488" s="402"/>
      <c r="G488" s="402"/>
      <c r="H488" s="402"/>
      <c r="I488" s="402"/>
      <c r="J488" s="402"/>
      <c r="K488" s="402"/>
      <c r="L488" s="402"/>
      <c r="M488" s="402"/>
      <c r="N488" s="402"/>
      <c r="O488" s="402"/>
      <c r="P488" s="402"/>
      <c r="Q488" s="402"/>
      <c r="R488" s="402"/>
      <c r="S488" s="402"/>
      <c r="T488" s="402"/>
      <c r="U488" s="402"/>
      <c r="V488" s="402"/>
      <c r="W488" s="402"/>
      <c r="X488" s="402"/>
      <c r="Y488" s="402"/>
      <c r="Z488" s="402"/>
      <c r="AA488" s="402"/>
    </row>
    <row r="489">
      <c r="A489" s="455"/>
      <c r="B489" s="455"/>
      <c r="C489" s="455"/>
      <c r="D489" s="455"/>
      <c r="E489" s="402"/>
      <c r="F489" s="402"/>
      <c r="G489" s="402"/>
      <c r="H489" s="402"/>
      <c r="I489" s="402"/>
      <c r="J489" s="402"/>
      <c r="K489" s="402"/>
      <c r="L489" s="402"/>
      <c r="M489" s="402"/>
      <c r="N489" s="402"/>
      <c r="O489" s="402"/>
      <c r="P489" s="402"/>
      <c r="Q489" s="402"/>
      <c r="R489" s="402"/>
      <c r="S489" s="402"/>
      <c r="T489" s="402"/>
      <c r="U489" s="402"/>
      <c r="V489" s="402"/>
      <c r="W489" s="402"/>
      <c r="X489" s="402"/>
      <c r="Y489" s="402"/>
      <c r="Z489" s="402"/>
      <c r="AA489" s="402"/>
    </row>
    <row r="490">
      <c r="A490" s="455"/>
      <c r="B490" s="455"/>
      <c r="C490" s="455"/>
      <c r="D490" s="455"/>
      <c r="E490" s="402"/>
      <c r="F490" s="402"/>
      <c r="G490" s="402"/>
      <c r="H490" s="402"/>
      <c r="I490" s="402"/>
      <c r="J490" s="402"/>
      <c r="K490" s="402"/>
      <c r="L490" s="402"/>
      <c r="M490" s="402"/>
      <c r="N490" s="402"/>
      <c r="O490" s="402"/>
      <c r="P490" s="402"/>
      <c r="Q490" s="402"/>
      <c r="R490" s="402"/>
      <c r="S490" s="402"/>
      <c r="T490" s="402"/>
      <c r="U490" s="402"/>
      <c r="V490" s="402"/>
      <c r="W490" s="402"/>
      <c r="X490" s="402"/>
      <c r="Y490" s="402"/>
      <c r="Z490" s="402"/>
      <c r="AA490" s="402"/>
    </row>
    <row r="491">
      <c r="A491" s="455"/>
      <c r="B491" s="455"/>
      <c r="C491" s="455"/>
      <c r="D491" s="455"/>
      <c r="E491" s="402"/>
      <c r="F491" s="402"/>
      <c r="G491" s="402"/>
      <c r="H491" s="402"/>
      <c r="I491" s="402"/>
      <c r="J491" s="402"/>
      <c r="K491" s="402"/>
      <c r="L491" s="402"/>
      <c r="M491" s="402"/>
      <c r="N491" s="402"/>
      <c r="O491" s="402"/>
      <c r="P491" s="402"/>
      <c r="Q491" s="402"/>
      <c r="R491" s="402"/>
      <c r="S491" s="402"/>
      <c r="T491" s="402"/>
      <c r="U491" s="402"/>
      <c r="V491" s="402"/>
      <c r="W491" s="402"/>
      <c r="X491" s="402"/>
      <c r="Y491" s="402"/>
      <c r="Z491" s="402"/>
      <c r="AA491" s="402"/>
    </row>
    <row r="492">
      <c r="A492" s="455"/>
      <c r="B492" s="455"/>
      <c r="C492" s="455"/>
      <c r="D492" s="455"/>
      <c r="E492" s="402"/>
      <c r="F492" s="402"/>
      <c r="G492" s="402"/>
      <c r="H492" s="402"/>
      <c r="I492" s="402"/>
      <c r="J492" s="402"/>
      <c r="K492" s="402"/>
      <c r="L492" s="402"/>
      <c r="M492" s="402"/>
      <c r="N492" s="402"/>
      <c r="O492" s="402"/>
      <c r="P492" s="402"/>
      <c r="Q492" s="402"/>
      <c r="R492" s="402"/>
      <c r="S492" s="402"/>
      <c r="T492" s="402"/>
      <c r="U492" s="402"/>
      <c r="V492" s="402"/>
      <c r="W492" s="402"/>
      <c r="X492" s="402"/>
      <c r="Y492" s="402"/>
      <c r="Z492" s="402"/>
      <c r="AA492" s="402"/>
    </row>
    <row r="493">
      <c r="A493" s="455"/>
      <c r="B493" s="455"/>
      <c r="C493" s="455"/>
      <c r="D493" s="455"/>
      <c r="E493" s="402"/>
      <c r="F493" s="402"/>
      <c r="G493" s="402"/>
      <c r="H493" s="402"/>
      <c r="I493" s="402"/>
      <c r="J493" s="402"/>
      <c r="K493" s="402"/>
      <c r="L493" s="402"/>
      <c r="M493" s="402"/>
      <c r="N493" s="402"/>
      <c r="O493" s="402"/>
      <c r="P493" s="402"/>
      <c r="Q493" s="402"/>
      <c r="R493" s="402"/>
      <c r="S493" s="402"/>
      <c r="T493" s="402"/>
      <c r="U493" s="402"/>
      <c r="V493" s="402"/>
      <c r="W493" s="402"/>
      <c r="X493" s="402"/>
      <c r="Y493" s="402"/>
      <c r="Z493" s="402"/>
      <c r="AA493" s="402"/>
    </row>
    <row r="494">
      <c r="A494" s="455"/>
      <c r="B494" s="455"/>
      <c r="C494" s="455"/>
      <c r="D494" s="455"/>
      <c r="E494" s="402"/>
      <c r="F494" s="402"/>
      <c r="G494" s="402"/>
      <c r="H494" s="402"/>
      <c r="I494" s="402"/>
      <c r="J494" s="402"/>
      <c r="K494" s="402"/>
      <c r="L494" s="402"/>
      <c r="M494" s="402"/>
      <c r="N494" s="402"/>
      <c r="O494" s="402"/>
      <c r="P494" s="402"/>
      <c r="Q494" s="402"/>
      <c r="R494" s="402"/>
      <c r="S494" s="402"/>
      <c r="T494" s="402"/>
      <c r="U494" s="402"/>
      <c r="V494" s="402"/>
      <c r="W494" s="402"/>
      <c r="X494" s="402"/>
      <c r="Y494" s="402"/>
      <c r="Z494" s="402"/>
      <c r="AA494" s="402"/>
    </row>
    <row r="495">
      <c r="A495" s="455"/>
      <c r="B495" s="455"/>
      <c r="C495" s="455"/>
      <c r="D495" s="455"/>
      <c r="E495" s="402"/>
      <c r="F495" s="402"/>
      <c r="G495" s="402"/>
      <c r="H495" s="402"/>
      <c r="I495" s="402"/>
      <c r="J495" s="402"/>
      <c r="K495" s="402"/>
      <c r="L495" s="402"/>
      <c r="M495" s="402"/>
      <c r="N495" s="402"/>
      <c r="O495" s="402"/>
      <c r="P495" s="402"/>
      <c r="Q495" s="402"/>
      <c r="R495" s="402"/>
      <c r="S495" s="402"/>
      <c r="T495" s="402"/>
      <c r="U495" s="402"/>
      <c r="V495" s="402"/>
      <c r="W495" s="402"/>
      <c r="X495" s="402"/>
      <c r="Y495" s="402"/>
      <c r="Z495" s="402"/>
      <c r="AA495" s="402"/>
    </row>
    <row r="496">
      <c r="A496" s="455"/>
      <c r="B496" s="455"/>
      <c r="C496" s="455"/>
      <c r="D496" s="455"/>
      <c r="E496" s="402"/>
      <c r="F496" s="402"/>
      <c r="G496" s="402"/>
      <c r="H496" s="402"/>
      <c r="I496" s="402"/>
      <c r="J496" s="402"/>
      <c r="K496" s="402"/>
      <c r="L496" s="402"/>
      <c r="M496" s="402"/>
      <c r="N496" s="402"/>
      <c r="O496" s="402"/>
      <c r="P496" s="402"/>
      <c r="Q496" s="402"/>
      <c r="R496" s="402"/>
      <c r="S496" s="402"/>
      <c r="T496" s="402"/>
      <c r="U496" s="402"/>
      <c r="V496" s="402"/>
      <c r="W496" s="402"/>
      <c r="X496" s="402"/>
      <c r="Y496" s="402"/>
      <c r="Z496" s="402"/>
      <c r="AA496" s="402"/>
    </row>
    <row r="497">
      <c r="A497" s="455"/>
      <c r="B497" s="455"/>
      <c r="C497" s="455"/>
      <c r="D497" s="455"/>
      <c r="E497" s="402"/>
      <c r="F497" s="402"/>
      <c r="G497" s="402"/>
      <c r="H497" s="402"/>
      <c r="I497" s="402"/>
      <c r="J497" s="402"/>
      <c r="K497" s="402"/>
      <c r="L497" s="402"/>
      <c r="M497" s="402"/>
      <c r="N497" s="402"/>
      <c r="O497" s="402"/>
      <c r="P497" s="402"/>
      <c r="Q497" s="402"/>
      <c r="R497" s="402"/>
      <c r="S497" s="402"/>
      <c r="T497" s="402"/>
      <c r="U497" s="402"/>
      <c r="V497" s="402"/>
      <c r="W497" s="402"/>
      <c r="X497" s="402"/>
      <c r="Y497" s="402"/>
      <c r="Z497" s="402"/>
      <c r="AA497" s="402"/>
    </row>
    <row r="498">
      <c r="A498" s="455"/>
      <c r="B498" s="455"/>
      <c r="C498" s="455"/>
      <c r="D498" s="455"/>
      <c r="E498" s="402"/>
      <c r="F498" s="402"/>
      <c r="G498" s="402"/>
      <c r="H498" s="402"/>
      <c r="I498" s="402"/>
      <c r="J498" s="402"/>
      <c r="K498" s="402"/>
      <c r="L498" s="402"/>
      <c r="M498" s="402"/>
      <c r="N498" s="402"/>
      <c r="O498" s="402"/>
      <c r="P498" s="402"/>
      <c r="Q498" s="402"/>
      <c r="R498" s="402"/>
      <c r="S498" s="402"/>
      <c r="T498" s="402"/>
      <c r="U498" s="402"/>
      <c r="V498" s="402"/>
      <c r="W498" s="402"/>
      <c r="X498" s="402"/>
      <c r="Y498" s="402"/>
      <c r="Z498" s="402"/>
      <c r="AA498" s="402"/>
    </row>
    <row r="499">
      <c r="A499" s="455"/>
      <c r="B499" s="455"/>
      <c r="C499" s="455"/>
      <c r="D499" s="455"/>
      <c r="E499" s="402"/>
      <c r="F499" s="402"/>
      <c r="G499" s="402"/>
      <c r="H499" s="402"/>
      <c r="I499" s="402"/>
      <c r="J499" s="402"/>
      <c r="K499" s="402"/>
      <c r="L499" s="402"/>
      <c r="M499" s="402"/>
      <c r="N499" s="402"/>
      <c r="O499" s="402"/>
      <c r="P499" s="402"/>
      <c r="Q499" s="402"/>
      <c r="R499" s="402"/>
      <c r="S499" s="402"/>
      <c r="T499" s="402"/>
      <c r="U499" s="402"/>
      <c r="V499" s="402"/>
      <c r="W499" s="402"/>
      <c r="X499" s="402"/>
      <c r="Y499" s="402"/>
      <c r="Z499" s="402"/>
      <c r="AA499" s="402"/>
    </row>
    <row r="500">
      <c r="A500" s="455"/>
      <c r="B500" s="455"/>
      <c r="C500" s="455"/>
      <c r="D500" s="455"/>
      <c r="E500" s="402"/>
      <c r="F500" s="402"/>
      <c r="G500" s="402"/>
      <c r="H500" s="402"/>
      <c r="I500" s="402"/>
      <c r="J500" s="402"/>
      <c r="K500" s="402"/>
      <c r="L500" s="402"/>
      <c r="M500" s="402"/>
      <c r="N500" s="402"/>
      <c r="O500" s="402"/>
      <c r="P500" s="402"/>
      <c r="Q500" s="402"/>
      <c r="R500" s="402"/>
      <c r="S500" s="402"/>
      <c r="T500" s="402"/>
      <c r="U500" s="402"/>
      <c r="V500" s="402"/>
      <c r="W500" s="402"/>
      <c r="X500" s="402"/>
      <c r="Y500" s="402"/>
      <c r="Z500" s="402"/>
      <c r="AA500" s="402"/>
    </row>
    <row r="501">
      <c r="A501" s="455"/>
      <c r="B501" s="455"/>
      <c r="C501" s="455"/>
      <c r="D501" s="455"/>
      <c r="E501" s="402"/>
      <c r="F501" s="402"/>
      <c r="G501" s="402"/>
      <c r="H501" s="402"/>
      <c r="I501" s="402"/>
      <c r="J501" s="402"/>
      <c r="K501" s="402"/>
      <c r="L501" s="402"/>
      <c r="M501" s="402"/>
      <c r="N501" s="402"/>
      <c r="O501" s="402"/>
      <c r="P501" s="402"/>
      <c r="Q501" s="402"/>
      <c r="R501" s="402"/>
      <c r="S501" s="402"/>
      <c r="T501" s="402"/>
      <c r="U501" s="402"/>
      <c r="V501" s="402"/>
      <c r="W501" s="402"/>
      <c r="X501" s="402"/>
      <c r="Y501" s="402"/>
      <c r="Z501" s="402"/>
      <c r="AA501" s="402"/>
    </row>
    <row r="502">
      <c r="A502" s="455"/>
      <c r="B502" s="455"/>
      <c r="C502" s="455"/>
      <c r="D502" s="455"/>
      <c r="E502" s="402"/>
      <c r="F502" s="402"/>
      <c r="G502" s="402"/>
      <c r="H502" s="402"/>
      <c r="I502" s="402"/>
      <c r="J502" s="402"/>
      <c r="K502" s="402"/>
      <c r="L502" s="402"/>
      <c r="M502" s="402"/>
      <c r="N502" s="402"/>
      <c r="O502" s="402"/>
      <c r="P502" s="402"/>
      <c r="Q502" s="402"/>
      <c r="R502" s="402"/>
      <c r="S502" s="402"/>
      <c r="T502" s="402"/>
      <c r="U502" s="402"/>
      <c r="V502" s="402"/>
      <c r="W502" s="402"/>
      <c r="X502" s="402"/>
      <c r="Y502" s="402"/>
      <c r="Z502" s="402"/>
      <c r="AA502" s="402"/>
    </row>
    <row r="503">
      <c r="A503" s="455"/>
      <c r="B503" s="455"/>
      <c r="C503" s="455"/>
      <c r="D503" s="455"/>
      <c r="E503" s="402"/>
      <c r="F503" s="402"/>
      <c r="G503" s="402"/>
      <c r="H503" s="402"/>
      <c r="I503" s="402"/>
      <c r="J503" s="402"/>
      <c r="K503" s="402"/>
      <c r="L503" s="402"/>
      <c r="M503" s="402"/>
      <c r="N503" s="402"/>
      <c r="O503" s="402"/>
      <c r="P503" s="402"/>
      <c r="Q503" s="402"/>
      <c r="R503" s="402"/>
      <c r="S503" s="402"/>
      <c r="T503" s="402"/>
      <c r="U503" s="402"/>
      <c r="V503" s="402"/>
      <c r="W503" s="402"/>
      <c r="X503" s="402"/>
      <c r="Y503" s="402"/>
      <c r="Z503" s="402"/>
      <c r="AA503" s="402"/>
    </row>
    <row r="504">
      <c r="A504" s="455"/>
      <c r="B504" s="455"/>
      <c r="C504" s="455"/>
      <c r="D504" s="455"/>
      <c r="E504" s="402"/>
      <c r="F504" s="402"/>
      <c r="G504" s="402"/>
      <c r="H504" s="402"/>
      <c r="I504" s="402"/>
      <c r="J504" s="402"/>
      <c r="K504" s="402"/>
      <c r="L504" s="402"/>
      <c r="M504" s="402"/>
      <c r="N504" s="402"/>
      <c r="O504" s="402"/>
      <c r="P504" s="402"/>
      <c r="Q504" s="402"/>
      <c r="R504" s="402"/>
      <c r="S504" s="402"/>
      <c r="T504" s="402"/>
      <c r="U504" s="402"/>
      <c r="V504" s="402"/>
      <c r="W504" s="402"/>
      <c r="X504" s="402"/>
      <c r="Y504" s="402"/>
      <c r="Z504" s="402"/>
      <c r="AA504" s="402"/>
    </row>
    <row r="505">
      <c r="A505" s="455"/>
      <c r="B505" s="455"/>
      <c r="C505" s="455"/>
      <c r="D505" s="455"/>
      <c r="E505" s="402"/>
      <c r="F505" s="402"/>
      <c r="G505" s="402"/>
      <c r="H505" s="402"/>
      <c r="I505" s="402"/>
      <c r="J505" s="402"/>
      <c r="K505" s="402"/>
      <c r="L505" s="402"/>
      <c r="M505" s="402"/>
      <c r="N505" s="402"/>
      <c r="O505" s="402"/>
      <c r="P505" s="402"/>
      <c r="Q505" s="402"/>
      <c r="R505" s="402"/>
      <c r="S505" s="402"/>
      <c r="T505" s="402"/>
      <c r="U505" s="402"/>
      <c r="V505" s="402"/>
      <c r="W505" s="402"/>
      <c r="X505" s="402"/>
      <c r="Y505" s="402"/>
      <c r="Z505" s="402"/>
      <c r="AA505" s="402"/>
    </row>
    <row r="506">
      <c r="A506" s="455"/>
      <c r="B506" s="455"/>
      <c r="C506" s="455"/>
      <c r="D506" s="455"/>
      <c r="E506" s="402"/>
      <c r="F506" s="402"/>
      <c r="G506" s="402"/>
      <c r="H506" s="402"/>
      <c r="I506" s="402"/>
      <c r="J506" s="402"/>
      <c r="K506" s="402"/>
      <c r="L506" s="402"/>
      <c r="M506" s="402"/>
      <c r="N506" s="402"/>
      <c r="O506" s="402"/>
      <c r="P506" s="402"/>
      <c r="Q506" s="402"/>
      <c r="R506" s="402"/>
      <c r="S506" s="402"/>
      <c r="T506" s="402"/>
      <c r="U506" s="402"/>
      <c r="V506" s="402"/>
      <c r="W506" s="402"/>
      <c r="X506" s="402"/>
      <c r="Y506" s="402"/>
      <c r="Z506" s="402"/>
      <c r="AA506" s="402"/>
    </row>
    <row r="507">
      <c r="A507" s="455"/>
      <c r="B507" s="455"/>
      <c r="C507" s="455"/>
      <c r="D507" s="455"/>
      <c r="E507" s="402"/>
      <c r="F507" s="402"/>
      <c r="G507" s="402"/>
      <c r="H507" s="402"/>
      <c r="I507" s="402"/>
      <c r="J507" s="402"/>
      <c r="K507" s="402"/>
      <c r="L507" s="402"/>
      <c r="M507" s="402"/>
      <c r="N507" s="402"/>
      <c r="O507" s="402"/>
      <c r="P507" s="402"/>
      <c r="Q507" s="402"/>
      <c r="R507" s="402"/>
      <c r="S507" s="402"/>
      <c r="T507" s="402"/>
      <c r="U507" s="402"/>
      <c r="V507" s="402"/>
      <c r="W507" s="402"/>
      <c r="X507" s="402"/>
      <c r="Y507" s="402"/>
      <c r="Z507" s="402"/>
      <c r="AA507" s="402"/>
    </row>
    <row r="508">
      <c r="A508" s="455"/>
      <c r="B508" s="455"/>
      <c r="C508" s="455"/>
      <c r="D508" s="455"/>
      <c r="E508" s="402"/>
      <c r="F508" s="402"/>
      <c r="G508" s="402"/>
      <c r="H508" s="402"/>
      <c r="I508" s="402"/>
      <c r="J508" s="402"/>
      <c r="K508" s="402"/>
      <c r="L508" s="402"/>
      <c r="M508" s="402"/>
      <c r="N508" s="402"/>
      <c r="O508" s="402"/>
      <c r="P508" s="402"/>
      <c r="Q508" s="402"/>
      <c r="R508" s="402"/>
      <c r="S508" s="402"/>
      <c r="T508" s="402"/>
      <c r="U508" s="402"/>
      <c r="V508" s="402"/>
      <c r="W508" s="402"/>
      <c r="X508" s="402"/>
      <c r="Y508" s="402"/>
      <c r="Z508" s="402"/>
      <c r="AA508" s="402"/>
    </row>
    <row r="509">
      <c r="A509" s="455"/>
      <c r="B509" s="455"/>
      <c r="C509" s="455"/>
      <c r="D509" s="455"/>
      <c r="E509" s="402"/>
      <c r="F509" s="402"/>
      <c r="G509" s="402"/>
      <c r="H509" s="402"/>
      <c r="I509" s="402"/>
      <c r="J509" s="402"/>
      <c r="K509" s="402"/>
      <c r="L509" s="402"/>
      <c r="M509" s="402"/>
      <c r="N509" s="402"/>
      <c r="O509" s="402"/>
      <c r="P509" s="402"/>
      <c r="Q509" s="402"/>
      <c r="R509" s="402"/>
      <c r="S509" s="402"/>
      <c r="T509" s="402"/>
      <c r="U509" s="402"/>
      <c r="V509" s="402"/>
      <c r="W509" s="402"/>
      <c r="X509" s="402"/>
      <c r="Y509" s="402"/>
      <c r="Z509" s="402"/>
      <c r="AA509" s="402"/>
    </row>
    <row r="510">
      <c r="A510" s="455"/>
      <c r="B510" s="455"/>
      <c r="C510" s="455"/>
      <c r="D510" s="455"/>
      <c r="E510" s="402"/>
      <c r="F510" s="402"/>
      <c r="G510" s="402"/>
      <c r="H510" s="402"/>
      <c r="I510" s="402"/>
      <c r="J510" s="402"/>
      <c r="K510" s="402"/>
      <c r="L510" s="402"/>
      <c r="M510" s="402"/>
      <c r="N510" s="402"/>
      <c r="O510" s="402"/>
      <c r="P510" s="402"/>
      <c r="Q510" s="402"/>
      <c r="R510" s="402"/>
      <c r="S510" s="402"/>
      <c r="T510" s="402"/>
      <c r="U510" s="402"/>
      <c r="V510" s="402"/>
      <c r="W510" s="402"/>
      <c r="X510" s="402"/>
      <c r="Y510" s="402"/>
      <c r="Z510" s="402"/>
      <c r="AA510" s="402"/>
    </row>
    <row r="511">
      <c r="A511" s="455"/>
      <c r="B511" s="455"/>
      <c r="C511" s="455"/>
      <c r="D511" s="455"/>
      <c r="E511" s="402"/>
      <c r="F511" s="402"/>
      <c r="G511" s="402"/>
      <c r="H511" s="402"/>
      <c r="I511" s="402"/>
      <c r="J511" s="402"/>
      <c r="K511" s="402"/>
      <c r="L511" s="402"/>
      <c r="M511" s="402"/>
      <c r="N511" s="402"/>
      <c r="O511" s="402"/>
      <c r="P511" s="402"/>
      <c r="Q511" s="402"/>
      <c r="R511" s="402"/>
      <c r="S511" s="402"/>
      <c r="T511" s="402"/>
      <c r="U511" s="402"/>
      <c r="V511" s="402"/>
      <c r="W511" s="402"/>
      <c r="X511" s="402"/>
      <c r="Y511" s="402"/>
      <c r="Z511" s="402"/>
      <c r="AA511" s="402"/>
    </row>
    <row r="512">
      <c r="A512" s="455"/>
      <c r="B512" s="455"/>
      <c r="C512" s="455"/>
      <c r="D512" s="455"/>
      <c r="E512" s="402"/>
      <c r="F512" s="402"/>
      <c r="G512" s="402"/>
      <c r="H512" s="402"/>
      <c r="I512" s="402"/>
      <c r="J512" s="402"/>
      <c r="K512" s="402"/>
      <c r="L512" s="402"/>
      <c r="M512" s="402"/>
      <c r="N512" s="402"/>
      <c r="O512" s="402"/>
      <c r="P512" s="402"/>
      <c r="Q512" s="402"/>
      <c r="R512" s="402"/>
      <c r="S512" s="402"/>
      <c r="T512" s="402"/>
      <c r="U512" s="402"/>
      <c r="V512" s="402"/>
      <c r="W512" s="402"/>
      <c r="X512" s="402"/>
      <c r="Y512" s="402"/>
      <c r="Z512" s="402"/>
      <c r="AA512" s="402"/>
    </row>
    <row r="513">
      <c r="A513" s="455"/>
      <c r="B513" s="455"/>
      <c r="C513" s="455"/>
      <c r="D513" s="455"/>
      <c r="E513" s="402"/>
      <c r="F513" s="402"/>
      <c r="G513" s="402"/>
      <c r="H513" s="402"/>
      <c r="I513" s="402"/>
      <c r="J513" s="402"/>
      <c r="K513" s="402"/>
      <c r="L513" s="402"/>
      <c r="M513" s="402"/>
      <c r="N513" s="402"/>
      <c r="O513" s="402"/>
      <c r="P513" s="402"/>
      <c r="Q513" s="402"/>
      <c r="R513" s="402"/>
      <c r="S513" s="402"/>
      <c r="T513" s="402"/>
      <c r="U513" s="402"/>
      <c r="V513" s="402"/>
      <c r="W513" s="402"/>
      <c r="X513" s="402"/>
      <c r="Y513" s="402"/>
      <c r="Z513" s="402"/>
      <c r="AA513" s="402"/>
    </row>
    <row r="514">
      <c r="A514" s="455"/>
      <c r="B514" s="455"/>
      <c r="C514" s="455"/>
      <c r="D514" s="455"/>
      <c r="E514" s="402"/>
      <c r="F514" s="402"/>
      <c r="G514" s="402"/>
      <c r="H514" s="402"/>
      <c r="I514" s="402"/>
      <c r="J514" s="402"/>
      <c r="K514" s="402"/>
      <c r="L514" s="402"/>
      <c r="M514" s="402"/>
      <c r="N514" s="402"/>
      <c r="O514" s="402"/>
      <c r="P514" s="402"/>
      <c r="Q514" s="402"/>
      <c r="R514" s="402"/>
      <c r="S514" s="402"/>
      <c r="T514" s="402"/>
      <c r="U514" s="402"/>
      <c r="V514" s="402"/>
      <c r="W514" s="402"/>
      <c r="X514" s="402"/>
      <c r="Y514" s="402"/>
      <c r="Z514" s="402"/>
      <c r="AA514" s="402"/>
    </row>
    <row r="515">
      <c r="A515" s="455"/>
      <c r="B515" s="455"/>
      <c r="C515" s="455"/>
      <c r="D515" s="455"/>
      <c r="E515" s="402"/>
      <c r="F515" s="402"/>
      <c r="G515" s="402"/>
      <c r="H515" s="402"/>
      <c r="I515" s="402"/>
      <c r="J515" s="402"/>
      <c r="K515" s="402"/>
      <c r="L515" s="402"/>
      <c r="M515" s="402"/>
      <c r="N515" s="402"/>
      <c r="O515" s="402"/>
      <c r="P515" s="402"/>
      <c r="Q515" s="402"/>
      <c r="R515" s="402"/>
      <c r="S515" s="402"/>
      <c r="T515" s="402"/>
      <c r="U515" s="402"/>
      <c r="V515" s="402"/>
      <c r="W515" s="402"/>
      <c r="X515" s="402"/>
      <c r="Y515" s="402"/>
      <c r="Z515" s="402"/>
      <c r="AA515" s="402"/>
    </row>
    <row r="516">
      <c r="A516" s="455"/>
      <c r="B516" s="455"/>
      <c r="C516" s="455"/>
      <c r="D516" s="455"/>
      <c r="E516" s="402"/>
      <c r="F516" s="402"/>
      <c r="G516" s="402"/>
      <c r="H516" s="402"/>
      <c r="I516" s="402"/>
      <c r="J516" s="402"/>
      <c r="K516" s="402"/>
      <c r="L516" s="402"/>
      <c r="M516" s="402"/>
      <c r="N516" s="402"/>
      <c r="O516" s="402"/>
      <c r="P516" s="402"/>
      <c r="Q516" s="402"/>
      <c r="R516" s="402"/>
      <c r="S516" s="402"/>
      <c r="T516" s="402"/>
      <c r="U516" s="402"/>
      <c r="V516" s="402"/>
      <c r="W516" s="402"/>
      <c r="X516" s="402"/>
      <c r="Y516" s="402"/>
      <c r="Z516" s="402"/>
      <c r="AA516" s="402"/>
    </row>
    <row r="517">
      <c r="A517" s="455"/>
      <c r="B517" s="455"/>
      <c r="C517" s="455"/>
      <c r="D517" s="455"/>
      <c r="E517" s="402"/>
      <c r="F517" s="402"/>
      <c r="G517" s="402"/>
      <c r="H517" s="402"/>
      <c r="I517" s="402"/>
      <c r="J517" s="402"/>
      <c r="K517" s="402"/>
      <c r="L517" s="402"/>
      <c r="M517" s="402"/>
      <c r="N517" s="402"/>
      <c r="O517" s="402"/>
      <c r="P517" s="402"/>
      <c r="Q517" s="402"/>
      <c r="R517" s="402"/>
      <c r="S517" s="402"/>
      <c r="T517" s="402"/>
      <c r="U517" s="402"/>
      <c r="V517" s="402"/>
      <c r="W517" s="402"/>
      <c r="X517" s="402"/>
      <c r="Y517" s="402"/>
      <c r="Z517" s="402"/>
      <c r="AA517" s="402"/>
    </row>
    <row r="518">
      <c r="A518" s="455"/>
      <c r="B518" s="455"/>
      <c r="C518" s="455"/>
      <c r="D518" s="455"/>
      <c r="E518" s="402"/>
      <c r="F518" s="402"/>
      <c r="G518" s="402"/>
      <c r="H518" s="402"/>
      <c r="I518" s="402"/>
      <c r="J518" s="402"/>
      <c r="K518" s="402"/>
      <c r="L518" s="402"/>
      <c r="M518" s="402"/>
      <c r="N518" s="402"/>
      <c r="O518" s="402"/>
      <c r="P518" s="402"/>
      <c r="Q518" s="402"/>
      <c r="R518" s="402"/>
      <c r="S518" s="402"/>
      <c r="T518" s="402"/>
      <c r="U518" s="402"/>
      <c r="V518" s="402"/>
      <c r="W518" s="402"/>
      <c r="X518" s="402"/>
      <c r="Y518" s="402"/>
      <c r="Z518" s="402"/>
      <c r="AA518" s="402"/>
    </row>
    <row r="519">
      <c r="A519" s="455"/>
      <c r="B519" s="455"/>
      <c r="C519" s="455"/>
      <c r="D519" s="455"/>
      <c r="E519" s="402"/>
      <c r="F519" s="402"/>
      <c r="G519" s="402"/>
      <c r="H519" s="402"/>
      <c r="I519" s="402"/>
      <c r="J519" s="402"/>
      <c r="K519" s="402"/>
      <c r="L519" s="402"/>
      <c r="M519" s="402"/>
      <c r="N519" s="402"/>
      <c r="O519" s="402"/>
      <c r="P519" s="402"/>
      <c r="Q519" s="402"/>
      <c r="R519" s="402"/>
      <c r="S519" s="402"/>
      <c r="T519" s="402"/>
      <c r="U519" s="402"/>
      <c r="V519" s="402"/>
      <c r="W519" s="402"/>
      <c r="X519" s="402"/>
      <c r="Y519" s="402"/>
      <c r="Z519" s="402"/>
      <c r="AA519" s="402"/>
    </row>
    <row r="520">
      <c r="A520" s="455"/>
      <c r="B520" s="455"/>
      <c r="C520" s="455"/>
      <c r="D520" s="455"/>
      <c r="E520" s="402"/>
      <c r="F520" s="402"/>
      <c r="G520" s="402"/>
      <c r="H520" s="402"/>
      <c r="I520" s="402"/>
      <c r="J520" s="402"/>
      <c r="K520" s="402"/>
      <c r="L520" s="402"/>
      <c r="M520" s="402"/>
      <c r="N520" s="402"/>
      <c r="O520" s="402"/>
      <c r="P520" s="402"/>
      <c r="Q520" s="402"/>
      <c r="R520" s="402"/>
      <c r="S520" s="402"/>
      <c r="T520" s="402"/>
      <c r="U520" s="402"/>
      <c r="V520" s="402"/>
      <c r="W520" s="402"/>
      <c r="X520" s="402"/>
      <c r="Y520" s="402"/>
      <c r="Z520" s="402"/>
      <c r="AA520" s="402"/>
    </row>
    <row r="521">
      <c r="A521" s="455"/>
      <c r="B521" s="455"/>
      <c r="C521" s="455"/>
      <c r="D521" s="455"/>
      <c r="E521" s="402"/>
      <c r="F521" s="402"/>
      <c r="G521" s="402"/>
      <c r="H521" s="402"/>
      <c r="I521" s="402"/>
      <c r="J521" s="402"/>
      <c r="K521" s="402"/>
      <c r="L521" s="402"/>
      <c r="M521" s="402"/>
      <c r="N521" s="402"/>
      <c r="O521" s="402"/>
      <c r="P521" s="402"/>
      <c r="Q521" s="402"/>
      <c r="R521" s="402"/>
      <c r="S521" s="402"/>
      <c r="T521" s="402"/>
      <c r="U521" s="402"/>
      <c r="V521" s="402"/>
      <c r="W521" s="402"/>
      <c r="X521" s="402"/>
      <c r="Y521" s="402"/>
      <c r="Z521" s="402"/>
      <c r="AA521" s="402"/>
    </row>
    <row r="522">
      <c r="A522" s="455"/>
      <c r="B522" s="455"/>
      <c r="C522" s="455"/>
      <c r="D522" s="455"/>
      <c r="E522" s="402"/>
      <c r="F522" s="402"/>
      <c r="G522" s="402"/>
      <c r="H522" s="402"/>
      <c r="I522" s="402"/>
      <c r="J522" s="402"/>
      <c r="K522" s="402"/>
      <c r="L522" s="402"/>
      <c r="M522" s="402"/>
      <c r="N522" s="402"/>
      <c r="O522" s="402"/>
      <c r="P522" s="402"/>
      <c r="Q522" s="402"/>
      <c r="R522" s="402"/>
      <c r="S522" s="402"/>
      <c r="T522" s="402"/>
      <c r="U522" s="402"/>
      <c r="V522" s="402"/>
      <c r="W522" s="402"/>
      <c r="X522" s="402"/>
      <c r="Y522" s="402"/>
      <c r="Z522" s="402"/>
      <c r="AA522" s="402"/>
    </row>
    <row r="523">
      <c r="A523" s="455"/>
      <c r="B523" s="455"/>
      <c r="C523" s="455"/>
      <c r="D523" s="455"/>
      <c r="E523" s="402"/>
      <c r="F523" s="402"/>
      <c r="G523" s="402"/>
      <c r="H523" s="402"/>
      <c r="I523" s="402"/>
      <c r="J523" s="402"/>
      <c r="K523" s="402"/>
      <c r="L523" s="402"/>
      <c r="M523" s="402"/>
      <c r="N523" s="402"/>
      <c r="O523" s="402"/>
      <c r="P523" s="402"/>
      <c r="Q523" s="402"/>
      <c r="R523" s="402"/>
      <c r="S523" s="402"/>
      <c r="T523" s="402"/>
      <c r="U523" s="402"/>
      <c r="V523" s="402"/>
      <c r="W523" s="402"/>
      <c r="X523" s="402"/>
      <c r="Y523" s="402"/>
      <c r="Z523" s="402"/>
      <c r="AA523" s="402"/>
    </row>
    <row r="524">
      <c r="A524" s="455"/>
      <c r="B524" s="455"/>
      <c r="C524" s="455"/>
      <c r="D524" s="455"/>
      <c r="E524" s="402"/>
      <c r="F524" s="402"/>
      <c r="G524" s="402"/>
      <c r="H524" s="402"/>
      <c r="I524" s="402"/>
      <c r="J524" s="402"/>
      <c r="K524" s="402"/>
      <c r="L524" s="402"/>
      <c r="M524" s="402"/>
      <c r="N524" s="402"/>
      <c r="O524" s="402"/>
      <c r="P524" s="402"/>
      <c r="Q524" s="402"/>
      <c r="R524" s="402"/>
      <c r="S524" s="402"/>
      <c r="T524" s="402"/>
      <c r="U524" s="402"/>
      <c r="V524" s="402"/>
      <c r="W524" s="402"/>
      <c r="X524" s="402"/>
      <c r="Y524" s="402"/>
      <c r="Z524" s="402"/>
      <c r="AA524" s="402"/>
    </row>
    <row r="525">
      <c r="A525" s="455"/>
      <c r="B525" s="455"/>
      <c r="C525" s="455"/>
      <c r="D525" s="455"/>
      <c r="E525" s="402"/>
      <c r="F525" s="402"/>
      <c r="G525" s="402"/>
      <c r="H525" s="402"/>
      <c r="I525" s="402"/>
      <c r="J525" s="402"/>
      <c r="K525" s="402"/>
      <c r="L525" s="402"/>
      <c r="M525" s="402"/>
      <c r="N525" s="402"/>
      <c r="O525" s="402"/>
      <c r="P525" s="402"/>
      <c r="Q525" s="402"/>
      <c r="R525" s="402"/>
      <c r="S525" s="402"/>
      <c r="T525" s="402"/>
      <c r="U525" s="402"/>
      <c r="V525" s="402"/>
      <c r="W525" s="402"/>
      <c r="X525" s="402"/>
      <c r="Y525" s="402"/>
      <c r="Z525" s="402"/>
      <c r="AA525" s="402"/>
    </row>
    <row r="526">
      <c r="A526" s="455"/>
      <c r="B526" s="455"/>
      <c r="C526" s="455"/>
      <c r="D526" s="455"/>
      <c r="E526" s="402"/>
      <c r="F526" s="402"/>
      <c r="G526" s="402"/>
      <c r="H526" s="402"/>
      <c r="I526" s="402"/>
      <c r="J526" s="402"/>
      <c r="K526" s="402"/>
      <c r="L526" s="402"/>
      <c r="M526" s="402"/>
      <c r="N526" s="402"/>
      <c r="O526" s="402"/>
      <c r="P526" s="402"/>
      <c r="Q526" s="402"/>
      <c r="R526" s="402"/>
      <c r="S526" s="402"/>
      <c r="T526" s="402"/>
      <c r="U526" s="402"/>
      <c r="V526" s="402"/>
      <c r="W526" s="402"/>
      <c r="X526" s="402"/>
      <c r="Y526" s="402"/>
      <c r="Z526" s="402"/>
      <c r="AA526" s="402"/>
    </row>
    <row r="527">
      <c r="A527" s="455"/>
      <c r="B527" s="455"/>
      <c r="C527" s="455"/>
      <c r="D527" s="455"/>
      <c r="E527" s="402"/>
      <c r="F527" s="402"/>
      <c r="G527" s="402"/>
      <c r="H527" s="402"/>
      <c r="I527" s="402"/>
      <c r="J527" s="402"/>
      <c r="K527" s="402"/>
      <c r="L527" s="402"/>
      <c r="M527" s="402"/>
      <c r="N527" s="402"/>
      <c r="O527" s="402"/>
      <c r="P527" s="402"/>
      <c r="Q527" s="402"/>
      <c r="R527" s="402"/>
      <c r="S527" s="402"/>
      <c r="T527" s="402"/>
      <c r="U527" s="402"/>
      <c r="V527" s="402"/>
      <c r="W527" s="402"/>
      <c r="X527" s="402"/>
      <c r="Y527" s="402"/>
      <c r="Z527" s="402"/>
      <c r="AA527" s="402"/>
    </row>
    <row r="528">
      <c r="A528" s="455"/>
      <c r="B528" s="455"/>
      <c r="C528" s="455"/>
      <c r="D528" s="455"/>
      <c r="E528" s="402"/>
      <c r="F528" s="402"/>
      <c r="G528" s="402"/>
      <c r="H528" s="402"/>
      <c r="I528" s="402"/>
      <c r="J528" s="402"/>
      <c r="K528" s="402"/>
      <c r="L528" s="402"/>
      <c r="M528" s="402"/>
      <c r="N528" s="402"/>
      <c r="O528" s="402"/>
      <c r="P528" s="402"/>
      <c r="Q528" s="402"/>
      <c r="R528" s="402"/>
      <c r="S528" s="402"/>
      <c r="T528" s="402"/>
      <c r="U528" s="402"/>
      <c r="V528" s="402"/>
      <c r="W528" s="402"/>
      <c r="X528" s="402"/>
      <c r="Y528" s="402"/>
      <c r="Z528" s="402"/>
      <c r="AA528" s="402"/>
    </row>
    <row r="529">
      <c r="A529" s="455"/>
      <c r="B529" s="455"/>
      <c r="C529" s="455"/>
      <c r="D529" s="455"/>
      <c r="E529" s="402"/>
      <c r="F529" s="402"/>
      <c r="G529" s="402"/>
      <c r="H529" s="402"/>
      <c r="I529" s="402"/>
      <c r="J529" s="402"/>
      <c r="K529" s="402"/>
      <c r="L529" s="402"/>
      <c r="M529" s="402"/>
      <c r="N529" s="402"/>
      <c r="O529" s="402"/>
      <c r="P529" s="402"/>
      <c r="Q529" s="402"/>
      <c r="R529" s="402"/>
      <c r="S529" s="402"/>
      <c r="T529" s="402"/>
      <c r="U529" s="402"/>
      <c r="V529" s="402"/>
      <c r="W529" s="402"/>
      <c r="X529" s="402"/>
      <c r="Y529" s="402"/>
      <c r="Z529" s="402"/>
      <c r="AA529" s="402"/>
    </row>
    <row r="530">
      <c r="A530" s="455"/>
      <c r="B530" s="455"/>
      <c r="C530" s="455"/>
      <c r="D530" s="455"/>
      <c r="E530" s="402"/>
      <c r="F530" s="402"/>
      <c r="G530" s="402"/>
      <c r="H530" s="402"/>
      <c r="I530" s="402"/>
      <c r="J530" s="402"/>
      <c r="K530" s="402"/>
      <c r="L530" s="402"/>
      <c r="M530" s="402"/>
      <c r="N530" s="402"/>
      <c r="O530" s="402"/>
      <c r="P530" s="402"/>
      <c r="Q530" s="402"/>
      <c r="R530" s="402"/>
      <c r="S530" s="402"/>
      <c r="T530" s="402"/>
      <c r="U530" s="402"/>
      <c r="V530" s="402"/>
      <c r="W530" s="402"/>
      <c r="X530" s="402"/>
      <c r="Y530" s="402"/>
      <c r="Z530" s="402"/>
      <c r="AA530" s="402"/>
    </row>
    <row r="531">
      <c r="A531" s="455"/>
      <c r="B531" s="455"/>
      <c r="C531" s="455"/>
      <c r="D531" s="455"/>
      <c r="E531" s="402"/>
      <c r="F531" s="402"/>
      <c r="G531" s="402"/>
      <c r="H531" s="402"/>
      <c r="I531" s="402"/>
      <c r="J531" s="402"/>
      <c r="K531" s="402"/>
      <c r="L531" s="402"/>
      <c r="M531" s="402"/>
      <c r="N531" s="402"/>
      <c r="O531" s="402"/>
      <c r="P531" s="402"/>
      <c r="Q531" s="402"/>
      <c r="R531" s="402"/>
      <c r="S531" s="402"/>
      <c r="T531" s="402"/>
      <c r="U531" s="402"/>
      <c r="V531" s="402"/>
      <c r="W531" s="402"/>
      <c r="X531" s="402"/>
      <c r="Y531" s="402"/>
      <c r="Z531" s="402"/>
      <c r="AA531" s="402"/>
    </row>
    <row r="532">
      <c r="A532" s="455"/>
      <c r="B532" s="455"/>
      <c r="C532" s="455"/>
      <c r="D532" s="455"/>
      <c r="E532" s="402"/>
      <c r="F532" s="402"/>
      <c r="G532" s="402"/>
      <c r="H532" s="402"/>
      <c r="I532" s="402"/>
      <c r="J532" s="402"/>
      <c r="K532" s="402"/>
      <c r="L532" s="402"/>
      <c r="M532" s="402"/>
      <c r="N532" s="402"/>
      <c r="O532" s="402"/>
      <c r="P532" s="402"/>
      <c r="Q532" s="402"/>
      <c r="R532" s="402"/>
      <c r="S532" s="402"/>
      <c r="T532" s="402"/>
      <c r="U532" s="402"/>
      <c r="V532" s="402"/>
      <c r="W532" s="402"/>
      <c r="X532" s="402"/>
      <c r="Y532" s="402"/>
      <c r="Z532" s="402"/>
      <c r="AA532" s="402"/>
    </row>
    <row r="533">
      <c r="A533" s="455"/>
      <c r="B533" s="455"/>
      <c r="C533" s="455"/>
      <c r="D533" s="455"/>
      <c r="E533" s="402"/>
      <c r="F533" s="402"/>
      <c r="G533" s="402"/>
      <c r="H533" s="402"/>
      <c r="I533" s="402"/>
      <c r="J533" s="402"/>
      <c r="K533" s="402"/>
      <c r="L533" s="402"/>
      <c r="M533" s="402"/>
      <c r="N533" s="402"/>
      <c r="O533" s="402"/>
      <c r="P533" s="402"/>
      <c r="Q533" s="402"/>
      <c r="R533" s="402"/>
      <c r="S533" s="402"/>
      <c r="T533" s="402"/>
      <c r="U533" s="402"/>
      <c r="V533" s="402"/>
      <c r="W533" s="402"/>
      <c r="X533" s="402"/>
      <c r="Y533" s="402"/>
      <c r="Z533" s="402"/>
      <c r="AA533" s="402"/>
    </row>
    <row r="534">
      <c r="A534" s="455"/>
      <c r="B534" s="455"/>
      <c r="C534" s="455"/>
      <c r="D534" s="455"/>
      <c r="E534" s="402"/>
      <c r="F534" s="402"/>
      <c r="G534" s="402"/>
      <c r="H534" s="402"/>
      <c r="I534" s="402"/>
      <c r="J534" s="402"/>
      <c r="K534" s="402"/>
      <c r="L534" s="402"/>
      <c r="M534" s="402"/>
      <c r="N534" s="402"/>
      <c r="O534" s="402"/>
      <c r="P534" s="402"/>
      <c r="Q534" s="402"/>
      <c r="R534" s="402"/>
      <c r="S534" s="402"/>
      <c r="T534" s="402"/>
      <c r="U534" s="402"/>
      <c r="V534" s="402"/>
      <c r="W534" s="402"/>
      <c r="X534" s="402"/>
      <c r="Y534" s="402"/>
      <c r="Z534" s="402"/>
      <c r="AA534" s="402"/>
    </row>
    <row r="535">
      <c r="A535" s="455"/>
      <c r="B535" s="455"/>
      <c r="C535" s="455"/>
      <c r="D535" s="455"/>
      <c r="E535" s="402"/>
      <c r="F535" s="402"/>
      <c r="G535" s="402"/>
      <c r="H535" s="402"/>
      <c r="I535" s="402"/>
      <c r="J535" s="402"/>
      <c r="K535" s="402"/>
      <c r="L535" s="402"/>
      <c r="M535" s="402"/>
      <c r="N535" s="402"/>
      <c r="O535" s="402"/>
      <c r="P535" s="402"/>
      <c r="Q535" s="402"/>
      <c r="R535" s="402"/>
      <c r="S535" s="402"/>
      <c r="T535" s="402"/>
      <c r="U535" s="402"/>
      <c r="V535" s="402"/>
      <c r="W535" s="402"/>
      <c r="X535" s="402"/>
      <c r="Y535" s="402"/>
      <c r="Z535" s="402"/>
      <c r="AA535" s="402"/>
    </row>
    <row r="536">
      <c r="A536" s="455"/>
      <c r="B536" s="455"/>
      <c r="C536" s="455"/>
      <c r="D536" s="455"/>
      <c r="E536" s="402"/>
      <c r="F536" s="402"/>
      <c r="G536" s="402"/>
      <c r="H536" s="402"/>
      <c r="I536" s="402"/>
      <c r="J536" s="402"/>
      <c r="K536" s="402"/>
      <c r="L536" s="402"/>
      <c r="M536" s="402"/>
      <c r="N536" s="402"/>
      <c r="O536" s="402"/>
      <c r="P536" s="402"/>
      <c r="Q536" s="402"/>
      <c r="R536" s="402"/>
      <c r="S536" s="402"/>
      <c r="T536" s="402"/>
      <c r="U536" s="402"/>
      <c r="V536" s="402"/>
      <c r="W536" s="402"/>
      <c r="X536" s="402"/>
      <c r="Y536" s="402"/>
      <c r="Z536" s="402"/>
      <c r="AA536" s="402"/>
    </row>
    <row r="537">
      <c r="A537" s="455"/>
      <c r="B537" s="455"/>
      <c r="C537" s="455"/>
      <c r="D537" s="455"/>
      <c r="E537" s="402"/>
      <c r="F537" s="402"/>
      <c r="G537" s="402"/>
      <c r="H537" s="402"/>
      <c r="I537" s="402"/>
      <c r="J537" s="402"/>
      <c r="K537" s="402"/>
      <c r="L537" s="402"/>
      <c r="M537" s="402"/>
      <c r="N537" s="402"/>
      <c r="O537" s="402"/>
      <c r="P537" s="402"/>
      <c r="Q537" s="402"/>
      <c r="R537" s="402"/>
      <c r="S537" s="402"/>
      <c r="T537" s="402"/>
      <c r="U537" s="402"/>
      <c r="V537" s="402"/>
      <c r="W537" s="402"/>
      <c r="X537" s="402"/>
      <c r="Y537" s="402"/>
      <c r="Z537" s="402"/>
      <c r="AA537" s="402"/>
    </row>
    <row r="538">
      <c r="A538" s="455"/>
      <c r="B538" s="455"/>
      <c r="C538" s="455"/>
      <c r="D538" s="455"/>
      <c r="E538" s="402"/>
      <c r="F538" s="402"/>
      <c r="G538" s="402"/>
      <c r="H538" s="402"/>
      <c r="I538" s="402"/>
      <c r="J538" s="402"/>
      <c r="K538" s="402"/>
      <c r="L538" s="402"/>
      <c r="M538" s="402"/>
      <c r="N538" s="402"/>
      <c r="O538" s="402"/>
      <c r="P538" s="402"/>
      <c r="Q538" s="402"/>
      <c r="R538" s="402"/>
      <c r="S538" s="402"/>
      <c r="T538" s="402"/>
      <c r="U538" s="402"/>
      <c r="V538" s="402"/>
      <c r="W538" s="402"/>
      <c r="X538" s="402"/>
      <c r="Y538" s="402"/>
      <c r="Z538" s="402"/>
      <c r="AA538" s="402"/>
    </row>
    <row r="539">
      <c r="A539" s="455"/>
      <c r="B539" s="455"/>
      <c r="C539" s="455"/>
      <c r="D539" s="455"/>
      <c r="E539" s="402"/>
      <c r="F539" s="402"/>
      <c r="G539" s="402"/>
      <c r="H539" s="402"/>
      <c r="I539" s="402"/>
      <c r="J539" s="402"/>
      <c r="K539" s="402"/>
      <c r="L539" s="402"/>
      <c r="M539" s="402"/>
      <c r="N539" s="402"/>
      <c r="O539" s="402"/>
      <c r="P539" s="402"/>
      <c r="Q539" s="402"/>
      <c r="R539" s="402"/>
      <c r="S539" s="402"/>
      <c r="T539" s="402"/>
      <c r="U539" s="402"/>
      <c r="V539" s="402"/>
      <c r="W539" s="402"/>
      <c r="X539" s="402"/>
      <c r="Y539" s="402"/>
      <c r="Z539" s="402"/>
      <c r="AA539" s="402"/>
    </row>
    <row r="540">
      <c r="A540" s="455"/>
      <c r="B540" s="455"/>
      <c r="C540" s="455"/>
      <c r="D540" s="455"/>
      <c r="E540" s="402"/>
      <c r="F540" s="402"/>
      <c r="G540" s="402"/>
      <c r="H540" s="402"/>
      <c r="I540" s="402"/>
      <c r="J540" s="402"/>
      <c r="K540" s="402"/>
      <c r="L540" s="402"/>
      <c r="M540" s="402"/>
      <c r="N540" s="402"/>
      <c r="O540" s="402"/>
      <c r="P540" s="402"/>
      <c r="Q540" s="402"/>
      <c r="R540" s="402"/>
      <c r="S540" s="402"/>
      <c r="T540" s="402"/>
      <c r="U540" s="402"/>
      <c r="V540" s="402"/>
      <c r="W540" s="402"/>
      <c r="X540" s="402"/>
      <c r="Y540" s="402"/>
      <c r="Z540" s="402"/>
      <c r="AA540" s="402"/>
    </row>
    <row r="541">
      <c r="A541" s="455"/>
      <c r="B541" s="455"/>
      <c r="C541" s="455"/>
      <c r="D541" s="455"/>
      <c r="E541" s="402"/>
      <c r="F541" s="402"/>
      <c r="G541" s="402"/>
      <c r="H541" s="402"/>
      <c r="I541" s="402"/>
      <c r="J541" s="402"/>
      <c r="K541" s="402"/>
      <c r="L541" s="402"/>
      <c r="M541" s="402"/>
      <c r="N541" s="402"/>
      <c r="O541" s="402"/>
      <c r="P541" s="402"/>
      <c r="Q541" s="402"/>
      <c r="R541" s="402"/>
      <c r="S541" s="402"/>
      <c r="T541" s="402"/>
      <c r="U541" s="402"/>
      <c r="V541" s="402"/>
      <c r="W541" s="402"/>
      <c r="X541" s="402"/>
      <c r="Y541" s="402"/>
      <c r="Z541" s="402"/>
      <c r="AA541" s="402"/>
    </row>
    <row r="542">
      <c r="A542" s="455"/>
      <c r="B542" s="455"/>
      <c r="C542" s="455"/>
      <c r="D542" s="455"/>
      <c r="E542" s="402"/>
      <c r="F542" s="402"/>
      <c r="G542" s="402"/>
      <c r="H542" s="402"/>
      <c r="I542" s="402"/>
      <c r="J542" s="402"/>
      <c r="K542" s="402"/>
      <c r="L542" s="402"/>
      <c r="M542" s="402"/>
      <c r="N542" s="402"/>
      <c r="O542" s="402"/>
      <c r="P542" s="402"/>
      <c r="Q542" s="402"/>
      <c r="R542" s="402"/>
      <c r="S542" s="402"/>
      <c r="T542" s="402"/>
      <c r="U542" s="402"/>
      <c r="V542" s="402"/>
      <c r="W542" s="402"/>
      <c r="X542" s="402"/>
      <c r="Y542" s="402"/>
      <c r="Z542" s="402"/>
      <c r="AA542" s="402"/>
    </row>
    <row r="543">
      <c r="A543" s="455"/>
      <c r="B543" s="455"/>
      <c r="C543" s="455"/>
      <c r="D543" s="455"/>
      <c r="E543" s="402"/>
      <c r="F543" s="402"/>
      <c r="G543" s="402"/>
      <c r="H543" s="402"/>
      <c r="I543" s="402"/>
      <c r="J543" s="402"/>
      <c r="K543" s="402"/>
      <c r="L543" s="402"/>
      <c r="M543" s="402"/>
      <c r="N543" s="402"/>
      <c r="O543" s="402"/>
      <c r="P543" s="402"/>
      <c r="Q543" s="402"/>
      <c r="R543" s="402"/>
      <c r="S543" s="402"/>
      <c r="T543" s="402"/>
      <c r="U543" s="402"/>
      <c r="V543" s="402"/>
      <c r="W543" s="402"/>
      <c r="X543" s="402"/>
      <c r="Y543" s="402"/>
      <c r="Z543" s="402"/>
      <c r="AA543" s="402"/>
    </row>
    <row r="544">
      <c r="A544" s="455"/>
      <c r="B544" s="455"/>
      <c r="C544" s="455"/>
      <c r="D544" s="455"/>
      <c r="E544" s="402"/>
      <c r="F544" s="402"/>
      <c r="G544" s="402"/>
      <c r="H544" s="402"/>
      <c r="I544" s="402"/>
      <c r="J544" s="402"/>
      <c r="K544" s="402"/>
      <c r="L544" s="402"/>
      <c r="M544" s="402"/>
      <c r="N544" s="402"/>
      <c r="O544" s="402"/>
      <c r="P544" s="402"/>
      <c r="Q544" s="402"/>
      <c r="R544" s="402"/>
      <c r="S544" s="402"/>
      <c r="T544" s="402"/>
      <c r="U544" s="402"/>
      <c r="V544" s="402"/>
      <c r="W544" s="402"/>
      <c r="X544" s="402"/>
      <c r="Y544" s="402"/>
      <c r="Z544" s="402"/>
      <c r="AA544" s="402"/>
    </row>
    <row r="545">
      <c r="A545" s="455"/>
      <c r="B545" s="455"/>
      <c r="C545" s="455"/>
      <c r="D545" s="455"/>
      <c r="E545" s="402"/>
      <c r="F545" s="402"/>
      <c r="G545" s="402"/>
      <c r="H545" s="402"/>
      <c r="I545" s="402"/>
      <c r="J545" s="402"/>
      <c r="K545" s="402"/>
      <c r="L545" s="402"/>
      <c r="M545" s="402"/>
      <c r="N545" s="402"/>
      <c r="O545" s="402"/>
      <c r="P545" s="402"/>
      <c r="Q545" s="402"/>
      <c r="R545" s="402"/>
      <c r="S545" s="402"/>
      <c r="T545" s="402"/>
      <c r="U545" s="402"/>
      <c r="V545" s="402"/>
      <c r="W545" s="402"/>
      <c r="X545" s="402"/>
      <c r="Y545" s="402"/>
      <c r="Z545" s="402"/>
      <c r="AA545" s="402"/>
    </row>
    <row r="546">
      <c r="A546" s="455"/>
      <c r="B546" s="455"/>
      <c r="C546" s="455"/>
      <c r="D546" s="455"/>
      <c r="E546" s="402"/>
      <c r="F546" s="402"/>
      <c r="G546" s="402"/>
      <c r="H546" s="402"/>
      <c r="I546" s="402"/>
      <c r="J546" s="402"/>
      <c r="K546" s="402"/>
      <c r="L546" s="402"/>
      <c r="M546" s="402"/>
      <c r="N546" s="402"/>
      <c r="O546" s="402"/>
      <c r="P546" s="402"/>
      <c r="Q546" s="402"/>
      <c r="R546" s="402"/>
      <c r="S546" s="402"/>
      <c r="T546" s="402"/>
      <c r="U546" s="402"/>
      <c r="V546" s="402"/>
      <c r="W546" s="402"/>
      <c r="X546" s="402"/>
      <c r="Y546" s="402"/>
      <c r="Z546" s="402"/>
      <c r="AA546" s="402"/>
    </row>
    <row r="547">
      <c r="A547" s="455"/>
      <c r="B547" s="455"/>
      <c r="C547" s="455"/>
      <c r="D547" s="455"/>
      <c r="E547" s="402"/>
      <c r="F547" s="402"/>
      <c r="G547" s="402"/>
      <c r="H547" s="402"/>
      <c r="I547" s="402"/>
      <c r="J547" s="402"/>
      <c r="K547" s="402"/>
      <c r="L547" s="402"/>
      <c r="M547" s="402"/>
      <c r="N547" s="402"/>
      <c r="O547" s="402"/>
      <c r="P547" s="402"/>
      <c r="Q547" s="402"/>
      <c r="R547" s="402"/>
      <c r="S547" s="402"/>
      <c r="T547" s="402"/>
      <c r="U547" s="402"/>
      <c r="V547" s="402"/>
      <c r="W547" s="402"/>
      <c r="X547" s="402"/>
      <c r="Y547" s="402"/>
      <c r="Z547" s="402"/>
      <c r="AA547" s="402"/>
    </row>
    <row r="548">
      <c r="A548" s="455"/>
      <c r="B548" s="455"/>
      <c r="C548" s="455"/>
      <c r="D548" s="455"/>
      <c r="E548" s="402"/>
      <c r="F548" s="402"/>
      <c r="G548" s="402"/>
      <c r="H548" s="402"/>
      <c r="I548" s="402"/>
      <c r="J548" s="402"/>
      <c r="K548" s="402"/>
      <c r="L548" s="402"/>
      <c r="M548" s="402"/>
      <c r="N548" s="402"/>
      <c r="O548" s="402"/>
      <c r="P548" s="402"/>
      <c r="Q548" s="402"/>
      <c r="R548" s="402"/>
      <c r="S548" s="402"/>
      <c r="T548" s="402"/>
      <c r="U548" s="402"/>
      <c r="V548" s="402"/>
      <c r="W548" s="402"/>
      <c r="X548" s="402"/>
      <c r="Y548" s="402"/>
      <c r="Z548" s="402"/>
      <c r="AA548" s="402"/>
    </row>
    <row r="549">
      <c r="A549" s="455"/>
      <c r="B549" s="455"/>
      <c r="C549" s="455"/>
      <c r="D549" s="455"/>
      <c r="E549" s="402"/>
      <c r="F549" s="402"/>
      <c r="G549" s="402"/>
      <c r="H549" s="402"/>
      <c r="I549" s="402"/>
      <c r="J549" s="402"/>
      <c r="K549" s="402"/>
      <c r="L549" s="402"/>
      <c r="M549" s="402"/>
      <c r="N549" s="402"/>
      <c r="O549" s="402"/>
      <c r="P549" s="402"/>
      <c r="Q549" s="402"/>
      <c r="R549" s="402"/>
      <c r="S549" s="402"/>
      <c r="T549" s="402"/>
      <c r="U549" s="402"/>
      <c r="V549" s="402"/>
      <c r="W549" s="402"/>
      <c r="X549" s="402"/>
      <c r="Y549" s="402"/>
      <c r="Z549" s="402"/>
      <c r="AA549" s="402"/>
    </row>
    <row r="550">
      <c r="A550" s="455"/>
      <c r="B550" s="455"/>
      <c r="C550" s="455"/>
      <c r="D550" s="455"/>
      <c r="E550" s="402"/>
      <c r="F550" s="402"/>
      <c r="G550" s="402"/>
      <c r="H550" s="402"/>
      <c r="I550" s="402"/>
      <c r="J550" s="402"/>
      <c r="K550" s="402"/>
      <c r="L550" s="402"/>
      <c r="M550" s="402"/>
      <c r="N550" s="402"/>
      <c r="O550" s="402"/>
      <c r="P550" s="402"/>
      <c r="Q550" s="402"/>
      <c r="R550" s="402"/>
      <c r="S550" s="402"/>
      <c r="T550" s="402"/>
      <c r="U550" s="402"/>
      <c r="V550" s="402"/>
      <c r="W550" s="402"/>
      <c r="X550" s="402"/>
      <c r="Y550" s="402"/>
      <c r="Z550" s="402"/>
      <c r="AA550" s="402"/>
    </row>
    <row r="551">
      <c r="A551" s="455"/>
      <c r="B551" s="455"/>
      <c r="C551" s="455"/>
      <c r="D551" s="455"/>
      <c r="E551" s="402"/>
      <c r="F551" s="402"/>
      <c r="G551" s="402"/>
      <c r="H551" s="402"/>
      <c r="I551" s="402"/>
      <c r="J551" s="402"/>
      <c r="K551" s="402"/>
      <c r="L551" s="402"/>
      <c r="M551" s="402"/>
      <c r="N551" s="402"/>
      <c r="O551" s="402"/>
      <c r="P551" s="402"/>
      <c r="Q551" s="402"/>
      <c r="R551" s="402"/>
      <c r="S551" s="402"/>
      <c r="T551" s="402"/>
      <c r="U551" s="402"/>
      <c r="V551" s="402"/>
      <c r="W551" s="402"/>
      <c r="X551" s="402"/>
      <c r="Y551" s="402"/>
      <c r="Z551" s="402"/>
      <c r="AA551" s="402"/>
    </row>
    <row r="552">
      <c r="A552" s="455"/>
      <c r="B552" s="455"/>
      <c r="C552" s="455"/>
      <c r="D552" s="455"/>
      <c r="E552" s="402"/>
      <c r="F552" s="402"/>
      <c r="G552" s="402"/>
      <c r="H552" s="402"/>
      <c r="I552" s="402"/>
      <c r="J552" s="402"/>
      <c r="K552" s="402"/>
      <c r="L552" s="402"/>
      <c r="M552" s="402"/>
      <c r="N552" s="402"/>
      <c r="O552" s="402"/>
      <c r="P552" s="402"/>
      <c r="Q552" s="402"/>
      <c r="R552" s="402"/>
      <c r="S552" s="402"/>
      <c r="T552" s="402"/>
      <c r="U552" s="402"/>
      <c r="V552" s="402"/>
      <c r="W552" s="402"/>
      <c r="X552" s="402"/>
      <c r="Y552" s="402"/>
      <c r="Z552" s="402"/>
      <c r="AA552" s="402"/>
    </row>
    <row r="553">
      <c r="A553" s="455"/>
      <c r="B553" s="455"/>
      <c r="C553" s="455"/>
      <c r="D553" s="455"/>
      <c r="E553" s="402"/>
      <c r="F553" s="402"/>
      <c r="G553" s="402"/>
      <c r="H553" s="402"/>
      <c r="I553" s="402"/>
      <c r="J553" s="402"/>
      <c r="K553" s="402"/>
      <c r="L553" s="402"/>
      <c r="M553" s="402"/>
      <c r="N553" s="402"/>
      <c r="O553" s="402"/>
      <c r="P553" s="402"/>
      <c r="Q553" s="402"/>
      <c r="R553" s="402"/>
      <c r="S553" s="402"/>
      <c r="T553" s="402"/>
      <c r="U553" s="402"/>
      <c r="V553" s="402"/>
      <c r="W553" s="402"/>
      <c r="X553" s="402"/>
      <c r="Y553" s="402"/>
      <c r="Z553" s="402"/>
      <c r="AA553" s="402"/>
    </row>
    <row r="554">
      <c r="A554" s="455"/>
      <c r="B554" s="455"/>
      <c r="C554" s="455"/>
      <c r="D554" s="455"/>
      <c r="E554" s="402"/>
      <c r="F554" s="402"/>
      <c r="G554" s="402"/>
      <c r="H554" s="402"/>
      <c r="I554" s="402"/>
      <c r="J554" s="402"/>
      <c r="K554" s="402"/>
      <c r="L554" s="402"/>
      <c r="M554" s="402"/>
      <c r="N554" s="402"/>
      <c r="O554" s="402"/>
      <c r="P554" s="402"/>
      <c r="Q554" s="402"/>
      <c r="R554" s="402"/>
      <c r="S554" s="402"/>
      <c r="T554" s="402"/>
      <c r="U554" s="402"/>
      <c r="V554" s="402"/>
      <c r="W554" s="402"/>
      <c r="X554" s="402"/>
      <c r="Y554" s="402"/>
      <c r="Z554" s="402"/>
      <c r="AA554" s="402"/>
    </row>
    <row r="555">
      <c r="A555" s="455"/>
      <c r="B555" s="455"/>
      <c r="C555" s="455"/>
      <c r="D555" s="455"/>
      <c r="E555" s="402"/>
      <c r="F555" s="402"/>
      <c r="G555" s="402"/>
      <c r="H555" s="402"/>
      <c r="I555" s="402"/>
      <c r="J555" s="402"/>
      <c r="K555" s="402"/>
      <c r="L555" s="402"/>
      <c r="M555" s="402"/>
      <c r="N555" s="402"/>
      <c r="O555" s="402"/>
      <c r="P555" s="402"/>
      <c r="Q555" s="402"/>
      <c r="R555" s="402"/>
      <c r="S555" s="402"/>
      <c r="T555" s="402"/>
      <c r="U555" s="402"/>
      <c r="V555" s="402"/>
      <c r="W555" s="402"/>
      <c r="X555" s="402"/>
      <c r="Y555" s="402"/>
      <c r="Z555" s="402"/>
      <c r="AA555" s="402"/>
    </row>
    <row r="556">
      <c r="A556" s="455"/>
      <c r="B556" s="455"/>
      <c r="C556" s="455"/>
      <c r="D556" s="455"/>
      <c r="E556" s="402"/>
      <c r="F556" s="402"/>
      <c r="G556" s="402"/>
      <c r="H556" s="402"/>
      <c r="I556" s="402"/>
      <c r="J556" s="402"/>
      <c r="K556" s="402"/>
      <c r="L556" s="402"/>
      <c r="M556" s="402"/>
      <c r="N556" s="402"/>
      <c r="O556" s="402"/>
      <c r="P556" s="402"/>
      <c r="Q556" s="402"/>
      <c r="R556" s="402"/>
      <c r="S556" s="402"/>
      <c r="T556" s="402"/>
      <c r="U556" s="402"/>
      <c r="V556" s="402"/>
      <c r="W556" s="402"/>
      <c r="X556" s="402"/>
      <c r="Y556" s="402"/>
      <c r="Z556" s="402"/>
      <c r="AA556" s="402"/>
    </row>
    <row r="557">
      <c r="A557" s="455"/>
      <c r="B557" s="455"/>
      <c r="C557" s="455"/>
      <c r="D557" s="455"/>
      <c r="E557" s="402"/>
      <c r="F557" s="402"/>
      <c r="G557" s="402"/>
      <c r="H557" s="402"/>
      <c r="I557" s="402"/>
      <c r="J557" s="402"/>
      <c r="K557" s="402"/>
      <c r="L557" s="402"/>
      <c r="M557" s="402"/>
      <c r="N557" s="402"/>
      <c r="O557" s="402"/>
      <c r="P557" s="402"/>
      <c r="Q557" s="402"/>
      <c r="R557" s="402"/>
      <c r="S557" s="402"/>
      <c r="T557" s="402"/>
      <c r="U557" s="402"/>
      <c r="V557" s="402"/>
      <c r="W557" s="402"/>
      <c r="X557" s="402"/>
      <c r="Y557" s="402"/>
      <c r="Z557" s="402"/>
      <c r="AA557" s="402"/>
    </row>
    <row r="558">
      <c r="A558" s="455"/>
      <c r="B558" s="455"/>
      <c r="C558" s="455"/>
      <c r="D558" s="455"/>
      <c r="E558" s="402"/>
      <c r="F558" s="402"/>
      <c r="G558" s="402"/>
      <c r="H558" s="402"/>
      <c r="I558" s="402"/>
      <c r="J558" s="402"/>
      <c r="K558" s="402"/>
      <c r="L558" s="402"/>
      <c r="M558" s="402"/>
      <c r="N558" s="402"/>
      <c r="O558" s="402"/>
      <c r="P558" s="402"/>
      <c r="Q558" s="402"/>
      <c r="R558" s="402"/>
      <c r="S558" s="402"/>
      <c r="T558" s="402"/>
      <c r="U558" s="402"/>
      <c r="V558" s="402"/>
      <c r="W558" s="402"/>
      <c r="X558" s="402"/>
      <c r="Y558" s="402"/>
      <c r="Z558" s="402"/>
      <c r="AA558" s="402"/>
    </row>
    <row r="559">
      <c r="A559" s="455"/>
      <c r="B559" s="455"/>
      <c r="C559" s="455"/>
      <c r="D559" s="455"/>
      <c r="E559" s="402"/>
      <c r="F559" s="402"/>
      <c r="G559" s="402"/>
      <c r="H559" s="402"/>
      <c r="I559" s="402"/>
      <c r="J559" s="402"/>
      <c r="K559" s="402"/>
      <c r="L559" s="402"/>
      <c r="M559" s="402"/>
      <c r="N559" s="402"/>
      <c r="O559" s="402"/>
      <c r="P559" s="402"/>
      <c r="Q559" s="402"/>
      <c r="R559" s="402"/>
      <c r="S559" s="402"/>
      <c r="T559" s="402"/>
      <c r="U559" s="402"/>
      <c r="V559" s="402"/>
      <c r="W559" s="402"/>
      <c r="X559" s="402"/>
      <c r="Y559" s="402"/>
      <c r="Z559" s="402"/>
      <c r="AA559" s="402"/>
    </row>
    <row r="560">
      <c r="A560" s="455"/>
      <c r="B560" s="455"/>
      <c r="C560" s="455"/>
      <c r="D560" s="455"/>
      <c r="E560" s="402"/>
      <c r="F560" s="402"/>
      <c r="G560" s="402"/>
      <c r="H560" s="402"/>
      <c r="I560" s="402"/>
      <c r="J560" s="402"/>
      <c r="K560" s="402"/>
      <c r="L560" s="402"/>
      <c r="M560" s="402"/>
      <c r="N560" s="402"/>
      <c r="O560" s="402"/>
      <c r="P560" s="402"/>
      <c r="Q560" s="402"/>
      <c r="R560" s="402"/>
      <c r="S560" s="402"/>
      <c r="T560" s="402"/>
      <c r="U560" s="402"/>
      <c r="V560" s="402"/>
      <c r="W560" s="402"/>
      <c r="X560" s="402"/>
      <c r="Y560" s="402"/>
      <c r="Z560" s="402"/>
      <c r="AA560" s="402"/>
    </row>
    <row r="561">
      <c r="A561" s="455"/>
      <c r="B561" s="455"/>
      <c r="C561" s="455"/>
      <c r="D561" s="455"/>
      <c r="E561" s="402"/>
      <c r="F561" s="402"/>
      <c r="G561" s="402"/>
      <c r="H561" s="402"/>
      <c r="I561" s="402"/>
      <c r="J561" s="402"/>
      <c r="K561" s="402"/>
      <c r="L561" s="402"/>
      <c r="M561" s="402"/>
      <c r="N561" s="402"/>
      <c r="O561" s="402"/>
      <c r="P561" s="402"/>
      <c r="Q561" s="402"/>
      <c r="R561" s="402"/>
      <c r="S561" s="402"/>
      <c r="T561" s="402"/>
      <c r="U561" s="402"/>
      <c r="V561" s="402"/>
      <c r="W561" s="402"/>
      <c r="X561" s="402"/>
      <c r="Y561" s="402"/>
      <c r="Z561" s="402"/>
      <c r="AA561" s="402"/>
    </row>
    <row r="562">
      <c r="A562" s="455"/>
      <c r="B562" s="455"/>
      <c r="C562" s="455"/>
      <c r="D562" s="455"/>
      <c r="E562" s="402"/>
      <c r="F562" s="402"/>
      <c r="G562" s="402"/>
      <c r="H562" s="402"/>
      <c r="I562" s="402"/>
      <c r="J562" s="402"/>
      <c r="K562" s="402"/>
      <c r="L562" s="402"/>
      <c r="M562" s="402"/>
      <c r="N562" s="402"/>
      <c r="O562" s="402"/>
      <c r="P562" s="402"/>
      <c r="Q562" s="402"/>
      <c r="R562" s="402"/>
      <c r="S562" s="402"/>
      <c r="T562" s="402"/>
      <c r="U562" s="402"/>
      <c r="V562" s="402"/>
      <c r="W562" s="402"/>
      <c r="X562" s="402"/>
      <c r="Y562" s="402"/>
      <c r="Z562" s="402"/>
      <c r="AA562" s="402"/>
    </row>
    <row r="563">
      <c r="A563" s="455"/>
      <c r="B563" s="455"/>
      <c r="C563" s="455"/>
      <c r="D563" s="455"/>
      <c r="E563" s="402"/>
      <c r="F563" s="402"/>
      <c r="G563" s="402"/>
      <c r="H563" s="402"/>
      <c r="I563" s="402"/>
      <c r="J563" s="402"/>
      <c r="K563" s="402"/>
      <c r="L563" s="402"/>
      <c r="M563" s="402"/>
      <c r="N563" s="402"/>
      <c r="O563" s="402"/>
      <c r="P563" s="402"/>
      <c r="Q563" s="402"/>
      <c r="R563" s="402"/>
      <c r="S563" s="402"/>
      <c r="T563" s="402"/>
      <c r="U563" s="402"/>
      <c r="V563" s="402"/>
      <c r="W563" s="402"/>
      <c r="X563" s="402"/>
      <c r="Y563" s="402"/>
      <c r="Z563" s="402"/>
      <c r="AA563" s="402"/>
    </row>
    <row r="564">
      <c r="A564" s="455"/>
      <c r="B564" s="455"/>
      <c r="C564" s="455"/>
      <c r="D564" s="455"/>
      <c r="E564" s="402"/>
      <c r="F564" s="402"/>
      <c r="G564" s="402"/>
      <c r="H564" s="402"/>
      <c r="I564" s="402"/>
      <c r="J564" s="402"/>
      <c r="K564" s="402"/>
      <c r="L564" s="402"/>
      <c r="M564" s="402"/>
      <c r="N564" s="402"/>
      <c r="O564" s="402"/>
      <c r="P564" s="402"/>
      <c r="Q564" s="402"/>
      <c r="R564" s="402"/>
      <c r="S564" s="402"/>
      <c r="T564" s="402"/>
      <c r="U564" s="402"/>
      <c r="V564" s="402"/>
      <c r="W564" s="402"/>
      <c r="X564" s="402"/>
      <c r="Y564" s="402"/>
      <c r="Z564" s="402"/>
      <c r="AA564" s="402"/>
    </row>
    <row r="565">
      <c r="A565" s="455"/>
      <c r="B565" s="455"/>
      <c r="C565" s="455"/>
      <c r="D565" s="455"/>
      <c r="E565" s="402"/>
      <c r="F565" s="402"/>
      <c r="G565" s="402"/>
      <c r="H565" s="402"/>
      <c r="I565" s="402"/>
      <c r="J565" s="402"/>
      <c r="K565" s="402"/>
      <c r="L565" s="402"/>
      <c r="M565" s="402"/>
      <c r="N565" s="402"/>
      <c r="O565" s="402"/>
      <c r="P565" s="402"/>
      <c r="Q565" s="402"/>
      <c r="R565" s="402"/>
      <c r="S565" s="402"/>
      <c r="T565" s="402"/>
      <c r="U565" s="402"/>
      <c r="V565" s="402"/>
      <c r="W565" s="402"/>
      <c r="X565" s="402"/>
      <c r="Y565" s="402"/>
      <c r="Z565" s="402"/>
      <c r="AA565" s="402"/>
    </row>
    <row r="566">
      <c r="A566" s="455"/>
      <c r="B566" s="455"/>
      <c r="C566" s="455"/>
      <c r="D566" s="455"/>
      <c r="E566" s="402"/>
      <c r="F566" s="402"/>
      <c r="G566" s="402"/>
      <c r="H566" s="402"/>
      <c r="I566" s="402"/>
      <c r="J566" s="402"/>
      <c r="K566" s="402"/>
      <c r="L566" s="402"/>
      <c r="M566" s="402"/>
      <c r="N566" s="402"/>
      <c r="O566" s="402"/>
      <c r="P566" s="402"/>
      <c r="Q566" s="402"/>
      <c r="R566" s="402"/>
      <c r="S566" s="402"/>
      <c r="T566" s="402"/>
      <c r="U566" s="402"/>
      <c r="V566" s="402"/>
      <c r="W566" s="402"/>
      <c r="X566" s="402"/>
      <c r="Y566" s="402"/>
      <c r="Z566" s="402"/>
      <c r="AA566" s="402"/>
    </row>
    <row r="567">
      <c r="A567" s="455"/>
      <c r="B567" s="455"/>
      <c r="C567" s="455"/>
      <c r="D567" s="455"/>
      <c r="E567" s="402"/>
      <c r="F567" s="402"/>
      <c r="G567" s="402"/>
      <c r="H567" s="402"/>
      <c r="I567" s="402"/>
      <c r="J567" s="402"/>
      <c r="K567" s="402"/>
      <c r="L567" s="402"/>
      <c r="M567" s="402"/>
      <c r="N567" s="402"/>
      <c r="O567" s="402"/>
      <c r="P567" s="402"/>
      <c r="Q567" s="402"/>
      <c r="R567" s="402"/>
      <c r="S567" s="402"/>
      <c r="T567" s="402"/>
      <c r="U567" s="402"/>
      <c r="V567" s="402"/>
      <c r="W567" s="402"/>
      <c r="X567" s="402"/>
      <c r="Y567" s="402"/>
      <c r="Z567" s="402"/>
      <c r="AA567" s="402"/>
    </row>
    <row r="568">
      <c r="A568" s="455"/>
      <c r="B568" s="455"/>
      <c r="C568" s="455"/>
      <c r="D568" s="455"/>
      <c r="E568" s="402"/>
      <c r="F568" s="402"/>
      <c r="G568" s="402"/>
      <c r="H568" s="402"/>
      <c r="I568" s="402"/>
      <c r="J568" s="402"/>
      <c r="K568" s="402"/>
      <c r="L568" s="402"/>
      <c r="M568" s="402"/>
      <c r="N568" s="402"/>
      <c r="O568" s="402"/>
      <c r="P568" s="402"/>
      <c r="Q568" s="402"/>
      <c r="R568" s="402"/>
      <c r="S568" s="402"/>
      <c r="T568" s="402"/>
      <c r="U568" s="402"/>
      <c r="V568" s="402"/>
      <c r="W568" s="402"/>
      <c r="X568" s="402"/>
      <c r="Y568" s="402"/>
      <c r="Z568" s="402"/>
      <c r="AA568" s="402"/>
    </row>
    <row r="569">
      <c r="A569" s="455"/>
      <c r="B569" s="455"/>
      <c r="C569" s="455"/>
      <c r="D569" s="455"/>
      <c r="E569" s="402"/>
      <c r="F569" s="402"/>
      <c r="G569" s="402"/>
      <c r="H569" s="402"/>
      <c r="I569" s="402"/>
      <c r="J569" s="402"/>
      <c r="K569" s="402"/>
      <c r="L569" s="402"/>
      <c r="M569" s="402"/>
      <c r="N569" s="402"/>
      <c r="O569" s="402"/>
      <c r="P569" s="402"/>
      <c r="Q569" s="402"/>
      <c r="R569" s="402"/>
      <c r="S569" s="402"/>
      <c r="T569" s="402"/>
      <c r="U569" s="402"/>
      <c r="V569" s="402"/>
      <c r="W569" s="402"/>
      <c r="X569" s="402"/>
      <c r="Y569" s="402"/>
      <c r="Z569" s="402"/>
      <c r="AA569" s="402"/>
    </row>
    <row r="570">
      <c r="A570" s="455"/>
      <c r="B570" s="455"/>
      <c r="C570" s="455"/>
      <c r="D570" s="455"/>
      <c r="E570" s="402"/>
      <c r="F570" s="402"/>
      <c r="G570" s="402"/>
      <c r="H570" s="402"/>
      <c r="I570" s="402"/>
      <c r="J570" s="402"/>
      <c r="K570" s="402"/>
      <c r="L570" s="402"/>
      <c r="M570" s="402"/>
      <c r="N570" s="402"/>
      <c r="O570" s="402"/>
      <c r="P570" s="402"/>
      <c r="Q570" s="402"/>
      <c r="R570" s="402"/>
      <c r="S570" s="402"/>
      <c r="T570" s="402"/>
      <c r="U570" s="402"/>
      <c r="V570" s="402"/>
      <c r="W570" s="402"/>
      <c r="X570" s="402"/>
      <c r="Y570" s="402"/>
      <c r="Z570" s="402"/>
      <c r="AA570" s="402"/>
    </row>
    <row r="571">
      <c r="A571" s="455"/>
      <c r="B571" s="455"/>
      <c r="C571" s="455"/>
      <c r="D571" s="455"/>
      <c r="E571" s="402"/>
      <c r="F571" s="402"/>
      <c r="G571" s="402"/>
      <c r="H571" s="402"/>
      <c r="I571" s="402"/>
      <c r="J571" s="402"/>
      <c r="K571" s="402"/>
      <c r="L571" s="402"/>
      <c r="M571" s="402"/>
      <c r="N571" s="402"/>
      <c r="O571" s="402"/>
      <c r="P571" s="402"/>
      <c r="Q571" s="402"/>
      <c r="R571" s="402"/>
      <c r="S571" s="402"/>
      <c r="T571" s="402"/>
      <c r="U571" s="402"/>
      <c r="V571" s="402"/>
      <c r="W571" s="402"/>
      <c r="X571" s="402"/>
      <c r="Y571" s="402"/>
      <c r="Z571" s="402"/>
      <c r="AA571" s="402"/>
    </row>
    <row r="572">
      <c r="A572" s="455"/>
      <c r="B572" s="455"/>
      <c r="C572" s="455"/>
      <c r="D572" s="455"/>
      <c r="E572" s="402"/>
      <c r="F572" s="402"/>
      <c r="G572" s="402"/>
      <c r="H572" s="402"/>
      <c r="I572" s="402"/>
      <c r="J572" s="402"/>
      <c r="K572" s="402"/>
      <c r="L572" s="402"/>
      <c r="M572" s="402"/>
      <c r="N572" s="402"/>
      <c r="O572" s="402"/>
      <c r="P572" s="402"/>
      <c r="Q572" s="402"/>
      <c r="R572" s="402"/>
      <c r="S572" s="402"/>
      <c r="T572" s="402"/>
      <c r="U572" s="402"/>
      <c r="V572" s="402"/>
      <c r="W572" s="402"/>
      <c r="X572" s="402"/>
      <c r="Y572" s="402"/>
      <c r="Z572" s="402"/>
      <c r="AA572" s="402"/>
    </row>
    <row r="573">
      <c r="A573" s="455"/>
      <c r="B573" s="455"/>
      <c r="C573" s="455"/>
      <c r="D573" s="455"/>
      <c r="E573" s="402"/>
      <c r="F573" s="402"/>
      <c r="G573" s="402"/>
      <c r="H573" s="402"/>
      <c r="I573" s="402"/>
      <c r="J573" s="402"/>
      <c r="K573" s="402"/>
      <c r="L573" s="402"/>
      <c r="M573" s="402"/>
      <c r="N573" s="402"/>
      <c r="O573" s="402"/>
      <c r="P573" s="402"/>
      <c r="Q573" s="402"/>
      <c r="R573" s="402"/>
      <c r="S573" s="402"/>
      <c r="T573" s="402"/>
      <c r="U573" s="402"/>
      <c r="V573" s="402"/>
      <c r="W573" s="402"/>
      <c r="X573" s="402"/>
      <c r="Y573" s="402"/>
      <c r="Z573" s="402"/>
      <c r="AA573" s="402"/>
    </row>
    <row r="574">
      <c r="A574" s="455"/>
      <c r="B574" s="455"/>
      <c r="C574" s="455"/>
      <c r="D574" s="455"/>
      <c r="E574" s="402"/>
      <c r="F574" s="402"/>
      <c r="G574" s="402"/>
      <c r="H574" s="402"/>
      <c r="I574" s="402"/>
      <c r="J574" s="402"/>
      <c r="K574" s="402"/>
      <c r="L574" s="402"/>
      <c r="M574" s="402"/>
      <c r="N574" s="402"/>
      <c r="O574" s="402"/>
      <c r="P574" s="402"/>
      <c r="Q574" s="402"/>
      <c r="R574" s="402"/>
      <c r="S574" s="402"/>
      <c r="T574" s="402"/>
      <c r="U574" s="402"/>
      <c r="V574" s="402"/>
      <c r="W574" s="402"/>
      <c r="X574" s="402"/>
      <c r="Y574" s="402"/>
      <c r="Z574" s="402"/>
      <c r="AA574" s="402"/>
    </row>
    <row r="575">
      <c r="A575" s="455"/>
      <c r="B575" s="455"/>
      <c r="C575" s="455"/>
      <c r="D575" s="455"/>
      <c r="E575" s="402"/>
      <c r="F575" s="402"/>
      <c r="G575" s="402"/>
      <c r="H575" s="402"/>
      <c r="I575" s="402"/>
      <c r="J575" s="402"/>
      <c r="K575" s="402"/>
      <c r="L575" s="402"/>
      <c r="M575" s="402"/>
      <c r="N575" s="402"/>
      <c r="O575" s="402"/>
      <c r="P575" s="402"/>
      <c r="Q575" s="402"/>
      <c r="R575" s="402"/>
      <c r="S575" s="402"/>
      <c r="T575" s="402"/>
      <c r="U575" s="402"/>
      <c r="V575" s="402"/>
      <c r="W575" s="402"/>
      <c r="X575" s="402"/>
      <c r="Y575" s="402"/>
      <c r="Z575" s="402"/>
      <c r="AA575" s="402"/>
    </row>
    <row r="576">
      <c r="A576" s="455"/>
      <c r="B576" s="455"/>
      <c r="C576" s="455"/>
      <c r="D576" s="455"/>
      <c r="E576" s="402"/>
      <c r="F576" s="402"/>
      <c r="G576" s="402"/>
      <c r="H576" s="402"/>
      <c r="I576" s="402"/>
      <c r="J576" s="402"/>
      <c r="K576" s="402"/>
      <c r="L576" s="402"/>
      <c r="M576" s="402"/>
      <c r="N576" s="402"/>
      <c r="O576" s="402"/>
      <c r="P576" s="402"/>
      <c r="Q576" s="402"/>
      <c r="R576" s="402"/>
      <c r="S576" s="402"/>
      <c r="T576" s="402"/>
      <c r="U576" s="402"/>
      <c r="V576" s="402"/>
      <c r="W576" s="402"/>
      <c r="X576" s="402"/>
      <c r="Y576" s="402"/>
      <c r="Z576" s="402"/>
      <c r="AA576" s="402"/>
    </row>
    <row r="577">
      <c r="A577" s="455"/>
      <c r="B577" s="455"/>
      <c r="C577" s="455"/>
      <c r="D577" s="455"/>
      <c r="E577" s="402"/>
      <c r="F577" s="402"/>
      <c r="G577" s="402"/>
      <c r="H577" s="402"/>
      <c r="I577" s="402"/>
      <c r="J577" s="402"/>
      <c r="K577" s="402"/>
      <c r="L577" s="402"/>
      <c r="M577" s="402"/>
      <c r="N577" s="402"/>
      <c r="O577" s="402"/>
      <c r="P577" s="402"/>
      <c r="Q577" s="402"/>
      <c r="R577" s="402"/>
      <c r="S577" s="402"/>
      <c r="T577" s="402"/>
      <c r="U577" s="402"/>
      <c r="V577" s="402"/>
      <c r="W577" s="402"/>
      <c r="X577" s="402"/>
      <c r="Y577" s="402"/>
      <c r="Z577" s="402"/>
      <c r="AA577" s="402"/>
    </row>
    <row r="578">
      <c r="A578" s="455"/>
      <c r="B578" s="455"/>
      <c r="C578" s="455"/>
      <c r="D578" s="455"/>
      <c r="E578" s="402"/>
      <c r="F578" s="402"/>
      <c r="G578" s="402"/>
      <c r="H578" s="402"/>
      <c r="I578" s="402"/>
      <c r="J578" s="402"/>
      <c r="K578" s="402"/>
      <c r="L578" s="402"/>
      <c r="M578" s="402"/>
      <c r="N578" s="402"/>
      <c r="O578" s="402"/>
      <c r="P578" s="402"/>
      <c r="Q578" s="402"/>
      <c r="R578" s="402"/>
      <c r="S578" s="402"/>
      <c r="T578" s="402"/>
      <c r="U578" s="402"/>
      <c r="V578" s="402"/>
      <c r="W578" s="402"/>
      <c r="X578" s="402"/>
      <c r="Y578" s="402"/>
      <c r="Z578" s="402"/>
      <c r="AA578" s="402"/>
    </row>
    <row r="579">
      <c r="A579" s="455"/>
      <c r="B579" s="455"/>
      <c r="C579" s="455"/>
      <c r="D579" s="455"/>
      <c r="E579" s="402"/>
      <c r="F579" s="402"/>
      <c r="G579" s="402"/>
      <c r="H579" s="402"/>
      <c r="I579" s="402"/>
      <c r="J579" s="402"/>
      <c r="K579" s="402"/>
      <c r="L579" s="402"/>
      <c r="M579" s="402"/>
      <c r="N579" s="402"/>
      <c r="O579" s="402"/>
      <c r="P579" s="402"/>
      <c r="Q579" s="402"/>
      <c r="R579" s="402"/>
      <c r="S579" s="402"/>
      <c r="T579" s="402"/>
      <c r="U579" s="402"/>
      <c r="V579" s="402"/>
      <c r="W579" s="402"/>
      <c r="X579" s="402"/>
      <c r="Y579" s="402"/>
      <c r="Z579" s="402"/>
      <c r="AA579" s="402"/>
    </row>
    <row r="580">
      <c r="A580" s="455"/>
      <c r="B580" s="455"/>
      <c r="C580" s="455"/>
      <c r="D580" s="455"/>
      <c r="E580" s="402"/>
      <c r="F580" s="402"/>
      <c r="G580" s="402"/>
      <c r="H580" s="402"/>
      <c r="I580" s="402"/>
      <c r="J580" s="402"/>
      <c r="K580" s="402"/>
      <c r="L580" s="402"/>
      <c r="M580" s="402"/>
      <c r="N580" s="402"/>
      <c r="O580" s="402"/>
      <c r="P580" s="402"/>
      <c r="Q580" s="402"/>
      <c r="R580" s="402"/>
      <c r="S580" s="402"/>
      <c r="T580" s="402"/>
      <c r="U580" s="402"/>
      <c r="V580" s="402"/>
      <c r="W580" s="402"/>
      <c r="X580" s="402"/>
      <c r="Y580" s="402"/>
      <c r="Z580" s="402"/>
      <c r="AA580" s="402"/>
    </row>
    <row r="581">
      <c r="A581" s="455"/>
      <c r="B581" s="455"/>
      <c r="C581" s="455"/>
      <c r="D581" s="455"/>
      <c r="E581" s="402"/>
      <c r="F581" s="402"/>
      <c r="G581" s="402"/>
      <c r="H581" s="402"/>
      <c r="I581" s="402"/>
      <c r="J581" s="402"/>
      <c r="K581" s="402"/>
      <c r="L581" s="402"/>
      <c r="M581" s="402"/>
      <c r="N581" s="402"/>
      <c r="O581" s="402"/>
      <c r="P581" s="402"/>
      <c r="Q581" s="402"/>
      <c r="R581" s="402"/>
      <c r="S581" s="402"/>
      <c r="T581" s="402"/>
      <c r="U581" s="402"/>
      <c r="V581" s="402"/>
      <c r="W581" s="402"/>
      <c r="X581" s="402"/>
      <c r="Y581" s="402"/>
      <c r="Z581" s="402"/>
      <c r="AA581" s="402"/>
    </row>
    <row r="582">
      <c r="A582" s="455"/>
      <c r="B582" s="455"/>
      <c r="C582" s="455"/>
      <c r="D582" s="455"/>
      <c r="E582" s="402"/>
      <c r="F582" s="402"/>
      <c r="G582" s="402"/>
      <c r="H582" s="402"/>
      <c r="I582" s="402"/>
      <c r="J582" s="402"/>
      <c r="K582" s="402"/>
      <c r="L582" s="402"/>
      <c r="M582" s="402"/>
      <c r="N582" s="402"/>
      <c r="O582" s="402"/>
      <c r="P582" s="402"/>
      <c r="Q582" s="402"/>
      <c r="R582" s="402"/>
      <c r="S582" s="402"/>
      <c r="T582" s="402"/>
      <c r="U582" s="402"/>
      <c r="V582" s="402"/>
      <c r="W582" s="402"/>
      <c r="X582" s="402"/>
      <c r="Y582" s="402"/>
      <c r="Z582" s="402"/>
      <c r="AA582" s="402"/>
    </row>
    <row r="583">
      <c r="A583" s="455"/>
      <c r="B583" s="455"/>
      <c r="C583" s="455"/>
      <c r="D583" s="455"/>
      <c r="E583" s="402"/>
      <c r="F583" s="402"/>
      <c r="G583" s="402"/>
      <c r="H583" s="402"/>
      <c r="I583" s="402"/>
      <c r="J583" s="402"/>
      <c r="K583" s="402"/>
      <c r="L583" s="402"/>
      <c r="M583" s="402"/>
      <c r="N583" s="402"/>
      <c r="O583" s="402"/>
      <c r="P583" s="402"/>
      <c r="Q583" s="402"/>
      <c r="R583" s="402"/>
      <c r="S583" s="402"/>
      <c r="T583" s="402"/>
      <c r="U583" s="402"/>
      <c r="V583" s="402"/>
      <c r="W583" s="402"/>
      <c r="X583" s="402"/>
      <c r="Y583" s="402"/>
      <c r="Z583" s="402"/>
      <c r="AA583" s="402"/>
    </row>
    <row r="584">
      <c r="A584" s="455"/>
      <c r="B584" s="455"/>
      <c r="C584" s="455"/>
      <c r="D584" s="455"/>
      <c r="E584" s="402"/>
      <c r="F584" s="402"/>
      <c r="G584" s="402"/>
      <c r="H584" s="402"/>
      <c r="I584" s="402"/>
      <c r="J584" s="402"/>
      <c r="K584" s="402"/>
      <c r="L584" s="402"/>
      <c r="M584" s="402"/>
      <c r="N584" s="402"/>
      <c r="O584" s="402"/>
      <c r="P584" s="402"/>
      <c r="Q584" s="402"/>
      <c r="R584" s="402"/>
      <c r="S584" s="402"/>
      <c r="T584" s="402"/>
      <c r="U584" s="402"/>
      <c r="V584" s="402"/>
      <c r="W584" s="402"/>
      <c r="X584" s="402"/>
      <c r="Y584" s="402"/>
      <c r="Z584" s="402"/>
      <c r="AA584" s="402"/>
    </row>
    <row r="585">
      <c r="A585" s="455"/>
      <c r="B585" s="455"/>
      <c r="C585" s="455"/>
      <c r="D585" s="455"/>
      <c r="E585" s="402"/>
      <c r="F585" s="402"/>
      <c r="G585" s="402"/>
      <c r="H585" s="402"/>
      <c r="I585" s="402"/>
      <c r="J585" s="402"/>
      <c r="K585" s="402"/>
      <c r="L585" s="402"/>
      <c r="M585" s="402"/>
      <c r="N585" s="402"/>
      <c r="O585" s="402"/>
      <c r="P585" s="402"/>
      <c r="Q585" s="402"/>
      <c r="R585" s="402"/>
      <c r="S585" s="402"/>
      <c r="T585" s="402"/>
      <c r="U585" s="402"/>
      <c r="V585" s="402"/>
      <c r="W585" s="402"/>
      <c r="X585" s="402"/>
      <c r="Y585" s="402"/>
      <c r="Z585" s="402"/>
      <c r="AA585" s="402"/>
    </row>
    <row r="586">
      <c r="A586" s="455"/>
      <c r="B586" s="455"/>
      <c r="C586" s="455"/>
      <c r="D586" s="455"/>
      <c r="E586" s="402"/>
      <c r="F586" s="402"/>
      <c r="G586" s="402"/>
      <c r="H586" s="402"/>
      <c r="I586" s="402"/>
      <c r="J586" s="402"/>
      <c r="K586" s="402"/>
      <c r="L586" s="402"/>
      <c r="M586" s="402"/>
      <c r="N586" s="402"/>
      <c r="O586" s="402"/>
      <c r="P586" s="402"/>
      <c r="Q586" s="402"/>
      <c r="R586" s="402"/>
      <c r="S586" s="402"/>
      <c r="T586" s="402"/>
      <c r="U586" s="402"/>
      <c r="V586" s="402"/>
      <c r="W586" s="402"/>
      <c r="X586" s="402"/>
      <c r="Y586" s="402"/>
      <c r="Z586" s="402"/>
      <c r="AA586" s="402"/>
    </row>
    <row r="587">
      <c r="A587" s="455"/>
      <c r="B587" s="455"/>
      <c r="C587" s="455"/>
      <c r="D587" s="455"/>
      <c r="E587" s="402"/>
      <c r="F587" s="402"/>
      <c r="G587" s="402"/>
      <c r="H587" s="402"/>
      <c r="I587" s="402"/>
      <c r="J587" s="402"/>
      <c r="K587" s="402"/>
      <c r="L587" s="402"/>
      <c r="M587" s="402"/>
      <c r="N587" s="402"/>
      <c r="O587" s="402"/>
      <c r="P587" s="402"/>
      <c r="Q587" s="402"/>
      <c r="R587" s="402"/>
      <c r="S587" s="402"/>
      <c r="T587" s="402"/>
      <c r="U587" s="402"/>
      <c r="V587" s="402"/>
      <c r="W587" s="402"/>
      <c r="X587" s="402"/>
      <c r="Y587" s="402"/>
      <c r="Z587" s="402"/>
      <c r="AA587" s="402"/>
    </row>
    <row r="588">
      <c r="A588" s="455"/>
      <c r="B588" s="455"/>
      <c r="C588" s="455"/>
      <c r="D588" s="455"/>
      <c r="E588" s="402"/>
      <c r="F588" s="402"/>
      <c r="G588" s="402"/>
      <c r="H588" s="402"/>
      <c r="I588" s="402"/>
      <c r="J588" s="402"/>
      <c r="K588" s="402"/>
      <c r="L588" s="402"/>
      <c r="M588" s="402"/>
      <c r="N588" s="402"/>
      <c r="O588" s="402"/>
      <c r="P588" s="402"/>
      <c r="Q588" s="402"/>
      <c r="R588" s="402"/>
      <c r="S588" s="402"/>
      <c r="T588" s="402"/>
      <c r="U588" s="402"/>
      <c r="V588" s="402"/>
      <c r="W588" s="402"/>
      <c r="X588" s="402"/>
      <c r="Y588" s="402"/>
      <c r="Z588" s="402"/>
      <c r="AA588" s="402"/>
    </row>
    <row r="589">
      <c r="A589" s="455"/>
      <c r="B589" s="455"/>
      <c r="C589" s="455"/>
      <c r="D589" s="455"/>
      <c r="E589" s="402"/>
      <c r="F589" s="402"/>
      <c r="G589" s="402"/>
      <c r="H589" s="402"/>
      <c r="I589" s="402"/>
      <c r="J589" s="402"/>
      <c r="K589" s="402"/>
      <c r="L589" s="402"/>
      <c r="M589" s="402"/>
      <c r="N589" s="402"/>
      <c r="O589" s="402"/>
      <c r="P589" s="402"/>
      <c r="Q589" s="402"/>
      <c r="R589" s="402"/>
      <c r="S589" s="402"/>
      <c r="T589" s="402"/>
      <c r="U589" s="402"/>
      <c r="V589" s="402"/>
      <c r="W589" s="402"/>
      <c r="X589" s="402"/>
      <c r="Y589" s="402"/>
      <c r="Z589" s="402"/>
      <c r="AA589" s="402"/>
    </row>
    <row r="590">
      <c r="A590" s="455"/>
      <c r="B590" s="455"/>
      <c r="C590" s="455"/>
      <c r="D590" s="455"/>
      <c r="E590" s="402"/>
      <c r="F590" s="402"/>
      <c r="G590" s="402"/>
      <c r="H590" s="402"/>
      <c r="I590" s="402"/>
      <c r="J590" s="402"/>
      <c r="K590" s="402"/>
      <c r="L590" s="402"/>
      <c r="M590" s="402"/>
      <c r="N590" s="402"/>
      <c r="O590" s="402"/>
      <c r="P590" s="402"/>
      <c r="Q590" s="402"/>
      <c r="R590" s="402"/>
      <c r="S590" s="402"/>
      <c r="T590" s="402"/>
      <c r="U590" s="402"/>
      <c r="V590" s="402"/>
      <c r="W590" s="402"/>
      <c r="X590" s="402"/>
      <c r="Y590" s="402"/>
      <c r="Z590" s="402"/>
      <c r="AA590" s="402"/>
    </row>
    <row r="591">
      <c r="A591" s="455"/>
      <c r="B591" s="455"/>
      <c r="C591" s="455"/>
      <c r="D591" s="455"/>
      <c r="E591" s="402"/>
      <c r="F591" s="402"/>
      <c r="G591" s="402"/>
      <c r="H591" s="402"/>
      <c r="I591" s="402"/>
      <c r="J591" s="402"/>
      <c r="K591" s="402"/>
      <c r="L591" s="402"/>
      <c r="M591" s="402"/>
      <c r="N591" s="402"/>
      <c r="O591" s="402"/>
      <c r="P591" s="402"/>
      <c r="Q591" s="402"/>
      <c r="R591" s="402"/>
      <c r="S591" s="402"/>
      <c r="T591" s="402"/>
      <c r="U591" s="402"/>
      <c r="V591" s="402"/>
      <c r="W591" s="402"/>
      <c r="X591" s="402"/>
      <c r="Y591" s="402"/>
      <c r="Z591" s="402"/>
      <c r="AA591" s="402"/>
    </row>
    <row r="592">
      <c r="A592" s="455"/>
      <c r="B592" s="455"/>
      <c r="C592" s="455"/>
      <c r="D592" s="455"/>
      <c r="E592" s="402"/>
      <c r="F592" s="402"/>
      <c r="G592" s="402"/>
      <c r="H592" s="402"/>
      <c r="I592" s="402"/>
      <c r="J592" s="402"/>
      <c r="K592" s="402"/>
      <c r="L592" s="402"/>
      <c r="M592" s="402"/>
      <c r="N592" s="402"/>
      <c r="O592" s="402"/>
      <c r="P592" s="402"/>
      <c r="Q592" s="402"/>
      <c r="R592" s="402"/>
      <c r="S592" s="402"/>
      <c r="T592" s="402"/>
      <c r="U592" s="402"/>
      <c r="V592" s="402"/>
      <c r="W592" s="402"/>
      <c r="X592" s="402"/>
      <c r="Y592" s="402"/>
      <c r="Z592" s="402"/>
      <c r="AA592" s="402"/>
    </row>
    <row r="593">
      <c r="A593" s="455"/>
      <c r="B593" s="455"/>
      <c r="C593" s="455"/>
      <c r="D593" s="455"/>
      <c r="E593" s="402"/>
      <c r="F593" s="402"/>
      <c r="G593" s="402"/>
      <c r="H593" s="402"/>
      <c r="I593" s="402"/>
      <c r="J593" s="402"/>
      <c r="K593" s="402"/>
      <c r="L593" s="402"/>
      <c r="M593" s="402"/>
      <c r="N593" s="402"/>
      <c r="O593" s="402"/>
      <c r="P593" s="402"/>
      <c r="Q593" s="402"/>
      <c r="R593" s="402"/>
      <c r="S593" s="402"/>
      <c r="T593" s="402"/>
      <c r="U593" s="402"/>
      <c r="V593" s="402"/>
      <c r="W593" s="402"/>
      <c r="X593" s="402"/>
      <c r="Y593" s="402"/>
      <c r="Z593" s="402"/>
      <c r="AA593" s="402"/>
    </row>
    <row r="594">
      <c r="A594" s="455"/>
      <c r="B594" s="455"/>
      <c r="C594" s="455"/>
      <c r="D594" s="455"/>
      <c r="E594" s="402"/>
      <c r="F594" s="402"/>
      <c r="G594" s="402"/>
      <c r="H594" s="402"/>
      <c r="I594" s="402"/>
      <c r="J594" s="402"/>
      <c r="K594" s="402"/>
      <c r="L594" s="402"/>
      <c r="M594" s="402"/>
      <c r="N594" s="402"/>
      <c r="O594" s="402"/>
      <c r="P594" s="402"/>
      <c r="Q594" s="402"/>
      <c r="R594" s="402"/>
      <c r="S594" s="402"/>
      <c r="T594" s="402"/>
      <c r="U594" s="402"/>
      <c r="V594" s="402"/>
      <c r="W594" s="402"/>
      <c r="X594" s="402"/>
      <c r="Y594" s="402"/>
      <c r="Z594" s="402"/>
      <c r="AA594" s="402"/>
    </row>
    <row r="595">
      <c r="A595" s="455"/>
      <c r="B595" s="455"/>
      <c r="C595" s="455"/>
      <c r="D595" s="455"/>
      <c r="E595" s="402"/>
      <c r="F595" s="402"/>
      <c r="G595" s="402"/>
      <c r="H595" s="402"/>
      <c r="I595" s="402"/>
      <c r="J595" s="402"/>
      <c r="K595" s="402"/>
      <c r="L595" s="402"/>
      <c r="M595" s="402"/>
      <c r="N595" s="402"/>
      <c r="O595" s="402"/>
      <c r="P595" s="402"/>
      <c r="Q595" s="402"/>
      <c r="R595" s="402"/>
      <c r="S595" s="402"/>
      <c r="T595" s="402"/>
      <c r="U595" s="402"/>
      <c r="V595" s="402"/>
      <c r="W595" s="402"/>
      <c r="X595" s="402"/>
      <c r="Y595" s="402"/>
      <c r="Z595" s="402"/>
      <c r="AA595" s="402"/>
    </row>
    <row r="596">
      <c r="A596" s="455"/>
      <c r="B596" s="455"/>
      <c r="C596" s="455"/>
      <c r="D596" s="455"/>
      <c r="E596" s="402"/>
      <c r="F596" s="402"/>
      <c r="G596" s="402"/>
      <c r="H596" s="402"/>
      <c r="I596" s="402"/>
      <c r="J596" s="402"/>
      <c r="K596" s="402"/>
      <c r="L596" s="402"/>
      <c r="M596" s="402"/>
      <c r="N596" s="402"/>
      <c r="O596" s="402"/>
      <c r="P596" s="402"/>
      <c r="Q596" s="402"/>
      <c r="R596" s="402"/>
      <c r="S596" s="402"/>
      <c r="T596" s="402"/>
      <c r="U596" s="402"/>
      <c r="V596" s="402"/>
      <c r="W596" s="402"/>
      <c r="X596" s="402"/>
      <c r="Y596" s="402"/>
      <c r="Z596" s="402"/>
      <c r="AA596" s="402"/>
    </row>
    <row r="597">
      <c r="A597" s="455"/>
      <c r="B597" s="455"/>
      <c r="C597" s="455"/>
      <c r="D597" s="455"/>
      <c r="E597" s="402"/>
      <c r="F597" s="402"/>
      <c r="G597" s="402"/>
      <c r="H597" s="402"/>
      <c r="I597" s="402"/>
      <c r="J597" s="402"/>
      <c r="K597" s="402"/>
      <c r="L597" s="402"/>
      <c r="M597" s="402"/>
      <c r="N597" s="402"/>
      <c r="O597" s="402"/>
      <c r="P597" s="402"/>
      <c r="Q597" s="402"/>
      <c r="R597" s="402"/>
      <c r="S597" s="402"/>
      <c r="T597" s="402"/>
      <c r="U597" s="402"/>
      <c r="V597" s="402"/>
      <c r="W597" s="402"/>
      <c r="X597" s="402"/>
      <c r="Y597" s="402"/>
      <c r="Z597" s="402"/>
      <c r="AA597" s="402"/>
    </row>
    <row r="598">
      <c r="A598" s="455"/>
      <c r="B598" s="455"/>
      <c r="C598" s="455"/>
      <c r="D598" s="455"/>
      <c r="E598" s="402"/>
      <c r="F598" s="402"/>
      <c r="G598" s="402"/>
      <c r="H598" s="402"/>
      <c r="I598" s="402"/>
      <c r="J598" s="402"/>
      <c r="K598" s="402"/>
      <c r="L598" s="402"/>
      <c r="M598" s="402"/>
      <c r="N598" s="402"/>
      <c r="O598" s="402"/>
      <c r="P598" s="402"/>
      <c r="Q598" s="402"/>
      <c r="R598" s="402"/>
      <c r="S598" s="402"/>
      <c r="T598" s="402"/>
      <c r="U598" s="402"/>
      <c r="V598" s="402"/>
      <c r="W598" s="402"/>
      <c r="X598" s="402"/>
      <c r="Y598" s="402"/>
      <c r="Z598" s="402"/>
      <c r="AA598" s="402"/>
    </row>
    <row r="599">
      <c r="A599" s="455"/>
      <c r="B599" s="455"/>
      <c r="C599" s="455"/>
      <c r="D599" s="455"/>
      <c r="E599" s="402"/>
      <c r="F599" s="402"/>
      <c r="G599" s="402"/>
      <c r="H599" s="402"/>
      <c r="I599" s="402"/>
      <c r="J599" s="402"/>
      <c r="K599" s="402"/>
      <c r="L599" s="402"/>
      <c r="M599" s="402"/>
      <c r="N599" s="402"/>
      <c r="O599" s="402"/>
      <c r="P599" s="402"/>
      <c r="Q599" s="402"/>
      <c r="R599" s="402"/>
      <c r="S599" s="402"/>
      <c r="T599" s="402"/>
      <c r="U599" s="402"/>
      <c r="V599" s="402"/>
      <c r="W599" s="402"/>
      <c r="X599" s="402"/>
      <c r="Y599" s="402"/>
      <c r="Z599" s="402"/>
      <c r="AA599" s="402"/>
    </row>
    <row r="600">
      <c r="A600" s="455"/>
      <c r="B600" s="455"/>
      <c r="C600" s="455"/>
      <c r="D600" s="455"/>
      <c r="E600" s="402"/>
      <c r="F600" s="402"/>
      <c r="G600" s="402"/>
      <c r="H600" s="402"/>
      <c r="I600" s="402"/>
      <c r="J600" s="402"/>
      <c r="K600" s="402"/>
      <c r="L600" s="402"/>
      <c r="M600" s="402"/>
      <c r="N600" s="402"/>
      <c r="O600" s="402"/>
      <c r="P600" s="402"/>
      <c r="Q600" s="402"/>
      <c r="R600" s="402"/>
      <c r="S600" s="402"/>
      <c r="T600" s="402"/>
      <c r="U600" s="402"/>
      <c r="V600" s="402"/>
      <c r="W600" s="402"/>
      <c r="X600" s="402"/>
      <c r="Y600" s="402"/>
      <c r="Z600" s="402"/>
      <c r="AA600" s="402"/>
    </row>
    <row r="601">
      <c r="A601" s="455"/>
      <c r="B601" s="455"/>
      <c r="C601" s="455"/>
      <c r="D601" s="455"/>
      <c r="E601" s="402"/>
      <c r="F601" s="402"/>
      <c r="G601" s="402"/>
      <c r="H601" s="402"/>
      <c r="I601" s="402"/>
      <c r="J601" s="402"/>
      <c r="K601" s="402"/>
      <c r="L601" s="402"/>
      <c r="M601" s="402"/>
      <c r="N601" s="402"/>
      <c r="O601" s="402"/>
      <c r="P601" s="402"/>
      <c r="Q601" s="402"/>
      <c r="R601" s="402"/>
      <c r="S601" s="402"/>
      <c r="T601" s="402"/>
      <c r="U601" s="402"/>
      <c r="V601" s="402"/>
      <c r="W601" s="402"/>
      <c r="X601" s="402"/>
      <c r="Y601" s="402"/>
      <c r="Z601" s="402"/>
      <c r="AA601" s="402"/>
    </row>
    <row r="602">
      <c r="A602" s="455"/>
      <c r="B602" s="455"/>
      <c r="C602" s="455"/>
      <c r="D602" s="455"/>
      <c r="E602" s="402"/>
      <c r="F602" s="402"/>
      <c r="G602" s="402"/>
      <c r="H602" s="402"/>
      <c r="I602" s="402"/>
      <c r="J602" s="402"/>
      <c r="K602" s="402"/>
      <c r="L602" s="402"/>
      <c r="M602" s="402"/>
      <c r="N602" s="402"/>
      <c r="O602" s="402"/>
      <c r="P602" s="402"/>
      <c r="Q602" s="402"/>
      <c r="R602" s="402"/>
      <c r="S602" s="402"/>
      <c r="T602" s="402"/>
      <c r="U602" s="402"/>
      <c r="V602" s="402"/>
      <c r="W602" s="402"/>
      <c r="X602" s="402"/>
      <c r="Y602" s="402"/>
      <c r="Z602" s="402"/>
      <c r="AA602" s="402"/>
    </row>
    <row r="603">
      <c r="A603" s="455"/>
      <c r="B603" s="455"/>
      <c r="C603" s="455"/>
      <c r="D603" s="455"/>
      <c r="E603" s="402"/>
      <c r="F603" s="402"/>
      <c r="G603" s="402"/>
      <c r="H603" s="402"/>
      <c r="I603" s="402"/>
      <c r="J603" s="402"/>
      <c r="K603" s="402"/>
      <c r="L603" s="402"/>
      <c r="M603" s="402"/>
      <c r="N603" s="402"/>
      <c r="O603" s="402"/>
      <c r="P603" s="402"/>
      <c r="Q603" s="402"/>
      <c r="R603" s="402"/>
      <c r="S603" s="402"/>
      <c r="T603" s="402"/>
      <c r="U603" s="402"/>
      <c r="V603" s="402"/>
      <c r="W603" s="402"/>
      <c r="X603" s="402"/>
      <c r="Y603" s="402"/>
      <c r="Z603" s="402"/>
      <c r="AA603" s="402"/>
    </row>
    <row r="604">
      <c r="A604" s="455"/>
      <c r="B604" s="455"/>
      <c r="C604" s="455"/>
      <c r="D604" s="455"/>
      <c r="E604" s="402"/>
      <c r="F604" s="402"/>
      <c r="G604" s="402"/>
      <c r="H604" s="402"/>
      <c r="I604" s="402"/>
      <c r="J604" s="402"/>
      <c r="K604" s="402"/>
      <c r="L604" s="402"/>
      <c r="M604" s="402"/>
      <c r="N604" s="402"/>
      <c r="O604" s="402"/>
      <c r="P604" s="402"/>
      <c r="Q604" s="402"/>
      <c r="R604" s="402"/>
      <c r="S604" s="402"/>
      <c r="T604" s="402"/>
      <c r="U604" s="402"/>
      <c r="V604" s="402"/>
      <c r="W604" s="402"/>
      <c r="X604" s="402"/>
      <c r="Y604" s="402"/>
      <c r="Z604" s="402"/>
      <c r="AA604" s="402"/>
    </row>
    <row r="605">
      <c r="A605" s="455"/>
      <c r="B605" s="455"/>
      <c r="C605" s="455"/>
      <c r="D605" s="455"/>
      <c r="E605" s="402"/>
      <c r="F605" s="402"/>
      <c r="G605" s="402"/>
      <c r="H605" s="402"/>
      <c r="I605" s="402"/>
      <c r="J605" s="402"/>
      <c r="K605" s="402"/>
      <c r="L605" s="402"/>
      <c r="M605" s="402"/>
      <c r="N605" s="402"/>
      <c r="O605" s="402"/>
      <c r="P605" s="402"/>
      <c r="Q605" s="402"/>
      <c r="R605" s="402"/>
      <c r="S605" s="402"/>
      <c r="T605" s="402"/>
      <c r="U605" s="402"/>
      <c r="V605" s="402"/>
      <c r="W605" s="402"/>
      <c r="X605" s="402"/>
      <c r="Y605" s="402"/>
      <c r="Z605" s="402"/>
      <c r="AA605" s="402"/>
    </row>
    <row r="606">
      <c r="A606" s="455"/>
      <c r="B606" s="455"/>
      <c r="C606" s="455"/>
      <c r="D606" s="455"/>
      <c r="E606" s="402"/>
      <c r="F606" s="402"/>
      <c r="G606" s="402"/>
      <c r="H606" s="402"/>
      <c r="I606" s="402"/>
      <c r="J606" s="402"/>
      <c r="K606" s="402"/>
      <c r="L606" s="402"/>
      <c r="M606" s="402"/>
      <c r="N606" s="402"/>
      <c r="O606" s="402"/>
      <c r="P606" s="402"/>
      <c r="Q606" s="402"/>
      <c r="R606" s="402"/>
      <c r="S606" s="402"/>
      <c r="T606" s="402"/>
      <c r="U606" s="402"/>
      <c r="V606" s="402"/>
      <c r="W606" s="402"/>
      <c r="X606" s="402"/>
      <c r="Y606" s="402"/>
      <c r="Z606" s="402"/>
      <c r="AA606" s="402"/>
    </row>
    <row r="607">
      <c r="A607" s="455"/>
      <c r="B607" s="455"/>
      <c r="C607" s="455"/>
      <c r="D607" s="455"/>
      <c r="E607" s="402"/>
      <c r="F607" s="402"/>
      <c r="G607" s="402"/>
      <c r="H607" s="402"/>
      <c r="I607" s="402"/>
      <c r="J607" s="402"/>
      <c r="K607" s="402"/>
      <c r="L607" s="402"/>
      <c r="M607" s="402"/>
      <c r="N607" s="402"/>
      <c r="O607" s="402"/>
      <c r="P607" s="402"/>
      <c r="Q607" s="402"/>
      <c r="R607" s="402"/>
      <c r="S607" s="402"/>
      <c r="T607" s="402"/>
      <c r="U607" s="402"/>
      <c r="V607" s="402"/>
      <c r="W607" s="402"/>
      <c r="X607" s="402"/>
      <c r="Y607" s="402"/>
      <c r="Z607" s="402"/>
      <c r="AA607" s="402"/>
    </row>
    <row r="608">
      <c r="A608" s="455"/>
      <c r="B608" s="455"/>
      <c r="C608" s="455"/>
      <c r="D608" s="455"/>
      <c r="E608" s="402"/>
      <c r="F608" s="402"/>
      <c r="G608" s="402"/>
      <c r="H608" s="402"/>
      <c r="I608" s="402"/>
      <c r="J608" s="402"/>
      <c r="K608" s="402"/>
      <c r="L608" s="402"/>
      <c r="M608" s="402"/>
      <c r="N608" s="402"/>
      <c r="O608" s="402"/>
      <c r="P608" s="402"/>
      <c r="Q608" s="402"/>
      <c r="R608" s="402"/>
      <c r="S608" s="402"/>
      <c r="T608" s="402"/>
      <c r="U608" s="402"/>
      <c r="V608" s="402"/>
      <c r="W608" s="402"/>
      <c r="X608" s="402"/>
      <c r="Y608" s="402"/>
      <c r="Z608" s="402"/>
      <c r="AA608" s="402"/>
    </row>
    <row r="609">
      <c r="A609" s="455"/>
      <c r="B609" s="455"/>
      <c r="C609" s="455"/>
      <c r="D609" s="455"/>
      <c r="E609" s="402"/>
      <c r="F609" s="402"/>
      <c r="G609" s="402"/>
      <c r="H609" s="402"/>
      <c r="I609" s="402"/>
      <c r="J609" s="402"/>
      <c r="K609" s="402"/>
      <c r="L609" s="402"/>
      <c r="M609" s="402"/>
      <c r="N609" s="402"/>
      <c r="O609" s="402"/>
      <c r="P609" s="402"/>
      <c r="Q609" s="402"/>
      <c r="R609" s="402"/>
      <c r="S609" s="402"/>
      <c r="T609" s="402"/>
      <c r="U609" s="402"/>
      <c r="V609" s="402"/>
      <c r="W609" s="402"/>
      <c r="X609" s="402"/>
      <c r="Y609" s="402"/>
      <c r="Z609" s="402"/>
      <c r="AA609" s="402"/>
    </row>
    <row r="610">
      <c r="A610" s="455"/>
      <c r="B610" s="455"/>
      <c r="C610" s="455"/>
      <c r="D610" s="455"/>
      <c r="E610" s="402"/>
      <c r="F610" s="402"/>
      <c r="G610" s="402"/>
      <c r="H610" s="402"/>
      <c r="I610" s="402"/>
      <c r="J610" s="402"/>
      <c r="K610" s="402"/>
      <c r="L610" s="402"/>
      <c r="M610" s="402"/>
      <c r="N610" s="402"/>
      <c r="O610" s="402"/>
      <c r="P610" s="402"/>
      <c r="Q610" s="402"/>
      <c r="R610" s="402"/>
      <c r="S610" s="402"/>
      <c r="T610" s="402"/>
      <c r="U610" s="402"/>
      <c r="V610" s="402"/>
      <c r="W610" s="402"/>
      <c r="X610" s="402"/>
      <c r="Y610" s="402"/>
      <c r="Z610" s="402"/>
      <c r="AA610" s="402"/>
    </row>
    <row r="611">
      <c r="A611" s="455"/>
      <c r="B611" s="455"/>
      <c r="C611" s="455"/>
      <c r="D611" s="455"/>
      <c r="E611" s="402"/>
      <c r="F611" s="402"/>
      <c r="G611" s="402"/>
      <c r="H611" s="402"/>
      <c r="I611" s="402"/>
      <c r="J611" s="402"/>
      <c r="K611" s="402"/>
      <c r="L611" s="402"/>
      <c r="M611" s="402"/>
      <c r="N611" s="402"/>
      <c r="O611" s="402"/>
      <c r="P611" s="402"/>
      <c r="Q611" s="402"/>
      <c r="R611" s="402"/>
      <c r="S611" s="402"/>
      <c r="T611" s="402"/>
      <c r="U611" s="402"/>
      <c r="V611" s="402"/>
      <c r="W611" s="402"/>
      <c r="X611" s="402"/>
      <c r="Y611" s="402"/>
      <c r="Z611" s="402"/>
      <c r="AA611" s="402"/>
    </row>
    <row r="612">
      <c r="A612" s="455"/>
      <c r="B612" s="455"/>
      <c r="C612" s="455"/>
      <c r="D612" s="455"/>
      <c r="E612" s="402"/>
      <c r="F612" s="402"/>
      <c r="G612" s="402"/>
      <c r="H612" s="402"/>
      <c r="I612" s="402"/>
      <c r="J612" s="402"/>
      <c r="K612" s="402"/>
      <c r="L612" s="402"/>
      <c r="M612" s="402"/>
      <c r="N612" s="402"/>
      <c r="O612" s="402"/>
      <c r="P612" s="402"/>
      <c r="Q612" s="402"/>
      <c r="R612" s="402"/>
      <c r="S612" s="402"/>
      <c r="T612" s="402"/>
      <c r="U612" s="402"/>
      <c r="V612" s="402"/>
      <c r="W612" s="402"/>
      <c r="X612" s="402"/>
      <c r="Y612" s="402"/>
      <c r="Z612" s="402"/>
      <c r="AA612" s="402"/>
    </row>
    <row r="613">
      <c r="A613" s="455"/>
      <c r="B613" s="455"/>
      <c r="C613" s="455"/>
      <c r="D613" s="455"/>
      <c r="E613" s="402"/>
      <c r="F613" s="402"/>
      <c r="G613" s="402"/>
      <c r="H613" s="402"/>
      <c r="I613" s="402"/>
      <c r="J613" s="402"/>
      <c r="K613" s="402"/>
      <c r="L613" s="402"/>
      <c r="M613" s="402"/>
      <c r="N613" s="402"/>
      <c r="O613" s="402"/>
      <c r="P613" s="402"/>
      <c r="Q613" s="402"/>
      <c r="R613" s="402"/>
      <c r="S613" s="402"/>
      <c r="T613" s="402"/>
      <c r="U613" s="402"/>
      <c r="V613" s="402"/>
      <c r="W613" s="402"/>
      <c r="X613" s="402"/>
      <c r="Y613" s="402"/>
      <c r="Z613" s="402"/>
      <c r="AA613" s="402"/>
    </row>
    <row r="614">
      <c r="A614" s="455"/>
      <c r="B614" s="455"/>
      <c r="C614" s="455"/>
      <c r="D614" s="455"/>
      <c r="E614" s="402"/>
      <c r="F614" s="402"/>
      <c r="G614" s="402"/>
      <c r="H614" s="402"/>
      <c r="I614" s="402"/>
      <c r="J614" s="402"/>
      <c r="K614" s="402"/>
      <c r="L614" s="402"/>
      <c r="M614" s="402"/>
      <c r="N614" s="402"/>
      <c r="O614" s="402"/>
      <c r="P614" s="402"/>
      <c r="Q614" s="402"/>
      <c r="R614" s="402"/>
      <c r="S614" s="402"/>
      <c r="T614" s="402"/>
      <c r="U614" s="402"/>
      <c r="V614" s="402"/>
      <c r="W614" s="402"/>
      <c r="X614" s="402"/>
      <c r="Y614" s="402"/>
      <c r="Z614" s="402"/>
      <c r="AA614" s="402"/>
    </row>
    <row r="615">
      <c r="A615" s="455"/>
      <c r="B615" s="455"/>
      <c r="C615" s="455"/>
      <c r="D615" s="455"/>
      <c r="E615" s="402"/>
      <c r="F615" s="402"/>
      <c r="G615" s="402"/>
      <c r="H615" s="402"/>
      <c r="I615" s="402"/>
      <c r="J615" s="402"/>
      <c r="K615" s="402"/>
      <c r="L615" s="402"/>
      <c r="M615" s="402"/>
      <c r="N615" s="402"/>
      <c r="O615" s="402"/>
      <c r="P615" s="402"/>
      <c r="Q615" s="402"/>
      <c r="R615" s="402"/>
      <c r="S615" s="402"/>
      <c r="T615" s="402"/>
      <c r="U615" s="402"/>
      <c r="V615" s="402"/>
      <c r="W615" s="402"/>
      <c r="X615" s="402"/>
      <c r="Y615" s="402"/>
      <c r="Z615" s="402"/>
      <c r="AA615" s="402"/>
    </row>
    <row r="616">
      <c r="A616" s="455"/>
      <c r="B616" s="455"/>
      <c r="C616" s="455"/>
      <c r="D616" s="455"/>
      <c r="E616" s="402"/>
      <c r="F616" s="402"/>
      <c r="G616" s="402"/>
      <c r="H616" s="402"/>
      <c r="I616" s="402"/>
      <c r="J616" s="402"/>
      <c r="K616" s="402"/>
      <c r="L616" s="402"/>
      <c r="M616" s="402"/>
      <c r="N616" s="402"/>
      <c r="O616" s="402"/>
      <c r="P616" s="402"/>
      <c r="Q616" s="402"/>
      <c r="R616" s="402"/>
      <c r="S616" s="402"/>
      <c r="T616" s="402"/>
      <c r="U616" s="402"/>
      <c r="V616" s="402"/>
      <c r="W616" s="402"/>
      <c r="X616" s="402"/>
      <c r="Y616" s="402"/>
      <c r="Z616" s="402"/>
      <c r="AA616" s="402"/>
    </row>
    <row r="617">
      <c r="A617" s="455"/>
      <c r="B617" s="455"/>
      <c r="C617" s="455"/>
      <c r="D617" s="455"/>
      <c r="E617" s="402"/>
      <c r="F617" s="402"/>
      <c r="G617" s="402"/>
      <c r="H617" s="402"/>
      <c r="I617" s="402"/>
      <c r="J617" s="402"/>
      <c r="K617" s="402"/>
      <c r="L617" s="402"/>
      <c r="M617" s="402"/>
      <c r="N617" s="402"/>
      <c r="O617" s="402"/>
      <c r="P617" s="402"/>
      <c r="Q617" s="402"/>
      <c r="R617" s="402"/>
      <c r="S617" s="402"/>
      <c r="T617" s="402"/>
      <c r="U617" s="402"/>
      <c r="V617" s="402"/>
      <c r="W617" s="402"/>
      <c r="X617" s="402"/>
      <c r="Y617" s="402"/>
      <c r="Z617" s="402"/>
      <c r="AA617" s="402"/>
    </row>
    <row r="618">
      <c r="A618" s="455"/>
      <c r="B618" s="455"/>
      <c r="C618" s="455"/>
      <c r="D618" s="455"/>
      <c r="E618" s="402"/>
      <c r="F618" s="402"/>
      <c r="G618" s="402"/>
      <c r="H618" s="402"/>
      <c r="I618" s="402"/>
      <c r="J618" s="402"/>
      <c r="K618" s="402"/>
      <c r="L618" s="402"/>
      <c r="M618" s="402"/>
      <c r="N618" s="402"/>
      <c r="O618" s="402"/>
      <c r="P618" s="402"/>
      <c r="Q618" s="402"/>
      <c r="R618" s="402"/>
      <c r="S618" s="402"/>
      <c r="T618" s="402"/>
      <c r="U618" s="402"/>
      <c r="V618" s="402"/>
      <c r="W618" s="402"/>
      <c r="X618" s="402"/>
      <c r="Y618" s="402"/>
      <c r="Z618" s="402"/>
      <c r="AA618" s="402"/>
    </row>
    <row r="619">
      <c r="A619" s="455"/>
      <c r="B619" s="455"/>
      <c r="C619" s="455"/>
      <c r="D619" s="455"/>
      <c r="E619" s="402"/>
      <c r="F619" s="402"/>
      <c r="G619" s="402"/>
      <c r="H619" s="402"/>
      <c r="I619" s="402"/>
      <c r="J619" s="402"/>
      <c r="K619" s="402"/>
      <c r="L619" s="402"/>
      <c r="M619" s="402"/>
      <c r="N619" s="402"/>
      <c r="O619" s="402"/>
      <c r="P619" s="402"/>
      <c r="Q619" s="402"/>
      <c r="R619" s="402"/>
      <c r="S619" s="402"/>
      <c r="T619" s="402"/>
      <c r="U619" s="402"/>
      <c r="V619" s="402"/>
      <c r="W619" s="402"/>
      <c r="X619" s="402"/>
      <c r="Y619" s="402"/>
      <c r="Z619" s="402"/>
      <c r="AA619" s="402"/>
    </row>
    <row r="620">
      <c r="A620" s="455"/>
      <c r="B620" s="455"/>
      <c r="C620" s="455"/>
      <c r="D620" s="455"/>
      <c r="E620" s="402"/>
      <c r="F620" s="402"/>
      <c r="G620" s="402"/>
      <c r="H620" s="402"/>
      <c r="I620" s="402"/>
      <c r="J620" s="402"/>
      <c r="K620" s="402"/>
      <c r="L620" s="402"/>
      <c r="M620" s="402"/>
      <c r="N620" s="402"/>
      <c r="O620" s="402"/>
      <c r="P620" s="402"/>
      <c r="Q620" s="402"/>
      <c r="R620" s="402"/>
      <c r="S620" s="402"/>
      <c r="T620" s="402"/>
      <c r="U620" s="402"/>
      <c r="V620" s="402"/>
      <c r="W620" s="402"/>
      <c r="X620" s="402"/>
      <c r="Y620" s="402"/>
      <c r="Z620" s="402"/>
      <c r="AA620" s="402"/>
    </row>
    <row r="621">
      <c r="A621" s="455"/>
      <c r="B621" s="455"/>
      <c r="C621" s="455"/>
      <c r="D621" s="455"/>
      <c r="E621" s="402"/>
      <c r="F621" s="402"/>
      <c r="G621" s="402"/>
      <c r="H621" s="402"/>
      <c r="I621" s="402"/>
      <c r="J621" s="402"/>
      <c r="K621" s="402"/>
      <c r="L621" s="402"/>
      <c r="M621" s="402"/>
      <c r="N621" s="402"/>
      <c r="O621" s="402"/>
      <c r="P621" s="402"/>
      <c r="Q621" s="402"/>
      <c r="R621" s="402"/>
      <c r="S621" s="402"/>
      <c r="T621" s="402"/>
      <c r="U621" s="402"/>
      <c r="V621" s="402"/>
      <c r="W621" s="402"/>
      <c r="X621" s="402"/>
      <c r="Y621" s="402"/>
      <c r="Z621" s="402"/>
      <c r="AA621" s="402"/>
    </row>
    <row r="622">
      <c r="A622" s="455"/>
      <c r="B622" s="455"/>
      <c r="C622" s="455"/>
      <c r="D622" s="455"/>
      <c r="E622" s="402"/>
      <c r="F622" s="402"/>
      <c r="G622" s="402"/>
      <c r="H622" s="402"/>
      <c r="I622" s="402"/>
      <c r="J622" s="402"/>
      <c r="K622" s="402"/>
      <c r="L622" s="402"/>
      <c r="M622" s="402"/>
      <c r="N622" s="402"/>
      <c r="O622" s="402"/>
      <c r="P622" s="402"/>
      <c r="Q622" s="402"/>
      <c r="R622" s="402"/>
      <c r="S622" s="402"/>
      <c r="T622" s="402"/>
      <c r="U622" s="402"/>
      <c r="V622" s="402"/>
      <c r="W622" s="402"/>
      <c r="X622" s="402"/>
      <c r="Y622" s="402"/>
      <c r="Z622" s="402"/>
      <c r="AA622" s="402"/>
    </row>
    <row r="623">
      <c r="A623" s="455"/>
      <c r="B623" s="455"/>
      <c r="C623" s="455"/>
      <c r="D623" s="455"/>
      <c r="E623" s="402"/>
      <c r="F623" s="402"/>
      <c r="G623" s="402"/>
      <c r="H623" s="402"/>
      <c r="I623" s="402"/>
      <c r="J623" s="402"/>
      <c r="K623" s="402"/>
      <c r="L623" s="402"/>
      <c r="M623" s="402"/>
      <c r="N623" s="402"/>
      <c r="O623" s="402"/>
      <c r="P623" s="402"/>
      <c r="Q623" s="402"/>
      <c r="R623" s="402"/>
      <c r="S623" s="402"/>
      <c r="T623" s="402"/>
      <c r="U623" s="402"/>
      <c r="V623" s="402"/>
      <c r="W623" s="402"/>
      <c r="X623" s="402"/>
      <c r="Y623" s="402"/>
      <c r="Z623" s="402"/>
      <c r="AA623" s="402"/>
    </row>
    <row r="624">
      <c r="A624" s="455"/>
      <c r="B624" s="455"/>
      <c r="C624" s="455"/>
      <c r="D624" s="455"/>
      <c r="E624" s="402"/>
      <c r="F624" s="402"/>
      <c r="G624" s="402"/>
      <c r="H624" s="402"/>
      <c r="I624" s="402"/>
      <c r="J624" s="402"/>
      <c r="K624" s="402"/>
      <c r="L624" s="402"/>
      <c r="M624" s="402"/>
      <c r="N624" s="402"/>
      <c r="O624" s="402"/>
      <c r="P624" s="402"/>
      <c r="Q624" s="402"/>
      <c r="R624" s="402"/>
      <c r="S624" s="402"/>
      <c r="T624" s="402"/>
      <c r="U624" s="402"/>
      <c r="V624" s="402"/>
      <c r="W624" s="402"/>
      <c r="X624" s="402"/>
      <c r="Y624" s="402"/>
      <c r="Z624" s="402"/>
      <c r="AA624" s="402"/>
    </row>
    <row r="625">
      <c r="A625" s="455"/>
      <c r="B625" s="455"/>
      <c r="C625" s="455"/>
      <c r="D625" s="455"/>
      <c r="E625" s="402"/>
      <c r="F625" s="402"/>
      <c r="G625" s="402"/>
      <c r="H625" s="402"/>
      <c r="I625" s="402"/>
      <c r="J625" s="402"/>
      <c r="K625" s="402"/>
      <c r="L625" s="402"/>
      <c r="M625" s="402"/>
      <c r="N625" s="402"/>
      <c r="O625" s="402"/>
      <c r="P625" s="402"/>
      <c r="Q625" s="402"/>
      <c r="R625" s="402"/>
      <c r="S625" s="402"/>
      <c r="T625" s="402"/>
      <c r="U625" s="402"/>
      <c r="V625" s="402"/>
      <c r="W625" s="402"/>
      <c r="X625" s="402"/>
      <c r="Y625" s="402"/>
      <c r="Z625" s="402"/>
      <c r="AA625" s="402"/>
    </row>
    <row r="626">
      <c r="A626" s="455"/>
      <c r="B626" s="455"/>
      <c r="C626" s="455"/>
      <c r="D626" s="455"/>
      <c r="E626" s="402"/>
      <c r="F626" s="402"/>
      <c r="G626" s="402"/>
      <c r="H626" s="402"/>
      <c r="I626" s="402"/>
      <c r="J626" s="402"/>
      <c r="K626" s="402"/>
      <c r="L626" s="402"/>
      <c r="M626" s="402"/>
      <c r="N626" s="402"/>
      <c r="O626" s="402"/>
      <c r="P626" s="402"/>
      <c r="Q626" s="402"/>
      <c r="R626" s="402"/>
      <c r="S626" s="402"/>
      <c r="T626" s="402"/>
      <c r="U626" s="402"/>
      <c r="V626" s="402"/>
      <c r="W626" s="402"/>
      <c r="X626" s="402"/>
      <c r="Y626" s="402"/>
      <c r="Z626" s="402"/>
      <c r="AA626" s="402"/>
    </row>
    <row r="627">
      <c r="A627" s="455"/>
      <c r="B627" s="455"/>
      <c r="C627" s="455"/>
      <c r="D627" s="455"/>
      <c r="E627" s="402"/>
      <c r="F627" s="402"/>
      <c r="G627" s="402"/>
      <c r="H627" s="402"/>
      <c r="I627" s="402"/>
      <c r="J627" s="402"/>
      <c r="K627" s="402"/>
      <c r="L627" s="402"/>
      <c r="M627" s="402"/>
      <c r="N627" s="402"/>
      <c r="O627" s="402"/>
      <c r="P627" s="402"/>
      <c r="Q627" s="402"/>
      <c r="R627" s="402"/>
      <c r="S627" s="402"/>
      <c r="T627" s="402"/>
      <c r="U627" s="402"/>
      <c r="V627" s="402"/>
      <c r="W627" s="402"/>
      <c r="X627" s="402"/>
      <c r="Y627" s="402"/>
      <c r="Z627" s="402"/>
      <c r="AA627" s="402"/>
    </row>
    <row r="628">
      <c r="A628" s="455"/>
      <c r="B628" s="455"/>
      <c r="C628" s="455"/>
      <c r="D628" s="455"/>
      <c r="E628" s="402"/>
      <c r="F628" s="402"/>
      <c r="G628" s="402"/>
      <c r="H628" s="402"/>
      <c r="I628" s="402"/>
      <c r="J628" s="402"/>
      <c r="K628" s="402"/>
      <c r="L628" s="402"/>
      <c r="M628" s="402"/>
      <c r="N628" s="402"/>
      <c r="O628" s="402"/>
      <c r="P628" s="402"/>
      <c r="Q628" s="402"/>
      <c r="R628" s="402"/>
      <c r="S628" s="402"/>
      <c r="T628" s="402"/>
      <c r="U628" s="402"/>
      <c r="V628" s="402"/>
      <c r="W628" s="402"/>
      <c r="X628" s="402"/>
      <c r="Y628" s="402"/>
      <c r="Z628" s="402"/>
      <c r="AA628" s="402"/>
    </row>
    <row r="629">
      <c r="A629" s="455"/>
      <c r="B629" s="455"/>
      <c r="C629" s="455"/>
      <c r="D629" s="455"/>
      <c r="E629" s="402"/>
      <c r="F629" s="402"/>
      <c r="G629" s="402"/>
      <c r="H629" s="402"/>
      <c r="I629" s="402"/>
      <c r="J629" s="402"/>
      <c r="K629" s="402"/>
      <c r="L629" s="402"/>
      <c r="M629" s="402"/>
      <c r="N629" s="402"/>
      <c r="O629" s="402"/>
      <c r="P629" s="402"/>
      <c r="Q629" s="402"/>
      <c r="R629" s="402"/>
      <c r="S629" s="402"/>
      <c r="T629" s="402"/>
      <c r="U629" s="402"/>
      <c r="V629" s="402"/>
      <c r="W629" s="402"/>
      <c r="X629" s="402"/>
      <c r="Y629" s="402"/>
      <c r="Z629" s="402"/>
      <c r="AA629" s="402"/>
    </row>
    <row r="630">
      <c r="A630" s="455"/>
      <c r="B630" s="455"/>
      <c r="C630" s="455"/>
      <c r="D630" s="455"/>
      <c r="E630" s="402"/>
      <c r="F630" s="402"/>
      <c r="G630" s="402"/>
      <c r="H630" s="402"/>
      <c r="I630" s="402"/>
      <c r="J630" s="402"/>
      <c r="K630" s="402"/>
      <c r="L630" s="402"/>
      <c r="M630" s="402"/>
      <c r="N630" s="402"/>
      <c r="O630" s="402"/>
      <c r="P630" s="402"/>
      <c r="Q630" s="402"/>
      <c r="R630" s="402"/>
      <c r="S630" s="402"/>
      <c r="T630" s="402"/>
      <c r="U630" s="402"/>
      <c r="V630" s="402"/>
      <c r="W630" s="402"/>
      <c r="X630" s="402"/>
      <c r="Y630" s="402"/>
      <c r="Z630" s="402"/>
      <c r="AA630" s="402"/>
    </row>
    <row r="631">
      <c r="A631" s="455"/>
      <c r="B631" s="455"/>
      <c r="C631" s="455"/>
      <c r="D631" s="455"/>
      <c r="E631" s="402"/>
      <c r="F631" s="402"/>
      <c r="G631" s="402"/>
      <c r="H631" s="402"/>
      <c r="I631" s="402"/>
      <c r="J631" s="402"/>
      <c r="K631" s="402"/>
      <c r="L631" s="402"/>
      <c r="M631" s="402"/>
      <c r="N631" s="402"/>
      <c r="O631" s="402"/>
      <c r="P631" s="402"/>
      <c r="Q631" s="402"/>
      <c r="R631" s="402"/>
      <c r="S631" s="402"/>
      <c r="T631" s="402"/>
      <c r="U631" s="402"/>
      <c r="V631" s="402"/>
      <c r="W631" s="402"/>
      <c r="X631" s="402"/>
      <c r="Y631" s="402"/>
      <c r="Z631" s="402"/>
      <c r="AA631" s="402"/>
    </row>
    <row r="632">
      <c r="A632" s="455"/>
      <c r="B632" s="455"/>
      <c r="C632" s="455"/>
      <c r="D632" s="455"/>
      <c r="E632" s="402"/>
      <c r="F632" s="402"/>
      <c r="G632" s="402"/>
      <c r="H632" s="402"/>
      <c r="I632" s="402"/>
      <c r="J632" s="402"/>
      <c r="K632" s="402"/>
      <c r="L632" s="402"/>
      <c r="M632" s="402"/>
      <c r="N632" s="402"/>
      <c r="O632" s="402"/>
      <c r="P632" s="402"/>
      <c r="Q632" s="402"/>
      <c r="R632" s="402"/>
      <c r="S632" s="402"/>
      <c r="T632" s="402"/>
      <c r="U632" s="402"/>
      <c r="V632" s="402"/>
      <c r="W632" s="402"/>
      <c r="X632" s="402"/>
      <c r="Y632" s="402"/>
      <c r="Z632" s="402"/>
      <c r="AA632" s="402"/>
    </row>
    <row r="633">
      <c r="A633" s="455"/>
      <c r="B633" s="455"/>
      <c r="C633" s="455"/>
      <c r="D633" s="455"/>
      <c r="E633" s="402"/>
      <c r="F633" s="402"/>
      <c r="G633" s="402"/>
      <c r="H633" s="402"/>
      <c r="I633" s="402"/>
      <c r="J633" s="402"/>
      <c r="K633" s="402"/>
      <c r="L633" s="402"/>
      <c r="M633" s="402"/>
      <c r="N633" s="402"/>
      <c r="O633" s="402"/>
      <c r="P633" s="402"/>
      <c r="Q633" s="402"/>
      <c r="R633" s="402"/>
      <c r="S633" s="402"/>
      <c r="T633" s="402"/>
      <c r="U633" s="402"/>
      <c r="V633" s="402"/>
      <c r="W633" s="402"/>
      <c r="X633" s="402"/>
      <c r="Y633" s="402"/>
      <c r="Z633" s="402"/>
      <c r="AA633" s="402"/>
    </row>
    <row r="634">
      <c r="A634" s="455"/>
      <c r="B634" s="455"/>
      <c r="C634" s="455"/>
      <c r="D634" s="455"/>
      <c r="E634" s="402"/>
      <c r="F634" s="402"/>
      <c r="G634" s="402"/>
      <c r="H634" s="402"/>
      <c r="I634" s="402"/>
      <c r="J634" s="402"/>
      <c r="K634" s="402"/>
      <c r="L634" s="402"/>
      <c r="M634" s="402"/>
      <c r="N634" s="402"/>
      <c r="O634" s="402"/>
      <c r="P634" s="402"/>
      <c r="Q634" s="402"/>
      <c r="R634" s="402"/>
      <c r="S634" s="402"/>
      <c r="T634" s="402"/>
      <c r="U634" s="402"/>
      <c r="V634" s="402"/>
      <c r="W634" s="402"/>
      <c r="X634" s="402"/>
      <c r="Y634" s="402"/>
      <c r="Z634" s="402"/>
      <c r="AA634" s="402"/>
    </row>
    <row r="635">
      <c r="A635" s="455"/>
      <c r="B635" s="455"/>
      <c r="C635" s="455"/>
      <c r="D635" s="455"/>
      <c r="E635" s="402"/>
      <c r="F635" s="402"/>
      <c r="G635" s="402"/>
      <c r="H635" s="402"/>
      <c r="I635" s="402"/>
      <c r="J635" s="402"/>
      <c r="K635" s="402"/>
      <c r="L635" s="402"/>
      <c r="M635" s="402"/>
      <c r="N635" s="402"/>
      <c r="O635" s="402"/>
      <c r="P635" s="402"/>
      <c r="Q635" s="402"/>
      <c r="R635" s="402"/>
      <c r="S635" s="402"/>
      <c r="T635" s="402"/>
      <c r="U635" s="402"/>
      <c r="V635" s="402"/>
      <c r="W635" s="402"/>
      <c r="X635" s="402"/>
      <c r="Y635" s="402"/>
      <c r="Z635" s="402"/>
      <c r="AA635" s="402"/>
    </row>
    <row r="636">
      <c r="A636" s="455"/>
      <c r="B636" s="455"/>
      <c r="C636" s="455"/>
      <c r="D636" s="455"/>
      <c r="E636" s="402"/>
      <c r="F636" s="402"/>
      <c r="G636" s="402"/>
      <c r="H636" s="402"/>
      <c r="I636" s="402"/>
      <c r="J636" s="402"/>
      <c r="K636" s="402"/>
      <c r="L636" s="402"/>
      <c r="M636" s="402"/>
      <c r="N636" s="402"/>
      <c r="O636" s="402"/>
      <c r="P636" s="402"/>
      <c r="Q636" s="402"/>
      <c r="R636" s="402"/>
      <c r="S636" s="402"/>
      <c r="T636" s="402"/>
      <c r="U636" s="402"/>
      <c r="V636" s="402"/>
      <c r="W636" s="402"/>
      <c r="X636" s="402"/>
      <c r="Y636" s="402"/>
      <c r="Z636" s="402"/>
      <c r="AA636" s="402"/>
    </row>
    <row r="637">
      <c r="A637" s="455"/>
      <c r="B637" s="455"/>
      <c r="C637" s="455"/>
      <c r="D637" s="455"/>
      <c r="E637" s="402"/>
      <c r="F637" s="402"/>
      <c r="G637" s="402"/>
      <c r="H637" s="402"/>
      <c r="I637" s="402"/>
      <c r="J637" s="402"/>
      <c r="K637" s="402"/>
      <c r="L637" s="402"/>
      <c r="M637" s="402"/>
      <c r="N637" s="402"/>
      <c r="O637" s="402"/>
      <c r="P637" s="402"/>
      <c r="Q637" s="402"/>
      <c r="R637" s="402"/>
      <c r="S637" s="402"/>
      <c r="T637" s="402"/>
      <c r="U637" s="402"/>
      <c r="V637" s="402"/>
      <c r="W637" s="402"/>
      <c r="X637" s="402"/>
      <c r="Y637" s="402"/>
      <c r="Z637" s="402"/>
      <c r="AA637" s="402"/>
    </row>
    <row r="638">
      <c r="A638" s="455"/>
      <c r="B638" s="455"/>
      <c r="C638" s="455"/>
      <c r="D638" s="455"/>
      <c r="E638" s="402"/>
      <c r="F638" s="402"/>
      <c r="G638" s="402"/>
      <c r="H638" s="402"/>
      <c r="I638" s="402"/>
      <c r="J638" s="402"/>
      <c r="K638" s="402"/>
      <c r="L638" s="402"/>
      <c r="M638" s="402"/>
      <c r="N638" s="402"/>
      <c r="O638" s="402"/>
      <c r="P638" s="402"/>
      <c r="Q638" s="402"/>
      <c r="R638" s="402"/>
      <c r="S638" s="402"/>
      <c r="T638" s="402"/>
      <c r="U638" s="402"/>
      <c r="V638" s="402"/>
      <c r="W638" s="402"/>
      <c r="X638" s="402"/>
      <c r="Y638" s="402"/>
      <c r="Z638" s="402"/>
      <c r="AA638" s="402"/>
    </row>
    <row r="639">
      <c r="A639" s="455"/>
      <c r="B639" s="455"/>
      <c r="C639" s="455"/>
      <c r="D639" s="455"/>
      <c r="E639" s="402"/>
      <c r="F639" s="402"/>
      <c r="G639" s="402"/>
      <c r="H639" s="402"/>
      <c r="I639" s="402"/>
      <c r="J639" s="402"/>
      <c r="K639" s="402"/>
      <c r="L639" s="402"/>
      <c r="M639" s="402"/>
      <c r="N639" s="402"/>
      <c r="O639" s="402"/>
      <c r="P639" s="402"/>
      <c r="Q639" s="402"/>
      <c r="R639" s="402"/>
      <c r="S639" s="402"/>
      <c r="T639" s="402"/>
      <c r="U639" s="402"/>
      <c r="V639" s="402"/>
      <c r="W639" s="402"/>
      <c r="X639" s="402"/>
      <c r="Y639" s="402"/>
      <c r="Z639" s="402"/>
      <c r="AA639" s="402"/>
    </row>
    <row r="640">
      <c r="A640" s="455"/>
      <c r="B640" s="455"/>
      <c r="C640" s="455"/>
      <c r="D640" s="455"/>
      <c r="E640" s="402"/>
      <c r="F640" s="402"/>
      <c r="G640" s="402"/>
      <c r="H640" s="402"/>
      <c r="I640" s="402"/>
      <c r="J640" s="402"/>
      <c r="K640" s="402"/>
      <c r="L640" s="402"/>
      <c r="M640" s="402"/>
      <c r="N640" s="402"/>
      <c r="O640" s="402"/>
      <c r="P640" s="402"/>
      <c r="Q640" s="402"/>
      <c r="R640" s="402"/>
      <c r="S640" s="402"/>
      <c r="T640" s="402"/>
      <c r="U640" s="402"/>
      <c r="V640" s="402"/>
      <c r="W640" s="402"/>
      <c r="X640" s="402"/>
      <c r="Y640" s="402"/>
      <c r="Z640" s="402"/>
      <c r="AA640" s="402"/>
    </row>
    <row r="641">
      <c r="A641" s="455"/>
      <c r="B641" s="455"/>
      <c r="C641" s="455"/>
      <c r="D641" s="455"/>
      <c r="E641" s="402"/>
      <c r="F641" s="402"/>
      <c r="G641" s="402"/>
      <c r="H641" s="402"/>
      <c r="I641" s="402"/>
      <c r="J641" s="402"/>
      <c r="K641" s="402"/>
      <c r="L641" s="402"/>
      <c r="M641" s="402"/>
      <c r="N641" s="402"/>
      <c r="O641" s="402"/>
      <c r="P641" s="402"/>
      <c r="Q641" s="402"/>
      <c r="R641" s="402"/>
      <c r="S641" s="402"/>
      <c r="T641" s="402"/>
      <c r="U641" s="402"/>
      <c r="V641" s="402"/>
      <c r="W641" s="402"/>
      <c r="X641" s="402"/>
      <c r="Y641" s="402"/>
      <c r="Z641" s="402"/>
      <c r="AA641" s="402"/>
    </row>
    <row r="642">
      <c r="A642" s="455"/>
      <c r="B642" s="455"/>
      <c r="C642" s="455"/>
      <c r="D642" s="455"/>
      <c r="E642" s="402"/>
      <c r="F642" s="402"/>
      <c r="G642" s="402"/>
      <c r="H642" s="402"/>
      <c r="I642" s="402"/>
      <c r="J642" s="402"/>
      <c r="K642" s="402"/>
      <c r="L642" s="402"/>
      <c r="M642" s="402"/>
      <c r="N642" s="402"/>
      <c r="O642" s="402"/>
      <c r="P642" s="402"/>
      <c r="Q642" s="402"/>
      <c r="R642" s="402"/>
      <c r="S642" s="402"/>
      <c r="T642" s="402"/>
      <c r="U642" s="402"/>
      <c r="V642" s="402"/>
      <c r="W642" s="402"/>
      <c r="X642" s="402"/>
      <c r="Y642" s="402"/>
      <c r="Z642" s="402"/>
      <c r="AA642" s="402"/>
    </row>
    <row r="643">
      <c r="A643" s="455"/>
      <c r="B643" s="455"/>
      <c r="C643" s="455"/>
      <c r="D643" s="455"/>
      <c r="E643" s="402"/>
      <c r="F643" s="402"/>
      <c r="G643" s="402"/>
      <c r="H643" s="402"/>
      <c r="I643" s="402"/>
      <c r="J643" s="402"/>
      <c r="K643" s="402"/>
      <c r="L643" s="402"/>
      <c r="M643" s="402"/>
      <c r="N643" s="402"/>
      <c r="O643" s="402"/>
      <c r="P643" s="402"/>
      <c r="Q643" s="402"/>
      <c r="R643" s="402"/>
      <c r="S643" s="402"/>
      <c r="T643" s="402"/>
      <c r="U643" s="402"/>
      <c r="V643" s="402"/>
      <c r="W643" s="402"/>
      <c r="X643" s="402"/>
      <c r="Y643" s="402"/>
      <c r="Z643" s="402"/>
      <c r="AA643" s="402"/>
    </row>
    <row r="644">
      <c r="A644" s="455"/>
      <c r="B644" s="455"/>
      <c r="C644" s="455"/>
      <c r="D644" s="455"/>
      <c r="E644" s="402"/>
      <c r="F644" s="402"/>
      <c r="G644" s="402"/>
      <c r="H644" s="402"/>
      <c r="I644" s="402"/>
      <c r="J644" s="402"/>
      <c r="K644" s="402"/>
      <c r="L644" s="402"/>
      <c r="M644" s="402"/>
      <c r="N644" s="402"/>
      <c r="O644" s="402"/>
      <c r="P644" s="402"/>
      <c r="Q644" s="402"/>
      <c r="R644" s="402"/>
      <c r="S644" s="402"/>
      <c r="T644" s="402"/>
      <c r="U644" s="402"/>
      <c r="V644" s="402"/>
      <c r="W644" s="402"/>
      <c r="X644" s="402"/>
      <c r="Y644" s="402"/>
      <c r="Z644" s="402"/>
      <c r="AA644" s="402"/>
    </row>
    <row r="645">
      <c r="A645" s="455"/>
      <c r="B645" s="455"/>
      <c r="C645" s="455"/>
      <c r="D645" s="455"/>
      <c r="E645" s="402"/>
      <c r="F645" s="402"/>
      <c r="G645" s="402"/>
      <c r="H645" s="402"/>
      <c r="I645" s="402"/>
      <c r="J645" s="402"/>
      <c r="K645" s="402"/>
      <c r="L645" s="402"/>
      <c r="M645" s="402"/>
      <c r="N645" s="402"/>
      <c r="O645" s="402"/>
      <c r="P645" s="402"/>
      <c r="Q645" s="402"/>
      <c r="R645" s="402"/>
      <c r="S645" s="402"/>
      <c r="T645" s="402"/>
      <c r="U645" s="402"/>
      <c r="V645" s="402"/>
      <c r="W645" s="402"/>
      <c r="X645" s="402"/>
      <c r="Y645" s="402"/>
      <c r="Z645" s="402"/>
      <c r="AA645" s="402"/>
    </row>
    <row r="646">
      <c r="A646" s="455"/>
      <c r="B646" s="455"/>
      <c r="C646" s="455"/>
      <c r="D646" s="455"/>
      <c r="E646" s="402"/>
      <c r="F646" s="402"/>
      <c r="G646" s="402"/>
      <c r="H646" s="402"/>
      <c r="I646" s="402"/>
      <c r="J646" s="402"/>
      <c r="K646" s="402"/>
      <c r="L646" s="402"/>
      <c r="M646" s="402"/>
      <c r="N646" s="402"/>
      <c r="O646" s="402"/>
      <c r="P646" s="402"/>
      <c r="Q646" s="402"/>
      <c r="R646" s="402"/>
      <c r="S646" s="402"/>
      <c r="T646" s="402"/>
      <c r="U646" s="402"/>
      <c r="V646" s="402"/>
      <c r="W646" s="402"/>
      <c r="X646" s="402"/>
      <c r="Y646" s="402"/>
      <c r="Z646" s="402"/>
      <c r="AA646" s="402"/>
    </row>
    <row r="647">
      <c r="A647" s="455"/>
      <c r="B647" s="455"/>
      <c r="C647" s="455"/>
      <c r="D647" s="455"/>
      <c r="E647" s="402"/>
      <c r="F647" s="402"/>
      <c r="G647" s="402"/>
      <c r="H647" s="402"/>
      <c r="I647" s="402"/>
      <c r="J647" s="402"/>
      <c r="K647" s="402"/>
      <c r="L647" s="402"/>
      <c r="M647" s="402"/>
      <c r="N647" s="402"/>
      <c r="O647" s="402"/>
      <c r="P647" s="402"/>
      <c r="Q647" s="402"/>
      <c r="R647" s="402"/>
      <c r="S647" s="402"/>
      <c r="T647" s="402"/>
      <c r="U647" s="402"/>
      <c r="V647" s="402"/>
      <c r="W647" s="402"/>
      <c r="X647" s="402"/>
      <c r="Y647" s="402"/>
      <c r="Z647" s="402"/>
      <c r="AA647" s="402"/>
    </row>
    <row r="648">
      <c r="A648" s="455"/>
      <c r="B648" s="455"/>
      <c r="C648" s="455"/>
      <c r="D648" s="455"/>
      <c r="E648" s="402"/>
      <c r="F648" s="402"/>
      <c r="G648" s="402"/>
      <c r="H648" s="402"/>
      <c r="I648" s="402"/>
      <c r="J648" s="402"/>
      <c r="K648" s="402"/>
      <c r="L648" s="402"/>
      <c r="M648" s="402"/>
      <c r="N648" s="402"/>
      <c r="O648" s="402"/>
      <c r="P648" s="402"/>
      <c r="Q648" s="402"/>
      <c r="R648" s="402"/>
      <c r="S648" s="402"/>
      <c r="T648" s="402"/>
      <c r="U648" s="402"/>
      <c r="V648" s="402"/>
      <c r="W648" s="402"/>
      <c r="X648" s="402"/>
      <c r="Y648" s="402"/>
      <c r="Z648" s="402"/>
      <c r="AA648" s="402"/>
    </row>
    <row r="649">
      <c r="A649" s="455"/>
      <c r="B649" s="455"/>
      <c r="C649" s="455"/>
      <c r="D649" s="455"/>
      <c r="E649" s="402"/>
      <c r="F649" s="402"/>
      <c r="G649" s="402"/>
      <c r="H649" s="402"/>
      <c r="I649" s="402"/>
      <c r="J649" s="402"/>
      <c r="K649" s="402"/>
      <c r="L649" s="402"/>
      <c r="M649" s="402"/>
      <c r="N649" s="402"/>
      <c r="O649" s="402"/>
      <c r="P649" s="402"/>
      <c r="Q649" s="402"/>
      <c r="R649" s="402"/>
      <c r="S649" s="402"/>
      <c r="T649" s="402"/>
      <c r="U649" s="402"/>
      <c r="V649" s="402"/>
      <c r="W649" s="402"/>
      <c r="X649" s="402"/>
      <c r="Y649" s="402"/>
      <c r="Z649" s="402"/>
      <c r="AA649" s="402"/>
    </row>
    <row r="650">
      <c r="A650" s="455"/>
      <c r="B650" s="455"/>
      <c r="C650" s="455"/>
      <c r="D650" s="455"/>
      <c r="E650" s="402"/>
      <c r="F650" s="402"/>
      <c r="G650" s="402"/>
      <c r="H650" s="402"/>
      <c r="I650" s="402"/>
      <c r="J650" s="402"/>
      <c r="K650" s="402"/>
      <c r="L650" s="402"/>
      <c r="M650" s="402"/>
      <c r="N650" s="402"/>
      <c r="O650" s="402"/>
      <c r="P650" s="402"/>
      <c r="Q650" s="402"/>
      <c r="R650" s="402"/>
      <c r="S650" s="402"/>
      <c r="T650" s="402"/>
      <c r="U650" s="402"/>
      <c r="V650" s="402"/>
      <c r="W650" s="402"/>
      <c r="X650" s="402"/>
      <c r="Y650" s="402"/>
      <c r="Z650" s="402"/>
      <c r="AA650" s="402"/>
    </row>
    <row r="651">
      <c r="A651" s="455"/>
      <c r="B651" s="455"/>
      <c r="C651" s="455"/>
      <c r="D651" s="455"/>
      <c r="E651" s="402"/>
      <c r="F651" s="402"/>
      <c r="G651" s="402"/>
      <c r="H651" s="402"/>
      <c r="I651" s="402"/>
      <c r="J651" s="402"/>
      <c r="K651" s="402"/>
      <c r="L651" s="402"/>
      <c r="M651" s="402"/>
      <c r="N651" s="402"/>
      <c r="O651" s="402"/>
      <c r="P651" s="402"/>
      <c r="Q651" s="402"/>
      <c r="R651" s="402"/>
      <c r="S651" s="402"/>
      <c r="T651" s="402"/>
      <c r="U651" s="402"/>
      <c r="V651" s="402"/>
      <c r="W651" s="402"/>
      <c r="X651" s="402"/>
      <c r="Y651" s="402"/>
      <c r="Z651" s="402"/>
      <c r="AA651" s="402"/>
    </row>
    <row r="652">
      <c r="A652" s="455"/>
      <c r="B652" s="455"/>
      <c r="C652" s="455"/>
      <c r="D652" s="455"/>
      <c r="E652" s="402"/>
      <c r="F652" s="402"/>
      <c r="G652" s="402"/>
      <c r="H652" s="402"/>
      <c r="I652" s="402"/>
      <c r="J652" s="402"/>
      <c r="K652" s="402"/>
      <c r="L652" s="402"/>
      <c r="M652" s="402"/>
      <c r="N652" s="402"/>
      <c r="O652" s="402"/>
      <c r="P652" s="402"/>
      <c r="Q652" s="402"/>
      <c r="R652" s="402"/>
      <c r="S652" s="402"/>
      <c r="T652" s="402"/>
      <c r="U652" s="402"/>
      <c r="V652" s="402"/>
      <c r="W652" s="402"/>
      <c r="X652" s="402"/>
      <c r="Y652" s="402"/>
      <c r="Z652" s="402"/>
      <c r="AA652" s="402"/>
    </row>
    <row r="653">
      <c r="A653" s="455"/>
      <c r="B653" s="455"/>
      <c r="C653" s="455"/>
      <c r="D653" s="455"/>
      <c r="E653" s="402"/>
      <c r="F653" s="402"/>
      <c r="G653" s="402"/>
      <c r="H653" s="402"/>
      <c r="I653" s="402"/>
      <c r="J653" s="402"/>
      <c r="K653" s="402"/>
      <c r="L653" s="402"/>
      <c r="M653" s="402"/>
      <c r="N653" s="402"/>
      <c r="O653" s="402"/>
      <c r="P653" s="402"/>
      <c r="Q653" s="402"/>
      <c r="R653" s="402"/>
      <c r="S653" s="402"/>
      <c r="T653" s="402"/>
      <c r="U653" s="402"/>
      <c r="V653" s="402"/>
      <c r="W653" s="402"/>
      <c r="X653" s="402"/>
      <c r="Y653" s="402"/>
      <c r="Z653" s="402"/>
      <c r="AA653" s="402"/>
    </row>
    <row r="654">
      <c r="A654" s="455"/>
      <c r="B654" s="455"/>
      <c r="C654" s="455"/>
      <c r="D654" s="455"/>
      <c r="E654" s="402"/>
      <c r="F654" s="402"/>
      <c r="G654" s="402"/>
      <c r="H654" s="402"/>
      <c r="I654" s="402"/>
      <c r="J654" s="402"/>
      <c r="K654" s="402"/>
      <c r="L654" s="402"/>
      <c r="M654" s="402"/>
      <c r="N654" s="402"/>
      <c r="O654" s="402"/>
      <c r="P654" s="402"/>
      <c r="Q654" s="402"/>
      <c r="R654" s="402"/>
      <c r="S654" s="402"/>
      <c r="T654" s="402"/>
      <c r="U654" s="402"/>
      <c r="V654" s="402"/>
      <c r="W654" s="402"/>
      <c r="X654" s="402"/>
      <c r="Y654" s="402"/>
      <c r="Z654" s="402"/>
      <c r="AA654" s="402"/>
    </row>
    <row r="655">
      <c r="A655" s="455"/>
      <c r="B655" s="455"/>
      <c r="C655" s="455"/>
      <c r="D655" s="455"/>
      <c r="E655" s="402"/>
      <c r="F655" s="402"/>
      <c r="G655" s="402"/>
      <c r="H655" s="402"/>
      <c r="I655" s="402"/>
      <c r="J655" s="402"/>
      <c r="K655" s="402"/>
      <c r="L655" s="402"/>
      <c r="M655" s="402"/>
      <c r="N655" s="402"/>
      <c r="O655" s="402"/>
      <c r="P655" s="402"/>
      <c r="Q655" s="402"/>
      <c r="R655" s="402"/>
      <c r="S655" s="402"/>
      <c r="T655" s="402"/>
      <c r="U655" s="402"/>
      <c r="V655" s="402"/>
      <c r="W655" s="402"/>
      <c r="X655" s="402"/>
      <c r="Y655" s="402"/>
      <c r="Z655" s="402"/>
      <c r="AA655" s="402"/>
    </row>
    <row r="656">
      <c r="A656" s="455"/>
      <c r="B656" s="455"/>
      <c r="C656" s="455"/>
      <c r="D656" s="455"/>
      <c r="E656" s="402"/>
      <c r="F656" s="402"/>
      <c r="G656" s="402"/>
      <c r="H656" s="402"/>
      <c r="I656" s="402"/>
      <c r="J656" s="402"/>
      <c r="K656" s="402"/>
      <c r="L656" s="402"/>
      <c r="M656" s="402"/>
      <c r="N656" s="402"/>
      <c r="O656" s="402"/>
      <c r="P656" s="402"/>
      <c r="Q656" s="402"/>
      <c r="R656" s="402"/>
      <c r="S656" s="402"/>
      <c r="T656" s="402"/>
      <c r="U656" s="402"/>
      <c r="V656" s="402"/>
      <c r="W656" s="402"/>
      <c r="X656" s="402"/>
      <c r="Y656" s="402"/>
      <c r="Z656" s="402"/>
      <c r="AA656" s="402"/>
    </row>
    <row r="657">
      <c r="A657" s="455"/>
      <c r="B657" s="455"/>
      <c r="C657" s="455"/>
      <c r="D657" s="455"/>
      <c r="E657" s="402"/>
      <c r="F657" s="402"/>
      <c r="G657" s="402"/>
      <c r="H657" s="402"/>
      <c r="I657" s="402"/>
      <c r="J657" s="402"/>
      <c r="K657" s="402"/>
      <c r="L657" s="402"/>
      <c r="M657" s="402"/>
      <c r="N657" s="402"/>
      <c r="O657" s="402"/>
      <c r="P657" s="402"/>
      <c r="Q657" s="402"/>
      <c r="R657" s="402"/>
      <c r="S657" s="402"/>
      <c r="T657" s="402"/>
      <c r="U657" s="402"/>
      <c r="V657" s="402"/>
      <c r="W657" s="402"/>
      <c r="X657" s="402"/>
      <c r="Y657" s="402"/>
      <c r="Z657" s="402"/>
      <c r="AA657" s="402"/>
    </row>
    <row r="658">
      <c r="A658" s="455"/>
      <c r="B658" s="455"/>
      <c r="C658" s="455"/>
      <c r="D658" s="455"/>
      <c r="E658" s="402"/>
      <c r="F658" s="402"/>
      <c r="G658" s="402"/>
      <c r="H658" s="402"/>
      <c r="I658" s="402"/>
      <c r="J658" s="402"/>
      <c r="K658" s="402"/>
      <c r="L658" s="402"/>
      <c r="M658" s="402"/>
      <c r="N658" s="402"/>
      <c r="O658" s="402"/>
      <c r="P658" s="402"/>
      <c r="Q658" s="402"/>
      <c r="R658" s="402"/>
      <c r="S658" s="402"/>
      <c r="T658" s="402"/>
      <c r="U658" s="402"/>
      <c r="V658" s="402"/>
      <c r="W658" s="402"/>
      <c r="X658" s="402"/>
      <c r="Y658" s="402"/>
      <c r="Z658" s="402"/>
      <c r="AA658" s="402"/>
    </row>
    <row r="659">
      <c r="A659" s="455"/>
      <c r="B659" s="455"/>
      <c r="C659" s="455"/>
      <c r="D659" s="455"/>
      <c r="E659" s="402"/>
      <c r="F659" s="402"/>
      <c r="G659" s="402"/>
      <c r="H659" s="402"/>
      <c r="I659" s="402"/>
      <c r="J659" s="402"/>
      <c r="K659" s="402"/>
      <c r="L659" s="402"/>
      <c r="M659" s="402"/>
      <c r="N659" s="402"/>
      <c r="O659" s="402"/>
      <c r="P659" s="402"/>
      <c r="Q659" s="402"/>
      <c r="R659" s="402"/>
      <c r="S659" s="402"/>
      <c r="T659" s="402"/>
      <c r="U659" s="402"/>
      <c r="V659" s="402"/>
      <c r="W659" s="402"/>
      <c r="X659" s="402"/>
      <c r="Y659" s="402"/>
      <c r="Z659" s="402"/>
      <c r="AA659" s="402"/>
    </row>
    <row r="660">
      <c r="A660" s="455"/>
      <c r="B660" s="455"/>
      <c r="C660" s="455"/>
      <c r="D660" s="455"/>
      <c r="E660" s="402"/>
      <c r="F660" s="402"/>
      <c r="G660" s="402"/>
      <c r="H660" s="402"/>
      <c r="I660" s="402"/>
      <c r="J660" s="402"/>
      <c r="K660" s="402"/>
      <c r="L660" s="402"/>
      <c r="M660" s="402"/>
      <c r="N660" s="402"/>
      <c r="O660" s="402"/>
      <c r="P660" s="402"/>
      <c r="Q660" s="402"/>
      <c r="R660" s="402"/>
      <c r="S660" s="402"/>
      <c r="T660" s="402"/>
      <c r="U660" s="402"/>
      <c r="V660" s="402"/>
      <c r="W660" s="402"/>
      <c r="X660" s="402"/>
      <c r="Y660" s="402"/>
      <c r="Z660" s="402"/>
      <c r="AA660" s="402"/>
    </row>
    <row r="661">
      <c r="A661" s="455"/>
      <c r="B661" s="455"/>
      <c r="C661" s="455"/>
      <c r="D661" s="455"/>
      <c r="E661" s="402"/>
      <c r="F661" s="402"/>
      <c r="G661" s="402"/>
      <c r="H661" s="402"/>
      <c r="I661" s="402"/>
      <c r="J661" s="402"/>
      <c r="K661" s="402"/>
      <c r="L661" s="402"/>
      <c r="M661" s="402"/>
      <c r="N661" s="402"/>
      <c r="O661" s="402"/>
      <c r="P661" s="402"/>
      <c r="Q661" s="402"/>
      <c r="R661" s="402"/>
      <c r="S661" s="402"/>
      <c r="T661" s="402"/>
      <c r="U661" s="402"/>
      <c r="V661" s="402"/>
      <c r="W661" s="402"/>
      <c r="X661" s="402"/>
      <c r="Y661" s="402"/>
      <c r="Z661" s="402"/>
      <c r="AA661" s="402"/>
    </row>
    <row r="662">
      <c r="A662" s="455"/>
      <c r="B662" s="455"/>
      <c r="C662" s="455"/>
      <c r="D662" s="455"/>
      <c r="E662" s="402"/>
      <c r="F662" s="402"/>
      <c r="G662" s="402"/>
      <c r="H662" s="402"/>
      <c r="I662" s="402"/>
      <c r="J662" s="402"/>
      <c r="K662" s="402"/>
      <c r="L662" s="402"/>
      <c r="M662" s="402"/>
      <c r="N662" s="402"/>
      <c r="O662" s="402"/>
      <c r="P662" s="402"/>
      <c r="Q662" s="402"/>
      <c r="R662" s="402"/>
      <c r="S662" s="402"/>
      <c r="T662" s="402"/>
      <c r="U662" s="402"/>
      <c r="V662" s="402"/>
      <c r="W662" s="402"/>
      <c r="X662" s="402"/>
      <c r="Y662" s="402"/>
      <c r="Z662" s="402"/>
      <c r="AA662" s="402"/>
    </row>
    <row r="663">
      <c r="A663" s="455"/>
      <c r="B663" s="455"/>
      <c r="C663" s="455"/>
      <c r="D663" s="455"/>
      <c r="E663" s="402"/>
      <c r="F663" s="402"/>
      <c r="G663" s="402"/>
      <c r="H663" s="402"/>
      <c r="I663" s="402"/>
      <c r="J663" s="402"/>
      <c r="K663" s="402"/>
      <c r="L663" s="402"/>
      <c r="M663" s="402"/>
      <c r="N663" s="402"/>
      <c r="O663" s="402"/>
      <c r="P663" s="402"/>
      <c r="Q663" s="402"/>
      <c r="R663" s="402"/>
      <c r="S663" s="402"/>
      <c r="T663" s="402"/>
      <c r="U663" s="402"/>
      <c r="V663" s="402"/>
      <c r="W663" s="402"/>
      <c r="X663" s="402"/>
      <c r="Y663" s="402"/>
      <c r="Z663" s="402"/>
      <c r="AA663" s="402"/>
    </row>
    <row r="664">
      <c r="A664" s="455"/>
      <c r="B664" s="455"/>
      <c r="C664" s="455"/>
      <c r="D664" s="455"/>
      <c r="E664" s="402"/>
      <c r="F664" s="402"/>
      <c r="G664" s="402"/>
      <c r="H664" s="402"/>
      <c r="I664" s="402"/>
      <c r="J664" s="402"/>
      <c r="K664" s="402"/>
      <c r="L664" s="402"/>
      <c r="M664" s="402"/>
      <c r="N664" s="402"/>
      <c r="O664" s="402"/>
      <c r="P664" s="402"/>
      <c r="Q664" s="402"/>
      <c r="R664" s="402"/>
      <c r="S664" s="402"/>
      <c r="T664" s="402"/>
      <c r="U664" s="402"/>
      <c r="V664" s="402"/>
      <c r="W664" s="402"/>
      <c r="X664" s="402"/>
      <c r="Y664" s="402"/>
      <c r="Z664" s="402"/>
      <c r="AA664" s="402"/>
    </row>
    <row r="665">
      <c r="A665" s="455"/>
      <c r="B665" s="455"/>
      <c r="C665" s="455"/>
      <c r="D665" s="455"/>
      <c r="E665" s="402"/>
      <c r="F665" s="402"/>
      <c r="G665" s="402"/>
      <c r="H665" s="402"/>
      <c r="I665" s="402"/>
      <c r="J665" s="402"/>
      <c r="K665" s="402"/>
      <c r="L665" s="402"/>
      <c r="M665" s="402"/>
      <c r="N665" s="402"/>
      <c r="O665" s="402"/>
      <c r="P665" s="402"/>
      <c r="Q665" s="402"/>
      <c r="R665" s="402"/>
      <c r="S665" s="402"/>
      <c r="T665" s="402"/>
      <c r="U665" s="402"/>
      <c r="V665" s="402"/>
      <c r="W665" s="402"/>
      <c r="X665" s="402"/>
      <c r="Y665" s="402"/>
      <c r="Z665" s="402"/>
      <c r="AA665" s="402"/>
    </row>
    <row r="666">
      <c r="A666" s="455"/>
      <c r="B666" s="455"/>
      <c r="C666" s="455"/>
      <c r="D666" s="455"/>
      <c r="E666" s="402"/>
      <c r="F666" s="402"/>
      <c r="G666" s="402"/>
      <c r="H666" s="402"/>
      <c r="I666" s="402"/>
      <c r="J666" s="402"/>
      <c r="K666" s="402"/>
      <c r="L666" s="402"/>
      <c r="M666" s="402"/>
      <c r="N666" s="402"/>
      <c r="O666" s="402"/>
      <c r="P666" s="402"/>
      <c r="Q666" s="402"/>
      <c r="R666" s="402"/>
      <c r="S666" s="402"/>
      <c r="T666" s="402"/>
      <c r="U666" s="402"/>
      <c r="V666" s="402"/>
      <c r="W666" s="402"/>
      <c r="X666" s="402"/>
      <c r="Y666" s="402"/>
      <c r="Z666" s="402"/>
      <c r="AA666" s="402"/>
    </row>
    <row r="667">
      <c r="A667" s="455"/>
      <c r="B667" s="455"/>
      <c r="C667" s="455"/>
      <c r="D667" s="455"/>
      <c r="E667" s="402"/>
      <c r="F667" s="402"/>
      <c r="G667" s="402"/>
      <c r="H667" s="402"/>
      <c r="I667" s="402"/>
      <c r="J667" s="402"/>
      <c r="K667" s="402"/>
      <c r="L667" s="402"/>
      <c r="M667" s="402"/>
      <c r="N667" s="402"/>
      <c r="O667" s="402"/>
      <c r="P667" s="402"/>
      <c r="Q667" s="402"/>
      <c r="R667" s="402"/>
      <c r="S667" s="402"/>
      <c r="T667" s="402"/>
      <c r="U667" s="402"/>
      <c r="V667" s="402"/>
      <c r="W667" s="402"/>
      <c r="X667" s="402"/>
      <c r="Y667" s="402"/>
      <c r="Z667" s="402"/>
      <c r="AA667" s="402"/>
    </row>
    <row r="668">
      <c r="A668" s="455"/>
      <c r="B668" s="455"/>
      <c r="C668" s="455"/>
      <c r="D668" s="455"/>
      <c r="E668" s="402"/>
      <c r="F668" s="402"/>
      <c r="G668" s="402"/>
      <c r="H668" s="402"/>
      <c r="I668" s="402"/>
      <c r="J668" s="402"/>
      <c r="K668" s="402"/>
      <c r="L668" s="402"/>
      <c r="M668" s="402"/>
      <c r="N668" s="402"/>
      <c r="O668" s="402"/>
      <c r="P668" s="402"/>
      <c r="Q668" s="402"/>
      <c r="R668" s="402"/>
      <c r="S668" s="402"/>
      <c r="T668" s="402"/>
      <c r="U668" s="402"/>
      <c r="V668" s="402"/>
      <c r="W668" s="402"/>
      <c r="X668" s="402"/>
      <c r="Y668" s="402"/>
      <c r="Z668" s="402"/>
      <c r="AA668" s="402"/>
    </row>
    <row r="669">
      <c r="A669" s="455"/>
      <c r="B669" s="455"/>
      <c r="C669" s="455"/>
      <c r="D669" s="455"/>
      <c r="E669" s="402"/>
      <c r="F669" s="402"/>
      <c r="G669" s="402"/>
      <c r="H669" s="402"/>
      <c r="I669" s="402"/>
      <c r="J669" s="402"/>
      <c r="K669" s="402"/>
      <c r="L669" s="402"/>
      <c r="M669" s="402"/>
      <c r="N669" s="402"/>
      <c r="O669" s="402"/>
      <c r="P669" s="402"/>
      <c r="Q669" s="402"/>
      <c r="R669" s="402"/>
      <c r="S669" s="402"/>
      <c r="T669" s="402"/>
      <c r="U669" s="402"/>
      <c r="V669" s="402"/>
      <c r="W669" s="402"/>
      <c r="X669" s="402"/>
      <c r="Y669" s="402"/>
      <c r="Z669" s="402"/>
      <c r="AA669" s="402"/>
    </row>
    <row r="670">
      <c r="A670" s="455"/>
      <c r="B670" s="455"/>
      <c r="C670" s="455"/>
      <c r="D670" s="455"/>
      <c r="E670" s="402"/>
      <c r="F670" s="402"/>
      <c r="G670" s="402"/>
      <c r="H670" s="402"/>
      <c r="I670" s="402"/>
      <c r="J670" s="402"/>
      <c r="K670" s="402"/>
      <c r="L670" s="402"/>
      <c r="M670" s="402"/>
      <c r="N670" s="402"/>
      <c r="O670" s="402"/>
      <c r="P670" s="402"/>
      <c r="Q670" s="402"/>
      <c r="R670" s="402"/>
      <c r="S670" s="402"/>
      <c r="T670" s="402"/>
      <c r="U670" s="402"/>
      <c r="V670" s="402"/>
      <c r="W670" s="402"/>
      <c r="X670" s="402"/>
      <c r="Y670" s="402"/>
      <c r="Z670" s="402"/>
      <c r="AA670" s="402"/>
    </row>
    <row r="671">
      <c r="A671" s="455"/>
      <c r="B671" s="455"/>
      <c r="C671" s="455"/>
      <c r="D671" s="455"/>
      <c r="E671" s="402"/>
      <c r="F671" s="402"/>
      <c r="G671" s="402"/>
      <c r="H671" s="402"/>
      <c r="I671" s="402"/>
      <c r="J671" s="402"/>
      <c r="K671" s="402"/>
      <c r="L671" s="402"/>
      <c r="M671" s="402"/>
      <c r="N671" s="402"/>
      <c r="O671" s="402"/>
      <c r="P671" s="402"/>
      <c r="Q671" s="402"/>
      <c r="R671" s="402"/>
      <c r="S671" s="402"/>
      <c r="T671" s="402"/>
      <c r="U671" s="402"/>
      <c r="V671" s="402"/>
      <c r="W671" s="402"/>
      <c r="X671" s="402"/>
      <c r="Y671" s="402"/>
      <c r="Z671" s="402"/>
      <c r="AA671" s="402"/>
    </row>
    <row r="672">
      <c r="A672" s="455"/>
      <c r="B672" s="455"/>
      <c r="C672" s="455"/>
      <c r="D672" s="455"/>
      <c r="E672" s="402"/>
      <c r="F672" s="402"/>
      <c r="G672" s="402"/>
      <c r="H672" s="402"/>
      <c r="I672" s="402"/>
      <c r="J672" s="402"/>
      <c r="K672" s="402"/>
      <c r="L672" s="402"/>
      <c r="M672" s="402"/>
      <c r="N672" s="402"/>
      <c r="O672" s="402"/>
      <c r="P672" s="402"/>
      <c r="Q672" s="402"/>
      <c r="R672" s="402"/>
      <c r="S672" s="402"/>
      <c r="T672" s="402"/>
      <c r="U672" s="402"/>
      <c r="V672" s="402"/>
      <c r="W672" s="402"/>
      <c r="X672" s="402"/>
      <c r="Y672" s="402"/>
      <c r="Z672" s="402"/>
      <c r="AA672" s="402"/>
    </row>
    <row r="673">
      <c r="A673" s="455"/>
      <c r="B673" s="455"/>
      <c r="C673" s="455"/>
      <c r="D673" s="455"/>
      <c r="E673" s="402"/>
      <c r="F673" s="402"/>
      <c r="G673" s="402"/>
      <c r="H673" s="402"/>
      <c r="I673" s="402"/>
      <c r="J673" s="402"/>
      <c r="K673" s="402"/>
      <c r="L673" s="402"/>
      <c r="M673" s="402"/>
      <c r="N673" s="402"/>
      <c r="O673" s="402"/>
      <c r="P673" s="402"/>
      <c r="Q673" s="402"/>
      <c r="R673" s="402"/>
      <c r="S673" s="402"/>
      <c r="T673" s="402"/>
      <c r="U673" s="402"/>
      <c r="V673" s="402"/>
      <c r="W673" s="402"/>
      <c r="X673" s="402"/>
      <c r="Y673" s="402"/>
      <c r="Z673" s="402"/>
      <c r="AA673" s="402"/>
    </row>
    <row r="674">
      <c r="A674" s="455"/>
      <c r="B674" s="455"/>
      <c r="C674" s="455"/>
      <c r="D674" s="455"/>
      <c r="E674" s="402"/>
      <c r="F674" s="402"/>
      <c r="G674" s="402"/>
      <c r="H674" s="402"/>
      <c r="I674" s="402"/>
      <c r="J674" s="402"/>
      <c r="K674" s="402"/>
      <c r="L674" s="402"/>
      <c r="M674" s="402"/>
      <c r="N674" s="402"/>
      <c r="O674" s="402"/>
      <c r="P674" s="402"/>
      <c r="Q674" s="402"/>
      <c r="R674" s="402"/>
      <c r="S674" s="402"/>
      <c r="T674" s="402"/>
      <c r="U674" s="402"/>
      <c r="V674" s="402"/>
      <c r="W674" s="402"/>
      <c r="X674" s="402"/>
      <c r="Y674" s="402"/>
      <c r="Z674" s="402"/>
      <c r="AA674" s="402"/>
    </row>
    <row r="675">
      <c r="A675" s="455"/>
      <c r="B675" s="455"/>
      <c r="C675" s="455"/>
      <c r="D675" s="455"/>
      <c r="E675" s="402"/>
      <c r="F675" s="402"/>
      <c r="G675" s="402"/>
      <c r="H675" s="402"/>
      <c r="I675" s="402"/>
      <c r="J675" s="402"/>
      <c r="K675" s="402"/>
      <c r="L675" s="402"/>
      <c r="M675" s="402"/>
      <c r="N675" s="402"/>
      <c r="O675" s="402"/>
      <c r="P675" s="402"/>
      <c r="Q675" s="402"/>
      <c r="R675" s="402"/>
      <c r="S675" s="402"/>
      <c r="T675" s="402"/>
      <c r="U675" s="402"/>
      <c r="V675" s="402"/>
      <c r="W675" s="402"/>
      <c r="X675" s="402"/>
      <c r="Y675" s="402"/>
      <c r="Z675" s="402"/>
      <c r="AA675" s="402"/>
    </row>
    <row r="676">
      <c r="A676" s="455"/>
      <c r="B676" s="455"/>
      <c r="C676" s="455"/>
      <c r="D676" s="455"/>
      <c r="E676" s="402"/>
      <c r="F676" s="402"/>
      <c r="G676" s="402"/>
      <c r="H676" s="402"/>
      <c r="I676" s="402"/>
      <c r="J676" s="402"/>
      <c r="K676" s="402"/>
      <c r="L676" s="402"/>
      <c r="M676" s="402"/>
      <c r="N676" s="402"/>
      <c r="O676" s="402"/>
      <c r="P676" s="402"/>
      <c r="Q676" s="402"/>
      <c r="R676" s="402"/>
      <c r="S676" s="402"/>
      <c r="T676" s="402"/>
      <c r="U676" s="402"/>
      <c r="V676" s="402"/>
      <c r="W676" s="402"/>
      <c r="X676" s="402"/>
      <c r="Y676" s="402"/>
      <c r="Z676" s="402"/>
      <c r="AA676" s="402"/>
    </row>
    <row r="677">
      <c r="A677" s="455"/>
      <c r="B677" s="455"/>
      <c r="C677" s="455"/>
      <c r="D677" s="455"/>
      <c r="E677" s="402"/>
      <c r="F677" s="402"/>
      <c r="G677" s="402"/>
      <c r="H677" s="402"/>
      <c r="I677" s="402"/>
      <c r="J677" s="402"/>
      <c r="K677" s="402"/>
      <c r="L677" s="402"/>
      <c r="M677" s="402"/>
      <c r="N677" s="402"/>
      <c r="O677" s="402"/>
      <c r="P677" s="402"/>
      <c r="Q677" s="402"/>
      <c r="R677" s="402"/>
      <c r="S677" s="402"/>
      <c r="T677" s="402"/>
      <c r="U677" s="402"/>
      <c r="V677" s="402"/>
      <c r="W677" s="402"/>
      <c r="X677" s="402"/>
      <c r="Y677" s="402"/>
      <c r="Z677" s="402"/>
      <c r="AA677" s="402"/>
    </row>
    <row r="678">
      <c r="A678" s="455"/>
      <c r="B678" s="455"/>
      <c r="C678" s="455"/>
      <c r="D678" s="455"/>
      <c r="E678" s="402"/>
      <c r="F678" s="402"/>
      <c r="G678" s="402"/>
      <c r="H678" s="402"/>
      <c r="I678" s="402"/>
      <c r="J678" s="402"/>
      <c r="K678" s="402"/>
      <c r="L678" s="402"/>
      <c r="M678" s="402"/>
      <c r="N678" s="402"/>
      <c r="O678" s="402"/>
      <c r="P678" s="402"/>
      <c r="Q678" s="402"/>
      <c r="R678" s="402"/>
      <c r="S678" s="402"/>
      <c r="T678" s="402"/>
      <c r="U678" s="402"/>
      <c r="V678" s="402"/>
      <c r="W678" s="402"/>
      <c r="X678" s="402"/>
      <c r="Y678" s="402"/>
      <c r="Z678" s="402"/>
      <c r="AA678" s="402"/>
    </row>
    <row r="679">
      <c r="A679" s="455"/>
      <c r="B679" s="455"/>
      <c r="C679" s="455"/>
      <c r="D679" s="455"/>
      <c r="E679" s="402"/>
      <c r="F679" s="402"/>
      <c r="G679" s="402"/>
      <c r="H679" s="402"/>
      <c r="I679" s="402"/>
      <c r="J679" s="402"/>
      <c r="K679" s="402"/>
      <c r="L679" s="402"/>
      <c r="M679" s="402"/>
      <c r="N679" s="402"/>
      <c r="O679" s="402"/>
      <c r="P679" s="402"/>
      <c r="Q679" s="402"/>
      <c r="R679" s="402"/>
      <c r="S679" s="402"/>
      <c r="T679" s="402"/>
      <c r="U679" s="402"/>
      <c r="V679" s="402"/>
      <c r="W679" s="402"/>
      <c r="X679" s="402"/>
      <c r="Y679" s="402"/>
      <c r="Z679" s="402"/>
      <c r="AA679" s="402"/>
    </row>
    <row r="680">
      <c r="A680" s="455"/>
      <c r="B680" s="455"/>
      <c r="C680" s="455"/>
      <c r="D680" s="455"/>
      <c r="E680" s="402"/>
      <c r="F680" s="402"/>
      <c r="G680" s="402"/>
      <c r="H680" s="402"/>
      <c r="I680" s="402"/>
      <c r="J680" s="402"/>
      <c r="K680" s="402"/>
      <c r="L680" s="402"/>
      <c r="M680" s="402"/>
      <c r="N680" s="402"/>
      <c r="O680" s="402"/>
      <c r="P680" s="402"/>
      <c r="Q680" s="402"/>
      <c r="R680" s="402"/>
      <c r="S680" s="402"/>
      <c r="T680" s="402"/>
      <c r="U680" s="402"/>
      <c r="V680" s="402"/>
      <c r="W680" s="402"/>
      <c r="X680" s="402"/>
      <c r="Y680" s="402"/>
      <c r="Z680" s="402"/>
      <c r="AA680" s="402"/>
    </row>
    <row r="681">
      <c r="A681" s="455"/>
      <c r="B681" s="455"/>
      <c r="C681" s="455"/>
      <c r="D681" s="455"/>
      <c r="E681" s="402"/>
      <c r="F681" s="402"/>
      <c r="G681" s="402"/>
      <c r="H681" s="402"/>
      <c r="I681" s="402"/>
      <c r="J681" s="402"/>
      <c r="K681" s="402"/>
      <c r="L681" s="402"/>
      <c r="M681" s="402"/>
      <c r="N681" s="402"/>
      <c r="O681" s="402"/>
      <c r="P681" s="402"/>
      <c r="Q681" s="402"/>
      <c r="R681" s="402"/>
      <c r="S681" s="402"/>
      <c r="T681" s="402"/>
      <c r="U681" s="402"/>
      <c r="V681" s="402"/>
      <c r="W681" s="402"/>
      <c r="X681" s="402"/>
      <c r="Y681" s="402"/>
      <c r="Z681" s="402"/>
      <c r="AA681" s="402"/>
    </row>
    <row r="682">
      <c r="A682" s="455"/>
      <c r="B682" s="455"/>
      <c r="C682" s="455"/>
      <c r="D682" s="455"/>
      <c r="E682" s="402"/>
      <c r="F682" s="402"/>
      <c r="G682" s="402"/>
      <c r="H682" s="402"/>
      <c r="I682" s="402"/>
      <c r="J682" s="402"/>
      <c r="K682" s="402"/>
      <c r="L682" s="402"/>
      <c r="M682" s="402"/>
      <c r="N682" s="402"/>
      <c r="O682" s="402"/>
      <c r="P682" s="402"/>
      <c r="Q682" s="402"/>
      <c r="R682" s="402"/>
      <c r="S682" s="402"/>
      <c r="T682" s="402"/>
      <c r="U682" s="402"/>
      <c r="V682" s="402"/>
      <c r="W682" s="402"/>
      <c r="X682" s="402"/>
      <c r="Y682" s="402"/>
      <c r="Z682" s="402"/>
      <c r="AA682" s="402"/>
    </row>
    <row r="683">
      <c r="A683" s="455"/>
      <c r="B683" s="455"/>
      <c r="C683" s="455"/>
      <c r="D683" s="455"/>
      <c r="E683" s="402"/>
      <c r="F683" s="402"/>
      <c r="G683" s="402"/>
      <c r="H683" s="402"/>
      <c r="I683" s="402"/>
      <c r="J683" s="402"/>
      <c r="K683" s="402"/>
      <c r="L683" s="402"/>
      <c r="M683" s="402"/>
      <c r="N683" s="402"/>
      <c r="O683" s="402"/>
      <c r="P683" s="402"/>
      <c r="Q683" s="402"/>
      <c r="R683" s="402"/>
      <c r="S683" s="402"/>
      <c r="T683" s="402"/>
      <c r="U683" s="402"/>
      <c r="V683" s="402"/>
      <c r="W683" s="402"/>
      <c r="X683" s="402"/>
      <c r="Y683" s="402"/>
      <c r="Z683" s="402"/>
      <c r="AA683" s="402"/>
    </row>
    <row r="684">
      <c r="A684" s="455"/>
      <c r="B684" s="455"/>
      <c r="C684" s="455"/>
      <c r="D684" s="455"/>
      <c r="E684" s="402"/>
      <c r="F684" s="402"/>
      <c r="G684" s="402"/>
      <c r="H684" s="402"/>
      <c r="I684" s="402"/>
      <c r="J684" s="402"/>
      <c r="K684" s="402"/>
      <c r="L684" s="402"/>
      <c r="M684" s="402"/>
      <c r="N684" s="402"/>
      <c r="O684" s="402"/>
      <c r="P684" s="402"/>
      <c r="Q684" s="402"/>
      <c r="R684" s="402"/>
      <c r="S684" s="402"/>
      <c r="T684" s="402"/>
      <c r="U684" s="402"/>
      <c r="V684" s="402"/>
      <c r="W684" s="402"/>
      <c r="X684" s="402"/>
      <c r="Y684" s="402"/>
      <c r="Z684" s="402"/>
      <c r="AA684" s="402"/>
    </row>
    <row r="685">
      <c r="A685" s="455"/>
      <c r="B685" s="455"/>
      <c r="C685" s="455"/>
      <c r="D685" s="455"/>
      <c r="E685" s="402"/>
      <c r="F685" s="402"/>
      <c r="G685" s="402"/>
      <c r="H685" s="402"/>
      <c r="I685" s="402"/>
      <c r="J685" s="402"/>
      <c r="K685" s="402"/>
      <c r="L685" s="402"/>
      <c r="M685" s="402"/>
      <c r="N685" s="402"/>
      <c r="O685" s="402"/>
      <c r="P685" s="402"/>
      <c r="Q685" s="402"/>
      <c r="R685" s="402"/>
      <c r="S685" s="402"/>
      <c r="T685" s="402"/>
      <c r="U685" s="402"/>
      <c r="V685" s="402"/>
      <c r="W685" s="402"/>
      <c r="X685" s="402"/>
      <c r="Y685" s="402"/>
      <c r="Z685" s="402"/>
      <c r="AA685" s="402"/>
    </row>
    <row r="686">
      <c r="A686" s="455"/>
      <c r="B686" s="455"/>
      <c r="C686" s="455"/>
      <c r="D686" s="455"/>
      <c r="E686" s="402"/>
      <c r="F686" s="402"/>
      <c r="G686" s="402"/>
      <c r="H686" s="402"/>
      <c r="I686" s="402"/>
      <c r="J686" s="402"/>
      <c r="K686" s="402"/>
      <c r="L686" s="402"/>
      <c r="M686" s="402"/>
      <c r="N686" s="402"/>
      <c r="O686" s="402"/>
      <c r="P686" s="402"/>
      <c r="Q686" s="402"/>
      <c r="R686" s="402"/>
      <c r="S686" s="402"/>
      <c r="T686" s="402"/>
      <c r="U686" s="402"/>
      <c r="V686" s="402"/>
      <c r="W686" s="402"/>
      <c r="X686" s="402"/>
      <c r="Y686" s="402"/>
      <c r="Z686" s="402"/>
      <c r="AA686" s="402"/>
    </row>
    <row r="687">
      <c r="A687" s="455"/>
      <c r="B687" s="455"/>
      <c r="C687" s="455"/>
      <c r="D687" s="455"/>
      <c r="E687" s="402"/>
      <c r="F687" s="402"/>
      <c r="G687" s="402"/>
      <c r="H687" s="402"/>
      <c r="I687" s="402"/>
      <c r="J687" s="402"/>
      <c r="K687" s="402"/>
      <c r="L687" s="402"/>
      <c r="M687" s="402"/>
      <c r="N687" s="402"/>
      <c r="O687" s="402"/>
      <c r="P687" s="402"/>
      <c r="Q687" s="402"/>
      <c r="R687" s="402"/>
      <c r="S687" s="402"/>
      <c r="T687" s="402"/>
      <c r="U687" s="402"/>
      <c r="V687" s="402"/>
      <c r="W687" s="402"/>
      <c r="X687" s="402"/>
      <c r="Y687" s="402"/>
      <c r="Z687" s="402"/>
      <c r="AA687" s="402"/>
    </row>
    <row r="688">
      <c r="A688" s="455"/>
      <c r="B688" s="455"/>
      <c r="C688" s="455"/>
      <c r="D688" s="455"/>
      <c r="E688" s="402"/>
      <c r="F688" s="402"/>
      <c r="G688" s="402"/>
      <c r="H688" s="402"/>
      <c r="I688" s="402"/>
      <c r="J688" s="402"/>
      <c r="K688" s="402"/>
      <c r="L688" s="402"/>
      <c r="M688" s="402"/>
      <c r="N688" s="402"/>
      <c r="O688" s="402"/>
      <c r="P688" s="402"/>
      <c r="Q688" s="402"/>
      <c r="R688" s="402"/>
      <c r="S688" s="402"/>
      <c r="T688" s="402"/>
      <c r="U688" s="402"/>
      <c r="V688" s="402"/>
      <c r="W688" s="402"/>
      <c r="X688" s="402"/>
      <c r="Y688" s="402"/>
      <c r="Z688" s="402"/>
      <c r="AA688" s="402"/>
    </row>
    <row r="689">
      <c r="A689" s="455"/>
      <c r="B689" s="455"/>
      <c r="C689" s="455"/>
      <c r="D689" s="455"/>
      <c r="E689" s="402"/>
      <c r="F689" s="402"/>
      <c r="G689" s="402"/>
      <c r="H689" s="402"/>
      <c r="I689" s="402"/>
      <c r="J689" s="402"/>
      <c r="K689" s="402"/>
      <c r="L689" s="402"/>
      <c r="M689" s="402"/>
      <c r="N689" s="402"/>
      <c r="O689" s="402"/>
      <c r="P689" s="402"/>
      <c r="Q689" s="402"/>
      <c r="R689" s="402"/>
      <c r="S689" s="402"/>
      <c r="T689" s="402"/>
      <c r="U689" s="402"/>
      <c r="V689" s="402"/>
      <c r="W689" s="402"/>
      <c r="X689" s="402"/>
      <c r="Y689" s="402"/>
      <c r="Z689" s="402"/>
      <c r="AA689" s="402"/>
    </row>
    <row r="690">
      <c r="A690" s="455"/>
      <c r="B690" s="455"/>
      <c r="C690" s="455"/>
      <c r="D690" s="455"/>
      <c r="E690" s="402"/>
      <c r="F690" s="402"/>
      <c r="G690" s="402"/>
      <c r="H690" s="402"/>
      <c r="I690" s="402"/>
      <c r="J690" s="402"/>
      <c r="K690" s="402"/>
      <c r="L690" s="402"/>
      <c r="M690" s="402"/>
      <c r="N690" s="402"/>
      <c r="O690" s="402"/>
      <c r="P690" s="402"/>
      <c r="Q690" s="402"/>
      <c r="R690" s="402"/>
      <c r="S690" s="402"/>
      <c r="T690" s="402"/>
      <c r="U690" s="402"/>
      <c r="V690" s="402"/>
      <c r="W690" s="402"/>
      <c r="X690" s="402"/>
      <c r="Y690" s="402"/>
      <c r="Z690" s="402"/>
      <c r="AA690" s="402"/>
    </row>
    <row r="691">
      <c r="A691" s="455"/>
      <c r="B691" s="455"/>
      <c r="C691" s="455"/>
      <c r="D691" s="455"/>
      <c r="E691" s="402"/>
      <c r="F691" s="402"/>
      <c r="G691" s="402"/>
      <c r="H691" s="402"/>
      <c r="I691" s="402"/>
      <c r="J691" s="402"/>
      <c r="K691" s="402"/>
      <c r="L691" s="402"/>
      <c r="M691" s="402"/>
      <c r="N691" s="402"/>
      <c r="O691" s="402"/>
      <c r="P691" s="402"/>
      <c r="Q691" s="402"/>
      <c r="R691" s="402"/>
      <c r="S691" s="402"/>
      <c r="T691" s="402"/>
      <c r="U691" s="402"/>
      <c r="V691" s="402"/>
      <c r="W691" s="402"/>
      <c r="X691" s="402"/>
      <c r="Y691" s="402"/>
      <c r="Z691" s="402"/>
      <c r="AA691" s="402"/>
    </row>
    <row r="692">
      <c r="A692" s="455"/>
      <c r="B692" s="455"/>
      <c r="C692" s="455"/>
      <c r="D692" s="455"/>
      <c r="E692" s="402"/>
      <c r="F692" s="402"/>
      <c r="G692" s="402"/>
      <c r="H692" s="402"/>
      <c r="I692" s="402"/>
      <c r="J692" s="402"/>
      <c r="K692" s="402"/>
      <c r="L692" s="402"/>
      <c r="M692" s="402"/>
      <c r="N692" s="402"/>
      <c r="O692" s="402"/>
      <c r="P692" s="402"/>
      <c r="Q692" s="402"/>
      <c r="R692" s="402"/>
      <c r="S692" s="402"/>
      <c r="T692" s="402"/>
      <c r="U692" s="402"/>
      <c r="V692" s="402"/>
      <c r="W692" s="402"/>
      <c r="X692" s="402"/>
      <c r="Y692" s="402"/>
      <c r="Z692" s="402"/>
      <c r="AA692" s="402"/>
    </row>
    <row r="693">
      <c r="A693" s="455"/>
      <c r="B693" s="455"/>
      <c r="C693" s="455"/>
      <c r="D693" s="455"/>
      <c r="E693" s="402"/>
      <c r="F693" s="402"/>
      <c r="G693" s="402"/>
      <c r="H693" s="402"/>
      <c r="I693" s="402"/>
      <c r="J693" s="402"/>
      <c r="K693" s="402"/>
      <c r="L693" s="402"/>
      <c r="M693" s="402"/>
      <c r="N693" s="402"/>
      <c r="O693" s="402"/>
      <c r="P693" s="402"/>
      <c r="Q693" s="402"/>
      <c r="R693" s="402"/>
      <c r="S693" s="402"/>
      <c r="T693" s="402"/>
      <c r="U693" s="402"/>
      <c r="V693" s="402"/>
      <c r="W693" s="402"/>
      <c r="X693" s="402"/>
      <c r="Y693" s="402"/>
      <c r="Z693" s="402"/>
      <c r="AA693" s="402"/>
    </row>
    <row r="694">
      <c r="A694" s="455"/>
      <c r="B694" s="455"/>
      <c r="C694" s="455"/>
      <c r="D694" s="455"/>
      <c r="E694" s="402"/>
      <c r="F694" s="402"/>
      <c r="G694" s="402"/>
      <c r="H694" s="402"/>
      <c r="I694" s="402"/>
      <c r="J694" s="402"/>
      <c r="K694" s="402"/>
      <c r="L694" s="402"/>
      <c r="M694" s="402"/>
      <c r="N694" s="402"/>
      <c r="O694" s="402"/>
      <c r="P694" s="402"/>
      <c r="Q694" s="402"/>
      <c r="R694" s="402"/>
      <c r="S694" s="402"/>
      <c r="T694" s="402"/>
      <c r="U694" s="402"/>
      <c r="V694" s="402"/>
      <c r="W694" s="402"/>
      <c r="X694" s="402"/>
      <c r="Y694" s="402"/>
      <c r="Z694" s="402"/>
      <c r="AA694" s="402"/>
    </row>
    <row r="695">
      <c r="A695" s="455"/>
      <c r="B695" s="455"/>
      <c r="C695" s="455"/>
      <c r="D695" s="455"/>
      <c r="E695" s="402"/>
      <c r="F695" s="402"/>
      <c r="G695" s="402"/>
      <c r="H695" s="402"/>
      <c r="I695" s="402"/>
      <c r="J695" s="402"/>
      <c r="K695" s="402"/>
      <c r="L695" s="402"/>
      <c r="M695" s="402"/>
      <c r="N695" s="402"/>
      <c r="O695" s="402"/>
      <c r="P695" s="402"/>
      <c r="Q695" s="402"/>
      <c r="R695" s="402"/>
      <c r="S695" s="402"/>
      <c r="T695" s="402"/>
      <c r="U695" s="402"/>
      <c r="V695" s="402"/>
      <c r="W695" s="402"/>
      <c r="X695" s="402"/>
      <c r="Y695" s="402"/>
      <c r="Z695" s="402"/>
      <c r="AA695" s="402"/>
    </row>
    <row r="696">
      <c r="A696" s="455"/>
      <c r="B696" s="455"/>
      <c r="C696" s="455"/>
      <c r="D696" s="455"/>
      <c r="E696" s="402"/>
      <c r="F696" s="402"/>
      <c r="G696" s="402"/>
      <c r="H696" s="402"/>
      <c r="I696" s="402"/>
      <c r="J696" s="402"/>
      <c r="K696" s="402"/>
      <c r="L696" s="402"/>
      <c r="M696" s="402"/>
      <c r="N696" s="402"/>
      <c r="O696" s="402"/>
      <c r="P696" s="402"/>
      <c r="Q696" s="402"/>
      <c r="R696" s="402"/>
      <c r="S696" s="402"/>
      <c r="T696" s="402"/>
      <c r="U696" s="402"/>
      <c r="V696" s="402"/>
      <c r="W696" s="402"/>
      <c r="X696" s="402"/>
      <c r="Y696" s="402"/>
      <c r="Z696" s="402"/>
      <c r="AA696" s="402"/>
    </row>
    <row r="697">
      <c r="A697" s="455"/>
      <c r="B697" s="455"/>
      <c r="C697" s="455"/>
      <c r="D697" s="455"/>
      <c r="E697" s="402"/>
      <c r="F697" s="402"/>
      <c r="G697" s="402"/>
      <c r="H697" s="402"/>
      <c r="I697" s="402"/>
      <c r="J697" s="402"/>
      <c r="K697" s="402"/>
      <c r="L697" s="402"/>
      <c r="M697" s="402"/>
      <c r="N697" s="402"/>
      <c r="O697" s="402"/>
      <c r="P697" s="402"/>
      <c r="Q697" s="402"/>
      <c r="R697" s="402"/>
      <c r="S697" s="402"/>
      <c r="T697" s="402"/>
      <c r="U697" s="402"/>
      <c r="V697" s="402"/>
      <c r="W697" s="402"/>
      <c r="X697" s="402"/>
      <c r="Y697" s="402"/>
      <c r="Z697" s="402"/>
      <c r="AA697" s="402"/>
    </row>
    <row r="698">
      <c r="A698" s="455"/>
      <c r="B698" s="455"/>
      <c r="C698" s="455"/>
      <c r="D698" s="455"/>
      <c r="E698" s="402"/>
      <c r="F698" s="402"/>
      <c r="G698" s="402"/>
      <c r="H698" s="402"/>
      <c r="I698" s="402"/>
      <c r="J698" s="402"/>
      <c r="K698" s="402"/>
      <c r="L698" s="402"/>
      <c r="M698" s="402"/>
      <c r="N698" s="402"/>
      <c r="O698" s="402"/>
      <c r="P698" s="402"/>
      <c r="Q698" s="402"/>
      <c r="R698" s="402"/>
      <c r="S698" s="402"/>
      <c r="T698" s="402"/>
      <c r="U698" s="402"/>
      <c r="V698" s="402"/>
      <c r="W698" s="402"/>
      <c r="X698" s="402"/>
      <c r="Y698" s="402"/>
      <c r="Z698" s="402"/>
      <c r="AA698" s="402"/>
    </row>
    <row r="699">
      <c r="A699" s="455"/>
      <c r="B699" s="455"/>
      <c r="C699" s="455"/>
      <c r="D699" s="455"/>
      <c r="E699" s="402"/>
      <c r="F699" s="402"/>
      <c r="G699" s="402"/>
      <c r="H699" s="402"/>
      <c r="I699" s="402"/>
      <c r="J699" s="402"/>
      <c r="K699" s="402"/>
      <c r="L699" s="402"/>
      <c r="M699" s="402"/>
      <c r="N699" s="402"/>
      <c r="O699" s="402"/>
      <c r="P699" s="402"/>
      <c r="Q699" s="402"/>
      <c r="R699" s="402"/>
      <c r="S699" s="402"/>
      <c r="T699" s="402"/>
      <c r="U699" s="402"/>
      <c r="V699" s="402"/>
      <c r="W699" s="402"/>
      <c r="X699" s="402"/>
      <c r="Y699" s="402"/>
      <c r="Z699" s="402"/>
      <c r="AA699" s="402"/>
    </row>
    <row r="700">
      <c r="A700" s="455"/>
      <c r="B700" s="455"/>
      <c r="C700" s="455"/>
      <c r="D700" s="455"/>
      <c r="E700" s="402"/>
      <c r="F700" s="402"/>
      <c r="G700" s="402"/>
      <c r="H700" s="402"/>
      <c r="I700" s="402"/>
      <c r="J700" s="402"/>
      <c r="K700" s="402"/>
      <c r="L700" s="402"/>
      <c r="M700" s="402"/>
      <c r="N700" s="402"/>
      <c r="O700" s="402"/>
      <c r="P700" s="402"/>
      <c r="Q700" s="402"/>
      <c r="R700" s="402"/>
      <c r="S700" s="402"/>
      <c r="T700" s="402"/>
      <c r="U700" s="402"/>
      <c r="V700" s="402"/>
      <c r="W700" s="402"/>
      <c r="X700" s="402"/>
      <c r="Y700" s="402"/>
      <c r="Z700" s="402"/>
      <c r="AA700" s="402"/>
    </row>
    <row r="701">
      <c r="A701" s="455"/>
      <c r="B701" s="455"/>
      <c r="C701" s="455"/>
      <c r="D701" s="455"/>
      <c r="E701" s="402"/>
      <c r="F701" s="402"/>
      <c r="G701" s="402"/>
      <c r="H701" s="402"/>
      <c r="I701" s="402"/>
      <c r="J701" s="402"/>
      <c r="K701" s="402"/>
      <c r="L701" s="402"/>
      <c r="M701" s="402"/>
      <c r="N701" s="402"/>
      <c r="O701" s="402"/>
      <c r="P701" s="402"/>
      <c r="Q701" s="402"/>
      <c r="R701" s="402"/>
      <c r="S701" s="402"/>
      <c r="T701" s="402"/>
      <c r="U701" s="402"/>
      <c r="V701" s="402"/>
      <c r="W701" s="402"/>
      <c r="X701" s="402"/>
      <c r="Y701" s="402"/>
      <c r="Z701" s="402"/>
      <c r="AA701" s="402"/>
    </row>
    <row r="702">
      <c r="A702" s="455"/>
      <c r="B702" s="455"/>
      <c r="C702" s="455"/>
      <c r="D702" s="455"/>
      <c r="E702" s="402"/>
      <c r="F702" s="402"/>
      <c r="G702" s="402"/>
      <c r="H702" s="402"/>
      <c r="I702" s="402"/>
      <c r="J702" s="402"/>
      <c r="K702" s="402"/>
      <c r="L702" s="402"/>
      <c r="M702" s="402"/>
      <c r="N702" s="402"/>
      <c r="O702" s="402"/>
      <c r="P702" s="402"/>
      <c r="Q702" s="402"/>
      <c r="R702" s="402"/>
      <c r="S702" s="402"/>
      <c r="T702" s="402"/>
      <c r="U702" s="402"/>
      <c r="V702" s="402"/>
      <c r="W702" s="402"/>
      <c r="X702" s="402"/>
      <c r="Y702" s="402"/>
      <c r="Z702" s="402"/>
      <c r="AA702" s="402"/>
    </row>
    <row r="703">
      <c r="A703" s="455"/>
      <c r="B703" s="455"/>
      <c r="C703" s="455"/>
      <c r="D703" s="455"/>
      <c r="E703" s="402"/>
      <c r="F703" s="402"/>
      <c r="G703" s="402"/>
      <c r="H703" s="402"/>
      <c r="I703" s="402"/>
      <c r="J703" s="402"/>
      <c r="K703" s="402"/>
      <c r="L703" s="402"/>
      <c r="M703" s="402"/>
      <c r="N703" s="402"/>
      <c r="O703" s="402"/>
      <c r="P703" s="402"/>
      <c r="Q703" s="402"/>
      <c r="R703" s="402"/>
      <c r="S703" s="402"/>
      <c r="T703" s="402"/>
      <c r="U703" s="402"/>
      <c r="V703" s="402"/>
      <c r="W703" s="402"/>
      <c r="X703" s="402"/>
      <c r="Y703" s="402"/>
      <c r="Z703" s="402"/>
      <c r="AA703" s="402"/>
    </row>
    <row r="704">
      <c r="A704" s="455"/>
      <c r="B704" s="455"/>
      <c r="C704" s="455"/>
      <c r="D704" s="455"/>
      <c r="E704" s="402"/>
      <c r="F704" s="402"/>
      <c r="G704" s="402"/>
      <c r="H704" s="402"/>
      <c r="I704" s="402"/>
      <c r="J704" s="402"/>
      <c r="K704" s="402"/>
      <c r="L704" s="402"/>
      <c r="M704" s="402"/>
      <c r="N704" s="402"/>
      <c r="O704" s="402"/>
      <c r="P704" s="402"/>
      <c r="Q704" s="402"/>
      <c r="R704" s="402"/>
      <c r="S704" s="402"/>
      <c r="T704" s="402"/>
      <c r="U704" s="402"/>
      <c r="V704" s="402"/>
      <c r="W704" s="402"/>
      <c r="X704" s="402"/>
      <c r="Y704" s="402"/>
      <c r="Z704" s="402"/>
      <c r="AA704" s="402"/>
    </row>
    <row r="705">
      <c r="A705" s="455"/>
      <c r="B705" s="455"/>
      <c r="C705" s="455"/>
      <c r="D705" s="455"/>
      <c r="E705" s="402"/>
      <c r="F705" s="402"/>
      <c r="G705" s="402"/>
      <c r="H705" s="402"/>
      <c r="I705" s="402"/>
      <c r="J705" s="402"/>
      <c r="K705" s="402"/>
      <c r="L705" s="402"/>
      <c r="M705" s="402"/>
      <c r="N705" s="402"/>
      <c r="O705" s="402"/>
      <c r="P705" s="402"/>
      <c r="Q705" s="402"/>
      <c r="R705" s="402"/>
      <c r="S705" s="402"/>
      <c r="T705" s="402"/>
      <c r="U705" s="402"/>
      <c r="V705" s="402"/>
      <c r="W705" s="402"/>
      <c r="X705" s="402"/>
      <c r="Y705" s="402"/>
      <c r="Z705" s="402"/>
      <c r="AA705" s="402"/>
    </row>
    <row r="706">
      <c r="A706" s="455"/>
      <c r="B706" s="455"/>
      <c r="C706" s="455"/>
      <c r="D706" s="455"/>
      <c r="E706" s="402"/>
      <c r="F706" s="402"/>
      <c r="G706" s="402"/>
      <c r="H706" s="402"/>
      <c r="I706" s="402"/>
      <c r="J706" s="402"/>
      <c r="K706" s="402"/>
      <c r="L706" s="402"/>
      <c r="M706" s="402"/>
      <c r="N706" s="402"/>
      <c r="O706" s="402"/>
      <c r="P706" s="402"/>
      <c r="Q706" s="402"/>
      <c r="R706" s="402"/>
      <c r="S706" s="402"/>
      <c r="T706" s="402"/>
      <c r="U706" s="402"/>
      <c r="V706" s="402"/>
      <c r="W706" s="402"/>
      <c r="X706" s="402"/>
      <c r="Y706" s="402"/>
      <c r="Z706" s="402"/>
      <c r="AA706" s="402"/>
    </row>
    <row r="707">
      <c r="A707" s="455"/>
      <c r="B707" s="455"/>
      <c r="C707" s="455"/>
      <c r="D707" s="455"/>
      <c r="E707" s="402"/>
      <c r="F707" s="402"/>
      <c r="G707" s="402"/>
      <c r="H707" s="402"/>
      <c r="I707" s="402"/>
      <c r="J707" s="402"/>
      <c r="K707" s="402"/>
      <c r="L707" s="402"/>
      <c r="M707" s="402"/>
      <c r="N707" s="402"/>
      <c r="O707" s="402"/>
      <c r="P707" s="402"/>
      <c r="Q707" s="402"/>
      <c r="R707" s="402"/>
      <c r="S707" s="402"/>
      <c r="T707" s="402"/>
      <c r="U707" s="402"/>
      <c r="V707" s="402"/>
      <c r="W707" s="402"/>
      <c r="X707" s="402"/>
      <c r="Y707" s="402"/>
      <c r="Z707" s="402"/>
      <c r="AA707" s="402"/>
    </row>
    <row r="708">
      <c r="A708" s="455"/>
      <c r="B708" s="455"/>
      <c r="C708" s="455"/>
      <c r="D708" s="455"/>
      <c r="E708" s="402"/>
      <c r="F708" s="402"/>
      <c r="G708" s="402"/>
      <c r="H708" s="402"/>
      <c r="I708" s="402"/>
      <c r="J708" s="402"/>
      <c r="K708" s="402"/>
      <c r="L708" s="402"/>
      <c r="M708" s="402"/>
      <c r="N708" s="402"/>
      <c r="O708" s="402"/>
      <c r="P708" s="402"/>
      <c r="Q708" s="402"/>
      <c r="R708" s="402"/>
      <c r="S708" s="402"/>
      <c r="T708" s="402"/>
      <c r="U708" s="402"/>
      <c r="V708" s="402"/>
      <c r="W708" s="402"/>
      <c r="X708" s="402"/>
      <c r="Y708" s="402"/>
      <c r="Z708" s="402"/>
      <c r="AA708" s="402"/>
    </row>
    <row r="709">
      <c r="A709" s="455"/>
      <c r="B709" s="455"/>
      <c r="C709" s="455"/>
      <c r="D709" s="455"/>
      <c r="E709" s="402"/>
      <c r="F709" s="402"/>
      <c r="G709" s="402"/>
      <c r="H709" s="402"/>
      <c r="I709" s="402"/>
      <c r="J709" s="402"/>
      <c r="K709" s="402"/>
      <c r="L709" s="402"/>
      <c r="M709" s="402"/>
      <c r="N709" s="402"/>
      <c r="O709" s="402"/>
      <c r="P709" s="402"/>
      <c r="Q709" s="402"/>
      <c r="R709" s="402"/>
      <c r="S709" s="402"/>
      <c r="T709" s="402"/>
      <c r="U709" s="402"/>
      <c r="V709" s="402"/>
      <c r="W709" s="402"/>
      <c r="X709" s="402"/>
      <c r="Y709" s="402"/>
      <c r="Z709" s="402"/>
      <c r="AA709" s="402"/>
    </row>
    <row r="710">
      <c r="A710" s="455"/>
      <c r="B710" s="455"/>
      <c r="C710" s="455"/>
      <c r="D710" s="455"/>
      <c r="E710" s="402"/>
      <c r="F710" s="402"/>
      <c r="G710" s="402"/>
      <c r="H710" s="402"/>
      <c r="I710" s="402"/>
      <c r="J710" s="402"/>
      <c r="K710" s="402"/>
      <c r="L710" s="402"/>
      <c r="M710" s="402"/>
      <c r="N710" s="402"/>
      <c r="O710" s="402"/>
      <c r="P710" s="402"/>
      <c r="Q710" s="402"/>
      <c r="R710" s="402"/>
      <c r="S710" s="402"/>
      <c r="T710" s="402"/>
      <c r="U710" s="402"/>
      <c r="V710" s="402"/>
      <c r="W710" s="402"/>
      <c r="X710" s="402"/>
      <c r="Y710" s="402"/>
      <c r="Z710" s="402"/>
      <c r="AA710" s="402"/>
    </row>
    <row r="711">
      <c r="A711" s="455"/>
      <c r="B711" s="455"/>
      <c r="C711" s="455"/>
      <c r="D711" s="455"/>
      <c r="E711" s="402"/>
      <c r="F711" s="402"/>
      <c r="G711" s="402"/>
      <c r="H711" s="402"/>
      <c r="I711" s="402"/>
      <c r="J711" s="402"/>
      <c r="K711" s="402"/>
      <c r="L711" s="402"/>
      <c r="M711" s="402"/>
      <c r="N711" s="402"/>
      <c r="O711" s="402"/>
      <c r="P711" s="402"/>
      <c r="Q711" s="402"/>
      <c r="R711" s="402"/>
      <c r="S711" s="402"/>
      <c r="T711" s="402"/>
      <c r="U711" s="402"/>
      <c r="V711" s="402"/>
      <c r="W711" s="402"/>
      <c r="X711" s="402"/>
      <c r="Y711" s="402"/>
      <c r="Z711" s="402"/>
      <c r="AA711" s="402"/>
    </row>
    <row r="712">
      <c r="A712" s="455"/>
      <c r="B712" s="455"/>
      <c r="C712" s="455"/>
      <c r="D712" s="455"/>
      <c r="E712" s="402"/>
      <c r="F712" s="402"/>
      <c r="G712" s="402"/>
      <c r="H712" s="402"/>
      <c r="I712" s="402"/>
      <c r="J712" s="402"/>
      <c r="K712" s="402"/>
      <c r="L712" s="402"/>
      <c r="M712" s="402"/>
      <c r="N712" s="402"/>
      <c r="O712" s="402"/>
      <c r="P712" s="402"/>
      <c r="Q712" s="402"/>
      <c r="R712" s="402"/>
      <c r="S712" s="402"/>
      <c r="T712" s="402"/>
      <c r="U712" s="402"/>
      <c r="V712" s="402"/>
      <c r="W712" s="402"/>
      <c r="X712" s="402"/>
      <c r="Y712" s="402"/>
      <c r="Z712" s="402"/>
      <c r="AA712" s="402"/>
    </row>
    <row r="713">
      <c r="A713" s="455"/>
      <c r="B713" s="455"/>
      <c r="C713" s="455"/>
      <c r="D713" s="455"/>
      <c r="E713" s="402"/>
      <c r="F713" s="402"/>
      <c r="G713" s="402"/>
      <c r="H713" s="402"/>
      <c r="I713" s="402"/>
      <c r="J713" s="402"/>
      <c r="K713" s="402"/>
      <c r="L713" s="402"/>
      <c r="M713" s="402"/>
      <c r="N713" s="402"/>
      <c r="O713" s="402"/>
      <c r="P713" s="402"/>
      <c r="Q713" s="402"/>
      <c r="R713" s="402"/>
      <c r="S713" s="402"/>
      <c r="T713" s="402"/>
      <c r="U713" s="402"/>
      <c r="V713" s="402"/>
      <c r="W713" s="402"/>
      <c r="X713" s="402"/>
      <c r="Y713" s="402"/>
      <c r="Z713" s="402"/>
      <c r="AA713" s="402"/>
    </row>
    <row r="714">
      <c r="A714" s="455"/>
      <c r="B714" s="455"/>
      <c r="C714" s="455"/>
      <c r="D714" s="455"/>
      <c r="E714" s="402"/>
      <c r="F714" s="402"/>
      <c r="G714" s="402"/>
      <c r="H714" s="402"/>
      <c r="I714" s="402"/>
      <c r="J714" s="402"/>
      <c r="K714" s="402"/>
      <c r="L714" s="402"/>
      <c r="M714" s="402"/>
      <c r="N714" s="402"/>
      <c r="O714" s="402"/>
      <c r="P714" s="402"/>
      <c r="Q714" s="402"/>
      <c r="R714" s="402"/>
      <c r="S714" s="402"/>
      <c r="T714" s="402"/>
      <c r="U714" s="402"/>
      <c r="V714" s="402"/>
      <c r="W714" s="402"/>
      <c r="X714" s="402"/>
      <c r="Y714" s="402"/>
      <c r="Z714" s="402"/>
      <c r="AA714" s="402"/>
    </row>
    <row r="715">
      <c r="A715" s="455"/>
      <c r="B715" s="455"/>
      <c r="C715" s="455"/>
      <c r="D715" s="455"/>
      <c r="E715" s="402"/>
      <c r="F715" s="402"/>
      <c r="G715" s="402"/>
      <c r="H715" s="402"/>
      <c r="I715" s="402"/>
      <c r="J715" s="402"/>
      <c r="K715" s="402"/>
      <c r="L715" s="402"/>
      <c r="M715" s="402"/>
      <c r="N715" s="402"/>
      <c r="O715" s="402"/>
      <c r="P715" s="402"/>
      <c r="Q715" s="402"/>
      <c r="R715" s="402"/>
      <c r="S715" s="402"/>
      <c r="T715" s="402"/>
      <c r="U715" s="402"/>
      <c r="V715" s="402"/>
      <c r="W715" s="402"/>
      <c r="X715" s="402"/>
      <c r="Y715" s="402"/>
      <c r="Z715" s="402"/>
      <c r="AA715" s="402"/>
    </row>
    <row r="716">
      <c r="A716" s="455"/>
      <c r="B716" s="455"/>
      <c r="C716" s="455"/>
      <c r="D716" s="455"/>
      <c r="E716" s="402"/>
      <c r="F716" s="402"/>
      <c r="G716" s="402"/>
      <c r="H716" s="402"/>
      <c r="I716" s="402"/>
      <c r="J716" s="402"/>
      <c r="K716" s="402"/>
      <c r="L716" s="402"/>
      <c r="M716" s="402"/>
      <c r="N716" s="402"/>
      <c r="O716" s="402"/>
      <c r="P716" s="402"/>
      <c r="Q716" s="402"/>
      <c r="R716" s="402"/>
      <c r="S716" s="402"/>
      <c r="T716" s="402"/>
      <c r="U716" s="402"/>
      <c r="V716" s="402"/>
      <c r="W716" s="402"/>
      <c r="X716" s="402"/>
      <c r="Y716" s="402"/>
      <c r="Z716" s="402"/>
      <c r="AA716" s="402"/>
    </row>
    <row r="717">
      <c r="A717" s="455"/>
      <c r="B717" s="455"/>
      <c r="C717" s="455"/>
      <c r="D717" s="455"/>
      <c r="E717" s="402"/>
      <c r="F717" s="402"/>
      <c r="G717" s="402"/>
      <c r="H717" s="402"/>
      <c r="I717" s="402"/>
      <c r="J717" s="402"/>
      <c r="K717" s="402"/>
      <c r="L717" s="402"/>
      <c r="M717" s="402"/>
      <c r="N717" s="402"/>
      <c r="O717" s="402"/>
      <c r="P717" s="402"/>
      <c r="Q717" s="402"/>
      <c r="R717" s="402"/>
      <c r="S717" s="402"/>
      <c r="T717" s="402"/>
      <c r="U717" s="402"/>
      <c r="V717" s="402"/>
      <c r="W717" s="402"/>
      <c r="X717" s="402"/>
      <c r="Y717" s="402"/>
      <c r="Z717" s="402"/>
      <c r="AA717" s="402"/>
    </row>
    <row r="718">
      <c r="A718" s="455"/>
      <c r="B718" s="455"/>
      <c r="C718" s="455"/>
      <c r="D718" s="455"/>
      <c r="E718" s="402"/>
      <c r="F718" s="402"/>
      <c r="G718" s="402"/>
      <c r="H718" s="402"/>
      <c r="I718" s="402"/>
      <c r="J718" s="402"/>
      <c r="K718" s="402"/>
      <c r="L718" s="402"/>
      <c r="M718" s="402"/>
      <c r="N718" s="402"/>
      <c r="O718" s="402"/>
      <c r="P718" s="402"/>
      <c r="Q718" s="402"/>
      <c r="R718" s="402"/>
      <c r="S718" s="402"/>
      <c r="T718" s="402"/>
      <c r="U718" s="402"/>
      <c r="V718" s="402"/>
      <c r="W718" s="402"/>
      <c r="X718" s="402"/>
      <c r="Y718" s="402"/>
      <c r="Z718" s="402"/>
      <c r="AA718" s="402"/>
    </row>
    <row r="719">
      <c r="A719" s="455"/>
      <c r="B719" s="455"/>
      <c r="C719" s="455"/>
      <c r="D719" s="455"/>
      <c r="E719" s="402"/>
      <c r="F719" s="402"/>
      <c r="G719" s="402"/>
      <c r="H719" s="402"/>
      <c r="I719" s="402"/>
      <c r="J719" s="402"/>
      <c r="K719" s="402"/>
      <c r="L719" s="402"/>
      <c r="M719" s="402"/>
      <c r="N719" s="402"/>
      <c r="O719" s="402"/>
      <c r="P719" s="402"/>
      <c r="Q719" s="402"/>
      <c r="R719" s="402"/>
      <c r="S719" s="402"/>
      <c r="T719" s="402"/>
      <c r="U719" s="402"/>
      <c r="V719" s="402"/>
      <c r="W719" s="402"/>
      <c r="X719" s="402"/>
      <c r="Y719" s="402"/>
      <c r="Z719" s="402"/>
      <c r="AA719" s="402"/>
    </row>
    <row r="720">
      <c r="A720" s="455"/>
      <c r="B720" s="455"/>
      <c r="C720" s="455"/>
      <c r="D720" s="455"/>
      <c r="E720" s="402"/>
      <c r="F720" s="402"/>
      <c r="G720" s="402"/>
      <c r="H720" s="402"/>
      <c r="I720" s="402"/>
      <c r="J720" s="402"/>
      <c r="K720" s="402"/>
      <c r="L720" s="402"/>
      <c r="M720" s="402"/>
      <c r="N720" s="402"/>
      <c r="O720" s="402"/>
      <c r="P720" s="402"/>
      <c r="Q720" s="402"/>
      <c r="R720" s="402"/>
      <c r="S720" s="402"/>
      <c r="T720" s="402"/>
      <c r="U720" s="402"/>
      <c r="V720" s="402"/>
      <c r="W720" s="402"/>
      <c r="X720" s="402"/>
      <c r="Y720" s="402"/>
      <c r="Z720" s="402"/>
      <c r="AA720" s="402"/>
    </row>
    <row r="721">
      <c r="A721" s="455"/>
      <c r="B721" s="455"/>
      <c r="C721" s="455"/>
      <c r="D721" s="455"/>
      <c r="E721" s="402"/>
      <c r="F721" s="402"/>
      <c r="G721" s="402"/>
      <c r="H721" s="402"/>
      <c r="I721" s="402"/>
      <c r="J721" s="402"/>
      <c r="K721" s="402"/>
      <c r="L721" s="402"/>
      <c r="M721" s="402"/>
      <c r="N721" s="402"/>
      <c r="O721" s="402"/>
      <c r="P721" s="402"/>
      <c r="Q721" s="402"/>
      <c r="R721" s="402"/>
      <c r="S721" s="402"/>
      <c r="T721" s="402"/>
      <c r="U721" s="402"/>
      <c r="V721" s="402"/>
      <c r="W721" s="402"/>
      <c r="X721" s="402"/>
      <c r="Y721" s="402"/>
      <c r="Z721" s="402"/>
      <c r="AA721" s="402"/>
    </row>
    <row r="722">
      <c r="A722" s="455"/>
      <c r="B722" s="455"/>
      <c r="C722" s="455"/>
      <c r="D722" s="455"/>
      <c r="E722" s="402"/>
      <c r="F722" s="402"/>
      <c r="G722" s="402"/>
      <c r="H722" s="402"/>
      <c r="I722" s="402"/>
      <c r="J722" s="402"/>
      <c r="K722" s="402"/>
      <c r="L722" s="402"/>
      <c r="M722" s="402"/>
      <c r="N722" s="402"/>
      <c r="O722" s="402"/>
      <c r="P722" s="402"/>
      <c r="Q722" s="402"/>
      <c r="R722" s="402"/>
      <c r="S722" s="402"/>
      <c r="T722" s="402"/>
      <c r="U722" s="402"/>
      <c r="V722" s="402"/>
      <c r="W722" s="402"/>
      <c r="X722" s="402"/>
      <c r="Y722" s="402"/>
      <c r="Z722" s="402"/>
      <c r="AA722" s="402"/>
    </row>
    <row r="723">
      <c r="A723" s="455"/>
      <c r="B723" s="455"/>
      <c r="C723" s="455"/>
      <c r="D723" s="455"/>
      <c r="E723" s="402"/>
      <c r="F723" s="402"/>
      <c r="G723" s="402"/>
      <c r="H723" s="402"/>
      <c r="I723" s="402"/>
      <c r="J723" s="402"/>
      <c r="K723" s="402"/>
      <c r="L723" s="402"/>
      <c r="M723" s="402"/>
      <c r="N723" s="402"/>
      <c r="O723" s="402"/>
      <c r="P723" s="402"/>
      <c r="Q723" s="402"/>
      <c r="R723" s="402"/>
      <c r="S723" s="402"/>
      <c r="T723" s="402"/>
      <c r="U723" s="402"/>
      <c r="V723" s="402"/>
      <c r="W723" s="402"/>
      <c r="X723" s="402"/>
      <c r="Y723" s="402"/>
      <c r="Z723" s="402"/>
      <c r="AA723" s="402"/>
    </row>
    <row r="724">
      <c r="A724" s="455"/>
      <c r="B724" s="455"/>
      <c r="C724" s="455"/>
      <c r="D724" s="455"/>
      <c r="E724" s="402"/>
      <c r="F724" s="402"/>
      <c r="G724" s="402"/>
      <c r="H724" s="402"/>
      <c r="I724" s="402"/>
      <c r="J724" s="402"/>
      <c r="K724" s="402"/>
      <c r="L724" s="402"/>
      <c r="M724" s="402"/>
      <c r="N724" s="402"/>
      <c r="O724" s="402"/>
      <c r="P724" s="402"/>
      <c r="Q724" s="402"/>
      <c r="R724" s="402"/>
      <c r="S724" s="402"/>
      <c r="T724" s="402"/>
      <c r="U724" s="402"/>
      <c r="V724" s="402"/>
      <c r="W724" s="402"/>
      <c r="X724" s="402"/>
      <c r="Y724" s="402"/>
      <c r="Z724" s="402"/>
      <c r="AA724" s="402"/>
    </row>
    <row r="725">
      <c r="A725" s="455"/>
      <c r="B725" s="455"/>
      <c r="C725" s="455"/>
      <c r="D725" s="455"/>
      <c r="E725" s="402"/>
      <c r="F725" s="402"/>
      <c r="G725" s="402"/>
      <c r="H725" s="402"/>
      <c r="I725" s="402"/>
      <c r="J725" s="402"/>
      <c r="K725" s="402"/>
      <c r="L725" s="402"/>
      <c r="M725" s="402"/>
      <c r="N725" s="402"/>
      <c r="O725" s="402"/>
      <c r="P725" s="402"/>
      <c r="Q725" s="402"/>
      <c r="R725" s="402"/>
      <c r="S725" s="402"/>
      <c r="T725" s="402"/>
      <c r="U725" s="402"/>
      <c r="V725" s="402"/>
      <c r="W725" s="402"/>
      <c r="X725" s="402"/>
      <c r="Y725" s="402"/>
      <c r="Z725" s="402"/>
      <c r="AA725" s="402"/>
    </row>
    <row r="726">
      <c r="A726" s="455"/>
      <c r="B726" s="455"/>
      <c r="C726" s="455"/>
      <c r="D726" s="455"/>
      <c r="E726" s="402"/>
      <c r="F726" s="402"/>
      <c r="G726" s="402"/>
      <c r="H726" s="402"/>
      <c r="I726" s="402"/>
      <c r="J726" s="402"/>
      <c r="K726" s="402"/>
      <c r="L726" s="402"/>
      <c r="M726" s="402"/>
      <c r="N726" s="402"/>
      <c r="O726" s="402"/>
      <c r="P726" s="402"/>
      <c r="Q726" s="402"/>
      <c r="R726" s="402"/>
      <c r="S726" s="402"/>
      <c r="T726" s="402"/>
      <c r="U726" s="402"/>
      <c r="V726" s="402"/>
      <c r="W726" s="402"/>
      <c r="X726" s="402"/>
      <c r="Y726" s="402"/>
      <c r="Z726" s="402"/>
      <c r="AA726" s="402"/>
    </row>
    <row r="727">
      <c r="A727" s="455"/>
      <c r="B727" s="455"/>
      <c r="C727" s="455"/>
      <c r="D727" s="455"/>
      <c r="E727" s="402"/>
      <c r="F727" s="402"/>
      <c r="G727" s="402"/>
      <c r="H727" s="402"/>
      <c r="I727" s="402"/>
      <c r="J727" s="402"/>
      <c r="K727" s="402"/>
      <c r="L727" s="402"/>
      <c r="M727" s="402"/>
      <c r="N727" s="402"/>
      <c r="O727" s="402"/>
      <c r="P727" s="402"/>
      <c r="Q727" s="402"/>
      <c r="R727" s="402"/>
      <c r="S727" s="402"/>
      <c r="T727" s="402"/>
      <c r="U727" s="402"/>
      <c r="V727" s="402"/>
      <c r="W727" s="402"/>
      <c r="X727" s="402"/>
      <c r="Y727" s="402"/>
      <c r="Z727" s="402"/>
      <c r="AA727" s="402"/>
    </row>
    <row r="728">
      <c r="A728" s="455"/>
      <c r="B728" s="455"/>
      <c r="C728" s="455"/>
      <c r="D728" s="455"/>
      <c r="E728" s="402"/>
      <c r="F728" s="402"/>
      <c r="G728" s="402"/>
      <c r="H728" s="402"/>
      <c r="I728" s="402"/>
      <c r="J728" s="402"/>
      <c r="K728" s="402"/>
      <c r="L728" s="402"/>
      <c r="M728" s="402"/>
      <c r="N728" s="402"/>
      <c r="O728" s="402"/>
      <c r="P728" s="402"/>
      <c r="Q728" s="402"/>
      <c r="R728" s="402"/>
      <c r="S728" s="402"/>
      <c r="T728" s="402"/>
      <c r="U728" s="402"/>
      <c r="V728" s="402"/>
      <c r="W728" s="402"/>
      <c r="X728" s="402"/>
      <c r="Y728" s="402"/>
      <c r="Z728" s="402"/>
      <c r="AA728" s="402"/>
    </row>
    <row r="729">
      <c r="A729" s="455"/>
      <c r="B729" s="455"/>
      <c r="C729" s="455"/>
      <c r="D729" s="455"/>
      <c r="E729" s="402"/>
      <c r="F729" s="402"/>
      <c r="G729" s="402"/>
      <c r="H729" s="402"/>
      <c r="I729" s="402"/>
      <c r="J729" s="402"/>
      <c r="K729" s="402"/>
      <c r="L729" s="402"/>
      <c r="M729" s="402"/>
      <c r="N729" s="402"/>
      <c r="O729" s="402"/>
      <c r="P729" s="402"/>
      <c r="Q729" s="402"/>
      <c r="R729" s="402"/>
      <c r="S729" s="402"/>
      <c r="T729" s="402"/>
      <c r="U729" s="402"/>
      <c r="V729" s="402"/>
      <c r="W729" s="402"/>
      <c r="X729" s="402"/>
      <c r="Y729" s="402"/>
      <c r="Z729" s="402"/>
      <c r="AA729" s="402"/>
    </row>
    <row r="730">
      <c r="A730" s="455"/>
      <c r="B730" s="455"/>
      <c r="C730" s="455"/>
      <c r="D730" s="455"/>
      <c r="E730" s="402"/>
      <c r="F730" s="402"/>
      <c r="G730" s="402"/>
      <c r="H730" s="402"/>
      <c r="I730" s="402"/>
      <c r="J730" s="402"/>
      <c r="K730" s="402"/>
      <c r="L730" s="402"/>
      <c r="M730" s="402"/>
      <c r="N730" s="402"/>
      <c r="O730" s="402"/>
      <c r="P730" s="402"/>
      <c r="Q730" s="402"/>
      <c r="R730" s="402"/>
      <c r="S730" s="402"/>
      <c r="T730" s="402"/>
      <c r="U730" s="402"/>
      <c r="V730" s="402"/>
      <c r="W730" s="402"/>
      <c r="X730" s="402"/>
      <c r="Y730" s="402"/>
      <c r="Z730" s="402"/>
      <c r="AA730" s="402"/>
    </row>
    <row r="731">
      <c r="A731" s="455"/>
      <c r="B731" s="455"/>
      <c r="C731" s="455"/>
      <c r="D731" s="455"/>
      <c r="E731" s="402"/>
      <c r="F731" s="402"/>
      <c r="G731" s="402"/>
      <c r="H731" s="402"/>
      <c r="I731" s="402"/>
      <c r="J731" s="402"/>
      <c r="K731" s="402"/>
      <c r="L731" s="402"/>
      <c r="M731" s="402"/>
      <c r="N731" s="402"/>
      <c r="O731" s="402"/>
      <c r="P731" s="402"/>
      <c r="Q731" s="402"/>
      <c r="R731" s="402"/>
      <c r="S731" s="402"/>
      <c r="T731" s="402"/>
      <c r="U731" s="402"/>
      <c r="V731" s="402"/>
      <c r="W731" s="402"/>
      <c r="X731" s="402"/>
      <c r="Y731" s="402"/>
      <c r="Z731" s="402"/>
      <c r="AA731" s="402"/>
    </row>
    <row r="732">
      <c r="A732" s="455"/>
      <c r="B732" s="455"/>
      <c r="C732" s="455"/>
      <c r="D732" s="455"/>
      <c r="E732" s="402"/>
      <c r="F732" s="402"/>
      <c r="G732" s="402"/>
      <c r="H732" s="402"/>
      <c r="I732" s="402"/>
      <c r="J732" s="402"/>
      <c r="K732" s="402"/>
      <c r="L732" s="402"/>
      <c r="M732" s="402"/>
      <c r="N732" s="402"/>
      <c r="O732" s="402"/>
      <c r="P732" s="402"/>
      <c r="Q732" s="402"/>
      <c r="R732" s="402"/>
      <c r="S732" s="402"/>
      <c r="T732" s="402"/>
      <c r="U732" s="402"/>
      <c r="V732" s="402"/>
      <c r="W732" s="402"/>
      <c r="X732" s="402"/>
      <c r="Y732" s="402"/>
      <c r="Z732" s="402"/>
      <c r="AA732" s="402"/>
    </row>
    <row r="733">
      <c r="A733" s="455"/>
      <c r="B733" s="455"/>
      <c r="C733" s="455"/>
      <c r="D733" s="455"/>
      <c r="E733" s="402"/>
      <c r="F733" s="402"/>
      <c r="G733" s="402"/>
      <c r="H733" s="402"/>
      <c r="I733" s="402"/>
      <c r="J733" s="402"/>
      <c r="K733" s="402"/>
      <c r="L733" s="402"/>
      <c r="M733" s="402"/>
      <c r="N733" s="402"/>
      <c r="O733" s="402"/>
      <c r="P733" s="402"/>
      <c r="Q733" s="402"/>
      <c r="R733" s="402"/>
      <c r="S733" s="402"/>
      <c r="T733" s="402"/>
      <c r="U733" s="402"/>
      <c r="V733" s="402"/>
      <c r="W733" s="402"/>
      <c r="X733" s="402"/>
      <c r="Y733" s="402"/>
      <c r="Z733" s="402"/>
      <c r="AA733" s="402"/>
    </row>
    <row r="734">
      <c r="A734" s="455"/>
      <c r="B734" s="455"/>
      <c r="C734" s="455"/>
      <c r="D734" s="455"/>
      <c r="E734" s="402"/>
      <c r="F734" s="402"/>
      <c r="G734" s="402"/>
      <c r="H734" s="402"/>
      <c r="I734" s="402"/>
      <c r="J734" s="402"/>
      <c r="K734" s="402"/>
      <c r="L734" s="402"/>
      <c r="M734" s="402"/>
      <c r="N734" s="402"/>
      <c r="O734" s="402"/>
      <c r="P734" s="402"/>
      <c r="Q734" s="402"/>
      <c r="R734" s="402"/>
      <c r="S734" s="402"/>
      <c r="T734" s="402"/>
      <c r="U734" s="402"/>
      <c r="V734" s="402"/>
      <c r="W734" s="402"/>
      <c r="X734" s="402"/>
      <c r="Y734" s="402"/>
      <c r="Z734" s="402"/>
      <c r="AA734" s="402"/>
    </row>
    <row r="735">
      <c r="A735" s="455"/>
      <c r="B735" s="455"/>
      <c r="C735" s="455"/>
      <c r="D735" s="455"/>
      <c r="E735" s="402"/>
      <c r="F735" s="402"/>
      <c r="G735" s="402"/>
      <c r="H735" s="402"/>
      <c r="I735" s="402"/>
      <c r="J735" s="402"/>
      <c r="K735" s="402"/>
      <c r="L735" s="402"/>
      <c r="M735" s="402"/>
      <c r="N735" s="402"/>
      <c r="O735" s="402"/>
      <c r="P735" s="402"/>
      <c r="Q735" s="402"/>
      <c r="R735" s="402"/>
      <c r="S735" s="402"/>
      <c r="T735" s="402"/>
      <c r="U735" s="402"/>
      <c r="V735" s="402"/>
      <c r="W735" s="402"/>
      <c r="X735" s="402"/>
      <c r="Y735" s="402"/>
      <c r="Z735" s="402"/>
      <c r="AA735" s="402"/>
    </row>
    <row r="736">
      <c r="A736" s="455"/>
      <c r="B736" s="455"/>
      <c r="C736" s="455"/>
      <c r="D736" s="455"/>
      <c r="E736" s="402"/>
      <c r="F736" s="402"/>
      <c r="G736" s="402"/>
      <c r="H736" s="402"/>
      <c r="I736" s="402"/>
      <c r="J736" s="402"/>
      <c r="K736" s="402"/>
      <c r="L736" s="402"/>
      <c r="M736" s="402"/>
      <c r="N736" s="402"/>
      <c r="O736" s="402"/>
      <c r="P736" s="402"/>
      <c r="Q736" s="402"/>
      <c r="R736" s="402"/>
      <c r="S736" s="402"/>
      <c r="T736" s="402"/>
      <c r="U736" s="402"/>
      <c r="V736" s="402"/>
      <c r="W736" s="402"/>
      <c r="X736" s="402"/>
      <c r="Y736" s="402"/>
      <c r="Z736" s="402"/>
      <c r="AA736" s="402"/>
    </row>
    <row r="737">
      <c r="A737" s="455"/>
      <c r="B737" s="455"/>
      <c r="C737" s="455"/>
      <c r="D737" s="455"/>
      <c r="E737" s="402"/>
      <c r="F737" s="402"/>
      <c r="G737" s="402"/>
      <c r="H737" s="402"/>
      <c r="I737" s="402"/>
      <c r="J737" s="402"/>
      <c r="K737" s="402"/>
      <c r="L737" s="402"/>
      <c r="M737" s="402"/>
      <c r="N737" s="402"/>
      <c r="O737" s="402"/>
      <c r="P737" s="402"/>
      <c r="Q737" s="402"/>
      <c r="R737" s="402"/>
      <c r="S737" s="402"/>
      <c r="T737" s="402"/>
      <c r="U737" s="402"/>
      <c r="V737" s="402"/>
      <c r="W737" s="402"/>
      <c r="X737" s="402"/>
      <c r="Y737" s="402"/>
      <c r="Z737" s="402"/>
      <c r="AA737" s="402"/>
    </row>
    <row r="738">
      <c r="A738" s="455"/>
      <c r="B738" s="455"/>
      <c r="C738" s="455"/>
      <c r="D738" s="455"/>
      <c r="E738" s="402"/>
      <c r="F738" s="402"/>
      <c r="G738" s="402"/>
      <c r="H738" s="402"/>
      <c r="I738" s="402"/>
      <c r="J738" s="402"/>
      <c r="K738" s="402"/>
      <c r="L738" s="402"/>
      <c r="M738" s="402"/>
      <c r="N738" s="402"/>
      <c r="O738" s="402"/>
      <c r="P738" s="402"/>
      <c r="Q738" s="402"/>
      <c r="R738" s="402"/>
      <c r="S738" s="402"/>
      <c r="T738" s="402"/>
      <c r="U738" s="402"/>
      <c r="V738" s="402"/>
      <c r="W738" s="402"/>
      <c r="X738" s="402"/>
      <c r="Y738" s="402"/>
      <c r="Z738" s="402"/>
      <c r="AA738" s="402"/>
    </row>
    <row r="739">
      <c r="A739" s="455"/>
      <c r="B739" s="455"/>
      <c r="C739" s="455"/>
      <c r="D739" s="455"/>
      <c r="E739" s="402"/>
      <c r="F739" s="402"/>
      <c r="G739" s="402"/>
      <c r="H739" s="402"/>
      <c r="I739" s="402"/>
      <c r="J739" s="402"/>
      <c r="K739" s="402"/>
      <c r="L739" s="402"/>
      <c r="M739" s="402"/>
      <c r="N739" s="402"/>
      <c r="O739" s="402"/>
      <c r="P739" s="402"/>
      <c r="Q739" s="402"/>
      <c r="R739" s="402"/>
      <c r="S739" s="402"/>
      <c r="T739" s="402"/>
      <c r="U739" s="402"/>
      <c r="V739" s="402"/>
      <c r="W739" s="402"/>
      <c r="X739" s="402"/>
      <c r="Y739" s="402"/>
      <c r="Z739" s="402"/>
      <c r="AA739" s="402"/>
    </row>
    <row r="740">
      <c r="A740" s="455"/>
      <c r="B740" s="455"/>
      <c r="C740" s="455"/>
      <c r="D740" s="455"/>
      <c r="E740" s="402"/>
      <c r="F740" s="402"/>
      <c r="G740" s="402"/>
      <c r="H740" s="402"/>
      <c r="I740" s="402"/>
      <c r="J740" s="402"/>
      <c r="K740" s="402"/>
      <c r="L740" s="402"/>
      <c r="M740" s="402"/>
      <c r="N740" s="402"/>
      <c r="O740" s="402"/>
      <c r="P740" s="402"/>
      <c r="Q740" s="402"/>
      <c r="R740" s="402"/>
      <c r="S740" s="402"/>
      <c r="T740" s="402"/>
      <c r="U740" s="402"/>
      <c r="V740" s="402"/>
      <c r="W740" s="402"/>
      <c r="X740" s="402"/>
      <c r="Y740" s="402"/>
      <c r="Z740" s="402"/>
      <c r="AA740" s="402"/>
    </row>
    <row r="741">
      <c r="A741" s="455"/>
      <c r="B741" s="455"/>
      <c r="C741" s="455"/>
      <c r="D741" s="455"/>
      <c r="E741" s="402"/>
      <c r="F741" s="402"/>
      <c r="G741" s="402"/>
      <c r="H741" s="402"/>
      <c r="I741" s="402"/>
      <c r="J741" s="402"/>
      <c r="K741" s="402"/>
      <c r="L741" s="402"/>
      <c r="M741" s="402"/>
      <c r="N741" s="402"/>
      <c r="O741" s="402"/>
      <c r="P741" s="402"/>
      <c r="Q741" s="402"/>
      <c r="R741" s="402"/>
      <c r="S741" s="402"/>
      <c r="T741" s="402"/>
      <c r="U741" s="402"/>
      <c r="V741" s="402"/>
      <c r="W741" s="402"/>
      <c r="X741" s="402"/>
      <c r="Y741" s="402"/>
      <c r="Z741" s="402"/>
      <c r="AA741" s="402"/>
    </row>
    <row r="742">
      <c r="A742" s="455"/>
      <c r="B742" s="455"/>
      <c r="C742" s="455"/>
      <c r="D742" s="455"/>
      <c r="E742" s="402"/>
      <c r="F742" s="402"/>
      <c r="G742" s="402"/>
      <c r="H742" s="402"/>
      <c r="I742" s="402"/>
      <c r="J742" s="402"/>
      <c r="K742" s="402"/>
      <c r="L742" s="402"/>
      <c r="M742" s="402"/>
      <c r="N742" s="402"/>
      <c r="O742" s="402"/>
      <c r="P742" s="402"/>
      <c r="Q742" s="402"/>
      <c r="R742" s="402"/>
      <c r="S742" s="402"/>
      <c r="T742" s="402"/>
      <c r="U742" s="402"/>
      <c r="V742" s="402"/>
      <c r="W742" s="402"/>
      <c r="X742" s="402"/>
      <c r="Y742" s="402"/>
      <c r="Z742" s="402"/>
      <c r="AA742" s="402"/>
    </row>
    <row r="743">
      <c r="A743" s="455"/>
      <c r="B743" s="455"/>
      <c r="C743" s="455"/>
      <c r="D743" s="455"/>
      <c r="E743" s="402"/>
      <c r="F743" s="402"/>
      <c r="G743" s="402"/>
      <c r="H743" s="402"/>
      <c r="I743" s="402"/>
      <c r="J743" s="402"/>
      <c r="K743" s="402"/>
      <c r="L743" s="402"/>
      <c r="M743" s="402"/>
      <c r="N743" s="402"/>
      <c r="O743" s="402"/>
      <c r="P743" s="402"/>
      <c r="Q743" s="402"/>
      <c r="R743" s="402"/>
      <c r="S743" s="402"/>
      <c r="T743" s="402"/>
      <c r="U743" s="402"/>
      <c r="V743" s="402"/>
      <c r="W743" s="402"/>
      <c r="X743" s="402"/>
      <c r="Y743" s="402"/>
      <c r="Z743" s="402"/>
      <c r="AA743" s="402"/>
    </row>
    <row r="744">
      <c r="A744" s="455"/>
      <c r="B744" s="455"/>
      <c r="C744" s="455"/>
      <c r="D744" s="455"/>
      <c r="E744" s="402"/>
      <c r="F744" s="402"/>
      <c r="G744" s="402"/>
      <c r="H744" s="402"/>
      <c r="I744" s="402"/>
      <c r="J744" s="402"/>
      <c r="K744" s="402"/>
      <c r="L744" s="402"/>
      <c r="M744" s="402"/>
      <c r="N744" s="402"/>
      <c r="O744" s="402"/>
      <c r="P744" s="402"/>
      <c r="Q744" s="402"/>
      <c r="R744" s="402"/>
      <c r="S744" s="402"/>
      <c r="T744" s="402"/>
      <c r="U744" s="402"/>
      <c r="V744" s="402"/>
      <c r="W744" s="402"/>
      <c r="X744" s="402"/>
      <c r="Y744" s="402"/>
      <c r="Z744" s="402"/>
      <c r="AA744" s="402"/>
    </row>
    <row r="745">
      <c r="A745" s="455"/>
      <c r="B745" s="455"/>
      <c r="C745" s="455"/>
      <c r="D745" s="455"/>
      <c r="E745" s="402"/>
      <c r="F745" s="402"/>
      <c r="G745" s="402"/>
      <c r="H745" s="402"/>
      <c r="I745" s="402"/>
      <c r="J745" s="402"/>
      <c r="K745" s="402"/>
      <c r="L745" s="402"/>
      <c r="M745" s="402"/>
      <c r="N745" s="402"/>
      <c r="O745" s="402"/>
      <c r="P745" s="402"/>
      <c r="Q745" s="402"/>
      <c r="R745" s="402"/>
      <c r="S745" s="402"/>
      <c r="T745" s="402"/>
      <c r="U745" s="402"/>
      <c r="V745" s="402"/>
      <c r="W745" s="402"/>
      <c r="X745" s="402"/>
      <c r="Y745" s="402"/>
      <c r="Z745" s="402"/>
      <c r="AA745" s="402"/>
    </row>
    <row r="746">
      <c r="A746" s="455"/>
      <c r="B746" s="455"/>
      <c r="C746" s="455"/>
      <c r="D746" s="455"/>
      <c r="E746" s="402"/>
      <c r="F746" s="402"/>
      <c r="G746" s="402"/>
      <c r="H746" s="402"/>
      <c r="I746" s="402"/>
      <c r="J746" s="402"/>
      <c r="K746" s="402"/>
      <c r="L746" s="402"/>
      <c r="M746" s="402"/>
      <c r="N746" s="402"/>
      <c r="O746" s="402"/>
      <c r="P746" s="402"/>
      <c r="Q746" s="402"/>
      <c r="R746" s="402"/>
      <c r="S746" s="402"/>
      <c r="T746" s="402"/>
      <c r="U746" s="402"/>
      <c r="V746" s="402"/>
      <c r="W746" s="402"/>
      <c r="X746" s="402"/>
      <c r="Y746" s="402"/>
      <c r="Z746" s="402"/>
      <c r="AA746" s="402"/>
    </row>
    <row r="747">
      <c r="A747" s="455"/>
      <c r="B747" s="455"/>
      <c r="C747" s="455"/>
      <c r="D747" s="455"/>
      <c r="E747" s="402"/>
      <c r="F747" s="402"/>
      <c r="G747" s="402"/>
      <c r="H747" s="402"/>
      <c r="I747" s="402"/>
      <c r="J747" s="402"/>
      <c r="K747" s="402"/>
      <c r="L747" s="402"/>
      <c r="M747" s="402"/>
      <c r="N747" s="402"/>
      <c r="O747" s="402"/>
      <c r="P747" s="402"/>
      <c r="Q747" s="402"/>
      <c r="R747" s="402"/>
      <c r="S747" s="402"/>
      <c r="T747" s="402"/>
      <c r="U747" s="402"/>
      <c r="V747" s="402"/>
      <c r="W747" s="402"/>
      <c r="X747" s="402"/>
      <c r="Y747" s="402"/>
      <c r="Z747" s="402"/>
      <c r="AA747" s="402"/>
    </row>
    <row r="748">
      <c r="A748" s="455"/>
      <c r="B748" s="455"/>
      <c r="C748" s="455"/>
      <c r="D748" s="455"/>
      <c r="E748" s="402"/>
      <c r="F748" s="402"/>
      <c r="G748" s="402"/>
      <c r="H748" s="402"/>
      <c r="I748" s="402"/>
      <c r="J748" s="402"/>
      <c r="K748" s="402"/>
      <c r="L748" s="402"/>
      <c r="M748" s="402"/>
      <c r="N748" s="402"/>
      <c r="O748" s="402"/>
      <c r="P748" s="402"/>
      <c r="Q748" s="402"/>
      <c r="R748" s="402"/>
      <c r="S748" s="402"/>
      <c r="T748" s="402"/>
      <c r="U748" s="402"/>
      <c r="V748" s="402"/>
      <c r="W748" s="402"/>
      <c r="X748" s="402"/>
      <c r="Y748" s="402"/>
      <c r="Z748" s="402"/>
      <c r="AA748" s="402"/>
    </row>
    <row r="749">
      <c r="A749" s="455"/>
      <c r="B749" s="455"/>
      <c r="C749" s="455"/>
      <c r="D749" s="455"/>
      <c r="E749" s="402"/>
      <c r="F749" s="402"/>
      <c r="G749" s="402"/>
      <c r="H749" s="402"/>
      <c r="I749" s="402"/>
      <c r="J749" s="402"/>
      <c r="K749" s="402"/>
      <c r="L749" s="402"/>
      <c r="M749" s="402"/>
      <c r="N749" s="402"/>
      <c r="O749" s="402"/>
      <c r="P749" s="402"/>
      <c r="Q749" s="402"/>
      <c r="R749" s="402"/>
      <c r="S749" s="402"/>
      <c r="T749" s="402"/>
      <c r="U749" s="402"/>
      <c r="V749" s="402"/>
      <c r="W749" s="402"/>
      <c r="X749" s="402"/>
      <c r="Y749" s="402"/>
      <c r="Z749" s="402"/>
      <c r="AA749" s="402"/>
    </row>
    <row r="750">
      <c r="A750" s="455"/>
      <c r="B750" s="455"/>
      <c r="C750" s="455"/>
      <c r="D750" s="455"/>
      <c r="E750" s="402"/>
      <c r="F750" s="402"/>
      <c r="G750" s="402"/>
      <c r="H750" s="402"/>
      <c r="I750" s="402"/>
      <c r="J750" s="402"/>
      <c r="K750" s="402"/>
      <c r="L750" s="402"/>
      <c r="M750" s="402"/>
      <c r="N750" s="402"/>
      <c r="O750" s="402"/>
      <c r="P750" s="402"/>
      <c r="Q750" s="402"/>
      <c r="R750" s="402"/>
      <c r="S750" s="402"/>
      <c r="T750" s="402"/>
      <c r="U750" s="402"/>
      <c r="V750" s="402"/>
      <c r="W750" s="402"/>
      <c r="X750" s="402"/>
      <c r="Y750" s="402"/>
      <c r="Z750" s="402"/>
      <c r="AA750" s="402"/>
    </row>
    <row r="751">
      <c r="A751" s="455"/>
      <c r="B751" s="455"/>
      <c r="C751" s="455"/>
      <c r="D751" s="455"/>
      <c r="E751" s="402"/>
      <c r="F751" s="402"/>
      <c r="G751" s="402"/>
      <c r="H751" s="402"/>
      <c r="I751" s="402"/>
      <c r="J751" s="402"/>
      <c r="K751" s="402"/>
      <c r="L751" s="402"/>
      <c r="M751" s="402"/>
      <c r="N751" s="402"/>
      <c r="O751" s="402"/>
      <c r="P751" s="402"/>
      <c r="Q751" s="402"/>
      <c r="R751" s="402"/>
      <c r="S751" s="402"/>
      <c r="T751" s="402"/>
      <c r="U751" s="402"/>
      <c r="V751" s="402"/>
      <c r="W751" s="402"/>
      <c r="X751" s="402"/>
      <c r="Y751" s="402"/>
      <c r="Z751" s="402"/>
      <c r="AA751" s="402"/>
    </row>
    <row r="752">
      <c r="A752" s="455"/>
      <c r="B752" s="455"/>
      <c r="C752" s="455"/>
      <c r="D752" s="455"/>
      <c r="E752" s="402"/>
      <c r="F752" s="402"/>
      <c r="G752" s="402"/>
      <c r="H752" s="402"/>
      <c r="I752" s="402"/>
      <c r="J752" s="402"/>
      <c r="K752" s="402"/>
      <c r="L752" s="402"/>
      <c r="M752" s="402"/>
      <c r="N752" s="402"/>
      <c r="O752" s="402"/>
      <c r="P752" s="402"/>
      <c r="Q752" s="402"/>
      <c r="R752" s="402"/>
      <c r="S752" s="402"/>
      <c r="T752" s="402"/>
      <c r="U752" s="402"/>
      <c r="V752" s="402"/>
      <c r="W752" s="402"/>
      <c r="X752" s="402"/>
      <c r="Y752" s="402"/>
      <c r="Z752" s="402"/>
      <c r="AA752" s="402"/>
    </row>
    <row r="753">
      <c r="A753" s="455"/>
      <c r="B753" s="455"/>
      <c r="C753" s="455"/>
      <c r="D753" s="455"/>
      <c r="E753" s="402"/>
      <c r="F753" s="402"/>
      <c r="G753" s="402"/>
      <c r="H753" s="402"/>
      <c r="I753" s="402"/>
      <c r="J753" s="402"/>
      <c r="K753" s="402"/>
      <c r="L753" s="402"/>
      <c r="M753" s="402"/>
      <c r="N753" s="402"/>
      <c r="O753" s="402"/>
      <c r="P753" s="402"/>
      <c r="Q753" s="402"/>
      <c r="R753" s="402"/>
      <c r="S753" s="402"/>
      <c r="T753" s="402"/>
      <c r="U753" s="402"/>
      <c r="V753" s="402"/>
      <c r="W753" s="402"/>
      <c r="X753" s="402"/>
      <c r="Y753" s="402"/>
      <c r="Z753" s="402"/>
      <c r="AA753" s="402"/>
    </row>
    <row r="754">
      <c r="A754" s="455"/>
      <c r="B754" s="455"/>
      <c r="C754" s="455"/>
      <c r="D754" s="455"/>
      <c r="E754" s="402"/>
      <c r="F754" s="402"/>
      <c r="G754" s="402"/>
      <c r="H754" s="402"/>
      <c r="I754" s="402"/>
      <c r="J754" s="402"/>
      <c r="K754" s="402"/>
      <c r="L754" s="402"/>
      <c r="M754" s="402"/>
      <c r="N754" s="402"/>
      <c r="O754" s="402"/>
      <c r="P754" s="402"/>
      <c r="Q754" s="402"/>
      <c r="R754" s="402"/>
      <c r="S754" s="402"/>
      <c r="T754" s="402"/>
      <c r="U754" s="402"/>
      <c r="V754" s="402"/>
      <c r="W754" s="402"/>
      <c r="X754" s="402"/>
      <c r="Y754" s="402"/>
      <c r="Z754" s="402"/>
      <c r="AA754" s="402"/>
    </row>
    <row r="755">
      <c r="A755" s="455"/>
      <c r="B755" s="455"/>
      <c r="C755" s="455"/>
      <c r="D755" s="455"/>
      <c r="E755" s="402"/>
      <c r="F755" s="402"/>
      <c r="G755" s="402"/>
      <c r="H755" s="402"/>
      <c r="I755" s="402"/>
      <c r="J755" s="402"/>
      <c r="K755" s="402"/>
      <c r="L755" s="402"/>
      <c r="M755" s="402"/>
      <c r="N755" s="402"/>
      <c r="O755" s="402"/>
      <c r="P755" s="402"/>
      <c r="Q755" s="402"/>
      <c r="R755" s="402"/>
      <c r="S755" s="402"/>
      <c r="T755" s="402"/>
      <c r="U755" s="402"/>
      <c r="V755" s="402"/>
      <c r="W755" s="402"/>
      <c r="X755" s="402"/>
      <c r="Y755" s="402"/>
      <c r="Z755" s="402"/>
      <c r="AA755" s="402"/>
    </row>
    <row r="756">
      <c r="A756" s="455"/>
      <c r="B756" s="455"/>
      <c r="C756" s="455"/>
      <c r="D756" s="455"/>
      <c r="E756" s="402"/>
      <c r="F756" s="402"/>
      <c r="G756" s="402"/>
      <c r="H756" s="402"/>
      <c r="I756" s="402"/>
      <c r="J756" s="402"/>
      <c r="K756" s="402"/>
      <c r="L756" s="402"/>
      <c r="M756" s="402"/>
      <c r="N756" s="402"/>
      <c r="O756" s="402"/>
      <c r="P756" s="402"/>
      <c r="Q756" s="402"/>
      <c r="R756" s="402"/>
      <c r="S756" s="402"/>
      <c r="T756" s="402"/>
      <c r="U756" s="402"/>
      <c r="V756" s="402"/>
      <c r="W756" s="402"/>
      <c r="X756" s="402"/>
      <c r="Y756" s="402"/>
      <c r="Z756" s="402"/>
      <c r="AA756" s="402"/>
    </row>
    <row r="757">
      <c r="A757" s="455"/>
      <c r="B757" s="455"/>
      <c r="C757" s="455"/>
      <c r="D757" s="455"/>
      <c r="E757" s="402"/>
      <c r="F757" s="402"/>
      <c r="G757" s="402"/>
      <c r="H757" s="402"/>
      <c r="I757" s="402"/>
      <c r="J757" s="402"/>
      <c r="K757" s="402"/>
      <c r="L757" s="402"/>
      <c r="M757" s="402"/>
      <c r="N757" s="402"/>
      <c r="O757" s="402"/>
      <c r="P757" s="402"/>
      <c r="Q757" s="402"/>
      <c r="R757" s="402"/>
      <c r="S757" s="402"/>
      <c r="T757" s="402"/>
      <c r="U757" s="402"/>
      <c r="V757" s="402"/>
      <c r="W757" s="402"/>
      <c r="X757" s="402"/>
      <c r="Y757" s="402"/>
      <c r="Z757" s="402"/>
      <c r="AA757" s="402"/>
    </row>
    <row r="758">
      <c r="A758" s="455"/>
      <c r="B758" s="455"/>
      <c r="C758" s="455"/>
      <c r="D758" s="455"/>
      <c r="E758" s="402"/>
      <c r="F758" s="402"/>
      <c r="G758" s="402"/>
      <c r="H758" s="402"/>
      <c r="I758" s="402"/>
      <c r="J758" s="402"/>
      <c r="K758" s="402"/>
      <c r="L758" s="402"/>
      <c r="M758" s="402"/>
      <c r="N758" s="402"/>
      <c r="O758" s="402"/>
      <c r="P758" s="402"/>
      <c r="Q758" s="402"/>
      <c r="R758" s="402"/>
      <c r="S758" s="402"/>
      <c r="T758" s="402"/>
      <c r="U758" s="402"/>
      <c r="V758" s="402"/>
      <c r="W758" s="402"/>
      <c r="X758" s="402"/>
      <c r="Y758" s="402"/>
      <c r="Z758" s="402"/>
      <c r="AA758" s="402"/>
    </row>
    <row r="759">
      <c r="A759" s="455"/>
      <c r="B759" s="455"/>
      <c r="C759" s="455"/>
      <c r="D759" s="455"/>
      <c r="E759" s="402"/>
      <c r="F759" s="402"/>
      <c r="G759" s="402"/>
      <c r="H759" s="402"/>
      <c r="I759" s="402"/>
      <c r="J759" s="402"/>
      <c r="K759" s="402"/>
      <c r="L759" s="402"/>
      <c r="M759" s="402"/>
      <c r="N759" s="402"/>
      <c r="O759" s="402"/>
      <c r="P759" s="402"/>
      <c r="Q759" s="402"/>
      <c r="R759" s="402"/>
      <c r="S759" s="402"/>
      <c r="T759" s="402"/>
      <c r="U759" s="402"/>
      <c r="V759" s="402"/>
      <c r="W759" s="402"/>
      <c r="X759" s="402"/>
      <c r="Y759" s="402"/>
      <c r="Z759" s="402"/>
      <c r="AA759" s="402"/>
    </row>
    <row r="760">
      <c r="A760" s="455"/>
      <c r="B760" s="455"/>
      <c r="C760" s="455"/>
      <c r="D760" s="455"/>
      <c r="E760" s="402"/>
      <c r="F760" s="402"/>
      <c r="G760" s="402"/>
      <c r="H760" s="402"/>
      <c r="I760" s="402"/>
      <c r="J760" s="402"/>
      <c r="K760" s="402"/>
      <c r="L760" s="402"/>
      <c r="M760" s="402"/>
      <c r="N760" s="402"/>
      <c r="O760" s="402"/>
      <c r="P760" s="402"/>
      <c r="Q760" s="402"/>
      <c r="R760" s="402"/>
      <c r="S760" s="402"/>
      <c r="T760" s="402"/>
      <c r="U760" s="402"/>
      <c r="V760" s="402"/>
      <c r="W760" s="402"/>
      <c r="X760" s="402"/>
      <c r="Y760" s="402"/>
      <c r="Z760" s="402"/>
      <c r="AA760" s="402"/>
    </row>
    <row r="761">
      <c r="A761" s="455"/>
      <c r="B761" s="455"/>
      <c r="C761" s="455"/>
      <c r="D761" s="455"/>
      <c r="E761" s="402"/>
      <c r="F761" s="402"/>
      <c r="G761" s="402"/>
      <c r="H761" s="402"/>
      <c r="I761" s="402"/>
      <c r="J761" s="402"/>
      <c r="K761" s="402"/>
      <c r="L761" s="402"/>
      <c r="M761" s="402"/>
      <c r="N761" s="402"/>
      <c r="O761" s="402"/>
      <c r="P761" s="402"/>
      <c r="Q761" s="402"/>
      <c r="R761" s="402"/>
      <c r="S761" s="402"/>
      <c r="T761" s="402"/>
      <c r="U761" s="402"/>
      <c r="V761" s="402"/>
      <c r="W761" s="402"/>
      <c r="X761" s="402"/>
      <c r="Y761" s="402"/>
      <c r="Z761" s="402"/>
      <c r="AA761" s="402"/>
    </row>
    <row r="762">
      <c r="A762" s="455"/>
      <c r="B762" s="455"/>
      <c r="C762" s="455"/>
      <c r="D762" s="455"/>
      <c r="E762" s="402"/>
      <c r="F762" s="402"/>
      <c r="G762" s="402"/>
      <c r="H762" s="402"/>
      <c r="I762" s="402"/>
      <c r="J762" s="402"/>
      <c r="K762" s="402"/>
      <c r="L762" s="402"/>
      <c r="M762" s="402"/>
      <c r="N762" s="402"/>
      <c r="O762" s="402"/>
      <c r="P762" s="402"/>
      <c r="Q762" s="402"/>
      <c r="R762" s="402"/>
      <c r="S762" s="402"/>
      <c r="T762" s="402"/>
      <c r="U762" s="402"/>
      <c r="V762" s="402"/>
      <c r="W762" s="402"/>
      <c r="X762" s="402"/>
      <c r="Y762" s="402"/>
      <c r="Z762" s="402"/>
      <c r="AA762" s="402"/>
    </row>
    <row r="763">
      <c r="A763" s="455"/>
      <c r="B763" s="455"/>
      <c r="C763" s="455"/>
      <c r="D763" s="455"/>
      <c r="E763" s="402"/>
      <c r="F763" s="402"/>
      <c r="G763" s="402"/>
      <c r="H763" s="402"/>
      <c r="I763" s="402"/>
      <c r="J763" s="402"/>
      <c r="K763" s="402"/>
      <c r="L763" s="402"/>
      <c r="M763" s="402"/>
      <c r="N763" s="402"/>
      <c r="O763" s="402"/>
      <c r="P763" s="402"/>
      <c r="Q763" s="402"/>
      <c r="R763" s="402"/>
      <c r="S763" s="402"/>
      <c r="T763" s="402"/>
      <c r="U763" s="402"/>
      <c r="V763" s="402"/>
      <c r="W763" s="402"/>
      <c r="X763" s="402"/>
      <c r="Y763" s="402"/>
      <c r="Z763" s="402"/>
      <c r="AA763" s="402"/>
    </row>
    <row r="764">
      <c r="A764" s="455"/>
      <c r="B764" s="455"/>
      <c r="C764" s="455"/>
      <c r="D764" s="455"/>
      <c r="E764" s="402"/>
      <c r="F764" s="402"/>
      <c r="G764" s="402"/>
      <c r="H764" s="402"/>
      <c r="I764" s="402"/>
      <c r="J764" s="402"/>
      <c r="K764" s="402"/>
      <c r="L764" s="402"/>
      <c r="M764" s="402"/>
      <c r="N764" s="402"/>
      <c r="O764" s="402"/>
      <c r="P764" s="402"/>
      <c r="Q764" s="402"/>
      <c r="R764" s="402"/>
      <c r="S764" s="402"/>
      <c r="T764" s="402"/>
      <c r="U764" s="402"/>
      <c r="V764" s="402"/>
      <c r="W764" s="402"/>
      <c r="X764" s="402"/>
      <c r="Y764" s="402"/>
      <c r="Z764" s="402"/>
      <c r="AA764" s="402"/>
    </row>
    <row r="765">
      <c r="A765" s="455"/>
      <c r="B765" s="455"/>
      <c r="C765" s="455"/>
      <c r="D765" s="455"/>
      <c r="E765" s="402"/>
      <c r="F765" s="402"/>
      <c r="G765" s="402"/>
      <c r="H765" s="402"/>
      <c r="I765" s="402"/>
      <c r="J765" s="402"/>
      <c r="K765" s="402"/>
      <c r="L765" s="402"/>
      <c r="M765" s="402"/>
      <c r="N765" s="402"/>
      <c r="O765" s="402"/>
      <c r="P765" s="402"/>
      <c r="Q765" s="402"/>
      <c r="R765" s="402"/>
      <c r="S765" s="402"/>
      <c r="T765" s="402"/>
      <c r="U765" s="402"/>
      <c r="V765" s="402"/>
      <c r="W765" s="402"/>
      <c r="X765" s="402"/>
      <c r="Y765" s="402"/>
      <c r="Z765" s="402"/>
      <c r="AA765" s="402"/>
    </row>
    <row r="766">
      <c r="A766" s="455"/>
      <c r="B766" s="455"/>
      <c r="C766" s="455"/>
      <c r="D766" s="455"/>
      <c r="E766" s="402"/>
      <c r="F766" s="402"/>
      <c r="G766" s="402"/>
      <c r="H766" s="402"/>
      <c r="I766" s="402"/>
      <c r="J766" s="402"/>
      <c r="K766" s="402"/>
      <c r="L766" s="402"/>
      <c r="M766" s="402"/>
      <c r="N766" s="402"/>
      <c r="O766" s="402"/>
      <c r="P766" s="402"/>
      <c r="Q766" s="402"/>
      <c r="R766" s="402"/>
      <c r="S766" s="402"/>
      <c r="T766" s="402"/>
      <c r="U766" s="402"/>
      <c r="V766" s="402"/>
      <c r="W766" s="402"/>
      <c r="X766" s="402"/>
      <c r="Y766" s="402"/>
      <c r="Z766" s="402"/>
      <c r="AA766" s="402"/>
    </row>
    <row r="767">
      <c r="A767" s="455"/>
      <c r="B767" s="455"/>
      <c r="C767" s="455"/>
      <c r="D767" s="455"/>
      <c r="E767" s="402"/>
      <c r="F767" s="402"/>
      <c r="G767" s="402"/>
      <c r="H767" s="402"/>
      <c r="I767" s="402"/>
      <c r="J767" s="402"/>
      <c r="K767" s="402"/>
      <c r="L767" s="402"/>
      <c r="M767" s="402"/>
      <c r="N767" s="402"/>
      <c r="O767" s="402"/>
      <c r="P767" s="402"/>
      <c r="Q767" s="402"/>
      <c r="R767" s="402"/>
      <c r="S767" s="402"/>
      <c r="T767" s="402"/>
      <c r="U767" s="402"/>
      <c r="V767" s="402"/>
      <c r="W767" s="402"/>
      <c r="X767" s="402"/>
      <c r="Y767" s="402"/>
      <c r="Z767" s="402"/>
      <c r="AA767" s="402"/>
    </row>
    <row r="768">
      <c r="A768" s="455"/>
      <c r="B768" s="455"/>
      <c r="C768" s="455"/>
      <c r="D768" s="455"/>
      <c r="E768" s="402"/>
      <c r="F768" s="402"/>
      <c r="G768" s="402"/>
      <c r="H768" s="402"/>
      <c r="I768" s="402"/>
      <c r="J768" s="402"/>
      <c r="K768" s="402"/>
      <c r="L768" s="402"/>
      <c r="M768" s="402"/>
      <c r="N768" s="402"/>
      <c r="O768" s="402"/>
      <c r="P768" s="402"/>
      <c r="Q768" s="402"/>
      <c r="R768" s="402"/>
      <c r="S768" s="402"/>
      <c r="T768" s="402"/>
      <c r="U768" s="402"/>
      <c r="V768" s="402"/>
      <c r="W768" s="402"/>
      <c r="X768" s="402"/>
      <c r="Y768" s="402"/>
      <c r="Z768" s="402"/>
      <c r="AA768" s="402"/>
    </row>
    <row r="769">
      <c r="A769" s="455"/>
      <c r="B769" s="455"/>
      <c r="C769" s="455"/>
      <c r="D769" s="455"/>
      <c r="E769" s="402"/>
      <c r="F769" s="402"/>
      <c r="G769" s="402"/>
      <c r="H769" s="402"/>
      <c r="I769" s="402"/>
      <c r="J769" s="402"/>
      <c r="K769" s="402"/>
      <c r="L769" s="402"/>
      <c r="M769" s="402"/>
      <c r="N769" s="402"/>
      <c r="O769" s="402"/>
      <c r="P769" s="402"/>
      <c r="Q769" s="402"/>
      <c r="R769" s="402"/>
      <c r="S769" s="402"/>
      <c r="T769" s="402"/>
      <c r="U769" s="402"/>
      <c r="V769" s="402"/>
      <c r="W769" s="402"/>
      <c r="X769" s="402"/>
      <c r="Y769" s="402"/>
      <c r="Z769" s="402"/>
      <c r="AA769" s="402"/>
    </row>
    <row r="770">
      <c r="A770" s="455"/>
      <c r="B770" s="455"/>
      <c r="C770" s="455"/>
      <c r="D770" s="455"/>
      <c r="E770" s="402"/>
      <c r="F770" s="402"/>
      <c r="G770" s="402"/>
      <c r="H770" s="402"/>
      <c r="I770" s="402"/>
      <c r="J770" s="402"/>
      <c r="K770" s="402"/>
      <c r="L770" s="402"/>
      <c r="M770" s="402"/>
      <c r="N770" s="402"/>
      <c r="O770" s="402"/>
      <c r="P770" s="402"/>
      <c r="Q770" s="402"/>
      <c r="R770" s="402"/>
      <c r="S770" s="402"/>
      <c r="T770" s="402"/>
      <c r="U770" s="402"/>
      <c r="V770" s="402"/>
      <c r="W770" s="402"/>
      <c r="X770" s="402"/>
      <c r="Y770" s="402"/>
      <c r="Z770" s="402"/>
      <c r="AA770" s="402"/>
    </row>
    <row r="771">
      <c r="A771" s="455"/>
      <c r="B771" s="455"/>
      <c r="C771" s="455"/>
      <c r="D771" s="455"/>
      <c r="E771" s="402"/>
      <c r="F771" s="402"/>
      <c r="G771" s="402"/>
      <c r="H771" s="402"/>
      <c r="I771" s="402"/>
      <c r="J771" s="402"/>
      <c r="K771" s="402"/>
      <c r="L771" s="402"/>
      <c r="M771" s="402"/>
      <c r="N771" s="402"/>
      <c r="O771" s="402"/>
      <c r="P771" s="402"/>
      <c r="Q771" s="402"/>
      <c r="R771" s="402"/>
      <c r="S771" s="402"/>
      <c r="T771" s="402"/>
      <c r="U771" s="402"/>
      <c r="V771" s="402"/>
      <c r="W771" s="402"/>
      <c r="X771" s="402"/>
      <c r="Y771" s="402"/>
      <c r="Z771" s="402"/>
      <c r="AA771" s="402"/>
    </row>
    <row r="772">
      <c r="A772" s="455"/>
      <c r="B772" s="455"/>
      <c r="C772" s="455"/>
      <c r="D772" s="455"/>
      <c r="E772" s="402"/>
      <c r="F772" s="402"/>
      <c r="G772" s="402"/>
      <c r="H772" s="402"/>
      <c r="I772" s="402"/>
      <c r="J772" s="402"/>
      <c r="K772" s="402"/>
      <c r="L772" s="402"/>
      <c r="M772" s="402"/>
      <c r="N772" s="402"/>
      <c r="O772" s="402"/>
      <c r="P772" s="402"/>
      <c r="Q772" s="402"/>
      <c r="R772" s="402"/>
      <c r="S772" s="402"/>
      <c r="T772" s="402"/>
      <c r="U772" s="402"/>
      <c r="V772" s="402"/>
      <c r="W772" s="402"/>
      <c r="X772" s="402"/>
      <c r="Y772" s="402"/>
      <c r="Z772" s="402"/>
      <c r="AA772" s="402"/>
    </row>
    <row r="773">
      <c r="A773" s="455"/>
      <c r="B773" s="455"/>
      <c r="C773" s="455"/>
      <c r="D773" s="455"/>
      <c r="E773" s="402"/>
      <c r="F773" s="402"/>
      <c r="G773" s="402"/>
      <c r="H773" s="402"/>
      <c r="I773" s="402"/>
      <c r="J773" s="402"/>
      <c r="K773" s="402"/>
      <c r="L773" s="402"/>
      <c r="M773" s="402"/>
      <c r="N773" s="402"/>
      <c r="O773" s="402"/>
      <c r="P773" s="402"/>
      <c r="Q773" s="402"/>
      <c r="R773" s="402"/>
      <c r="S773" s="402"/>
      <c r="T773" s="402"/>
      <c r="U773" s="402"/>
      <c r="V773" s="402"/>
      <c r="W773" s="402"/>
      <c r="X773" s="402"/>
      <c r="Y773" s="402"/>
      <c r="Z773" s="402"/>
      <c r="AA773" s="402"/>
    </row>
    <row r="774">
      <c r="A774" s="455"/>
      <c r="B774" s="455"/>
      <c r="C774" s="455"/>
      <c r="D774" s="455"/>
      <c r="E774" s="402"/>
      <c r="F774" s="402"/>
      <c r="G774" s="402"/>
      <c r="H774" s="402"/>
      <c r="I774" s="402"/>
      <c r="J774" s="402"/>
      <c r="K774" s="402"/>
      <c r="L774" s="402"/>
      <c r="M774" s="402"/>
      <c r="N774" s="402"/>
      <c r="O774" s="402"/>
      <c r="P774" s="402"/>
      <c r="Q774" s="402"/>
      <c r="R774" s="402"/>
      <c r="S774" s="402"/>
      <c r="T774" s="402"/>
      <c r="U774" s="402"/>
      <c r="V774" s="402"/>
      <c r="W774" s="402"/>
      <c r="X774" s="402"/>
      <c r="Y774" s="402"/>
      <c r="Z774" s="402"/>
      <c r="AA774" s="402"/>
    </row>
    <row r="775">
      <c r="A775" s="455"/>
      <c r="B775" s="455"/>
      <c r="C775" s="455"/>
      <c r="D775" s="455"/>
      <c r="E775" s="402"/>
      <c r="F775" s="402"/>
      <c r="G775" s="402"/>
      <c r="H775" s="402"/>
      <c r="I775" s="402"/>
      <c r="J775" s="402"/>
      <c r="K775" s="402"/>
      <c r="L775" s="402"/>
      <c r="M775" s="402"/>
      <c r="N775" s="402"/>
      <c r="O775" s="402"/>
      <c r="P775" s="402"/>
      <c r="Q775" s="402"/>
      <c r="R775" s="402"/>
      <c r="S775" s="402"/>
      <c r="T775" s="402"/>
      <c r="U775" s="402"/>
      <c r="V775" s="402"/>
      <c r="W775" s="402"/>
      <c r="X775" s="402"/>
      <c r="Y775" s="402"/>
      <c r="Z775" s="402"/>
      <c r="AA775" s="402"/>
    </row>
    <row r="776">
      <c r="A776" s="455"/>
      <c r="B776" s="455"/>
      <c r="C776" s="455"/>
      <c r="D776" s="455"/>
      <c r="E776" s="402"/>
      <c r="F776" s="402"/>
      <c r="G776" s="402"/>
      <c r="H776" s="402"/>
      <c r="I776" s="402"/>
      <c r="J776" s="402"/>
      <c r="K776" s="402"/>
      <c r="L776" s="402"/>
      <c r="M776" s="402"/>
      <c r="N776" s="402"/>
      <c r="O776" s="402"/>
      <c r="P776" s="402"/>
      <c r="Q776" s="402"/>
      <c r="R776" s="402"/>
      <c r="S776" s="402"/>
      <c r="T776" s="402"/>
      <c r="U776" s="402"/>
      <c r="V776" s="402"/>
      <c r="W776" s="402"/>
      <c r="X776" s="402"/>
      <c r="Y776" s="402"/>
      <c r="Z776" s="402"/>
      <c r="AA776" s="402"/>
    </row>
    <row r="777">
      <c r="A777" s="455"/>
      <c r="B777" s="455"/>
      <c r="C777" s="455"/>
      <c r="D777" s="455"/>
      <c r="E777" s="402"/>
      <c r="F777" s="402"/>
      <c r="G777" s="402"/>
      <c r="H777" s="402"/>
      <c r="I777" s="402"/>
      <c r="J777" s="402"/>
      <c r="K777" s="402"/>
      <c r="L777" s="402"/>
      <c r="M777" s="402"/>
      <c r="N777" s="402"/>
      <c r="O777" s="402"/>
      <c r="P777" s="402"/>
      <c r="Q777" s="402"/>
      <c r="R777" s="402"/>
      <c r="S777" s="402"/>
      <c r="T777" s="402"/>
      <c r="U777" s="402"/>
      <c r="V777" s="402"/>
      <c r="W777" s="402"/>
      <c r="X777" s="402"/>
      <c r="Y777" s="402"/>
      <c r="Z777" s="402"/>
      <c r="AA777" s="402"/>
    </row>
    <row r="778">
      <c r="A778" s="455"/>
      <c r="B778" s="455"/>
      <c r="C778" s="455"/>
      <c r="D778" s="455"/>
      <c r="E778" s="402"/>
      <c r="F778" s="402"/>
      <c r="G778" s="402"/>
      <c r="H778" s="402"/>
      <c r="I778" s="402"/>
      <c r="J778" s="402"/>
      <c r="K778" s="402"/>
      <c r="L778" s="402"/>
      <c r="M778" s="402"/>
      <c r="N778" s="402"/>
      <c r="O778" s="402"/>
      <c r="P778" s="402"/>
      <c r="Q778" s="402"/>
      <c r="R778" s="402"/>
      <c r="S778" s="402"/>
      <c r="T778" s="402"/>
      <c r="U778" s="402"/>
      <c r="V778" s="402"/>
      <c r="W778" s="402"/>
      <c r="X778" s="402"/>
      <c r="Y778" s="402"/>
      <c r="Z778" s="402"/>
      <c r="AA778" s="402"/>
    </row>
    <row r="779">
      <c r="A779" s="455"/>
      <c r="B779" s="455"/>
      <c r="C779" s="455"/>
      <c r="D779" s="455"/>
      <c r="E779" s="402"/>
      <c r="F779" s="402"/>
      <c r="G779" s="402"/>
      <c r="H779" s="402"/>
      <c r="I779" s="402"/>
      <c r="J779" s="402"/>
      <c r="K779" s="402"/>
      <c r="L779" s="402"/>
      <c r="M779" s="402"/>
      <c r="N779" s="402"/>
      <c r="O779" s="402"/>
      <c r="P779" s="402"/>
      <c r="Q779" s="402"/>
      <c r="R779" s="402"/>
      <c r="S779" s="402"/>
      <c r="T779" s="402"/>
      <c r="U779" s="402"/>
      <c r="V779" s="402"/>
      <c r="W779" s="402"/>
      <c r="X779" s="402"/>
      <c r="Y779" s="402"/>
      <c r="Z779" s="402"/>
      <c r="AA779" s="402"/>
    </row>
    <row r="780">
      <c r="A780" s="455"/>
      <c r="B780" s="455"/>
      <c r="C780" s="455"/>
      <c r="D780" s="455"/>
      <c r="E780" s="402"/>
      <c r="F780" s="402"/>
      <c r="G780" s="402"/>
      <c r="H780" s="402"/>
      <c r="I780" s="402"/>
      <c r="J780" s="402"/>
      <c r="K780" s="402"/>
      <c r="L780" s="402"/>
      <c r="M780" s="402"/>
      <c r="N780" s="402"/>
      <c r="O780" s="402"/>
      <c r="P780" s="402"/>
      <c r="Q780" s="402"/>
      <c r="R780" s="402"/>
      <c r="S780" s="402"/>
      <c r="T780" s="402"/>
      <c r="U780" s="402"/>
      <c r="V780" s="402"/>
      <c r="W780" s="402"/>
      <c r="X780" s="402"/>
      <c r="Y780" s="402"/>
      <c r="Z780" s="402"/>
      <c r="AA780" s="402"/>
    </row>
    <row r="781">
      <c r="A781" s="455"/>
      <c r="B781" s="455"/>
      <c r="C781" s="455"/>
      <c r="D781" s="455"/>
      <c r="E781" s="402"/>
      <c r="F781" s="402"/>
      <c r="G781" s="402"/>
      <c r="H781" s="402"/>
      <c r="I781" s="402"/>
      <c r="J781" s="402"/>
      <c r="K781" s="402"/>
      <c r="L781" s="402"/>
      <c r="M781" s="402"/>
      <c r="N781" s="402"/>
      <c r="O781" s="402"/>
      <c r="P781" s="402"/>
      <c r="Q781" s="402"/>
      <c r="R781" s="402"/>
      <c r="S781" s="402"/>
      <c r="T781" s="402"/>
      <c r="U781" s="402"/>
      <c r="V781" s="402"/>
      <c r="W781" s="402"/>
      <c r="X781" s="402"/>
      <c r="Y781" s="402"/>
      <c r="Z781" s="402"/>
      <c r="AA781" s="402"/>
    </row>
    <row r="782">
      <c r="A782" s="455"/>
      <c r="B782" s="455"/>
      <c r="C782" s="455"/>
      <c r="D782" s="455"/>
      <c r="E782" s="402"/>
      <c r="F782" s="402"/>
      <c r="G782" s="402"/>
      <c r="H782" s="402"/>
      <c r="I782" s="402"/>
      <c r="J782" s="402"/>
      <c r="K782" s="402"/>
      <c r="L782" s="402"/>
      <c r="M782" s="402"/>
      <c r="N782" s="402"/>
      <c r="O782" s="402"/>
      <c r="P782" s="402"/>
      <c r="Q782" s="402"/>
      <c r="R782" s="402"/>
      <c r="S782" s="402"/>
      <c r="T782" s="402"/>
      <c r="U782" s="402"/>
      <c r="V782" s="402"/>
      <c r="W782" s="402"/>
      <c r="X782" s="402"/>
      <c r="Y782" s="402"/>
      <c r="Z782" s="402"/>
      <c r="AA782" s="402"/>
    </row>
    <row r="783">
      <c r="A783" s="455"/>
      <c r="B783" s="455"/>
      <c r="C783" s="455"/>
      <c r="D783" s="455"/>
      <c r="E783" s="402"/>
      <c r="F783" s="402"/>
      <c r="G783" s="402"/>
      <c r="H783" s="402"/>
      <c r="I783" s="402"/>
      <c r="J783" s="402"/>
      <c r="K783" s="402"/>
      <c r="L783" s="402"/>
      <c r="M783" s="402"/>
      <c r="N783" s="402"/>
      <c r="O783" s="402"/>
      <c r="P783" s="402"/>
      <c r="Q783" s="402"/>
      <c r="R783" s="402"/>
      <c r="S783" s="402"/>
      <c r="T783" s="402"/>
      <c r="U783" s="402"/>
      <c r="V783" s="402"/>
      <c r="W783" s="402"/>
      <c r="X783" s="402"/>
      <c r="Y783" s="402"/>
      <c r="Z783" s="402"/>
      <c r="AA783" s="402"/>
    </row>
    <row r="784">
      <c r="A784" s="455"/>
      <c r="B784" s="455"/>
      <c r="C784" s="455"/>
      <c r="D784" s="455"/>
      <c r="E784" s="402"/>
      <c r="F784" s="402"/>
      <c r="G784" s="402"/>
      <c r="H784" s="402"/>
      <c r="I784" s="402"/>
      <c r="J784" s="402"/>
      <c r="K784" s="402"/>
      <c r="L784" s="402"/>
      <c r="M784" s="402"/>
      <c r="N784" s="402"/>
      <c r="O784" s="402"/>
      <c r="P784" s="402"/>
      <c r="Q784" s="402"/>
      <c r="R784" s="402"/>
      <c r="S784" s="402"/>
      <c r="T784" s="402"/>
      <c r="U784" s="402"/>
      <c r="V784" s="402"/>
      <c r="W784" s="402"/>
      <c r="X784" s="402"/>
      <c r="Y784" s="402"/>
      <c r="Z784" s="402"/>
      <c r="AA784" s="402"/>
    </row>
    <row r="785">
      <c r="A785" s="455"/>
      <c r="B785" s="455"/>
      <c r="C785" s="455"/>
      <c r="D785" s="455"/>
      <c r="E785" s="402"/>
      <c r="F785" s="402"/>
      <c r="G785" s="402"/>
      <c r="H785" s="402"/>
      <c r="I785" s="402"/>
      <c r="J785" s="402"/>
      <c r="K785" s="402"/>
      <c r="L785" s="402"/>
      <c r="M785" s="402"/>
      <c r="N785" s="402"/>
      <c r="O785" s="402"/>
      <c r="P785" s="402"/>
      <c r="Q785" s="402"/>
      <c r="R785" s="402"/>
      <c r="S785" s="402"/>
      <c r="T785" s="402"/>
      <c r="U785" s="402"/>
      <c r="V785" s="402"/>
      <c r="W785" s="402"/>
      <c r="X785" s="402"/>
      <c r="Y785" s="402"/>
      <c r="Z785" s="402"/>
      <c r="AA785" s="402"/>
    </row>
    <row r="786">
      <c r="A786" s="455"/>
      <c r="B786" s="455"/>
      <c r="C786" s="455"/>
      <c r="D786" s="455"/>
      <c r="E786" s="402"/>
      <c r="F786" s="402"/>
      <c r="G786" s="402"/>
      <c r="H786" s="402"/>
      <c r="I786" s="402"/>
      <c r="J786" s="402"/>
      <c r="K786" s="402"/>
      <c r="L786" s="402"/>
      <c r="M786" s="402"/>
      <c r="N786" s="402"/>
      <c r="O786" s="402"/>
      <c r="P786" s="402"/>
      <c r="Q786" s="402"/>
      <c r="R786" s="402"/>
      <c r="S786" s="402"/>
      <c r="T786" s="402"/>
      <c r="U786" s="402"/>
      <c r="V786" s="402"/>
      <c r="W786" s="402"/>
      <c r="X786" s="402"/>
      <c r="Y786" s="402"/>
      <c r="Z786" s="402"/>
      <c r="AA786" s="402"/>
    </row>
    <row r="787">
      <c r="A787" s="455"/>
      <c r="B787" s="455"/>
      <c r="C787" s="455"/>
      <c r="D787" s="455"/>
      <c r="E787" s="402"/>
      <c r="F787" s="402"/>
      <c r="G787" s="402"/>
      <c r="H787" s="402"/>
      <c r="I787" s="402"/>
      <c r="J787" s="402"/>
      <c r="K787" s="402"/>
      <c r="L787" s="402"/>
      <c r="M787" s="402"/>
      <c r="N787" s="402"/>
      <c r="O787" s="402"/>
      <c r="P787" s="402"/>
      <c r="Q787" s="402"/>
      <c r="R787" s="402"/>
      <c r="S787" s="402"/>
      <c r="T787" s="402"/>
      <c r="U787" s="402"/>
      <c r="V787" s="402"/>
      <c r="W787" s="402"/>
      <c r="X787" s="402"/>
      <c r="Y787" s="402"/>
      <c r="Z787" s="402"/>
      <c r="AA787" s="402"/>
    </row>
    <row r="788">
      <c r="A788" s="455"/>
      <c r="B788" s="455"/>
      <c r="C788" s="455"/>
      <c r="D788" s="455"/>
      <c r="E788" s="402"/>
      <c r="F788" s="402"/>
      <c r="G788" s="402"/>
      <c r="H788" s="402"/>
      <c r="I788" s="402"/>
      <c r="J788" s="402"/>
      <c r="K788" s="402"/>
      <c r="L788" s="402"/>
      <c r="M788" s="402"/>
      <c r="N788" s="402"/>
      <c r="O788" s="402"/>
      <c r="P788" s="402"/>
      <c r="Q788" s="402"/>
      <c r="R788" s="402"/>
      <c r="S788" s="402"/>
      <c r="T788" s="402"/>
      <c r="U788" s="402"/>
      <c r="V788" s="402"/>
      <c r="W788" s="402"/>
      <c r="X788" s="402"/>
      <c r="Y788" s="402"/>
      <c r="Z788" s="402"/>
      <c r="AA788" s="402"/>
    </row>
    <row r="789">
      <c r="A789" s="455"/>
      <c r="B789" s="455"/>
      <c r="C789" s="455"/>
      <c r="D789" s="455"/>
      <c r="E789" s="402"/>
      <c r="F789" s="402"/>
      <c r="G789" s="402"/>
      <c r="H789" s="402"/>
      <c r="I789" s="402"/>
      <c r="J789" s="402"/>
      <c r="K789" s="402"/>
      <c r="L789" s="402"/>
      <c r="M789" s="402"/>
      <c r="N789" s="402"/>
      <c r="O789" s="402"/>
      <c r="P789" s="402"/>
      <c r="Q789" s="402"/>
      <c r="R789" s="402"/>
      <c r="S789" s="402"/>
      <c r="T789" s="402"/>
      <c r="U789" s="402"/>
      <c r="V789" s="402"/>
      <c r="W789" s="402"/>
      <c r="X789" s="402"/>
      <c r="Y789" s="402"/>
      <c r="Z789" s="402"/>
      <c r="AA789" s="402"/>
    </row>
    <row r="790">
      <c r="A790" s="455"/>
      <c r="B790" s="455"/>
      <c r="C790" s="455"/>
      <c r="D790" s="455"/>
      <c r="E790" s="402"/>
      <c r="F790" s="402"/>
      <c r="G790" s="402"/>
      <c r="H790" s="402"/>
      <c r="I790" s="402"/>
      <c r="J790" s="402"/>
      <c r="K790" s="402"/>
      <c r="L790" s="402"/>
      <c r="M790" s="402"/>
      <c r="N790" s="402"/>
      <c r="O790" s="402"/>
      <c r="P790" s="402"/>
      <c r="Q790" s="402"/>
      <c r="R790" s="402"/>
      <c r="S790" s="402"/>
      <c r="T790" s="402"/>
      <c r="U790" s="402"/>
      <c r="V790" s="402"/>
      <c r="W790" s="402"/>
      <c r="X790" s="402"/>
      <c r="Y790" s="402"/>
      <c r="Z790" s="402"/>
      <c r="AA790" s="402"/>
    </row>
    <row r="791">
      <c r="A791" s="455"/>
      <c r="B791" s="455"/>
      <c r="C791" s="455"/>
      <c r="D791" s="455"/>
      <c r="E791" s="402"/>
      <c r="F791" s="402"/>
      <c r="G791" s="402"/>
      <c r="H791" s="402"/>
      <c r="I791" s="402"/>
      <c r="J791" s="402"/>
      <c r="K791" s="402"/>
      <c r="L791" s="402"/>
      <c r="M791" s="402"/>
      <c r="N791" s="402"/>
      <c r="O791" s="402"/>
      <c r="P791" s="402"/>
      <c r="Q791" s="402"/>
      <c r="R791" s="402"/>
      <c r="S791" s="402"/>
      <c r="T791" s="402"/>
      <c r="U791" s="402"/>
      <c r="V791" s="402"/>
      <c r="W791" s="402"/>
      <c r="X791" s="402"/>
      <c r="Y791" s="402"/>
      <c r="Z791" s="402"/>
      <c r="AA791" s="402"/>
    </row>
    <row r="792">
      <c r="A792" s="455"/>
      <c r="B792" s="455"/>
      <c r="C792" s="455"/>
      <c r="D792" s="455"/>
      <c r="E792" s="402"/>
      <c r="F792" s="402"/>
      <c r="G792" s="402"/>
      <c r="H792" s="402"/>
      <c r="I792" s="402"/>
      <c r="J792" s="402"/>
      <c r="K792" s="402"/>
      <c r="L792" s="402"/>
      <c r="M792" s="402"/>
      <c r="N792" s="402"/>
      <c r="O792" s="402"/>
      <c r="P792" s="402"/>
      <c r="Q792" s="402"/>
      <c r="R792" s="402"/>
      <c r="S792" s="402"/>
      <c r="T792" s="402"/>
      <c r="U792" s="402"/>
      <c r="V792" s="402"/>
      <c r="W792" s="402"/>
      <c r="X792" s="402"/>
      <c r="Y792" s="402"/>
      <c r="Z792" s="402"/>
      <c r="AA792" s="402"/>
    </row>
    <row r="793">
      <c r="A793" s="455"/>
      <c r="B793" s="455"/>
      <c r="C793" s="455"/>
      <c r="D793" s="455"/>
      <c r="E793" s="402"/>
      <c r="F793" s="402"/>
      <c r="G793" s="402"/>
      <c r="H793" s="402"/>
      <c r="I793" s="402"/>
      <c r="J793" s="402"/>
      <c r="K793" s="402"/>
      <c r="L793" s="402"/>
      <c r="M793" s="402"/>
      <c r="N793" s="402"/>
      <c r="O793" s="402"/>
      <c r="P793" s="402"/>
      <c r="Q793" s="402"/>
      <c r="R793" s="402"/>
      <c r="S793" s="402"/>
      <c r="T793" s="402"/>
      <c r="U793" s="402"/>
      <c r="V793" s="402"/>
      <c r="W793" s="402"/>
      <c r="X793" s="402"/>
      <c r="Y793" s="402"/>
      <c r="Z793" s="402"/>
      <c r="AA793" s="402"/>
    </row>
    <row r="794">
      <c r="A794" s="455"/>
      <c r="B794" s="455"/>
      <c r="C794" s="455"/>
      <c r="D794" s="455"/>
      <c r="E794" s="402"/>
      <c r="F794" s="402"/>
      <c r="G794" s="402"/>
      <c r="H794" s="402"/>
      <c r="I794" s="402"/>
      <c r="J794" s="402"/>
      <c r="K794" s="402"/>
      <c r="L794" s="402"/>
      <c r="M794" s="402"/>
      <c r="N794" s="402"/>
      <c r="O794" s="402"/>
      <c r="P794" s="402"/>
      <c r="Q794" s="402"/>
      <c r="R794" s="402"/>
      <c r="S794" s="402"/>
      <c r="T794" s="402"/>
      <c r="U794" s="402"/>
      <c r="V794" s="402"/>
      <c r="W794" s="402"/>
      <c r="X794" s="402"/>
      <c r="Y794" s="402"/>
      <c r="Z794" s="402"/>
      <c r="AA794" s="402"/>
    </row>
    <row r="795">
      <c r="A795" s="455"/>
      <c r="B795" s="455"/>
      <c r="C795" s="455"/>
      <c r="D795" s="455"/>
      <c r="E795" s="402"/>
      <c r="F795" s="402"/>
      <c r="G795" s="402"/>
      <c r="H795" s="402"/>
      <c r="I795" s="402"/>
      <c r="J795" s="402"/>
      <c r="K795" s="402"/>
      <c r="L795" s="402"/>
      <c r="M795" s="402"/>
      <c r="N795" s="402"/>
      <c r="O795" s="402"/>
      <c r="P795" s="402"/>
      <c r="Q795" s="402"/>
      <c r="R795" s="402"/>
      <c r="S795" s="402"/>
      <c r="T795" s="402"/>
      <c r="U795" s="402"/>
      <c r="V795" s="402"/>
      <c r="W795" s="402"/>
      <c r="X795" s="402"/>
      <c r="Y795" s="402"/>
      <c r="Z795" s="402"/>
      <c r="AA795" s="402"/>
    </row>
    <row r="796">
      <c r="A796" s="455"/>
      <c r="B796" s="455"/>
      <c r="C796" s="455"/>
      <c r="D796" s="455"/>
      <c r="E796" s="402"/>
      <c r="F796" s="402"/>
      <c r="G796" s="402"/>
      <c r="H796" s="402"/>
      <c r="I796" s="402"/>
      <c r="J796" s="402"/>
      <c r="K796" s="402"/>
      <c r="L796" s="402"/>
      <c r="M796" s="402"/>
      <c r="N796" s="402"/>
      <c r="O796" s="402"/>
      <c r="P796" s="402"/>
      <c r="Q796" s="402"/>
      <c r="R796" s="402"/>
      <c r="S796" s="402"/>
      <c r="T796" s="402"/>
      <c r="U796" s="402"/>
      <c r="V796" s="402"/>
      <c r="W796" s="402"/>
      <c r="X796" s="402"/>
      <c r="Y796" s="402"/>
      <c r="Z796" s="402"/>
      <c r="AA796" s="402"/>
    </row>
    <row r="797">
      <c r="A797" s="455"/>
      <c r="B797" s="455"/>
      <c r="C797" s="455"/>
      <c r="D797" s="455"/>
      <c r="E797" s="402"/>
      <c r="F797" s="402"/>
      <c r="G797" s="402"/>
      <c r="H797" s="402"/>
      <c r="I797" s="402"/>
      <c r="J797" s="402"/>
      <c r="K797" s="402"/>
      <c r="L797" s="402"/>
      <c r="M797" s="402"/>
      <c r="N797" s="402"/>
      <c r="O797" s="402"/>
      <c r="P797" s="402"/>
      <c r="Q797" s="402"/>
      <c r="R797" s="402"/>
      <c r="S797" s="402"/>
      <c r="T797" s="402"/>
      <c r="U797" s="402"/>
      <c r="V797" s="402"/>
      <c r="W797" s="402"/>
      <c r="X797" s="402"/>
      <c r="Y797" s="402"/>
      <c r="Z797" s="402"/>
      <c r="AA797" s="402"/>
    </row>
    <row r="798">
      <c r="A798" s="455"/>
      <c r="B798" s="455"/>
      <c r="C798" s="455"/>
      <c r="D798" s="455"/>
      <c r="E798" s="402"/>
      <c r="F798" s="402"/>
      <c r="G798" s="402"/>
      <c r="H798" s="402"/>
      <c r="I798" s="402"/>
      <c r="J798" s="402"/>
      <c r="K798" s="402"/>
      <c r="L798" s="402"/>
      <c r="M798" s="402"/>
      <c r="N798" s="402"/>
      <c r="O798" s="402"/>
      <c r="P798" s="402"/>
      <c r="Q798" s="402"/>
      <c r="R798" s="402"/>
      <c r="S798" s="402"/>
      <c r="T798" s="402"/>
      <c r="U798" s="402"/>
      <c r="V798" s="402"/>
      <c r="W798" s="402"/>
      <c r="X798" s="402"/>
      <c r="Y798" s="402"/>
      <c r="Z798" s="402"/>
      <c r="AA798" s="402"/>
    </row>
    <row r="799">
      <c r="A799" s="455"/>
      <c r="B799" s="455"/>
      <c r="C799" s="455"/>
      <c r="D799" s="455"/>
      <c r="E799" s="402"/>
      <c r="F799" s="402"/>
      <c r="G799" s="402"/>
      <c r="H799" s="402"/>
      <c r="I799" s="402"/>
      <c r="J799" s="402"/>
      <c r="K799" s="402"/>
      <c r="L799" s="402"/>
      <c r="M799" s="402"/>
      <c r="N799" s="402"/>
      <c r="O799" s="402"/>
      <c r="P799" s="402"/>
      <c r="Q799" s="402"/>
      <c r="R799" s="402"/>
      <c r="S799" s="402"/>
      <c r="T799" s="402"/>
      <c r="U799" s="402"/>
      <c r="V799" s="402"/>
      <c r="W799" s="402"/>
      <c r="X799" s="402"/>
      <c r="Y799" s="402"/>
      <c r="Z799" s="402"/>
      <c r="AA799" s="402"/>
    </row>
    <row r="800">
      <c r="A800" s="455"/>
      <c r="B800" s="455"/>
      <c r="C800" s="455"/>
      <c r="D800" s="455"/>
      <c r="E800" s="402"/>
      <c r="F800" s="402"/>
      <c r="G800" s="402"/>
      <c r="H800" s="402"/>
      <c r="I800" s="402"/>
      <c r="J800" s="402"/>
      <c r="K800" s="402"/>
      <c r="L800" s="402"/>
      <c r="M800" s="402"/>
      <c r="N800" s="402"/>
      <c r="O800" s="402"/>
      <c r="P800" s="402"/>
      <c r="Q800" s="402"/>
      <c r="R800" s="402"/>
      <c r="S800" s="402"/>
      <c r="T800" s="402"/>
      <c r="U800" s="402"/>
      <c r="V800" s="402"/>
      <c r="W800" s="402"/>
      <c r="X800" s="402"/>
      <c r="Y800" s="402"/>
      <c r="Z800" s="402"/>
      <c r="AA800" s="402"/>
    </row>
    <row r="801">
      <c r="A801" s="455"/>
      <c r="B801" s="455"/>
      <c r="C801" s="455"/>
      <c r="D801" s="455"/>
      <c r="E801" s="402"/>
      <c r="F801" s="402"/>
      <c r="G801" s="402"/>
      <c r="H801" s="402"/>
      <c r="I801" s="402"/>
      <c r="J801" s="402"/>
      <c r="K801" s="402"/>
      <c r="L801" s="402"/>
      <c r="M801" s="402"/>
      <c r="N801" s="402"/>
      <c r="O801" s="402"/>
      <c r="P801" s="402"/>
      <c r="Q801" s="402"/>
      <c r="R801" s="402"/>
      <c r="S801" s="402"/>
      <c r="T801" s="402"/>
      <c r="U801" s="402"/>
      <c r="V801" s="402"/>
      <c r="W801" s="402"/>
      <c r="X801" s="402"/>
      <c r="Y801" s="402"/>
      <c r="Z801" s="402"/>
      <c r="AA801" s="402"/>
    </row>
    <row r="802">
      <c r="A802" s="455"/>
      <c r="B802" s="455"/>
      <c r="C802" s="455"/>
      <c r="D802" s="455"/>
      <c r="E802" s="402"/>
      <c r="F802" s="402"/>
      <c r="G802" s="402"/>
      <c r="H802" s="402"/>
      <c r="I802" s="402"/>
      <c r="J802" s="402"/>
      <c r="K802" s="402"/>
      <c r="L802" s="402"/>
      <c r="M802" s="402"/>
      <c r="N802" s="402"/>
      <c r="O802" s="402"/>
      <c r="P802" s="402"/>
      <c r="Q802" s="402"/>
      <c r="R802" s="402"/>
      <c r="S802" s="402"/>
      <c r="T802" s="402"/>
      <c r="U802" s="402"/>
      <c r="V802" s="402"/>
      <c r="W802" s="402"/>
      <c r="X802" s="402"/>
      <c r="Y802" s="402"/>
      <c r="Z802" s="402"/>
      <c r="AA802" s="402"/>
    </row>
    <row r="803">
      <c r="A803" s="455"/>
      <c r="B803" s="455"/>
      <c r="C803" s="455"/>
      <c r="D803" s="455"/>
      <c r="E803" s="402"/>
      <c r="F803" s="402"/>
      <c r="G803" s="402"/>
      <c r="H803" s="402"/>
      <c r="I803" s="402"/>
      <c r="J803" s="402"/>
      <c r="K803" s="402"/>
      <c r="L803" s="402"/>
      <c r="M803" s="402"/>
      <c r="N803" s="402"/>
      <c r="O803" s="402"/>
      <c r="P803" s="402"/>
      <c r="Q803" s="402"/>
      <c r="R803" s="402"/>
      <c r="S803" s="402"/>
      <c r="T803" s="402"/>
      <c r="U803" s="402"/>
      <c r="V803" s="402"/>
      <c r="W803" s="402"/>
      <c r="X803" s="402"/>
      <c r="Y803" s="402"/>
      <c r="Z803" s="402"/>
      <c r="AA803" s="402"/>
    </row>
    <row r="804">
      <c r="A804" s="455"/>
      <c r="B804" s="455"/>
      <c r="C804" s="455"/>
      <c r="D804" s="455"/>
      <c r="E804" s="402"/>
      <c r="F804" s="402"/>
      <c r="G804" s="402"/>
      <c r="H804" s="402"/>
      <c r="I804" s="402"/>
      <c r="J804" s="402"/>
      <c r="K804" s="402"/>
      <c r="L804" s="402"/>
      <c r="M804" s="402"/>
      <c r="N804" s="402"/>
      <c r="O804" s="402"/>
      <c r="P804" s="402"/>
      <c r="Q804" s="402"/>
      <c r="R804" s="402"/>
      <c r="S804" s="402"/>
      <c r="T804" s="402"/>
      <c r="U804" s="402"/>
      <c r="V804" s="402"/>
      <c r="W804" s="402"/>
      <c r="X804" s="402"/>
      <c r="Y804" s="402"/>
      <c r="Z804" s="402"/>
      <c r="AA804" s="402"/>
    </row>
    <row r="805">
      <c r="A805" s="455"/>
      <c r="B805" s="455"/>
      <c r="C805" s="455"/>
      <c r="D805" s="455"/>
      <c r="E805" s="402"/>
      <c r="F805" s="402"/>
      <c r="G805" s="402"/>
      <c r="H805" s="402"/>
      <c r="I805" s="402"/>
      <c r="J805" s="402"/>
      <c r="K805" s="402"/>
      <c r="L805" s="402"/>
      <c r="M805" s="402"/>
      <c r="N805" s="402"/>
      <c r="O805" s="402"/>
      <c r="P805" s="402"/>
      <c r="Q805" s="402"/>
      <c r="R805" s="402"/>
      <c r="S805" s="402"/>
      <c r="T805" s="402"/>
      <c r="U805" s="402"/>
      <c r="V805" s="402"/>
      <c r="W805" s="402"/>
      <c r="X805" s="402"/>
      <c r="Y805" s="402"/>
      <c r="Z805" s="402"/>
      <c r="AA805" s="402"/>
    </row>
    <row r="806">
      <c r="A806" s="455"/>
      <c r="B806" s="455"/>
      <c r="C806" s="455"/>
      <c r="D806" s="455"/>
      <c r="E806" s="402"/>
      <c r="F806" s="402"/>
      <c r="G806" s="402"/>
      <c r="H806" s="402"/>
      <c r="I806" s="402"/>
      <c r="J806" s="402"/>
      <c r="K806" s="402"/>
      <c r="L806" s="402"/>
      <c r="M806" s="402"/>
      <c r="N806" s="402"/>
      <c r="O806" s="402"/>
      <c r="P806" s="402"/>
      <c r="Q806" s="402"/>
      <c r="R806" s="402"/>
      <c r="S806" s="402"/>
      <c r="T806" s="402"/>
      <c r="U806" s="402"/>
      <c r="V806" s="402"/>
      <c r="W806" s="402"/>
      <c r="X806" s="402"/>
      <c r="Y806" s="402"/>
      <c r="Z806" s="402"/>
      <c r="AA806" s="402"/>
    </row>
    <row r="807">
      <c r="A807" s="455"/>
      <c r="B807" s="455"/>
      <c r="C807" s="455"/>
      <c r="D807" s="455"/>
      <c r="E807" s="402"/>
      <c r="F807" s="402"/>
      <c r="G807" s="402"/>
      <c r="H807" s="402"/>
      <c r="I807" s="402"/>
      <c r="J807" s="402"/>
      <c r="K807" s="402"/>
      <c r="L807" s="402"/>
      <c r="M807" s="402"/>
      <c r="N807" s="402"/>
      <c r="O807" s="402"/>
      <c r="P807" s="402"/>
      <c r="Q807" s="402"/>
      <c r="R807" s="402"/>
      <c r="S807" s="402"/>
      <c r="T807" s="402"/>
      <c r="U807" s="402"/>
      <c r="V807" s="402"/>
      <c r="W807" s="402"/>
      <c r="X807" s="402"/>
      <c r="Y807" s="402"/>
      <c r="Z807" s="402"/>
      <c r="AA807" s="402"/>
    </row>
    <row r="808">
      <c r="A808" s="455"/>
      <c r="B808" s="455"/>
      <c r="C808" s="455"/>
      <c r="D808" s="455"/>
      <c r="E808" s="402"/>
      <c r="F808" s="402"/>
      <c r="G808" s="402"/>
      <c r="H808" s="402"/>
      <c r="I808" s="402"/>
      <c r="J808" s="402"/>
      <c r="K808" s="402"/>
      <c r="L808" s="402"/>
      <c r="M808" s="402"/>
      <c r="N808" s="402"/>
      <c r="O808" s="402"/>
      <c r="P808" s="402"/>
      <c r="Q808" s="402"/>
      <c r="R808" s="402"/>
      <c r="S808" s="402"/>
      <c r="T808" s="402"/>
      <c r="U808" s="402"/>
      <c r="V808" s="402"/>
      <c r="W808" s="402"/>
      <c r="X808" s="402"/>
      <c r="Y808" s="402"/>
      <c r="Z808" s="402"/>
      <c r="AA808" s="402"/>
    </row>
    <row r="809">
      <c r="A809" s="455"/>
      <c r="B809" s="455"/>
      <c r="C809" s="455"/>
      <c r="D809" s="455"/>
      <c r="E809" s="402"/>
      <c r="F809" s="402"/>
      <c r="G809" s="402"/>
      <c r="H809" s="402"/>
      <c r="I809" s="402"/>
      <c r="J809" s="402"/>
      <c r="K809" s="402"/>
      <c r="L809" s="402"/>
      <c r="M809" s="402"/>
      <c r="N809" s="402"/>
      <c r="O809" s="402"/>
      <c r="P809" s="402"/>
      <c r="Q809" s="402"/>
      <c r="R809" s="402"/>
      <c r="S809" s="402"/>
      <c r="T809" s="402"/>
      <c r="U809" s="402"/>
      <c r="V809" s="402"/>
      <c r="W809" s="402"/>
      <c r="X809" s="402"/>
      <c r="Y809" s="402"/>
      <c r="Z809" s="402"/>
      <c r="AA809" s="402"/>
    </row>
    <row r="810">
      <c r="A810" s="455"/>
      <c r="B810" s="455"/>
      <c r="C810" s="455"/>
      <c r="D810" s="455"/>
      <c r="E810" s="402"/>
      <c r="F810" s="402"/>
      <c r="G810" s="402"/>
      <c r="H810" s="402"/>
      <c r="I810" s="402"/>
      <c r="J810" s="402"/>
      <c r="K810" s="402"/>
      <c r="L810" s="402"/>
      <c r="M810" s="402"/>
      <c r="N810" s="402"/>
      <c r="O810" s="402"/>
      <c r="P810" s="402"/>
      <c r="Q810" s="402"/>
      <c r="R810" s="402"/>
      <c r="S810" s="402"/>
      <c r="T810" s="402"/>
      <c r="U810" s="402"/>
      <c r="V810" s="402"/>
      <c r="W810" s="402"/>
      <c r="X810" s="402"/>
      <c r="Y810" s="402"/>
      <c r="Z810" s="402"/>
      <c r="AA810" s="402"/>
    </row>
    <row r="811">
      <c r="A811" s="455"/>
      <c r="B811" s="455"/>
      <c r="C811" s="455"/>
      <c r="D811" s="455"/>
      <c r="E811" s="402"/>
      <c r="F811" s="402"/>
      <c r="G811" s="402"/>
      <c r="H811" s="402"/>
      <c r="I811" s="402"/>
      <c r="J811" s="402"/>
      <c r="K811" s="402"/>
      <c r="L811" s="402"/>
      <c r="M811" s="402"/>
      <c r="N811" s="402"/>
      <c r="O811" s="402"/>
      <c r="P811" s="402"/>
      <c r="Q811" s="402"/>
      <c r="R811" s="402"/>
      <c r="S811" s="402"/>
      <c r="T811" s="402"/>
      <c r="U811" s="402"/>
      <c r="V811" s="402"/>
      <c r="W811" s="402"/>
      <c r="X811" s="402"/>
      <c r="Y811" s="402"/>
      <c r="Z811" s="402"/>
      <c r="AA811" s="402"/>
    </row>
    <row r="812">
      <c r="A812" s="455"/>
      <c r="B812" s="455"/>
      <c r="C812" s="455"/>
      <c r="D812" s="455"/>
      <c r="E812" s="402"/>
      <c r="F812" s="402"/>
      <c r="G812" s="402"/>
      <c r="H812" s="402"/>
      <c r="I812" s="402"/>
      <c r="J812" s="402"/>
      <c r="K812" s="402"/>
      <c r="L812" s="402"/>
      <c r="M812" s="402"/>
      <c r="N812" s="402"/>
      <c r="O812" s="402"/>
      <c r="P812" s="402"/>
      <c r="Q812" s="402"/>
      <c r="R812" s="402"/>
      <c r="S812" s="402"/>
      <c r="T812" s="402"/>
      <c r="U812" s="402"/>
      <c r="V812" s="402"/>
      <c r="W812" s="402"/>
      <c r="X812" s="402"/>
      <c r="Y812" s="402"/>
      <c r="Z812" s="402"/>
      <c r="AA812" s="402"/>
    </row>
    <row r="813">
      <c r="A813" s="455"/>
      <c r="B813" s="455"/>
      <c r="C813" s="455"/>
      <c r="D813" s="455"/>
      <c r="E813" s="402"/>
      <c r="F813" s="402"/>
      <c r="G813" s="402"/>
      <c r="H813" s="402"/>
      <c r="I813" s="402"/>
      <c r="J813" s="402"/>
      <c r="K813" s="402"/>
      <c r="L813" s="402"/>
      <c r="M813" s="402"/>
      <c r="N813" s="402"/>
      <c r="O813" s="402"/>
      <c r="P813" s="402"/>
      <c r="Q813" s="402"/>
      <c r="R813" s="402"/>
      <c r="S813" s="402"/>
      <c r="T813" s="402"/>
      <c r="U813" s="402"/>
      <c r="V813" s="402"/>
      <c r="W813" s="402"/>
      <c r="X813" s="402"/>
      <c r="Y813" s="402"/>
      <c r="Z813" s="402"/>
      <c r="AA813" s="402"/>
    </row>
    <row r="814">
      <c r="A814" s="455"/>
      <c r="B814" s="455"/>
      <c r="C814" s="455"/>
      <c r="D814" s="455"/>
      <c r="E814" s="402"/>
      <c r="F814" s="402"/>
      <c r="G814" s="402"/>
      <c r="H814" s="402"/>
      <c r="I814" s="402"/>
      <c r="J814" s="402"/>
      <c r="K814" s="402"/>
      <c r="L814" s="402"/>
      <c r="M814" s="402"/>
      <c r="N814" s="402"/>
      <c r="O814" s="402"/>
      <c r="P814" s="402"/>
      <c r="Q814" s="402"/>
      <c r="R814" s="402"/>
      <c r="S814" s="402"/>
      <c r="T814" s="402"/>
      <c r="U814" s="402"/>
      <c r="V814" s="402"/>
      <c r="W814" s="402"/>
      <c r="X814" s="402"/>
      <c r="Y814" s="402"/>
      <c r="Z814" s="402"/>
      <c r="AA814" s="402"/>
    </row>
    <row r="815">
      <c r="A815" s="455"/>
      <c r="B815" s="455"/>
      <c r="C815" s="455"/>
      <c r="D815" s="455"/>
      <c r="E815" s="402"/>
      <c r="F815" s="402"/>
      <c r="G815" s="402"/>
      <c r="H815" s="402"/>
      <c r="I815" s="402"/>
      <c r="J815" s="402"/>
      <c r="K815" s="402"/>
      <c r="L815" s="402"/>
      <c r="M815" s="402"/>
      <c r="N815" s="402"/>
      <c r="O815" s="402"/>
      <c r="P815" s="402"/>
      <c r="Q815" s="402"/>
      <c r="R815" s="402"/>
      <c r="S815" s="402"/>
      <c r="T815" s="402"/>
      <c r="U815" s="402"/>
      <c r="V815" s="402"/>
      <c r="W815" s="402"/>
      <c r="X815" s="402"/>
      <c r="Y815" s="402"/>
      <c r="Z815" s="402"/>
      <c r="AA815" s="402"/>
    </row>
    <row r="816">
      <c r="A816" s="455"/>
      <c r="B816" s="455"/>
      <c r="C816" s="455"/>
      <c r="D816" s="455"/>
      <c r="E816" s="402"/>
      <c r="F816" s="402"/>
      <c r="G816" s="402"/>
      <c r="H816" s="402"/>
      <c r="I816" s="402"/>
      <c r="J816" s="402"/>
      <c r="K816" s="402"/>
      <c r="L816" s="402"/>
      <c r="M816" s="402"/>
      <c r="N816" s="402"/>
      <c r="O816" s="402"/>
      <c r="P816" s="402"/>
      <c r="Q816" s="402"/>
      <c r="R816" s="402"/>
      <c r="S816" s="402"/>
      <c r="T816" s="402"/>
      <c r="U816" s="402"/>
      <c r="V816" s="402"/>
      <c r="W816" s="402"/>
      <c r="X816" s="402"/>
      <c r="Y816" s="402"/>
      <c r="Z816" s="402"/>
      <c r="AA816" s="402"/>
    </row>
    <row r="817">
      <c r="A817" s="455"/>
      <c r="B817" s="455"/>
      <c r="C817" s="455"/>
      <c r="D817" s="455"/>
      <c r="E817" s="402"/>
      <c r="F817" s="402"/>
      <c r="G817" s="402"/>
      <c r="H817" s="402"/>
      <c r="I817" s="402"/>
      <c r="J817" s="402"/>
      <c r="K817" s="402"/>
      <c r="L817" s="402"/>
      <c r="M817" s="402"/>
      <c r="N817" s="402"/>
      <c r="O817" s="402"/>
      <c r="P817" s="402"/>
      <c r="Q817" s="402"/>
      <c r="R817" s="402"/>
      <c r="S817" s="402"/>
      <c r="T817" s="402"/>
      <c r="U817" s="402"/>
      <c r="V817" s="402"/>
      <c r="W817" s="402"/>
      <c r="X817" s="402"/>
      <c r="Y817" s="402"/>
      <c r="Z817" s="402"/>
      <c r="AA817" s="402"/>
    </row>
    <row r="818">
      <c r="A818" s="455"/>
      <c r="B818" s="455"/>
      <c r="C818" s="455"/>
      <c r="D818" s="455"/>
      <c r="E818" s="402"/>
      <c r="F818" s="402"/>
      <c r="G818" s="402"/>
      <c r="H818" s="402"/>
      <c r="I818" s="402"/>
      <c r="J818" s="402"/>
      <c r="K818" s="402"/>
      <c r="L818" s="402"/>
      <c r="M818" s="402"/>
      <c r="N818" s="402"/>
      <c r="O818" s="402"/>
      <c r="P818" s="402"/>
      <c r="Q818" s="402"/>
      <c r="R818" s="402"/>
      <c r="S818" s="402"/>
      <c r="T818" s="402"/>
      <c r="U818" s="402"/>
      <c r="V818" s="402"/>
      <c r="W818" s="402"/>
      <c r="X818" s="402"/>
      <c r="Y818" s="402"/>
      <c r="Z818" s="402"/>
      <c r="AA818" s="402"/>
    </row>
    <row r="819">
      <c r="A819" s="455"/>
      <c r="B819" s="455"/>
      <c r="C819" s="455"/>
      <c r="D819" s="455"/>
      <c r="E819" s="402"/>
      <c r="F819" s="402"/>
      <c r="G819" s="402"/>
      <c r="H819" s="402"/>
      <c r="I819" s="402"/>
      <c r="J819" s="402"/>
      <c r="K819" s="402"/>
      <c r="L819" s="402"/>
      <c r="M819" s="402"/>
      <c r="N819" s="402"/>
      <c r="O819" s="402"/>
      <c r="P819" s="402"/>
      <c r="Q819" s="402"/>
      <c r="R819" s="402"/>
      <c r="S819" s="402"/>
      <c r="T819" s="402"/>
      <c r="U819" s="402"/>
      <c r="V819" s="402"/>
      <c r="W819" s="402"/>
      <c r="X819" s="402"/>
      <c r="Y819" s="402"/>
      <c r="Z819" s="402"/>
      <c r="AA819" s="402"/>
    </row>
    <row r="820">
      <c r="A820" s="455"/>
      <c r="B820" s="455"/>
      <c r="C820" s="455"/>
      <c r="D820" s="455"/>
      <c r="E820" s="402"/>
      <c r="F820" s="402"/>
      <c r="G820" s="402"/>
      <c r="H820" s="402"/>
      <c r="I820" s="402"/>
      <c r="J820" s="402"/>
      <c r="K820" s="402"/>
      <c r="L820" s="402"/>
      <c r="M820" s="402"/>
      <c r="N820" s="402"/>
      <c r="O820" s="402"/>
      <c r="P820" s="402"/>
      <c r="Q820" s="402"/>
      <c r="R820" s="402"/>
      <c r="S820" s="402"/>
      <c r="T820" s="402"/>
      <c r="U820" s="402"/>
      <c r="V820" s="402"/>
      <c r="W820" s="402"/>
      <c r="X820" s="402"/>
      <c r="Y820" s="402"/>
      <c r="Z820" s="402"/>
      <c r="AA820" s="402"/>
    </row>
    <row r="821">
      <c r="A821" s="455"/>
      <c r="B821" s="455"/>
      <c r="C821" s="455"/>
      <c r="D821" s="455"/>
      <c r="E821" s="402"/>
      <c r="F821" s="402"/>
      <c r="G821" s="402"/>
      <c r="H821" s="402"/>
      <c r="I821" s="402"/>
      <c r="J821" s="402"/>
      <c r="K821" s="402"/>
      <c r="L821" s="402"/>
      <c r="M821" s="402"/>
      <c r="N821" s="402"/>
      <c r="O821" s="402"/>
      <c r="P821" s="402"/>
      <c r="Q821" s="402"/>
      <c r="R821" s="402"/>
      <c r="S821" s="402"/>
      <c r="T821" s="402"/>
      <c r="U821" s="402"/>
      <c r="V821" s="402"/>
      <c r="W821" s="402"/>
      <c r="X821" s="402"/>
      <c r="Y821" s="402"/>
      <c r="Z821" s="402"/>
      <c r="AA821" s="402"/>
    </row>
    <row r="822">
      <c r="A822" s="455"/>
      <c r="B822" s="455"/>
      <c r="C822" s="455"/>
      <c r="D822" s="455"/>
      <c r="E822" s="402"/>
      <c r="F822" s="402"/>
      <c r="G822" s="402"/>
      <c r="H822" s="402"/>
      <c r="I822" s="402"/>
      <c r="J822" s="402"/>
      <c r="K822" s="402"/>
      <c r="L822" s="402"/>
      <c r="M822" s="402"/>
      <c r="N822" s="402"/>
      <c r="O822" s="402"/>
      <c r="P822" s="402"/>
      <c r="Q822" s="402"/>
      <c r="R822" s="402"/>
      <c r="S822" s="402"/>
      <c r="T822" s="402"/>
      <c r="U822" s="402"/>
      <c r="V822" s="402"/>
      <c r="W822" s="402"/>
      <c r="X822" s="402"/>
      <c r="Y822" s="402"/>
      <c r="Z822" s="402"/>
      <c r="AA822" s="402"/>
    </row>
    <row r="823">
      <c r="A823" s="455"/>
      <c r="B823" s="455"/>
      <c r="C823" s="455"/>
      <c r="D823" s="455"/>
      <c r="E823" s="402"/>
      <c r="F823" s="402"/>
      <c r="G823" s="402"/>
      <c r="H823" s="402"/>
      <c r="I823" s="402"/>
      <c r="J823" s="402"/>
      <c r="K823" s="402"/>
      <c r="L823" s="402"/>
      <c r="M823" s="402"/>
      <c r="N823" s="402"/>
      <c r="O823" s="402"/>
      <c r="P823" s="402"/>
      <c r="Q823" s="402"/>
      <c r="R823" s="402"/>
      <c r="S823" s="402"/>
      <c r="T823" s="402"/>
      <c r="U823" s="402"/>
      <c r="V823" s="402"/>
      <c r="W823" s="402"/>
      <c r="X823" s="402"/>
      <c r="Y823" s="402"/>
      <c r="Z823" s="402"/>
      <c r="AA823" s="402"/>
    </row>
    <row r="824">
      <c r="A824" s="455"/>
      <c r="B824" s="455"/>
      <c r="C824" s="455"/>
      <c r="D824" s="455"/>
      <c r="E824" s="402"/>
      <c r="F824" s="402"/>
      <c r="G824" s="402"/>
      <c r="H824" s="402"/>
      <c r="I824" s="402"/>
      <c r="J824" s="402"/>
      <c r="K824" s="402"/>
      <c r="L824" s="402"/>
      <c r="M824" s="402"/>
      <c r="N824" s="402"/>
      <c r="O824" s="402"/>
      <c r="P824" s="402"/>
      <c r="Q824" s="402"/>
      <c r="R824" s="402"/>
      <c r="S824" s="402"/>
      <c r="T824" s="402"/>
      <c r="U824" s="402"/>
      <c r="V824" s="402"/>
      <c r="W824" s="402"/>
      <c r="X824" s="402"/>
      <c r="Y824" s="402"/>
      <c r="Z824" s="402"/>
      <c r="AA824" s="402"/>
    </row>
    <row r="825">
      <c r="A825" s="455"/>
      <c r="B825" s="455"/>
      <c r="C825" s="455"/>
      <c r="D825" s="455"/>
      <c r="E825" s="402"/>
      <c r="F825" s="402"/>
      <c r="G825" s="402"/>
      <c r="H825" s="402"/>
      <c r="I825" s="402"/>
      <c r="J825" s="402"/>
      <c r="K825" s="402"/>
      <c r="L825" s="402"/>
      <c r="M825" s="402"/>
      <c r="N825" s="402"/>
      <c r="O825" s="402"/>
      <c r="P825" s="402"/>
      <c r="Q825" s="402"/>
      <c r="R825" s="402"/>
      <c r="S825" s="402"/>
      <c r="T825" s="402"/>
      <c r="U825" s="402"/>
      <c r="V825" s="402"/>
      <c r="W825" s="402"/>
      <c r="X825" s="402"/>
      <c r="Y825" s="402"/>
      <c r="Z825" s="402"/>
      <c r="AA825" s="402"/>
    </row>
    <row r="826">
      <c r="A826" s="455"/>
      <c r="B826" s="455"/>
      <c r="C826" s="455"/>
      <c r="D826" s="455"/>
      <c r="E826" s="402"/>
      <c r="F826" s="402"/>
      <c r="G826" s="402"/>
      <c r="H826" s="402"/>
      <c r="I826" s="402"/>
      <c r="J826" s="402"/>
      <c r="K826" s="402"/>
      <c r="L826" s="402"/>
      <c r="M826" s="402"/>
      <c r="N826" s="402"/>
      <c r="O826" s="402"/>
      <c r="P826" s="402"/>
      <c r="Q826" s="402"/>
      <c r="R826" s="402"/>
      <c r="S826" s="402"/>
      <c r="T826" s="402"/>
      <c r="U826" s="402"/>
      <c r="V826" s="402"/>
      <c r="W826" s="402"/>
      <c r="X826" s="402"/>
      <c r="Y826" s="402"/>
      <c r="Z826" s="402"/>
      <c r="AA826" s="402"/>
    </row>
    <row r="827">
      <c r="A827" s="455"/>
      <c r="B827" s="455"/>
      <c r="C827" s="455"/>
      <c r="D827" s="455"/>
      <c r="E827" s="402"/>
      <c r="F827" s="402"/>
      <c r="G827" s="402"/>
      <c r="H827" s="402"/>
      <c r="I827" s="402"/>
      <c r="J827" s="402"/>
      <c r="K827" s="402"/>
      <c r="L827" s="402"/>
      <c r="M827" s="402"/>
      <c r="N827" s="402"/>
      <c r="O827" s="402"/>
      <c r="P827" s="402"/>
      <c r="Q827" s="402"/>
      <c r="R827" s="402"/>
      <c r="S827" s="402"/>
      <c r="T827" s="402"/>
      <c r="U827" s="402"/>
      <c r="V827" s="402"/>
      <c r="W827" s="402"/>
      <c r="X827" s="402"/>
      <c r="Y827" s="402"/>
      <c r="Z827" s="402"/>
      <c r="AA827" s="402"/>
    </row>
    <row r="828">
      <c r="A828" s="455"/>
      <c r="B828" s="455"/>
      <c r="C828" s="455"/>
      <c r="D828" s="455"/>
      <c r="E828" s="402"/>
      <c r="F828" s="402"/>
      <c r="G828" s="402"/>
      <c r="H828" s="402"/>
      <c r="I828" s="402"/>
      <c r="J828" s="402"/>
      <c r="K828" s="402"/>
      <c r="L828" s="402"/>
      <c r="M828" s="402"/>
      <c r="N828" s="402"/>
      <c r="O828" s="402"/>
      <c r="P828" s="402"/>
      <c r="Q828" s="402"/>
      <c r="R828" s="402"/>
      <c r="S828" s="402"/>
      <c r="T828" s="402"/>
      <c r="U828" s="402"/>
      <c r="V828" s="402"/>
      <c r="W828" s="402"/>
      <c r="X828" s="402"/>
      <c r="Y828" s="402"/>
      <c r="Z828" s="402"/>
      <c r="AA828" s="402"/>
    </row>
    <row r="829">
      <c r="A829" s="455"/>
      <c r="B829" s="455"/>
      <c r="C829" s="455"/>
      <c r="D829" s="455"/>
      <c r="E829" s="402"/>
      <c r="F829" s="402"/>
      <c r="G829" s="402"/>
      <c r="H829" s="402"/>
      <c r="I829" s="402"/>
      <c r="J829" s="402"/>
      <c r="K829" s="402"/>
      <c r="L829" s="402"/>
      <c r="M829" s="402"/>
      <c r="N829" s="402"/>
      <c r="O829" s="402"/>
      <c r="P829" s="402"/>
      <c r="Q829" s="402"/>
      <c r="R829" s="402"/>
      <c r="S829" s="402"/>
      <c r="T829" s="402"/>
      <c r="U829" s="402"/>
      <c r="V829" s="402"/>
      <c r="W829" s="402"/>
      <c r="X829" s="402"/>
      <c r="Y829" s="402"/>
      <c r="Z829" s="402"/>
      <c r="AA829" s="402"/>
    </row>
    <row r="830">
      <c r="A830" s="455"/>
      <c r="B830" s="455"/>
      <c r="C830" s="455"/>
      <c r="D830" s="455"/>
      <c r="E830" s="402"/>
      <c r="F830" s="402"/>
      <c r="G830" s="402"/>
      <c r="H830" s="402"/>
      <c r="I830" s="402"/>
      <c r="J830" s="402"/>
      <c r="K830" s="402"/>
      <c r="L830" s="402"/>
      <c r="M830" s="402"/>
      <c r="N830" s="402"/>
      <c r="O830" s="402"/>
      <c r="P830" s="402"/>
      <c r="Q830" s="402"/>
      <c r="R830" s="402"/>
      <c r="S830" s="402"/>
      <c r="T830" s="402"/>
      <c r="U830" s="402"/>
      <c r="V830" s="402"/>
      <c r="W830" s="402"/>
      <c r="X830" s="402"/>
      <c r="Y830" s="402"/>
      <c r="Z830" s="402"/>
      <c r="AA830" s="402"/>
    </row>
    <row r="831">
      <c r="A831" s="455"/>
      <c r="B831" s="455"/>
      <c r="C831" s="455"/>
      <c r="D831" s="455"/>
      <c r="E831" s="402"/>
      <c r="F831" s="402"/>
      <c r="G831" s="402"/>
      <c r="H831" s="402"/>
      <c r="I831" s="402"/>
      <c r="J831" s="402"/>
      <c r="K831" s="402"/>
      <c r="L831" s="402"/>
      <c r="M831" s="402"/>
      <c r="N831" s="402"/>
      <c r="O831" s="402"/>
      <c r="P831" s="402"/>
      <c r="Q831" s="402"/>
      <c r="R831" s="402"/>
      <c r="S831" s="402"/>
      <c r="T831" s="402"/>
      <c r="U831" s="402"/>
      <c r="V831" s="402"/>
      <c r="W831" s="402"/>
      <c r="X831" s="402"/>
      <c r="Y831" s="402"/>
      <c r="Z831" s="402"/>
      <c r="AA831" s="402"/>
    </row>
    <row r="832">
      <c r="A832" s="455"/>
      <c r="B832" s="455"/>
      <c r="C832" s="455"/>
      <c r="D832" s="455"/>
      <c r="E832" s="402"/>
      <c r="F832" s="402"/>
      <c r="G832" s="402"/>
      <c r="H832" s="402"/>
      <c r="I832" s="402"/>
      <c r="J832" s="402"/>
      <c r="K832" s="402"/>
      <c r="L832" s="402"/>
      <c r="M832" s="402"/>
      <c r="N832" s="402"/>
      <c r="O832" s="402"/>
      <c r="P832" s="402"/>
      <c r="Q832" s="402"/>
      <c r="R832" s="402"/>
      <c r="S832" s="402"/>
      <c r="T832" s="402"/>
      <c r="U832" s="402"/>
      <c r="V832" s="402"/>
      <c r="W832" s="402"/>
      <c r="X832" s="402"/>
      <c r="Y832" s="402"/>
      <c r="Z832" s="402"/>
      <c r="AA832" s="402"/>
    </row>
    <row r="833">
      <c r="A833" s="455"/>
      <c r="B833" s="455"/>
      <c r="C833" s="455"/>
      <c r="D833" s="455"/>
      <c r="E833" s="402"/>
      <c r="F833" s="402"/>
      <c r="G833" s="402"/>
      <c r="H833" s="402"/>
      <c r="I833" s="402"/>
      <c r="J833" s="402"/>
      <c r="K833" s="402"/>
      <c r="L833" s="402"/>
      <c r="M833" s="402"/>
      <c r="N833" s="402"/>
      <c r="O833" s="402"/>
      <c r="P833" s="402"/>
      <c r="Q833" s="402"/>
      <c r="R833" s="402"/>
      <c r="S833" s="402"/>
      <c r="T833" s="402"/>
      <c r="U833" s="402"/>
      <c r="V833" s="402"/>
      <c r="W833" s="402"/>
      <c r="X833" s="402"/>
      <c r="Y833" s="402"/>
      <c r="Z833" s="402"/>
      <c r="AA833" s="402"/>
    </row>
    <row r="834">
      <c r="A834" s="455"/>
      <c r="B834" s="455"/>
      <c r="C834" s="455"/>
      <c r="D834" s="455"/>
      <c r="E834" s="402"/>
      <c r="F834" s="402"/>
      <c r="G834" s="402"/>
      <c r="H834" s="402"/>
      <c r="I834" s="402"/>
      <c r="J834" s="402"/>
      <c r="K834" s="402"/>
      <c r="L834" s="402"/>
      <c r="M834" s="402"/>
      <c r="N834" s="402"/>
      <c r="O834" s="402"/>
      <c r="P834" s="402"/>
      <c r="Q834" s="402"/>
      <c r="R834" s="402"/>
      <c r="S834" s="402"/>
      <c r="T834" s="402"/>
      <c r="U834" s="402"/>
      <c r="V834" s="402"/>
      <c r="W834" s="402"/>
      <c r="X834" s="402"/>
      <c r="Y834" s="402"/>
      <c r="Z834" s="402"/>
      <c r="AA834" s="402"/>
    </row>
    <row r="835">
      <c r="A835" s="455"/>
      <c r="B835" s="455"/>
      <c r="C835" s="455"/>
      <c r="D835" s="455"/>
      <c r="E835" s="402"/>
      <c r="F835" s="402"/>
      <c r="G835" s="402"/>
      <c r="H835" s="402"/>
      <c r="I835" s="402"/>
      <c r="J835" s="402"/>
      <c r="K835" s="402"/>
      <c r="L835" s="402"/>
      <c r="M835" s="402"/>
      <c r="N835" s="402"/>
      <c r="O835" s="402"/>
      <c r="P835" s="402"/>
      <c r="Q835" s="402"/>
      <c r="R835" s="402"/>
      <c r="S835" s="402"/>
      <c r="T835" s="402"/>
      <c r="U835" s="402"/>
      <c r="V835" s="402"/>
      <c r="W835" s="402"/>
      <c r="X835" s="402"/>
      <c r="Y835" s="402"/>
      <c r="Z835" s="402"/>
      <c r="AA835" s="402"/>
    </row>
    <row r="836">
      <c r="A836" s="455"/>
      <c r="B836" s="455"/>
      <c r="C836" s="455"/>
      <c r="D836" s="455"/>
      <c r="E836" s="402"/>
      <c r="F836" s="402"/>
      <c r="G836" s="402"/>
      <c r="H836" s="402"/>
      <c r="I836" s="402"/>
      <c r="J836" s="402"/>
      <c r="K836" s="402"/>
      <c r="L836" s="402"/>
      <c r="M836" s="402"/>
      <c r="N836" s="402"/>
      <c r="O836" s="402"/>
      <c r="P836" s="402"/>
      <c r="Q836" s="402"/>
      <c r="R836" s="402"/>
      <c r="S836" s="402"/>
      <c r="T836" s="402"/>
      <c r="U836" s="402"/>
      <c r="V836" s="402"/>
      <c r="W836" s="402"/>
      <c r="X836" s="402"/>
      <c r="Y836" s="402"/>
      <c r="Z836" s="402"/>
      <c r="AA836" s="402"/>
    </row>
    <row r="837">
      <c r="A837" s="455"/>
      <c r="B837" s="455"/>
      <c r="C837" s="455"/>
      <c r="D837" s="455"/>
      <c r="E837" s="402"/>
      <c r="F837" s="402"/>
      <c r="G837" s="402"/>
      <c r="H837" s="402"/>
      <c r="I837" s="402"/>
      <c r="J837" s="402"/>
      <c r="K837" s="402"/>
      <c r="L837" s="402"/>
      <c r="M837" s="402"/>
      <c r="N837" s="402"/>
      <c r="O837" s="402"/>
      <c r="P837" s="402"/>
      <c r="Q837" s="402"/>
      <c r="R837" s="402"/>
      <c r="S837" s="402"/>
      <c r="T837" s="402"/>
      <c r="U837" s="402"/>
      <c r="V837" s="402"/>
      <c r="W837" s="402"/>
      <c r="X837" s="402"/>
      <c r="Y837" s="402"/>
      <c r="Z837" s="402"/>
      <c r="AA837" s="402"/>
    </row>
    <row r="838">
      <c r="A838" s="455"/>
      <c r="B838" s="455"/>
      <c r="C838" s="455"/>
      <c r="D838" s="455"/>
      <c r="E838" s="402"/>
      <c r="F838" s="402"/>
      <c r="G838" s="402"/>
      <c r="H838" s="402"/>
      <c r="I838" s="402"/>
      <c r="J838" s="402"/>
      <c r="K838" s="402"/>
      <c r="L838" s="402"/>
      <c r="M838" s="402"/>
      <c r="N838" s="402"/>
      <c r="O838" s="402"/>
      <c r="P838" s="402"/>
      <c r="Q838" s="402"/>
      <c r="R838" s="402"/>
      <c r="S838" s="402"/>
      <c r="T838" s="402"/>
      <c r="U838" s="402"/>
      <c r="V838" s="402"/>
      <c r="W838" s="402"/>
      <c r="X838" s="402"/>
      <c r="Y838" s="402"/>
      <c r="Z838" s="402"/>
      <c r="AA838" s="402"/>
    </row>
    <row r="839">
      <c r="A839" s="455"/>
      <c r="B839" s="455"/>
      <c r="C839" s="455"/>
      <c r="D839" s="455"/>
      <c r="E839" s="402"/>
      <c r="F839" s="402"/>
      <c r="G839" s="402"/>
      <c r="H839" s="402"/>
      <c r="I839" s="402"/>
      <c r="J839" s="402"/>
      <c r="K839" s="402"/>
      <c r="L839" s="402"/>
      <c r="M839" s="402"/>
      <c r="N839" s="402"/>
      <c r="O839" s="402"/>
      <c r="P839" s="402"/>
      <c r="Q839" s="402"/>
      <c r="R839" s="402"/>
      <c r="S839" s="402"/>
      <c r="T839" s="402"/>
      <c r="U839" s="402"/>
      <c r="V839" s="402"/>
      <c r="W839" s="402"/>
      <c r="X839" s="402"/>
      <c r="Y839" s="402"/>
      <c r="Z839" s="402"/>
      <c r="AA839" s="402"/>
    </row>
    <row r="840">
      <c r="A840" s="455"/>
      <c r="B840" s="455"/>
      <c r="C840" s="455"/>
      <c r="D840" s="455"/>
      <c r="E840" s="402"/>
      <c r="F840" s="402"/>
      <c r="G840" s="402"/>
      <c r="H840" s="402"/>
      <c r="I840" s="402"/>
      <c r="J840" s="402"/>
      <c r="K840" s="402"/>
      <c r="L840" s="402"/>
      <c r="M840" s="402"/>
      <c r="N840" s="402"/>
      <c r="O840" s="402"/>
      <c r="P840" s="402"/>
      <c r="Q840" s="402"/>
      <c r="R840" s="402"/>
      <c r="S840" s="402"/>
      <c r="T840" s="402"/>
      <c r="U840" s="402"/>
      <c r="V840" s="402"/>
      <c r="W840" s="402"/>
      <c r="X840" s="402"/>
      <c r="Y840" s="402"/>
      <c r="Z840" s="402"/>
      <c r="AA840" s="402"/>
    </row>
    <row r="841">
      <c r="A841" s="455"/>
      <c r="B841" s="455"/>
      <c r="C841" s="455"/>
      <c r="D841" s="455"/>
      <c r="E841" s="402"/>
      <c r="F841" s="402"/>
      <c r="G841" s="402"/>
      <c r="H841" s="402"/>
      <c r="I841" s="402"/>
      <c r="J841" s="402"/>
      <c r="K841" s="402"/>
      <c r="L841" s="402"/>
      <c r="M841" s="402"/>
      <c r="N841" s="402"/>
      <c r="O841" s="402"/>
      <c r="P841" s="402"/>
      <c r="Q841" s="402"/>
      <c r="R841" s="402"/>
      <c r="S841" s="402"/>
      <c r="T841" s="402"/>
      <c r="U841" s="402"/>
      <c r="V841" s="402"/>
      <c r="W841" s="402"/>
      <c r="X841" s="402"/>
      <c r="Y841" s="402"/>
      <c r="Z841" s="402"/>
      <c r="AA841" s="402"/>
    </row>
    <row r="842">
      <c r="A842" s="455"/>
      <c r="B842" s="455"/>
      <c r="C842" s="455"/>
      <c r="D842" s="455"/>
      <c r="E842" s="402"/>
      <c r="F842" s="402"/>
      <c r="G842" s="402"/>
      <c r="H842" s="402"/>
      <c r="I842" s="402"/>
      <c r="J842" s="402"/>
      <c r="K842" s="402"/>
      <c r="L842" s="402"/>
      <c r="M842" s="402"/>
      <c r="N842" s="402"/>
      <c r="O842" s="402"/>
      <c r="P842" s="402"/>
      <c r="Q842" s="402"/>
      <c r="R842" s="402"/>
      <c r="S842" s="402"/>
      <c r="T842" s="402"/>
      <c r="U842" s="402"/>
      <c r="V842" s="402"/>
      <c r="W842" s="402"/>
      <c r="X842" s="402"/>
      <c r="Y842" s="402"/>
      <c r="Z842" s="402"/>
      <c r="AA842" s="402"/>
    </row>
    <row r="843">
      <c r="A843" s="455"/>
      <c r="B843" s="455"/>
      <c r="C843" s="455"/>
      <c r="D843" s="455"/>
      <c r="E843" s="402"/>
      <c r="F843" s="402"/>
      <c r="G843" s="402"/>
      <c r="H843" s="402"/>
      <c r="I843" s="402"/>
      <c r="J843" s="402"/>
      <c r="K843" s="402"/>
      <c r="L843" s="402"/>
      <c r="M843" s="402"/>
      <c r="N843" s="402"/>
      <c r="O843" s="402"/>
      <c r="P843" s="402"/>
      <c r="Q843" s="402"/>
      <c r="R843" s="402"/>
      <c r="S843" s="402"/>
      <c r="T843" s="402"/>
      <c r="U843" s="402"/>
      <c r="V843" s="402"/>
      <c r="W843" s="402"/>
      <c r="X843" s="402"/>
      <c r="Y843" s="402"/>
      <c r="Z843" s="402"/>
      <c r="AA843" s="402"/>
    </row>
    <row r="844">
      <c r="A844" s="455"/>
      <c r="B844" s="455"/>
      <c r="C844" s="455"/>
      <c r="D844" s="455"/>
      <c r="E844" s="402"/>
      <c r="F844" s="402"/>
      <c r="G844" s="402"/>
      <c r="H844" s="402"/>
      <c r="I844" s="402"/>
      <c r="J844" s="402"/>
      <c r="K844" s="402"/>
      <c r="L844" s="402"/>
      <c r="M844" s="402"/>
      <c r="N844" s="402"/>
      <c r="O844" s="402"/>
      <c r="P844" s="402"/>
      <c r="Q844" s="402"/>
      <c r="R844" s="402"/>
      <c r="S844" s="402"/>
      <c r="T844" s="402"/>
      <c r="U844" s="402"/>
      <c r="V844" s="402"/>
      <c r="W844" s="402"/>
      <c r="X844" s="402"/>
      <c r="Y844" s="402"/>
      <c r="Z844" s="402"/>
      <c r="AA844" s="402"/>
    </row>
    <row r="845">
      <c r="A845" s="455"/>
      <c r="B845" s="455"/>
      <c r="C845" s="455"/>
      <c r="D845" s="455"/>
      <c r="E845" s="402"/>
      <c r="F845" s="402"/>
      <c r="G845" s="402"/>
      <c r="H845" s="402"/>
      <c r="I845" s="402"/>
      <c r="J845" s="402"/>
      <c r="K845" s="402"/>
      <c r="L845" s="402"/>
      <c r="M845" s="402"/>
      <c r="N845" s="402"/>
      <c r="O845" s="402"/>
      <c r="P845" s="402"/>
      <c r="Q845" s="402"/>
      <c r="R845" s="402"/>
      <c r="S845" s="402"/>
      <c r="T845" s="402"/>
      <c r="U845" s="402"/>
      <c r="V845" s="402"/>
      <c r="W845" s="402"/>
      <c r="X845" s="402"/>
      <c r="Y845" s="402"/>
      <c r="Z845" s="402"/>
      <c r="AA845" s="402"/>
    </row>
    <row r="846">
      <c r="A846" s="455"/>
      <c r="B846" s="455"/>
      <c r="C846" s="455"/>
      <c r="D846" s="455"/>
      <c r="E846" s="402"/>
      <c r="F846" s="402"/>
      <c r="G846" s="402"/>
      <c r="H846" s="402"/>
      <c r="I846" s="402"/>
      <c r="J846" s="402"/>
      <c r="K846" s="402"/>
      <c r="L846" s="402"/>
      <c r="M846" s="402"/>
      <c r="N846" s="402"/>
      <c r="O846" s="402"/>
      <c r="P846" s="402"/>
      <c r="Q846" s="402"/>
      <c r="R846" s="402"/>
      <c r="S846" s="402"/>
      <c r="T846" s="402"/>
      <c r="U846" s="402"/>
      <c r="V846" s="402"/>
      <c r="W846" s="402"/>
      <c r="X846" s="402"/>
      <c r="Y846" s="402"/>
      <c r="Z846" s="402"/>
      <c r="AA846" s="402"/>
    </row>
    <row r="847">
      <c r="A847" s="455"/>
      <c r="B847" s="455"/>
      <c r="C847" s="455"/>
      <c r="D847" s="455"/>
      <c r="E847" s="402"/>
      <c r="F847" s="402"/>
      <c r="G847" s="402"/>
      <c r="H847" s="402"/>
      <c r="I847" s="402"/>
      <c r="J847" s="402"/>
      <c r="K847" s="402"/>
      <c r="L847" s="402"/>
      <c r="M847" s="402"/>
      <c r="N847" s="402"/>
      <c r="O847" s="402"/>
      <c r="P847" s="402"/>
      <c r="Q847" s="402"/>
      <c r="R847" s="402"/>
      <c r="S847" s="402"/>
      <c r="T847" s="402"/>
      <c r="U847" s="402"/>
      <c r="V847" s="402"/>
      <c r="W847" s="402"/>
      <c r="X847" s="402"/>
      <c r="Y847" s="402"/>
      <c r="Z847" s="402"/>
      <c r="AA847" s="402"/>
    </row>
    <row r="848">
      <c r="A848" s="455"/>
      <c r="B848" s="455"/>
      <c r="C848" s="455"/>
      <c r="D848" s="455"/>
      <c r="E848" s="402"/>
      <c r="F848" s="402"/>
      <c r="G848" s="402"/>
      <c r="H848" s="402"/>
      <c r="I848" s="402"/>
      <c r="J848" s="402"/>
      <c r="K848" s="402"/>
      <c r="L848" s="402"/>
      <c r="M848" s="402"/>
      <c r="N848" s="402"/>
      <c r="O848" s="402"/>
      <c r="P848" s="402"/>
      <c r="Q848" s="402"/>
      <c r="R848" s="402"/>
      <c r="S848" s="402"/>
      <c r="T848" s="402"/>
      <c r="U848" s="402"/>
      <c r="V848" s="402"/>
      <c r="W848" s="402"/>
      <c r="X848" s="402"/>
      <c r="Y848" s="402"/>
      <c r="Z848" s="402"/>
      <c r="AA848" s="402"/>
    </row>
    <row r="849">
      <c r="A849" s="455"/>
      <c r="B849" s="455"/>
      <c r="C849" s="455"/>
      <c r="D849" s="455"/>
      <c r="E849" s="402"/>
      <c r="F849" s="402"/>
      <c r="G849" s="402"/>
      <c r="H849" s="402"/>
      <c r="I849" s="402"/>
      <c r="J849" s="402"/>
      <c r="K849" s="402"/>
      <c r="L849" s="402"/>
      <c r="M849" s="402"/>
      <c r="N849" s="402"/>
      <c r="O849" s="402"/>
      <c r="P849" s="402"/>
      <c r="Q849" s="402"/>
      <c r="R849" s="402"/>
      <c r="S849" s="402"/>
      <c r="T849" s="402"/>
      <c r="U849" s="402"/>
      <c r="V849" s="402"/>
      <c r="W849" s="402"/>
      <c r="X849" s="402"/>
      <c r="Y849" s="402"/>
      <c r="Z849" s="402"/>
      <c r="AA849" s="402"/>
    </row>
    <row r="850">
      <c r="A850" s="455"/>
      <c r="B850" s="455"/>
      <c r="C850" s="455"/>
      <c r="D850" s="455"/>
      <c r="E850" s="402"/>
      <c r="F850" s="402"/>
      <c r="G850" s="402"/>
      <c r="H850" s="402"/>
      <c r="I850" s="402"/>
      <c r="J850" s="402"/>
      <c r="K850" s="402"/>
      <c r="L850" s="402"/>
      <c r="M850" s="402"/>
      <c r="N850" s="402"/>
      <c r="O850" s="402"/>
      <c r="P850" s="402"/>
      <c r="Q850" s="402"/>
      <c r="R850" s="402"/>
      <c r="S850" s="402"/>
      <c r="T850" s="402"/>
      <c r="U850" s="402"/>
      <c r="V850" s="402"/>
      <c r="W850" s="402"/>
      <c r="X850" s="402"/>
      <c r="Y850" s="402"/>
      <c r="Z850" s="402"/>
      <c r="AA850" s="402"/>
    </row>
    <row r="851">
      <c r="A851" s="455"/>
      <c r="B851" s="455"/>
      <c r="C851" s="455"/>
      <c r="D851" s="455"/>
      <c r="E851" s="402"/>
      <c r="F851" s="402"/>
      <c r="G851" s="402"/>
      <c r="H851" s="402"/>
      <c r="I851" s="402"/>
      <c r="J851" s="402"/>
      <c r="K851" s="402"/>
      <c r="L851" s="402"/>
      <c r="M851" s="402"/>
      <c r="N851" s="402"/>
      <c r="O851" s="402"/>
      <c r="P851" s="402"/>
      <c r="Q851" s="402"/>
      <c r="R851" s="402"/>
      <c r="S851" s="402"/>
      <c r="T851" s="402"/>
      <c r="U851" s="402"/>
      <c r="V851" s="402"/>
      <c r="W851" s="402"/>
      <c r="X851" s="402"/>
      <c r="Y851" s="402"/>
      <c r="Z851" s="402"/>
      <c r="AA851" s="402"/>
    </row>
    <row r="852">
      <c r="A852" s="455"/>
      <c r="B852" s="455"/>
      <c r="C852" s="455"/>
      <c r="D852" s="455"/>
      <c r="E852" s="402"/>
      <c r="F852" s="402"/>
      <c r="G852" s="402"/>
      <c r="H852" s="402"/>
      <c r="I852" s="402"/>
      <c r="J852" s="402"/>
      <c r="K852" s="402"/>
      <c r="L852" s="402"/>
      <c r="M852" s="402"/>
      <c r="N852" s="402"/>
      <c r="O852" s="402"/>
      <c r="P852" s="402"/>
      <c r="Q852" s="402"/>
      <c r="R852" s="402"/>
      <c r="S852" s="402"/>
      <c r="T852" s="402"/>
      <c r="U852" s="402"/>
      <c r="V852" s="402"/>
      <c r="W852" s="402"/>
      <c r="X852" s="402"/>
      <c r="Y852" s="402"/>
      <c r="Z852" s="402"/>
      <c r="AA852" s="402"/>
    </row>
    <row r="853">
      <c r="A853" s="455"/>
      <c r="B853" s="455"/>
      <c r="C853" s="455"/>
      <c r="D853" s="455"/>
      <c r="E853" s="402"/>
      <c r="F853" s="402"/>
      <c r="G853" s="402"/>
      <c r="H853" s="402"/>
      <c r="I853" s="402"/>
      <c r="J853" s="402"/>
      <c r="K853" s="402"/>
      <c r="L853" s="402"/>
      <c r="M853" s="402"/>
      <c r="N853" s="402"/>
      <c r="O853" s="402"/>
      <c r="P853" s="402"/>
      <c r="Q853" s="402"/>
      <c r="R853" s="402"/>
      <c r="S853" s="402"/>
      <c r="T853" s="402"/>
      <c r="U853" s="402"/>
      <c r="V853" s="402"/>
      <c r="W853" s="402"/>
      <c r="X853" s="402"/>
      <c r="Y853" s="402"/>
      <c r="Z853" s="402"/>
      <c r="AA853" s="402"/>
    </row>
    <row r="854">
      <c r="A854" s="455"/>
      <c r="B854" s="455"/>
      <c r="C854" s="455"/>
      <c r="D854" s="455"/>
      <c r="E854" s="402"/>
      <c r="F854" s="402"/>
      <c r="G854" s="402"/>
      <c r="H854" s="402"/>
      <c r="I854" s="402"/>
      <c r="J854" s="402"/>
      <c r="K854" s="402"/>
      <c r="L854" s="402"/>
      <c r="M854" s="402"/>
      <c r="N854" s="402"/>
      <c r="O854" s="402"/>
      <c r="P854" s="402"/>
      <c r="Q854" s="402"/>
      <c r="R854" s="402"/>
      <c r="S854" s="402"/>
      <c r="T854" s="402"/>
      <c r="U854" s="402"/>
      <c r="V854" s="402"/>
      <c r="W854" s="402"/>
      <c r="X854" s="402"/>
      <c r="Y854" s="402"/>
      <c r="Z854" s="402"/>
      <c r="AA854" s="402"/>
    </row>
    <row r="855">
      <c r="A855" s="455"/>
      <c r="B855" s="455"/>
      <c r="C855" s="455"/>
      <c r="D855" s="455"/>
      <c r="E855" s="402"/>
      <c r="F855" s="402"/>
      <c r="G855" s="402"/>
      <c r="H855" s="402"/>
      <c r="I855" s="402"/>
      <c r="J855" s="402"/>
      <c r="K855" s="402"/>
      <c r="L855" s="402"/>
      <c r="M855" s="402"/>
      <c r="N855" s="402"/>
      <c r="O855" s="402"/>
      <c r="P855" s="402"/>
      <c r="Q855" s="402"/>
      <c r="R855" s="402"/>
      <c r="S855" s="402"/>
      <c r="T855" s="402"/>
      <c r="U855" s="402"/>
      <c r="V855" s="402"/>
      <c r="W855" s="402"/>
      <c r="X855" s="402"/>
      <c r="Y855" s="402"/>
      <c r="Z855" s="402"/>
      <c r="AA855" s="402"/>
    </row>
    <row r="856">
      <c r="A856" s="455"/>
      <c r="B856" s="455"/>
      <c r="C856" s="455"/>
      <c r="D856" s="455"/>
      <c r="E856" s="402"/>
      <c r="F856" s="402"/>
      <c r="G856" s="402"/>
      <c r="H856" s="402"/>
      <c r="I856" s="402"/>
      <c r="J856" s="402"/>
      <c r="K856" s="402"/>
      <c r="L856" s="402"/>
      <c r="M856" s="402"/>
      <c r="N856" s="402"/>
      <c r="O856" s="402"/>
      <c r="P856" s="402"/>
      <c r="Q856" s="402"/>
      <c r="R856" s="402"/>
      <c r="S856" s="402"/>
      <c r="T856" s="402"/>
      <c r="U856" s="402"/>
      <c r="V856" s="402"/>
      <c r="W856" s="402"/>
      <c r="X856" s="402"/>
      <c r="Y856" s="402"/>
      <c r="Z856" s="402"/>
      <c r="AA856" s="402"/>
    </row>
    <row r="857">
      <c r="A857" s="455"/>
      <c r="B857" s="455"/>
      <c r="C857" s="455"/>
      <c r="D857" s="455"/>
      <c r="E857" s="402"/>
      <c r="F857" s="402"/>
      <c r="G857" s="402"/>
      <c r="H857" s="402"/>
      <c r="I857" s="402"/>
      <c r="J857" s="402"/>
      <c r="K857" s="402"/>
      <c r="L857" s="402"/>
      <c r="M857" s="402"/>
      <c r="N857" s="402"/>
      <c r="O857" s="402"/>
      <c r="P857" s="402"/>
      <c r="Q857" s="402"/>
      <c r="R857" s="402"/>
      <c r="S857" s="402"/>
      <c r="T857" s="402"/>
      <c r="U857" s="402"/>
      <c r="V857" s="402"/>
      <c r="W857" s="402"/>
      <c r="X857" s="402"/>
      <c r="Y857" s="402"/>
      <c r="Z857" s="402"/>
      <c r="AA857" s="402"/>
    </row>
    <row r="858">
      <c r="A858" s="455"/>
      <c r="B858" s="455"/>
      <c r="C858" s="455"/>
      <c r="D858" s="455"/>
      <c r="E858" s="402"/>
      <c r="F858" s="402"/>
      <c r="G858" s="402"/>
      <c r="H858" s="402"/>
      <c r="I858" s="402"/>
      <c r="J858" s="402"/>
      <c r="K858" s="402"/>
      <c r="L858" s="402"/>
      <c r="M858" s="402"/>
      <c r="N858" s="402"/>
      <c r="O858" s="402"/>
      <c r="P858" s="402"/>
      <c r="Q858" s="402"/>
      <c r="R858" s="402"/>
      <c r="S858" s="402"/>
      <c r="T858" s="402"/>
      <c r="U858" s="402"/>
      <c r="V858" s="402"/>
      <c r="W858" s="402"/>
      <c r="X858" s="402"/>
      <c r="Y858" s="402"/>
      <c r="Z858" s="402"/>
      <c r="AA858" s="402"/>
    </row>
    <row r="859">
      <c r="A859" s="455"/>
      <c r="B859" s="455"/>
      <c r="C859" s="455"/>
      <c r="D859" s="455"/>
      <c r="E859" s="402"/>
      <c r="F859" s="402"/>
      <c r="G859" s="402"/>
      <c r="H859" s="402"/>
      <c r="I859" s="402"/>
      <c r="J859" s="402"/>
      <c r="K859" s="402"/>
      <c r="L859" s="402"/>
      <c r="M859" s="402"/>
      <c r="N859" s="402"/>
      <c r="O859" s="402"/>
      <c r="P859" s="402"/>
      <c r="Q859" s="402"/>
      <c r="R859" s="402"/>
      <c r="S859" s="402"/>
      <c r="T859" s="402"/>
      <c r="U859" s="402"/>
      <c r="V859" s="402"/>
      <c r="W859" s="402"/>
      <c r="X859" s="402"/>
      <c r="Y859" s="402"/>
      <c r="Z859" s="402"/>
      <c r="AA859" s="402"/>
    </row>
    <row r="860">
      <c r="A860" s="455"/>
      <c r="B860" s="455"/>
      <c r="C860" s="455"/>
      <c r="D860" s="455"/>
      <c r="E860" s="402"/>
      <c r="F860" s="402"/>
      <c r="G860" s="402"/>
      <c r="H860" s="402"/>
      <c r="I860" s="402"/>
      <c r="J860" s="402"/>
      <c r="K860" s="402"/>
      <c r="L860" s="402"/>
      <c r="M860" s="402"/>
      <c r="N860" s="402"/>
      <c r="O860" s="402"/>
      <c r="P860" s="402"/>
      <c r="Q860" s="402"/>
      <c r="R860" s="402"/>
      <c r="S860" s="402"/>
      <c r="T860" s="402"/>
      <c r="U860" s="402"/>
      <c r="V860" s="402"/>
      <c r="W860" s="402"/>
      <c r="X860" s="402"/>
      <c r="Y860" s="402"/>
      <c r="Z860" s="402"/>
      <c r="AA860" s="402"/>
    </row>
    <row r="861">
      <c r="A861" s="455"/>
      <c r="B861" s="455"/>
      <c r="C861" s="455"/>
      <c r="D861" s="455"/>
      <c r="E861" s="402"/>
      <c r="F861" s="402"/>
      <c r="G861" s="402"/>
      <c r="H861" s="402"/>
      <c r="I861" s="402"/>
      <c r="J861" s="402"/>
      <c r="K861" s="402"/>
      <c r="L861" s="402"/>
      <c r="M861" s="402"/>
      <c r="N861" s="402"/>
      <c r="O861" s="402"/>
      <c r="P861" s="402"/>
      <c r="Q861" s="402"/>
      <c r="R861" s="402"/>
      <c r="S861" s="402"/>
      <c r="T861" s="402"/>
      <c r="U861" s="402"/>
      <c r="V861" s="402"/>
      <c r="W861" s="402"/>
      <c r="X861" s="402"/>
      <c r="Y861" s="402"/>
      <c r="Z861" s="402"/>
      <c r="AA861" s="402"/>
    </row>
    <row r="862">
      <c r="A862" s="455"/>
      <c r="B862" s="455"/>
      <c r="C862" s="455"/>
      <c r="D862" s="455"/>
      <c r="E862" s="402"/>
      <c r="F862" s="402"/>
      <c r="G862" s="402"/>
      <c r="H862" s="402"/>
      <c r="I862" s="402"/>
      <c r="J862" s="402"/>
      <c r="K862" s="402"/>
      <c r="L862" s="402"/>
      <c r="M862" s="402"/>
      <c r="N862" s="402"/>
      <c r="O862" s="402"/>
      <c r="P862" s="402"/>
      <c r="Q862" s="402"/>
      <c r="R862" s="402"/>
      <c r="S862" s="402"/>
      <c r="T862" s="402"/>
      <c r="U862" s="402"/>
      <c r="V862" s="402"/>
      <c r="W862" s="402"/>
      <c r="X862" s="402"/>
      <c r="Y862" s="402"/>
      <c r="Z862" s="402"/>
      <c r="AA862" s="402"/>
    </row>
    <row r="863">
      <c r="A863" s="455"/>
      <c r="B863" s="455"/>
      <c r="C863" s="455"/>
      <c r="D863" s="455"/>
      <c r="E863" s="402"/>
      <c r="F863" s="402"/>
      <c r="G863" s="402"/>
      <c r="H863" s="402"/>
      <c r="I863" s="402"/>
      <c r="J863" s="402"/>
      <c r="K863" s="402"/>
      <c r="L863" s="402"/>
      <c r="M863" s="402"/>
      <c r="N863" s="402"/>
      <c r="O863" s="402"/>
      <c r="P863" s="402"/>
      <c r="Q863" s="402"/>
      <c r="R863" s="402"/>
      <c r="S863" s="402"/>
      <c r="T863" s="402"/>
      <c r="U863" s="402"/>
      <c r="V863" s="402"/>
      <c r="W863" s="402"/>
      <c r="X863" s="402"/>
      <c r="Y863" s="402"/>
      <c r="Z863" s="402"/>
      <c r="AA863" s="402"/>
    </row>
    <row r="864">
      <c r="A864" s="455"/>
      <c r="B864" s="455"/>
      <c r="C864" s="455"/>
      <c r="D864" s="455"/>
      <c r="E864" s="402"/>
      <c r="F864" s="402"/>
      <c r="G864" s="402"/>
      <c r="H864" s="402"/>
      <c r="I864" s="402"/>
      <c r="J864" s="402"/>
      <c r="K864" s="402"/>
      <c r="L864" s="402"/>
      <c r="M864" s="402"/>
      <c r="N864" s="402"/>
      <c r="O864" s="402"/>
      <c r="P864" s="402"/>
      <c r="Q864" s="402"/>
      <c r="R864" s="402"/>
      <c r="S864" s="402"/>
      <c r="T864" s="402"/>
      <c r="U864" s="402"/>
      <c r="V864" s="402"/>
      <c r="W864" s="402"/>
      <c r="X864" s="402"/>
      <c r="Y864" s="402"/>
      <c r="Z864" s="402"/>
      <c r="AA864" s="402"/>
    </row>
    <row r="865">
      <c r="A865" s="455"/>
      <c r="B865" s="455"/>
      <c r="C865" s="455"/>
      <c r="D865" s="455"/>
      <c r="E865" s="402"/>
      <c r="F865" s="402"/>
      <c r="G865" s="402"/>
      <c r="H865" s="402"/>
      <c r="I865" s="402"/>
      <c r="J865" s="402"/>
      <c r="K865" s="402"/>
      <c r="L865" s="402"/>
      <c r="M865" s="402"/>
      <c r="N865" s="402"/>
      <c r="O865" s="402"/>
      <c r="P865" s="402"/>
      <c r="Q865" s="402"/>
      <c r="R865" s="402"/>
      <c r="S865" s="402"/>
      <c r="T865" s="402"/>
      <c r="U865" s="402"/>
      <c r="V865" s="402"/>
      <c r="W865" s="402"/>
      <c r="X865" s="402"/>
      <c r="Y865" s="402"/>
      <c r="Z865" s="402"/>
      <c r="AA865" s="402"/>
    </row>
    <row r="866">
      <c r="A866" s="455"/>
      <c r="B866" s="455"/>
      <c r="C866" s="455"/>
      <c r="D866" s="455"/>
      <c r="E866" s="402"/>
      <c r="F866" s="402"/>
      <c r="G866" s="402"/>
      <c r="H866" s="402"/>
      <c r="I866" s="402"/>
      <c r="J866" s="402"/>
      <c r="K866" s="402"/>
      <c r="L866" s="402"/>
      <c r="M866" s="402"/>
      <c r="N866" s="402"/>
      <c r="O866" s="402"/>
      <c r="P866" s="402"/>
      <c r="Q866" s="402"/>
      <c r="R866" s="402"/>
      <c r="S866" s="402"/>
      <c r="T866" s="402"/>
      <c r="U866" s="402"/>
      <c r="V866" s="402"/>
      <c r="W866" s="402"/>
      <c r="X866" s="402"/>
      <c r="Y866" s="402"/>
      <c r="Z866" s="402"/>
      <c r="AA866" s="402"/>
    </row>
    <row r="867">
      <c r="A867" s="455"/>
      <c r="B867" s="455"/>
      <c r="C867" s="455"/>
      <c r="D867" s="455"/>
      <c r="E867" s="402"/>
      <c r="F867" s="402"/>
      <c r="G867" s="402"/>
      <c r="H867" s="402"/>
      <c r="I867" s="402"/>
      <c r="J867" s="402"/>
      <c r="K867" s="402"/>
      <c r="L867" s="402"/>
      <c r="M867" s="402"/>
      <c r="N867" s="402"/>
      <c r="O867" s="402"/>
      <c r="P867" s="402"/>
      <c r="Q867" s="402"/>
      <c r="R867" s="402"/>
      <c r="S867" s="402"/>
      <c r="T867" s="402"/>
      <c r="U867" s="402"/>
      <c r="V867" s="402"/>
      <c r="W867" s="402"/>
      <c r="X867" s="402"/>
      <c r="Y867" s="402"/>
      <c r="Z867" s="402"/>
      <c r="AA867" s="402"/>
    </row>
    <row r="868">
      <c r="A868" s="455"/>
      <c r="B868" s="455"/>
      <c r="C868" s="455"/>
      <c r="D868" s="455"/>
      <c r="E868" s="402"/>
      <c r="F868" s="402"/>
      <c r="G868" s="402"/>
      <c r="H868" s="402"/>
      <c r="I868" s="402"/>
      <c r="J868" s="402"/>
      <c r="K868" s="402"/>
      <c r="L868" s="402"/>
      <c r="M868" s="402"/>
      <c r="N868" s="402"/>
      <c r="O868" s="402"/>
      <c r="P868" s="402"/>
      <c r="Q868" s="402"/>
      <c r="R868" s="402"/>
      <c r="S868" s="402"/>
      <c r="T868" s="402"/>
      <c r="U868" s="402"/>
      <c r="V868" s="402"/>
      <c r="W868" s="402"/>
      <c r="X868" s="402"/>
      <c r="Y868" s="402"/>
      <c r="Z868" s="402"/>
      <c r="AA868" s="402"/>
    </row>
    <row r="869">
      <c r="A869" s="455"/>
      <c r="B869" s="455"/>
      <c r="C869" s="455"/>
      <c r="D869" s="455"/>
      <c r="E869" s="402"/>
      <c r="F869" s="402"/>
      <c r="G869" s="402"/>
      <c r="H869" s="402"/>
      <c r="I869" s="402"/>
      <c r="J869" s="402"/>
      <c r="K869" s="402"/>
      <c r="L869" s="402"/>
      <c r="M869" s="402"/>
      <c r="N869" s="402"/>
      <c r="O869" s="402"/>
      <c r="P869" s="402"/>
      <c r="Q869" s="402"/>
      <c r="R869" s="402"/>
      <c r="S869" s="402"/>
      <c r="T869" s="402"/>
      <c r="U869" s="402"/>
      <c r="V869" s="402"/>
      <c r="W869" s="402"/>
      <c r="X869" s="402"/>
      <c r="Y869" s="402"/>
      <c r="Z869" s="402"/>
      <c r="AA869" s="402"/>
    </row>
    <row r="870">
      <c r="A870" s="455"/>
      <c r="B870" s="455"/>
      <c r="C870" s="455"/>
      <c r="D870" s="455"/>
      <c r="E870" s="402"/>
      <c r="F870" s="402"/>
      <c r="G870" s="402"/>
      <c r="H870" s="402"/>
      <c r="I870" s="402"/>
      <c r="J870" s="402"/>
      <c r="K870" s="402"/>
      <c r="L870" s="402"/>
      <c r="M870" s="402"/>
      <c r="N870" s="402"/>
      <c r="O870" s="402"/>
      <c r="P870" s="402"/>
      <c r="Q870" s="402"/>
      <c r="R870" s="402"/>
      <c r="S870" s="402"/>
      <c r="T870" s="402"/>
      <c r="U870" s="402"/>
      <c r="V870" s="402"/>
      <c r="W870" s="402"/>
      <c r="X870" s="402"/>
      <c r="Y870" s="402"/>
      <c r="Z870" s="402"/>
      <c r="AA870" s="402"/>
    </row>
    <row r="871">
      <c r="A871" s="455"/>
      <c r="B871" s="455"/>
      <c r="C871" s="455"/>
      <c r="D871" s="455"/>
      <c r="E871" s="402"/>
      <c r="F871" s="402"/>
      <c r="G871" s="402"/>
      <c r="H871" s="402"/>
      <c r="I871" s="402"/>
      <c r="J871" s="402"/>
      <c r="K871" s="402"/>
      <c r="L871" s="402"/>
      <c r="M871" s="402"/>
      <c r="N871" s="402"/>
      <c r="O871" s="402"/>
      <c r="P871" s="402"/>
      <c r="Q871" s="402"/>
      <c r="R871" s="402"/>
      <c r="S871" s="402"/>
      <c r="T871" s="402"/>
      <c r="U871" s="402"/>
      <c r="V871" s="402"/>
      <c r="W871" s="402"/>
      <c r="X871" s="402"/>
      <c r="Y871" s="402"/>
      <c r="Z871" s="402"/>
      <c r="AA871" s="402"/>
    </row>
    <row r="872">
      <c r="A872" s="455"/>
      <c r="B872" s="455"/>
      <c r="C872" s="455"/>
      <c r="D872" s="455"/>
      <c r="E872" s="402"/>
      <c r="F872" s="402"/>
      <c r="G872" s="402"/>
      <c r="H872" s="402"/>
      <c r="I872" s="402"/>
      <c r="J872" s="402"/>
      <c r="K872" s="402"/>
      <c r="L872" s="402"/>
      <c r="M872" s="402"/>
      <c r="N872" s="402"/>
      <c r="O872" s="402"/>
      <c r="P872" s="402"/>
      <c r="Q872" s="402"/>
      <c r="R872" s="402"/>
      <c r="S872" s="402"/>
      <c r="T872" s="402"/>
      <c r="U872" s="402"/>
      <c r="V872" s="402"/>
      <c r="W872" s="402"/>
      <c r="X872" s="402"/>
      <c r="Y872" s="402"/>
      <c r="Z872" s="402"/>
      <c r="AA872" s="402"/>
    </row>
    <row r="873">
      <c r="A873" s="455"/>
      <c r="B873" s="455"/>
      <c r="C873" s="455"/>
      <c r="D873" s="455"/>
      <c r="E873" s="402"/>
      <c r="F873" s="402"/>
      <c r="G873" s="402"/>
      <c r="H873" s="402"/>
      <c r="I873" s="402"/>
      <c r="J873" s="402"/>
      <c r="K873" s="402"/>
      <c r="L873" s="402"/>
      <c r="M873" s="402"/>
      <c r="N873" s="402"/>
      <c r="O873" s="402"/>
      <c r="P873" s="402"/>
      <c r="Q873" s="402"/>
      <c r="R873" s="402"/>
      <c r="S873" s="402"/>
      <c r="T873" s="402"/>
      <c r="U873" s="402"/>
      <c r="V873" s="402"/>
      <c r="W873" s="402"/>
      <c r="X873" s="402"/>
      <c r="Y873" s="402"/>
      <c r="Z873" s="402"/>
      <c r="AA873" s="402"/>
    </row>
    <row r="874">
      <c r="A874" s="455"/>
      <c r="B874" s="455"/>
      <c r="C874" s="455"/>
      <c r="D874" s="455"/>
      <c r="E874" s="402"/>
      <c r="F874" s="402"/>
      <c r="G874" s="402"/>
      <c r="H874" s="402"/>
      <c r="I874" s="402"/>
      <c r="J874" s="402"/>
      <c r="K874" s="402"/>
      <c r="L874" s="402"/>
      <c r="M874" s="402"/>
      <c r="N874" s="402"/>
      <c r="O874" s="402"/>
      <c r="P874" s="402"/>
      <c r="Q874" s="402"/>
      <c r="R874" s="402"/>
      <c r="S874" s="402"/>
      <c r="T874" s="402"/>
      <c r="U874" s="402"/>
      <c r="V874" s="402"/>
      <c r="W874" s="402"/>
      <c r="X874" s="402"/>
      <c r="Y874" s="402"/>
      <c r="Z874" s="402"/>
      <c r="AA874" s="402"/>
    </row>
    <row r="875">
      <c r="A875" s="455"/>
      <c r="B875" s="455"/>
      <c r="C875" s="455"/>
      <c r="D875" s="455"/>
      <c r="E875" s="402"/>
      <c r="F875" s="402"/>
      <c r="G875" s="402"/>
      <c r="H875" s="402"/>
      <c r="I875" s="402"/>
      <c r="J875" s="402"/>
      <c r="K875" s="402"/>
      <c r="L875" s="402"/>
      <c r="M875" s="402"/>
      <c r="N875" s="402"/>
      <c r="O875" s="402"/>
      <c r="P875" s="402"/>
      <c r="Q875" s="402"/>
      <c r="R875" s="402"/>
      <c r="S875" s="402"/>
      <c r="T875" s="402"/>
      <c r="U875" s="402"/>
      <c r="V875" s="402"/>
      <c r="W875" s="402"/>
      <c r="X875" s="402"/>
      <c r="Y875" s="402"/>
      <c r="Z875" s="402"/>
      <c r="AA875" s="402"/>
    </row>
    <row r="876">
      <c r="A876" s="455"/>
      <c r="B876" s="455"/>
      <c r="C876" s="455"/>
      <c r="D876" s="455"/>
      <c r="E876" s="402"/>
      <c r="F876" s="402"/>
      <c r="G876" s="402"/>
      <c r="H876" s="402"/>
      <c r="I876" s="402"/>
      <c r="J876" s="402"/>
      <c r="K876" s="402"/>
      <c r="L876" s="402"/>
      <c r="M876" s="402"/>
      <c r="N876" s="402"/>
      <c r="O876" s="402"/>
      <c r="P876" s="402"/>
      <c r="Q876" s="402"/>
      <c r="R876" s="402"/>
      <c r="S876" s="402"/>
      <c r="T876" s="402"/>
      <c r="U876" s="402"/>
      <c r="V876" s="402"/>
      <c r="W876" s="402"/>
      <c r="X876" s="402"/>
      <c r="Y876" s="402"/>
      <c r="Z876" s="402"/>
      <c r="AA876" s="402"/>
    </row>
    <row r="877">
      <c r="A877" s="455"/>
      <c r="B877" s="455"/>
      <c r="C877" s="455"/>
      <c r="D877" s="455"/>
      <c r="E877" s="402"/>
      <c r="F877" s="402"/>
      <c r="G877" s="402"/>
      <c r="H877" s="402"/>
      <c r="I877" s="402"/>
      <c r="J877" s="402"/>
      <c r="K877" s="402"/>
      <c r="L877" s="402"/>
      <c r="M877" s="402"/>
      <c r="N877" s="402"/>
      <c r="O877" s="402"/>
      <c r="P877" s="402"/>
      <c r="Q877" s="402"/>
      <c r="R877" s="402"/>
      <c r="S877" s="402"/>
      <c r="T877" s="402"/>
      <c r="U877" s="402"/>
      <c r="V877" s="402"/>
      <c r="W877" s="402"/>
      <c r="X877" s="402"/>
      <c r="Y877" s="402"/>
      <c r="Z877" s="402"/>
      <c r="AA877" s="402"/>
    </row>
    <row r="878">
      <c r="A878" s="455"/>
      <c r="B878" s="455"/>
      <c r="C878" s="455"/>
      <c r="D878" s="455"/>
      <c r="E878" s="402"/>
      <c r="F878" s="402"/>
      <c r="G878" s="402"/>
      <c r="H878" s="402"/>
      <c r="I878" s="402"/>
      <c r="J878" s="402"/>
      <c r="K878" s="402"/>
      <c r="L878" s="402"/>
      <c r="M878" s="402"/>
      <c r="N878" s="402"/>
      <c r="O878" s="402"/>
      <c r="P878" s="402"/>
      <c r="Q878" s="402"/>
      <c r="R878" s="402"/>
      <c r="S878" s="402"/>
      <c r="T878" s="402"/>
      <c r="U878" s="402"/>
      <c r="V878" s="402"/>
      <c r="W878" s="402"/>
      <c r="X878" s="402"/>
      <c r="Y878" s="402"/>
      <c r="Z878" s="402"/>
      <c r="AA878" s="402"/>
    </row>
    <row r="879">
      <c r="A879" s="455"/>
      <c r="B879" s="455"/>
      <c r="C879" s="455"/>
      <c r="D879" s="455"/>
      <c r="E879" s="402"/>
      <c r="F879" s="402"/>
      <c r="G879" s="402"/>
      <c r="H879" s="402"/>
      <c r="I879" s="402"/>
      <c r="J879" s="402"/>
      <c r="K879" s="402"/>
      <c r="L879" s="402"/>
      <c r="M879" s="402"/>
      <c r="N879" s="402"/>
      <c r="O879" s="402"/>
      <c r="P879" s="402"/>
      <c r="Q879" s="402"/>
      <c r="R879" s="402"/>
      <c r="S879" s="402"/>
      <c r="T879" s="402"/>
      <c r="U879" s="402"/>
      <c r="V879" s="402"/>
      <c r="W879" s="402"/>
      <c r="X879" s="402"/>
      <c r="Y879" s="402"/>
      <c r="Z879" s="402"/>
      <c r="AA879" s="402"/>
    </row>
    <row r="880">
      <c r="A880" s="455"/>
      <c r="B880" s="455"/>
      <c r="C880" s="455"/>
      <c r="D880" s="455"/>
      <c r="E880" s="402"/>
      <c r="F880" s="402"/>
      <c r="G880" s="402"/>
      <c r="H880" s="402"/>
      <c r="I880" s="402"/>
      <c r="J880" s="402"/>
      <c r="K880" s="402"/>
      <c r="L880" s="402"/>
      <c r="M880" s="402"/>
      <c r="N880" s="402"/>
      <c r="O880" s="402"/>
      <c r="P880" s="402"/>
      <c r="Q880" s="402"/>
      <c r="R880" s="402"/>
      <c r="S880" s="402"/>
      <c r="T880" s="402"/>
      <c r="U880" s="402"/>
      <c r="V880" s="402"/>
      <c r="W880" s="402"/>
      <c r="X880" s="402"/>
      <c r="Y880" s="402"/>
      <c r="Z880" s="402"/>
      <c r="AA880" s="402"/>
    </row>
    <row r="881">
      <c r="A881" s="455"/>
      <c r="B881" s="455"/>
      <c r="C881" s="455"/>
      <c r="D881" s="455"/>
      <c r="E881" s="402"/>
      <c r="F881" s="402"/>
      <c r="G881" s="402"/>
      <c r="H881" s="402"/>
      <c r="I881" s="402"/>
      <c r="J881" s="402"/>
      <c r="K881" s="402"/>
      <c r="L881" s="402"/>
      <c r="M881" s="402"/>
      <c r="N881" s="402"/>
      <c r="O881" s="402"/>
      <c r="P881" s="402"/>
      <c r="Q881" s="402"/>
      <c r="R881" s="402"/>
      <c r="S881" s="402"/>
      <c r="T881" s="402"/>
      <c r="U881" s="402"/>
      <c r="V881" s="402"/>
      <c r="W881" s="402"/>
      <c r="X881" s="402"/>
      <c r="Y881" s="402"/>
      <c r="Z881" s="402"/>
      <c r="AA881" s="402"/>
    </row>
    <row r="882">
      <c r="A882" s="455"/>
      <c r="B882" s="455"/>
      <c r="C882" s="455"/>
      <c r="D882" s="455"/>
      <c r="E882" s="402"/>
      <c r="F882" s="402"/>
      <c r="G882" s="402"/>
      <c r="H882" s="402"/>
      <c r="I882" s="402"/>
      <c r="J882" s="402"/>
      <c r="K882" s="402"/>
      <c r="L882" s="402"/>
      <c r="M882" s="402"/>
      <c r="N882" s="402"/>
      <c r="O882" s="402"/>
      <c r="P882" s="402"/>
      <c r="Q882" s="402"/>
      <c r="R882" s="402"/>
      <c r="S882" s="402"/>
      <c r="T882" s="402"/>
      <c r="U882" s="402"/>
      <c r="V882" s="402"/>
      <c r="W882" s="402"/>
      <c r="X882" s="402"/>
      <c r="Y882" s="402"/>
      <c r="Z882" s="402"/>
      <c r="AA882" s="402"/>
    </row>
    <row r="883">
      <c r="A883" s="455"/>
      <c r="B883" s="455"/>
      <c r="C883" s="455"/>
      <c r="D883" s="455"/>
      <c r="E883" s="402"/>
      <c r="F883" s="402"/>
      <c r="G883" s="402"/>
      <c r="H883" s="402"/>
      <c r="I883" s="402"/>
      <c r="J883" s="402"/>
      <c r="K883" s="402"/>
      <c r="L883" s="402"/>
      <c r="M883" s="402"/>
      <c r="N883" s="402"/>
      <c r="O883" s="402"/>
      <c r="P883" s="402"/>
      <c r="Q883" s="402"/>
      <c r="R883" s="402"/>
      <c r="S883" s="402"/>
      <c r="T883" s="402"/>
      <c r="U883" s="402"/>
      <c r="V883" s="402"/>
      <c r="W883" s="402"/>
      <c r="X883" s="402"/>
      <c r="Y883" s="402"/>
      <c r="Z883" s="402"/>
      <c r="AA883" s="402"/>
    </row>
    <row r="884">
      <c r="A884" s="455"/>
      <c r="B884" s="455"/>
      <c r="C884" s="455"/>
      <c r="D884" s="455"/>
      <c r="E884" s="402"/>
      <c r="F884" s="402"/>
      <c r="G884" s="402"/>
      <c r="H884" s="402"/>
      <c r="I884" s="402"/>
      <c r="J884" s="402"/>
      <c r="K884" s="402"/>
      <c r="L884" s="402"/>
      <c r="M884" s="402"/>
      <c r="N884" s="402"/>
      <c r="O884" s="402"/>
      <c r="P884" s="402"/>
      <c r="Q884" s="402"/>
      <c r="R884" s="402"/>
      <c r="S884" s="402"/>
      <c r="T884" s="402"/>
      <c r="U884" s="402"/>
      <c r="V884" s="402"/>
      <c r="W884" s="402"/>
      <c r="X884" s="402"/>
      <c r="Y884" s="402"/>
      <c r="Z884" s="402"/>
      <c r="AA884" s="402"/>
    </row>
    <row r="885">
      <c r="A885" s="455"/>
      <c r="B885" s="455"/>
      <c r="C885" s="455"/>
      <c r="D885" s="455"/>
      <c r="E885" s="402"/>
      <c r="F885" s="402"/>
      <c r="G885" s="402"/>
      <c r="H885" s="402"/>
      <c r="I885" s="402"/>
      <c r="J885" s="402"/>
      <c r="K885" s="402"/>
      <c r="L885" s="402"/>
      <c r="M885" s="402"/>
      <c r="N885" s="402"/>
      <c r="O885" s="402"/>
      <c r="P885" s="402"/>
      <c r="Q885" s="402"/>
      <c r="R885" s="402"/>
      <c r="S885" s="402"/>
      <c r="T885" s="402"/>
      <c r="U885" s="402"/>
      <c r="V885" s="402"/>
      <c r="W885" s="402"/>
      <c r="X885" s="402"/>
      <c r="Y885" s="402"/>
      <c r="Z885" s="402"/>
      <c r="AA885" s="402"/>
    </row>
    <row r="886">
      <c r="A886" s="455"/>
      <c r="B886" s="455"/>
      <c r="C886" s="455"/>
      <c r="D886" s="455"/>
      <c r="E886" s="402"/>
      <c r="F886" s="402"/>
      <c r="G886" s="402"/>
      <c r="H886" s="402"/>
      <c r="I886" s="402"/>
      <c r="J886" s="402"/>
      <c r="K886" s="402"/>
      <c r="L886" s="402"/>
      <c r="M886" s="402"/>
      <c r="N886" s="402"/>
      <c r="O886" s="402"/>
      <c r="P886" s="402"/>
      <c r="Q886" s="402"/>
      <c r="R886" s="402"/>
      <c r="S886" s="402"/>
      <c r="T886" s="402"/>
      <c r="U886" s="402"/>
      <c r="V886" s="402"/>
      <c r="W886" s="402"/>
      <c r="X886" s="402"/>
      <c r="Y886" s="402"/>
      <c r="Z886" s="402"/>
      <c r="AA886" s="402"/>
    </row>
    <row r="887">
      <c r="A887" s="455"/>
      <c r="B887" s="455"/>
      <c r="C887" s="455"/>
      <c r="D887" s="455"/>
      <c r="E887" s="402"/>
      <c r="F887" s="402"/>
      <c r="G887" s="402"/>
      <c r="H887" s="402"/>
      <c r="I887" s="402"/>
      <c r="J887" s="402"/>
      <c r="K887" s="402"/>
      <c r="L887" s="402"/>
      <c r="M887" s="402"/>
      <c r="N887" s="402"/>
      <c r="O887" s="402"/>
      <c r="P887" s="402"/>
      <c r="Q887" s="402"/>
      <c r="R887" s="402"/>
      <c r="S887" s="402"/>
      <c r="T887" s="402"/>
      <c r="U887" s="402"/>
      <c r="V887" s="402"/>
      <c r="W887" s="402"/>
      <c r="X887" s="402"/>
      <c r="Y887" s="402"/>
      <c r="Z887" s="402"/>
      <c r="AA887" s="402"/>
    </row>
    <row r="888">
      <c r="A888" s="455"/>
      <c r="B888" s="455"/>
      <c r="C888" s="455"/>
      <c r="D888" s="455"/>
      <c r="E888" s="402"/>
      <c r="F888" s="402"/>
      <c r="G888" s="402"/>
      <c r="H888" s="402"/>
      <c r="I888" s="402"/>
      <c r="J888" s="402"/>
      <c r="K888" s="402"/>
      <c r="L888" s="402"/>
      <c r="M888" s="402"/>
      <c r="N888" s="402"/>
      <c r="O888" s="402"/>
      <c r="P888" s="402"/>
      <c r="Q888" s="402"/>
      <c r="R888" s="402"/>
      <c r="S888" s="402"/>
      <c r="T888" s="402"/>
      <c r="U888" s="402"/>
      <c r="V888" s="402"/>
      <c r="W888" s="402"/>
      <c r="X888" s="402"/>
      <c r="Y888" s="402"/>
      <c r="Z888" s="402"/>
      <c r="AA888" s="402"/>
    </row>
    <row r="889">
      <c r="A889" s="455"/>
      <c r="B889" s="455"/>
      <c r="C889" s="455"/>
      <c r="D889" s="455"/>
      <c r="E889" s="402"/>
      <c r="F889" s="402"/>
      <c r="G889" s="402"/>
      <c r="H889" s="402"/>
      <c r="I889" s="402"/>
      <c r="J889" s="402"/>
      <c r="K889" s="402"/>
      <c r="L889" s="402"/>
      <c r="M889" s="402"/>
      <c r="N889" s="402"/>
      <c r="O889" s="402"/>
      <c r="P889" s="402"/>
      <c r="Q889" s="402"/>
      <c r="R889" s="402"/>
      <c r="S889" s="402"/>
      <c r="T889" s="402"/>
      <c r="U889" s="402"/>
      <c r="V889" s="402"/>
      <c r="W889" s="402"/>
      <c r="X889" s="402"/>
      <c r="Y889" s="402"/>
      <c r="Z889" s="402"/>
      <c r="AA889" s="402"/>
    </row>
    <row r="890">
      <c r="A890" s="455"/>
      <c r="B890" s="455"/>
      <c r="C890" s="455"/>
      <c r="D890" s="455"/>
      <c r="E890" s="402"/>
      <c r="F890" s="402"/>
      <c r="G890" s="402"/>
      <c r="H890" s="402"/>
      <c r="I890" s="402"/>
      <c r="J890" s="402"/>
      <c r="K890" s="402"/>
      <c r="L890" s="402"/>
      <c r="M890" s="402"/>
      <c r="N890" s="402"/>
      <c r="O890" s="402"/>
      <c r="P890" s="402"/>
      <c r="Q890" s="402"/>
      <c r="R890" s="402"/>
      <c r="S890" s="402"/>
      <c r="T890" s="402"/>
      <c r="U890" s="402"/>
      <c r="V890" s="402"/>
      <c r="W890" s="402"/>
      <c r="X890" s="402"/>
      <c r="Y890" s="402"/>
      <c r="Z890" s="402"/>
      <c r="AA890" s="402"/>
    </row>
    <row r="891">
      <c r="A891" s="455"/>
      <c r="B891" s="455"/>
      <c r="C891" s="455"/>
      <c r="D891" s="455"/>
      <c r="E891" s="402"/>
      <c r="F891" s="402"/>
      <c r="G891" s="402"/>
      <c r="H891" s="402"/>
      <c r="I891" s="402"/>
      <c r="J891" s="402"/>
      <c r="K891" s="402"/>
      <c r="L891" s="402"/>
      <c r="M891" s="402"/>
      <c r="N891" s="402"/>
      <c r="O891" s="402"/>
      <c r="P891" s="402"/>
      <c r="Q891" s="402"/>
      <c r="R891" s="402"/>
      <c r="S891" s="402"/>
      <c r="T891" s="402"/>
      <c r="U891" s="402"/>
      <c r="V891" s="402"/>
      <c r="W891" s="402"/>
      <c r="X891" s="402"/>
      <c r="Y891" s="402"/>
      <c r="Z891" s="402"/>
      <c r="AA891" s="402"/>
    </row>
    <row r="892">
      <c r="A892" s="455"/>
      <c r="B892" s="455"/>
      <c r="C892" s="455"/>
      <c r="D892" s="455"/>
      <c r="E892" s="402"/>
      <c r="F892" s="402"/>
      <c r="G892" s="402"/>
      <c r="H892" s="402"/>
      <c r="I892" s="402"/>
      <c r="J892" s="402"/>
      <c r="K892" s="402"/>
      <c r="L892" s="402"/>
      <c r="M892" s="402"/>
      <c r="N892" s="402"/>
      <c r="O892" s="402"/>
      <c r="P892" s="402"/>
      <c r="Q892" s="402"/>
      <c r="R892" s="402"/>
      <c r="S892" s="402"/>
      <c r="T892" s="402"/>
      <c r="U892" s="402"/>
      <c r="V892" s="402"/>
      <c r="W892" s="402"/>
      <c r="X892" s="402"/>
      <c r="Y892" s="402"/>
      <c r="Z892" s="402"/>
      <c r="AA892" s="402"/>
    </row>
    <row r="893">
      <c r="A893" s="455"/>
      <c r="B893" s="455"/>
      <c r="C893" s="455"/>
      <c r="D893" s="455"/>
      <c r="E893" s="402"/>
      <c r="F893" s="402"/>
      <c r="G893" s="402"/>
      <c r="H893" s="402"/>
      <c r="I893" s="402"/>
      <c r="J893" s="402"/>
      <c r="K893" s="402"/>
      <c r="L893" s="402"/>
      <c r="M893" s="402"/>
      <c r="N893" s="402"/>
      <c r="O893" s="402"/>
      <c r="P893" s="402"/>
      <c r="Q893" s="402"/>
      <c r="R893" s="402"/>
      <c r="S893" s="402"/>
      <c r="T893" s="402"/>
      <c r="U893" s="402"/>
      <c r="V893" s="402"/>
      <c r="W893" s="402"/>
      <c r="X893" s="402"/>
      <c r="Y893" s="402"/>
      <c r="Z893" s="402"/>
      <c r="AA893" s="402"/>
    </row>
    <row r="894">
      <c r="A894" s="455"/>
      <c r="B894" s="455"/>
      <c r="C894" s="455"/>
      <c r="D894" s="455"/>
      <c r="E894" s="402"/>
      <c r="F894" s="402"/>
      <c r="G894" s="402"/>
      <c r="H894" s="402"/>
      <c r="I894" s="402"/>
      <c r="J894" s="402"/>
      <c r="K894" s="402"/>
      <c r="L894" s="402"/>
      <c r="M894" s="402"/>
      <c r="N894" s="402"/>
      <c r="O894" s="402"/>
      <c r="P894" s="402"/>
      <c r="Q894" s="402"/>
      <c r="R894" s="402"/>
      <c r="S894" s="402"/>
      <c r="T894" s="402"/>
      <c r="U894" s="402"/>
      <c r="V894" s="402"/>
      <c r="W894" s="402"/>
      <c r="X894" s="402"/>
      <c r="Y894" s="402"/>
      <c r="Z894" s="402"/>
      <c r="AA894" s="402"/>
    </row>
    <row r="895">
      <c r="A895" s="455"/>
      <c r="B895" s="455"/>
      <c r="C895" s="455"/>
      <c r="D895" s="455"/>
      <c r="E895" s="402"/>
      <c r="F895" s="402"/>
      <c r="G895" s="402"/>
      <c r="H895" s="402"/>
      <c r="I895" s="402"/>
      <c r="J895" s="402"/>
      <c r="K895" s="402"/>
      <c r="L895" s="402"/>
      <c r="M895" s="402"/>
      <c r="N895" s="402"/>
      <c r="O895" s="402"/>
      <c r="P895" s="402"/>
      <c r="Q895" s="402"/>
      <c r="R895" s="402"/>
      <c r="S895" s="402"/>
      <c r="T895" s="402"/>
      <c r="U895" s="402"/>
      <c r="V895" s="402"/>
      <c r="W895" s="402"/>
      <c r="X895" s="402"/>
      <c r="Y895" s="402"/>
      <c r="Z895" s="402"/>
      <c r="AA895" s="402"/>
    </row>
    <row r="896">
      <c r="A896" s="455"/>
      <c r="B896" s="455"/>
      <c r="C896" s="455"/>
      <c r="D896" s="455"/>
      <c r="E896" s="402"/>
      <c r="F896" s="402"/>
      <c r="G896" s="402"/>
      <c r="H896" s="402"/>
      <c r="I896" s="402"/>
      <c r="J896" s="402"/>
      <c r="K896" s="402"/>
      <c r="L896" s="402"/>
      <c r="M896" s="402"/>
      <c r="N896" s="402"/>
      <c r="O896" s="402"/>
      <c r="P896" s="402"/>
      <c r="Q896" s="402"/>
      <c r="R896" s="402"/>
      <c r="S896" s="402"/>
      <c r="T896" s="402"/>
      <c r="U896" s="402"/>
      <c r="V896" s="402"/>
      <c r="W896" s="402"/>
      <c r="X896" s="402"/>
      <c r="Y896" s="402"/>
      <c r="Z896" s="402"/>
      <c r="AA896" s="402"/>
    </row>
    <row r="897">
      <c r="A897" s="455"/>
      <c r="B897" s="455"/>
      <c r="C897" s="455"/>
      <c r="D897" s="455"/>
      <c r="E897" s="402"/>
      <c r="F897" s="402"/>
      <c r="G897" s="402"/>
      <c r="H897" s="402"/>
      <c r="I897" s="402"/>
      <c r="J897" s="402"/>
      <c r="K897" s="402"/>
      <c r="L897" s="402"/>
      <c r="M897" s="402"/>
      <c r="N897" s="402"/>
      <c r="O897" s="402"/>
      <c r="P897" s="402"/>
      <c r="Q897" s="402"/>
      <c r="R897" s="402"/>
      <c r="S897" s="402"/>
      <c r="T897" s="402"/>
      <c r="U897" s="402"/>
      <c r="V897" s="402"/>
      <c r="W897" s="402"/>
      <c r="X897" s="402"/>
      <c r="Y897" s="402"/>
      <c r="Z897" s="402"/>
      <c r="AA897" s="402"/>
    </row>
    <row r="898">
      <c r="A898" s="455"/>
      <c r="B898" s="455"/>
      <c r="C898" s="455"/>
      <c r="D898" s="455"/>
      <c r="E898" s="402"/>
      <c r="F898" s="402"/>
      <c r="G898" s="402"/>
      <c r="H898" s="402"/>
      <c r="I898" s="402"/>
      <c r="J898" s="402"/>
      <c r="K898" s="402"/>
      <c r="L898" s="402"/>
      <c r="M898" s="402"/>
      <c r="N898" s="402"/>
      <c r="O898" s="402"/>
      <c r="P898" s="402"/>
      <c r="Q898" s="402"/>
      <c r="R898" s="402"/>
      <c r="S898" s="402"/>
      <c r="T898" s="402"/>
      <c r="U898" s="402"/>
      <c r="V898" s="402"/>
      <c r="W898" s="402"/>
      <c r="X898" s="402"/>
      <c r="Y898" s="402"/>
      <c r="Z898" s="402"/>
      <c r="AA898" s="402"/>
    </row>
    <row r="899">
      <c r="A899" s="455"/>
      <c r="B899" s="455"/>
      <c r="C899" s="455"/>
      <c r="D899" s="455"/>
      <c r="E899" s="402"/>
      <c r="F899" s="402"/>
      <c r="G899" s="402"/>
      <c r="H899" s="402"/>
      <c r="I899" s="402"/>
      <c r="J899" s="402"/>
      <c r="K899" s="402"/>
      <c r="L899" s="402"/>
      <c r="M899" s="402"/>
      <c r="N899" s="402"/>
      <c r="O899" s="402"/>
      <c r="P899" s="402"/>
      <c r="Q899" s="402"/>
      <c r="R899" s="402"/>
      <c r="S899" s="402"/>
      <c r="T899" s="402"/>
      <c r="U899" s="402"/>
      <c r="V899" s="402"/>
      <c r="W899" s="402"/>
      <c r="X899" s="402"/>
      <c r="Y899" s="402"/>
      <c r="Z899" s="402"/>
      <c r="AA899" s="402"/>
    </row>
    <row r="900">
      <c r="A900" s="455"/>
      <c r="B900" s="455"/>
      <c r="C900" s="455"/>
      <c r="D900" s="455"/>
      <c r="E900" s="402"/>
      <c r="F900" s="402"/>
      <c r="G900" s="402"/>
      <c r="H900" s="402"/>
      <c r="I900" s="402"/>
      <c r="J900" s="402"/>
      <c r="K900" s="402"/>
      <c r="L900" s="402"/>
      <c r="M900" s="402"/>
      <c r="N900" s="402"/>
      <c r="O900" s="402"/>
      <c r="P900" s="402"/>
      <c r="Q900" s="402"/>
      <c r="R900" s="402"/>
      <c r="S900" s="402"/>
      <c r="T900" s="402"/>
      <c r="U900" s="402"/>
      <c r="V900" s="402"/>
      <c r="W900" s="402"/>
      <c r="X900" s="402"/>
      <c r="Y900" s="402"/>
      <c r="Z900" s="402"/>
      <c r="AA900" s="402"/>
    </row>
    <row r="901">
      <c r="A901" s="455"/>
      <c r="B901" s="455"/>
      <c r="C901" s="455"/>
      <c r="D901" s="455"/>
      <c r="E901" s="402"/>
      <c r="F901" s="402"/>
      <c r="G901" s="402"/>
      <c r="H901" s="402"/>
      <c r="I901" s="402"/>
      <c r="J901" s="402"/>
      <c r="K901" s="402"/>
      <c r="L901" s="402"/>
      <c r="M901" s="402"/>
      <c r="N901" s="402"/>
      <c r="O901" s="402"/>
      <c r="P901" s="402"/>
      <c r="Q901" s="402"/>
      <c r="R901" s="402"/>
      <c r="S901" s="402"/>
      <c r="T901" s="402"/>
      <c r="U901" s="402"/>
      <c r="V901" s="402"/>
      <c r="W901" s="402"/>
      <c r="X901" s="402"/>
      <c r="Y901" s="402"/>
      <c r="Z901" s="402"/>
      <c r="AA901" s="402"/>
    </row>
    <row r="902">
      <c r="A902" s="455"/>
      <c r="B902" s="455"/>
      <c r="C902" s="455"/>
      <c r="D902" s="455"/>
      <c r="E902" s="402"/>
      <c r="F902" s="402"/>
      <c r="G902" s="402"/>
      <c r="H902" s="402"/>
      <c r="I902" s="402"/>
      <c r="J902" s="402"/>
      <c r="K902" s="402"/>
      <c r="L902" s="402"/>
      <c r="M902" s="402"/>
      <c r="N902" s="402"/>
      <c r="O902" s="402"/>
      <c r="P902" s="402"/>
      <c r="Q902" s="402"/>
      <c r="R902" s="402"/>
      <c r="S902" s="402"/>
      <c r="T902" s="402"/>
      <c r="U902" s="402"/>
      <c r="V902" s="402"/>
      <c r="W902" s="402"/>
      <c r="X902" s="402"/>
      <c r="Y902" s="402"/>
      <c r="Z902" s="402"/>
      <c r="AA902" s="402"/>
    </row>
    <row r="903">
      <c r="A903" s="455"/>
      <c r="B903" s="455"/>
      <c r="C903" s="455"/>
      <c r="D903" s="455"/>
      <c r="E903" s="402"/>
      <c r="F903" s="402"/>
      <c r="G903" s="402"/>
      <c r="H903" s="402"/>
      <c r="I903" s="402"/>
      <c r="J903" s="402"/>
      <c r="K903" s="402"/>
      <c r="L903" s="402"/>
      <c r="M903" s="402"/>
      <c r="N903" s="402"/>
      <c r="O903" s="402"/>
      <c r="P903" s="402"/>
      <c r="Q903" s="402"/>
      <c r="R903" s="402"/>
      <c r="S903" s="402"/>
      <c r="T903" s="402"/>
      <c r="U903" s="402"/>
      <c r="V903" s="402"/>
      <c r="W903" s="402"/>
      <c r="X903" s="402"/>
      <c r="Y903" s="402"/>
      <c r="Z903" s="402"/>
      <c r="AA903" s="402"/>
    </row>
    <row r="904">
      <c r="A904" s="455"/>
      <c r="B904" s="455"/>
      <c r="C904" s="455"/>
      <c r="D904" s="455"/>
      <c r="E904" s="402"/>
      <c r="F904" s="402"/>
      <c r="G904" s="402"/>
      <c r="H904" s="402"/>
      <c r="I904" s="402"/>
      <c r="J904" s="402"/>
      <c r="K904" s="402"/>
      <c r="L904" s="402"/>
      <c r="M904" s="402"/>
      <c r="N904" s="402"/>
      <c r="O904" s="402"/>
      <c r="P904" s="402"/>
      <c r="Q904" s="402"/>
      <c r="R904" s="402"/>
      <c r="S904" s="402"/>
      <c r="T904" s="402"/>
      <c r="U904" s="402"/>
      <c r="V904" s="402"/>
      <c r="W904" s="402"/>
      <c r="X904" s="402"/>
      <c r="Y904" s="402"/>
      <c r="Z904" s="402"/>
      <c r="AA904" s="402"/>
    </row>
    <row r="905">
      <c r="A905" s="455"/>
      <c r="B905" s="455"/>
      <c r="C905" s="455"/>
      <c r="D905" s="455"/>
      <c r="E905" s="402"/>
      <c r="F905" s="402"/>
      <c r="G905" s="402"/>
      <c r="H905" s="402"/>
      <c r="I905" s="402"/>
      <c r="J905" s="402"/>
      <c r="K905" s="402"/>
      <c r="L905" s="402"/>
      <c r="M905" s="402"/>
      <c r="N905" s="402"/>
      <c r="O905" s="402"/>
      <c r="P905" s="402"/>
      <c r="Q905" s="402"/>
      <c r="R905" s="402"/>
      <c r="S905" s="402"/>
      <c r="T905" s="402"/>
      <c r="U905" s="402"/>
      <c r="V905" s="402"/>
      <c r="W905" s="402"/>
      <c r="X905" s="402"/>
      <c r="Y905" s="402"/>
      <c r="Z905" s="402"/>
      <c r="AA905" s="402"/>
    </row>
    <row r="906">
      <c r="A906" s="455"/>
      <c r="B906" s="455"/>
      <c r="C906" s="455"/>
      <c r="D906" s="455"/>
      <c r="E906" s="402"/>
      <c r="F906" s="402"/>
      <c r="G906" s="402"/>
      <c r="H906" s="402"/>
      <c r="I906" s="402"/>
      <c r="J906" s="402"/>
      <c r="K906" s="402"/>
      <c r="L906" s="402"/>
      <c r="M906" s="402"/>
      <c r="N906" s="402"/>
      <c r="O906" s="402"/>
      <c r="P906" s="402"/>
      <c r="Q906" s="402"/>
      <c r="R906" s="402"/>
      <c r="S906" s="402"/>
      <c r="T906" s="402"/>
      <c r="U906" s="402"/>
      <c r="V906" s="402"/>
      <c r="W906" s="402"/>
      <c r="X906" s="402"/>
      <c r="Y906" s="402"/>
      <c r="Z906" s="402"/>
      <c r="AA906" s="402"/>
    </row>
    <row r="907">
      <c r="A907" s="455"/>
      <c r="B907" s="455"/>
      <c r="C907" s="455"/>
      <c r="D907" s="455"/>
      <c r="E907" s="402"/>
      <c r="F907" s="402"/>
      <c r="G907" s="402"/>
      <c r="H907" s="402"/>
      <c r="I907" s="402"/>
      <c r="J907" s="402"/>
      <c r="K907" s="402"/>
      <c r="L907" s="402"/>
      <c r="M907" s="402"/>
      <c r="N907" s="402"/>
      <c r="O907" s="402"/>
      <c r="P907" s="402"/>
      <c r="Q907" s="402"/>
      <c r="R907" s="402"/>
      <c r="S907" s="402"/>
      <c r="T907" s="402"/>
      <c r="U907" s="402"/>
      <c r="V907" s="402"/>
      <c r="W907" s="402"/>
      <c r="X907" s="402"/>
      <c r="Y907" s="402"/>
      <c r="Z907" s="402"/>
      <c r="AA907" s="402"/>
    </row>
    <row r="908">
      <c r="A908" s="455"/>
      <c r="B908" s="455"/>
      <c r="C908" s="455"/>
      <c r="D908" s="455"/>
      <c r="E908" s="402"/>
      <c r="F908" s="402"/>
      <c r="G908" s="402"/>
      <c r="H908" s="402"/>
      <c r="I908" s="402"/>
      <c r="J908" s="402"/>
      <c r="K908" s="402"/>
      <c r="L908" s="402"/>
      <c r="M908" s="402"/>
      <c r="N908" s="402"/>
      <c r="O908" s="402"/>
      <c r="P908" s="402"/>
      <c r="Q908" s="402"/>
      <c r="R908" s="402"/>
      <c r="S908" s="402"/>
      <c r="T908" s="402"/>
      <c r="U908" s="402"/>
      <c r="V908" s="402"/>
      <c r="W908" s="402"/>
      <c r="X908" s="402"/>
      <c r="Y908" s="402"/>
      <c r="Z908" s="402"/>
      <c r="AA908" s="402"/>
    </row>
    <row r="909">
      <c r="A909" s="455"/>
      <c r="B909" s="455"/>
      <c r="C909" s="455"/>
      <c r="D909" s="455"/>
      <c r="E909" s="402"/>
      <c r="F909" s="402"/>
      <c r="G909" s="402"/>
      <c r="H909" s="402"/>
      <c r="I909" s="402"/>
      <c r="J909" s="402"/>
      <c r="K909" s="402"/>
      <c r="L909" s="402"/>
      <c r="M909" s="402"/>
      <c r="N909" s="402"/>
      <c r="O909" s="402"/>
      <c r="P909" s="402"/>
      <c r="Q909" s="402"/>
      <c r="R909" s="402"/>
      <c r="S909" s="402"/>
      <c r="T909" s="402"/>
      <c r="U909" s="402"/>
      <c r="V909" s="402"/>
      <c r="W909" s="402"/>
      <c r="X909" s="402"/>
      <c r="Y909" s="402"/>
      <c r="Z909" s="402"/>
      <c r="AA909" s="402"/>
    </row>
    <row r="910">
      <c r="A910" s="455"/>
      <c r="B910" s="455"/>
      <c r="C910" s="455"/>
      <c r="D910" s="455"/>
      <c r="E910" s="402"/>
      <c r="F910" s="402"/>
      <c r="G910" s="402"/>
      <c r="H910" s="402"/>
      <c r="I910" s="402"/>
      <c r="J910" s="402"/>
      <c r="K910" s="402"/>
      <c r="L910" s="402"/>
      <c r="M910" s="402"/>
      <c r="N910" s="402"/>
      <c r="O910" s="402"/>
      <c r="P910" s="402"/>
      <c r="Q910" s="402"/>
      <c r="R910" s="402"/>
      <c r="S910" s="402"/>
      <c r="T910" s="402"/>
      <c r="U910" s="402"/>
      <c r="V910" s="402"/>
      <c r="W910" s="402"/>
      <c r="X910" s="402"/>
      <c r="Y910" s="402"/>
      <c r="Z910" s="402"/>
      <c r="AA910" s="402"/>
    </row>
    <row r="911">
      <c r="A911" s="455"/>
      <c r="B911" s="455"/>
      <c r="C911" s="455"/>
      <c r="D911" s="455"/>
      <c r="E911" s="402"/>
      <c r="F911" s="402"/>
      <c r="G911" s="402"/>
      <c r="H911" s="402"/>
      <c r="I911" s="402"/>
      <c r="J911" s="402"/>
      <c r="K911" s="402"/>
      <c r="L911" s="402"/>
      <c r="M911" s="402"/>
      <c r="N911" s="402"/>
      <c r="O911" s="402"/>
      <c r="P911" s="402"/>
      <c r="Q911" s="402"/>
      <c r="R911" s="402"/>
      <c r="S911" s="402"/>
      <c r="T911" s="402"/>
      <c r="U911" s="402"/>
      <c r="V911" s="402"/>
      <c r="W911" s="402"/>
      <c r="X911" s="402"/>
      <c r="Y911" s="402"/>
      <c r="Z911" s="402"/>
      <c r="AA911" s="402"/>
    </row>
    <row r="912">
      <c r="A912" s="455"/>
      <c r="B912" s="455"/>
      <c r="C912" s="455"/>
      <c r="D912" s="455"/>
      <c r="E912" s="402"/>
      <c r="F912" s="402"/>
      <c r="G912" s="402"/>
      <c r="H912" s="402"/>
      <c r="I912" s="402"/>
      <c r="J912" s="402"/>
      <c r="K912" s="402"/>
      <c r="L912" s="402"/>
      <c r="M912" s="402"/>
      <c r="N912" s="402"/>
      <c r="O912" s="402"/>
      <c r="P912" s="402"/>
      <c r="Q912" s="402"/>
      <c r="R912" s="402"/>
      <c r="S912" s="402"/>
      <c r="T912" s="402"/>
      <c r="U912" s="402"/>
      <c r="V912" s="402"/>
      <c r="W912" s="402"/>
      <c r="X912" s="402"/>
      <c r="Y912" s="402"/>
      <c r="Z912" s="402"/>
      <c r="AA912" s="402"/>
    </row>
    <row r="913">
      <c r="A913" s="455"/>
      <c r="B913" s="455"/>
      <c r="C913" s="455"/>
      <c r="D913" s="455"/>
      <c r="E913" s="402"/>
      <c r="F913" s="402"/>
      <c r="G913" s="402"/>
      <c r="H913" s="402"/>
      <c r="I913" s="402"/>
      <c r="J913" s="402"/>
      <c r="K913" s="402"/>
      <c r="L913" s="402"/>
      <c r="M913" s="402"/>
      <c r="N913" s="402"/>
      <c r="O913" s="402"/>
      <c r="P913" s="402"/>
      <c r="Q913" s="402"/>
      <c r="R913" s="402"/>
      <c r="S913" s="402"/>
      <c r="T913" s="402"/>
      <c r="U913" s="402"/>
      <c r="V913" s="402"/>
      <c r="W913" s="402"/>
      <c r="X913" s="402"/>
      <c r="Y913" s="402"/>
      <c r="Z913" s="402"/>
      <c r="AA913" s="402"/>
    </row>
    <row r="914">
      <c r="A914" s="455"/>
      <c r="B914" s="455"/>
      <c r="C914" s="455"/>
      <c r="D914" s="455"/>
      <c r="E914" s="402"/>
      <c r="F914" s="402"/>
      <c r="G914" s="402"/>
      <c r="H914" s="402"/>
      <c r="I914" s="402"/>
      <c r="J914" s="402"/>
      <c r="K914" s="402"/>
      <c r="L914" s="402"/>
      <c r="M914" s="402"/>
      <c r="N914" s="402"/>
      <c r="O914" s="402"/>
      <c r="P914" s="402"/>
      <c r="Q914" s="402"/>
      <c r="R914" s="402"/>
      <c r="S914" s="402"/>
      <c r="T914" s="402"/>
      <c r="U914" s="402"/>
      <c r="V914" s="402"/>
      <c r="W914" s="402"/>
      <c r="X914" s="402"/>
      <c r="Y914" s="402"/>
      <c r="Z914" s="402"/>
      <c r="AA914" s="402"/>
    </row>
    <row r="915">
      <c r="A915" s="455"/>
      <c r="B915" s="455"/>
      <c r="C915" s="455"/>
      <c r="D915" s="455"/>
      <c r="E915" s="402"/>
      <c r="F915" s="402"/>
      <c r="G915" s="402"/>
      <c r="H915" s="402"/>
      <c r="I915" s="402"/>
      <c r="J915" s="402"/>
      <c r="K915" s="402"/>
      <c r="L915" s="402"/>
      <c r="M915" s="402"/>
      <c r="N915" s="402"/>
      <c r="O915" s="402"/>
      <c r="P915" s="402"/>
      <c r="Q915" s="402"/>
      <c r="R915" s="402"/>
      <c r="S915" s="402"/>
      <c r="T915" s="402"/>
      <c r="U915" s="402"/>
      <c r="V915" s="402"/>
      <c r="W915" s="402"/>
      <c r="X915" s="402"/>
      <c r="Y915" s="402"/>
      <c r="Z915" s="402"/>
      <c r="AA915" s="402"/>
    </row>
    <row r="916">
      <c r="A916" s="455"/>
      <c r="B916" s="455"/>
      <c r="C916" s="455"/>
      <c r="D916" s="455"/>
      <c r="E916" s="402"/>
      <c r="F916" s="402"/>
      <c r="G916" s="402"/>
      <c r="H916" s="402"/>
      <c r="I916" s="402"/>
      <c r="J916" s="402"/>
      <c r="K916" s="402"/>
      <c r="L916" s="402"/>
      <c r="M916" s="402"/>
      <c r="N916" s="402"/>
      <c r="O916" s="402"/>
      <c r="P916" s="402"/>
      <c r="Q916" s="402"/>
      <c r="R916" s="402"/>
      <c r="S916" s="402"/>
      <c r="T916" s="402"/>
      <c r="U916" s="402"/>
      <c r="V916" s="402"/>
      <c r="W916" s="402"/>
      <c r="X916" s="402"/>
      <c r="Y916" s="402"/>
      <c r="Z916" s="402"/>
      <c r="AA916" s="402"/>
    </row>
    <row r="917">
      <c r="A917" s="455"/>
      <c r="B917" s="455"/>
      <c r="C917" s="455"/>
      <c r="D917" s="455"/>
      <c r="E917" s="402"/>
      <c r="F917" s="402"/>
      <c r="G917" s="402"/>
      <c r="H917" s="402"/>
      <c r="I917" s="402"/>
      <c r="J917" s="402"/>
      <c r="K917" s="402"/>
      <c r="L917" s="402"/>
      <c r="M917" s="402"/>
      <c r="N917" s="402"/>
      <c r="O917" s="402"/>
      <c r="P917" s="402"/>
      <c r="Q917" s="402"/>
      <c r="R917" s="402"/>
      <c r="S917" s="402"/>
      <c r="T917" s="402"/>
      <c r="U917" s="402"/>
      <c r="V917" s="402"/>
      <c r="W917" s="402"/>
      <c r="X917" s="402"/>
      <c r="Y917" s="402"/>
      <c r="Z917" s="402"/>
      <c r="AA917" s="402"/>
    </row>
    <row r="918">
      <c r="A918" s="455"/>
      <c r="B918" s="455"/>
      <c r="C918" s="455"/>
      <c r="D918" s="455"/>
      <c r="E918" s="402"/>
      <c r="F918" s="402"/>
      <c r="G918" s="402"/>
      <c r="H918" s="402"/>
      <c r="I918" s="402"/>
      <c r="J918" s="402"/>
      <c r="K918" s="402"/>
      <c r="L918" s="402"/>
      <c r="M918" s="402"/>
      <c r="N918" s="402"/>
      <c r="O918" s="402"/>
      <c r="P918" s="402"/>
      <c r="Q918" s="402"/>
      <c r="R918" s="402"/>
      <c r="S918" s="402"/>
      <c r="T918" s="402"/>
      <c r="U918" s="402"/>
      <c r="V918" s="402"/>
      <c r="W918" s="402"/>
      <c r="X918" s="402"/>
      <c r="Y918" s="402"/>
      <c r="Z918" s="402"/>
      <c r="AA918" s="402"/>
    </row>
    <row r="919">
      <c r="A919" s="455"/>
      <c r="B919" s="455"/>
      <c r="C919" s="455"/>
      <c r="D919" s="455"/>
      <c r="E919" s="402"/>
      <c r="F919" s="402"/>
      <c r="G919" s="402"/>
      <c r="H919" s="402"/>
      <c r="I919" s="402"/>
      <c r="J919" s="402"/>
      <c r="K919" s="402"/>
      <c r="L919" s="402"/>
      <c r="M919" s="402"/>
      <c r="N919" s="402"/>
      <c r="O919" s="402"/>
      <c r="P919" s="402"/>
      <c r="Q919" s="402"/>
      <c r="R919" s="402"/>
      <c r="S919" s="402"/>
      <c r="T919" s="402"/>
      <c r="U919" s="402"/>
      <c r="V919" s="402"/>
      <c r="W919" s="402"/>
      <c r="X919" s="402"/>
      <c r="Y919" s="402"/>
      <c r="Z919" s="402"/>
      <c r="AA919" s="402"/>
    </row>
    <row r="920">
      <c r="A920" s="455"/>
      <c r="B920" s="455"/>
      <c r="C920" s="455"/>
      <c r="D920" s="455"/>
      <c r="E920" s="402"/>
      <c r="F920" s="402"/>
      <c r="G920" s="402"/>
      <c r="H920" s="402"/>
      <c r="I920" s="402"/>
      <c r="J920" s="402"/>
      <c r="K920" s="402"/>
      <c r="L920" s="402"/>
      <c r="M920" s="402"/>
      <c r="N920" s="402"/>
      <c r="O920" s="402"/>
      <c r="P920" s="402"/>
      <c r="Q920" s="402"/>
      <c r="R920" s="402"/>
      <c r="S920" s="402"/>
      <c r="T920" s="402"/>
      <c r="U920" s="402"/>
      <c r="V920" s="402"/>
      <c r="W920" s="402"/>
      <c r="X920" s="402"/>
      <c r="Y920" s="402"/>
      <c r="Z920" s="402"/>
      <c r="AA920" s="402"/>
    </row>
    <row r="921">
      <c r="A921" s="455"/>
      <c r="B921" s="455"/>
      <c r="C921" s="455"/>
      <c r="D921" s="455"/>
      <c r="E921" s="402"/>
      <c r="F921" s="402"/>
      <c r="G921" s="402"/>
      <c r="H921" s="402"/>
      <c r="I921" s="402"/>
      <c r="J921" s="402"/>
      <c r="K921" s="402"/>
      <c r="L921" s="402"/>
      <c r="M921" s="402"/>
      <c r="N921" s="402"/>
      <c r="O921" s="402"/>
      <c r="P921" s="402"/>
      <c r="Q921" s="402"/>
      <c r="R921" s="402"/>
      <c r="S921" s="402"/>
      <c r="T921" s="402"/>
      <c r="U921" s="402"/>
      <c r="V921" s="402"/>
      <c r="W921" s="402"/>
      <c r="X921" s="402"/>
      <c r="Y921" s="402"/>
      <c r="Z921" s="402"/>
      <c r="AA921" s="402"/>
    </row>
    <row r="922">
      <c r="A922" s="455"/>
      <c r="B922" s="455"/>
      <c r="C922" s="455"/>
      <c r="D922" s="455"/>
      <c r="E922" s="402"/>
      <c r="F922" s="402"/>
      <c r="G922" s="402"/>
      <c r="H922" s="402"/>
      <c r="I922" s="402"/>
      <c r="J922" s="402"/>
      <c r="K922" s="402"/>
      <c r="L922" s="402"/>
      <c r="M922" s="402"/>
      <c r="N922" s="402"/>
      <c r="O922" s="402"/>
      <c r="P922" s="402"/>
      <c r="Q922" s="402"/>
      <c r="R922" s="402"/>
      <c r="S922" s="402"/>
      <c r="T922" s="402"/>
      <c r="U922" s="402"/>
      <c r="V922" s="402"/>
      <c r="W922" s="402"/>
      <c r="X922" s="402"/>
      <c r="Y922" s="402"/>
      <c r="Z922" s="402"/>
      <c r="AA922" s="402"/>
    </row>
    <row r="923">
      <c r="A923" s="455"/>
      <c r="B923" s="455"/>
      <c r="C923" s="455"/>
      <c r="D923" s="455"/>
      <c r="E923" s="402"/>
      <c r="F923" s="402"/>
      <c r="G923" s="402"/>
      <c r="H923" s="402"/>
      <c r="I923" s="402"/>
      <c r="J923" s="402"/>
      <c r="K923" s="402"/>
      <c r="L923" s="402"/>
      <c r="M923" s="402"/>
      <c r="N923" s="402"/>
      <c r="O923" s="402"/>
      <c r="P923" s="402"/>
      <c r="Q923" s="402"/>
      <c r="R923" s="402"/>
      <c r="S923" s="402"/>
      <c r="T923" s="402"/>
      <c r="U923" s="402"/>
      <c r="V923" s="402"/>
      <c r="W923" s="402"/>
      <c r="X923" s="402"/>
      <c r="Y923" s="402"/>
      <c r="Z923" s="402"/>
      <c r="AA923" s="402"/>
    </row>
    <row r="924">
      <c r="A924" s="455"/>
      <c r="B924" s="455"/>
      <c r="C924" s="455"/>
      <c r="D924" s="455"/>
      <c r="E924" s="402"/>
      <c r="F924" s="402"/>
      <c r="G924" s="402"/>
      <c r="H924" s="402"/>
      <c r="I924" s="402"/>
      <c r="J924" s="402"/>
      <c r="K924" s="402"/>
      <c r="L924" s="402"/>
      <c r="M924" s="402"/>
      <c r="N924" s="402"/>
      <c r="O924" s="402"/>
      <c r="P924" s="402"/>
      <c r="Q924" s="402"/>
      <c r="R924" s="402"/>
      <c r="S924" s="402"/>
      <c r="T924" s="402"/>
      <c r="U924" s="402"/>
      <c r="V924" s="402"/>
      <c r="W924" s="402"/>
      <c r="X924" s="402"/>
      <c r="Y924" s="402"/>
      <c r="Z924" s="402"/>
      <c r="AA924" s="402"/>
    </row>
    <row r="925">
      <c r="A925" s="455"/>
      <c r="B925" s="455"/>
      <c r="C925" s="455"/>
      <c r="D925" s="455"/>
      <c r="E925" s="402"/>
      <c r="F925" s="402"/>
      <c r="G925" s="402"/>
      <c r="H925" s="402"/>
      <c r="I925" s="402"/>
      <c r="J925" s="402"/>
      <c r="K925" s="402"/>
      <c r="L925" s="402"/>
      <c r="M925" s="402"/>
      <c r="N925" s="402"/>
      <c r="O925" s="402"/>
      <c r="P925" s="402"/>
      <c r="Q925" s="402"/>
      <c r="R925" s="402"/>
      <c r="S925" s="402"/>
      <c r="T925" s="402"/>
      <c r="U925" s="402"/>
      <c r="V925" s="402"/>
      <c r="W925" s="402"/>
      <c r="X925" s="402"/>
      <c r="Y925" s="402"/>
      <c r="Z925" s="402"/>
      <c r="AA925" s="402"/>
    </row>
    <row r="926">
      <c r="A926" s="455"/>
      <c r="B926" s="455"/>
      <c r="C926" s="455"/>
      <c r="D926" s="455"/>
      <c r="E926" s="402"/>
      <c r="F926" s="402"/>
      <c r="G926" s="402"/>
      <c r="H926" s="402"/>
      <c r="I926" s="402"/>
      <c r="J926" s="402"/>
      <c r="K926" s="402"/>
      <c r="L926" s="402"/>
      <c r="M926" s="402"/>
      <c r="N926" s="402"/>
      <c r="O926" s="402"/>
      <c r="P926" s="402"/>
      <c r="Q926" s="402"/>
      <c r="R926" s="402"/>
      <c r="S926" s="402"/>
      <c r="T926" s="402"/>
      <c r="U926" s="402"/>
      <c r="V926" s="402"/>
      <c r="W926" s="402"/>
      <c r="X926" s="402"/>
      <c r="Y926" s="402"/>
      <c r="Z926" s="402"/>
      <c r="AA926" s="402"/>
    </row>
    <row r="927">
      <c r="A927" s="455"/>
      <c r="B927" s="455"/>
      <c r="C927" s="455"/>
      <c r="D927" s="455"/>
      <c r="E927" s="402"/>
      <c r="F927" s="402"/>
      <c r="G927" s="402"/>
      <c r="H927" s="402"/>
      <c r="I927" s="402"/>
      <c r="J927" s="402"/>
      <c r="K927" s="402"/>
      <c r="L927" s="402"/>
      <c r="M927" s="402"/>
      <c r="N927" s="402"/>
      <c r="O927" s="402"/>
      <c r="P927" s="402"/>
      <c r="Q927" s="402"/>
      <c r="R927" s="402"/>
      <c r="S927" s="402"/>
      <c r="T927" s="402"/>
      <c r="U927" s="402"/>
      <c r="V927" s="402"/>
      <c r="W927" s="402"/>
      <c r="X927" s="402"/>
      <c r="Y927" s="402"/>
      <c r="Z927" s="402"/>
      <c r="AA927" s="402"/>
    </row>
    <row r="928">
      <c r="A928" s="455"/>
      <c r="B928" s="455"/>
      <c r="C928" s="455"/>
      <c r="D928" s="455"/>
      <c r="E928" s="402"/>
      <c r="F928" s="402"/>
      <c r="G928" s="402"/>
      <c r="H928" s="402"/>
      <c r="I928" s="402"/>
      <c r="J928" s="402"/>
      <c r="K928" s="402"/>
      <c r="L928" s="402"/>
      <c r="M928" s="402"/>
      <c r="N928" s="402"/>
      <c r="O928" s="402"/>
      <c r="P928" s="402"/>
      <c r="Q928" s="402"/>
      <c r="R928" s="402"/>
      <c r="S928" s="402"/>
      <c r="T928" s="402"/>
      <c r="U928" s="402"/>
      <c r="V928" s="402"/>
      <c r="W928" s="402"/>
      <c r="X928" s="402"/>
      <c r="Y928" s="402"/>
      <c r="Z928" s="402"/>
      <c r="AA928" s="402"/>
    </row>
    <row r="929">
      <c r="A929" s="455"/>
      <c r="B929" s="455"/>
      <c r="C929" s="455"/>
      <c r="D929" s="455"/>
      <c r="E929" s="402"/>
      <c r="F929" s="402"/>
      <c r="G929" s="402"/>
      <c r="H929" s="402"/>
      <c r="I929" s="402"/>
      <c r="J929" s="402"/>
      <c r="K929" s="402"/>
      <c r="L929" s="402"/>
      <c r="M929" s="402"/>
      <c r="N929" s="402"/>
      <c r="O929" s="402"/>
      <c r="P929" s="402"/>
      <c r="Q929" s="402"/>
      <c r="R929" s="402"/>
      <c r="S929" s="402"/>
      <c r="T929" s="402"/>
      <c r="U929" s="402"/>
      <c r="V929" s="402"/>
      <c r="W929" s="402"/>
      <c r="X929" s="402"/>
      <c r="Y929" s="402"/>
      <c r="Z929" s="402"/>
      <c r="AA929" s="402"/>
    </row>
    <row r="930">
      <c r="A930" s="455"/>
      <c r="B930" s="455"/>
      <c r="C930" s="455"/>
      <c r="D930" s="455"/>
      <c r="E930" s="402"/>
      <c r="F930" s="402"/>
      <c r="G930" s="402"/>
      <c r="H930" s="402"/>
      <c r="I930" s="402"/>
      <c r="J930" s="402"/>
      <c r="K930" s="402"/>
      <c r="L930" s="402"/>
      <c r="M930" s="402"/>
      <c r="N930" s="402"/>
      <c r="O930" s="402"/>
      <c r="P930" s="402"/>
      <c r="Q930" s="402"/>
      <c r="R930" s="402"/>
      <c r="S930" s="402"/>
      <c r="T930" s="402"/>
      <c r="U930" s="402"/>
      <c r="V930" s="402"/>
      <c r="W930" s="402"/>
      <c r="X930" s="402"/>
      <c r="Y930" s="402"/>
      <c r="Z930" s="402"/>
      <c r="AA930" s="402"/>
    </row>
    <row r="931">
      <c r="A931" s="455"/>
      <c r="B931" s="455"/>
      <c r="C931" s="455"/>
      <c r="D931" s="455"/>
      <c r="E931" s="402"/>
      <c r="F931" s="402"/>
      <c r="G931" s="402"/>
      <c r="H931" s="402"/>
      <c r="I931" s="402"/>
      <c r="J931" s="402"/>
      <c r="K931" s="402"/>
      <c r="L931" s="402"/>
      <c r="M931" s="402"/>
      <c r="N931" s="402"/>
      <c r="O931" s="402"/>
      <c r="P931" s="402"/>
      <c r="Q931" s="402"/>
      <c r="R931" s="402"/>
      <c r="S931" s="402"/>
      <c r="T931" s="402"/>
      <c r="U931" s="402"/>
      <c r="V931" s="402"/>
      <c r="W931" s="402"/>
      <c r="X931" s="402"/>
      <c r="Y931" s="402"/>
      <c r="Z931" s="402"/>
      <c r="AA931" s="402"/>
    </row>
    <row r="932">
      <c r="A932" s="455"/>
      <c r="B932" s="455"/>
      <c r="C932" s="455"/>
      <c r="D932" s="455"/>
      <c r="E932" s="402"/>
      <c r="F932" s="402"/>
      <c r="G932" s="402"/>
      <c r="H932" s="402"/>
      <c r="I932" s="402"/>
      <c r="J932" s="402"/>
      <c r="K932" s="402"/>
      <c r="L932" s="402"/>
      <c r="M932" s="402"/>
      <c r="N932" s="402"/>
      <c r="O932" s="402"/>
      <c r="P932" s="402"/>
      <c r="Q932" s="402"/>
      <c r="R932" s="402"/>
      <c r="S932" s="402"/>
      <c r="T932" s="402"/>
      <c r="U932" s="402"/>
      <c r="V932" s="402"/>
      <c r="W932" s="402"/>
      <c r="X932" s="402"/>
      <c r="Y932" s="402"/>
      <c r="Z932" s="402"/>
      <c r="AA932" s="402"/>
    </row>
    <row r="933">
      <c r="A933" s="455"/>
      <c r="B933" s="455"/>
      <c r="C933" s="455"/>
      <c r="D933" s="455"/>
      <c r="E933" s="402"/>
      <c r="F933" s="402"/>
      <c r="G933" s="402"/>
      <c r="H933" s="402"/>
      <c r="I933" s="402"/>
      <c r="J933" s="402"/>
      <c r="K933" s="402"/>
      <c r="L933" s="402"/>
      <c r="M933" s="402"/>
      <c r="N933" s="402"/>
      <c r="O933" s="402"/>
      <c r="P933" s="402"/>
      <c r="Q933" s="402"/>
      <c r="R933" s="402"/>
      <c r="S933" s="402"/>
      <c r="T933" s="402"/>
      <c r="U933" s="402"/>
      <c r="V933" s="402"/>
      <c r="W933" s="402"/>
      <c r="X933" s="402"/>
      <c r="Y933" s="402"/>
      <c r="Z933" s="402"/>
      <c r="AA933" s="402"/>
    </row>
    <row r="934">
      <c r="A934" s="455"/>
      <c r="B934" s="455"/>
      <c r="C934" s="455"/>
      <c r="D934" s="455"/>
      <c r="E934" s="402"/>
      <c r="F934" s="402"/>
      <c r="G934" s="402"/>
      <c r="H934" s="402"/>
      <c r="I934" s="402"/>
      <c r="J934" s="402"/>
      <c r="K934" s="402"/>
      <c r="L934" s="402"/>
      <c r="M934" s="402"/>
      <c r="N934" s="402"/>
      <c r="O934" s="402"/>
      <c r="P934" s="402"/>
      <c r="Q934" s="402"/>
      <c r="R934" s="402"/>
      <c r="S934" s="402"/>
      <c r="T934" s="402"/>
      <c r="U934" s="402"/>
      <c r="V934" s="402"/>
      <c r="W934" s="402"/>
      <c r="X934" s="402"/>
      <c r="Y934" s="402"/>
      <c r="Z934" s="402"/>
      <c r="AA934" s="402"/>
    </row>
    <row r="935">
      <c r="A935" s="455"/>
      <c r="B935" s="455"/>
      <c r="C935" s="455"/>
      <c r="D935" s="455"/>
      <c r="E935" s="402"/>
      <c r="F935" s="402"/>
      <c r="G935" s="402"/>
      <c r="H935" s="402"/>
      <c r="I935" s="402"/>
      <c r="J935" s="402"/>
      <c r="K935" s="402"/>
      <c r="L935" s="402"/>
      <c r="M935" s="402"/>
      <c r="N935" s="402"/>
      <c r="O935" s="402"/>
      <c r="P935" s="402"/>
      <c r="Q935" s="402"/>
      <c r="R935" s="402"/>
      <c r="S935" s="402"/>
      <c r="T935" s="402"/>
      <c r="U935" s="402"/>
      <c r="V935" s="402"/>
      <c r="W935" s="402"/>
      <c r="X935" s="402"/>
      <c r="Y935" s="402"/>
      <c r="Z935" s="402"/>
      <c r="AA935" s="402"/>
    </row>
    <row r="936">
      <c r="A936" s="455"/>
      <c r="B936" s="455"/>
      <c r="C936" s="455"/>
      <c r="D936" s="455"/>
      <c r="E936" s="402"/>
      <c r="F936" s="402"/>
      <c r="G936" s="402"/>
      <c r="H936" s="402"/>
      <c r="I936" s="402"/>
      <c r="J936" s="402"/>
      <c r="K936" s="402"/>
      <c r="L936" s="402"/>
      <c r="M936" s="402"/>
      <c r="N936" s="402"/>
      <c r="O936" s="402"/>
      <c r="P936" s="402"/>
      <c r="Q936" s="402"/>
      <c r="R936" s="402"/>
      <c r="S936" s="402"/>
      <c r="T936" s="402"/>
      <c r="U936" s="402"/>
      <c r="V936" s="402"/>
      <c r="W936" s="402"/>
      <c r="X936" s="402"/>
      <c r="Y936" s="402"/>
      <c r="Z936" s="402"/>
      <c r="AA936" s="402"/>
    </row>
    <row r="937">
      <c r="A937" s="455"/>
      <c r="B937" s="455"/>
      <c r="C937" s="455"/>
      <c r="D937" s="455"/>
      <c r="E937" s="402"/>
      <c r="F937" s="402"/>
      <c r="G937" s="402"/>
      <c r="H937" s="402"/>
      <c r="I937" s="402"/>
      <c r="J937" s="402"/>
      <c r="K937" s="402"/>
      <c r="L937" s="402"/>
      <c r="M937" s="402"/>
      <c r="N937" s="402"/>
      <c r="O937" s="402"/>
      <c r="P937" s="402"/>
      <c r="Q937" s="402"/>
      <c r="R937" s="402"/>
      <c r="S937" s="402"/>
      <c r="T937" s="402"/>
      <c r="U937" s="402"/>
      <c r="V937" s="402"/>
      <c r="W937" s="402"/>
      <c r="X937" s="402"/>
      <c r="Y937" s="402"/>
      <c r="Z937" s="402"/>
      <c r="AA937" s="402"/>
    </row>
    <row r="938">
      <c r="A938" s="455"/>
      <c r="B938" s="455"/>
      <c r="C938" s="455"/>
      <c r="D938" s="455"/>
      <c r="E938" s="402"/>
      <c r="F938" s="402"/>
      <c r="G938" s="402"/>
      <c r="H938" s="402"/>
      <c r="I938" s="402"/>
      <c r="J938" s="402"/>
      <c r="K938" s="402"/>
      <c r="L938" s="402"/>
      <c r="M938" s="402"/>
      <c r="N938" s="402"/>
      <c r="O938" s="402"/>
      <c r="P938" s="402"/>
      <c r="Q938" s="402"/>
      <c r="R938" s="402"/>
      <c r="S938" s="402"/>
      <c r="T938" s="402"/>
      <c r="U938" s="402"/>
      <c r="V938" s="402"/>
      <c r="W938" s="402"/>
      <c r="X938" s="402"/>
      <c r="Y938" s="402"/>
      <c r="Z938" s="402"/>
      <c r="AA938" s="402"/>
    </row>
    <row r="939">
      <c r="A939" s="455"/>
      <c r="B939" s="455"/>
      <c r="C939" s="455"/>
      <c r="D939" s="455"/>
      <c r="E939" s="402"/>
      <c r="F939" s="402"/>
      <c r="G939" s="402"/>
      <c r="H939" s="402"/>
      <c r="I939" s="402"/>
      <c r="J939" s="402"/>
      <c r="K939" s="402"/>
      <c r="L939" s="402"/>
      <c r="M939" s="402"/>
      <c r="N939" s="402"/>
      <c r="O939" s="402"/>
      <c r="P939" s="402"/>
      <c r="Q939" s="402"/>
      <c r="R939" s="402"/>
      <c r="S939" s="402"/>
      <c r="T939" s="402"/>
      <c r="U939" s="402"/>
      <c r="V939" s="402"/>
      <c r="W939" s="402"/>
      <c r="X939" s="402"/>
      <c r="Y939" s="402"/>
      <c r="Z939" s="402"/>
      <c r="AA939" s="402"/>
    </row>
    <row r="940">
      <c r="A940" s="455"/>
      <c r="B940" s="455"/>
      <c r="C940" s="455"/>
      <c r="D940" s="455"/>
      <c r="E940" s="402"/>
      <c r="F940" s="402"/>
      <c r="G940" s="402"/>
      <c r="H940" s="402"/>
      <c r="I940" s="402"/>
      <c r="J940" s="402"/>
      <c r="K940" s="402"/>
      <c r="L940" s="402"/>
      <c r="M940" s="402"/>
      <c r="N940" s="402"/>
      <c r="O940" s="402"/>
      <c r="P940" s="402"/>
      <c r="Q940" s="402"/>
      <c r="R940" s="402"/>
      <c r="S940" s="402"/>
      <c r="T940" s="402"/>
      <c r="U940" s="402"/>
      <c r="V940" s="402"/>
      <c r="W940" s="402"/>
      <c r="X940" s="402"/>
      <c r="Y940" s="402"/>
      <c r="Z940" s="402"/>
      <c r="AA940" s="402"/>
    </row>
    <row r="941">
      <c r="A941" s="455"/>
      <c r="B941" s="455"/>
      <c r="C941" s="455"/>
      <c r="D941" s="455"/>
      <c r="E941" s="402"/>
      <c r="F941" s="402"/>
      <c r="G941" s="402"/>
      <c r="H941" s="402"/>
      <c r="I941" s="402"/>
      <c r="J941" s="402"/>
      <c r="K941" s="402"/>
      <c r="L941" s="402"/>
      <c r="M941" s="402"/>
      <c r="N941" s="402"/>
      <c r="O941" s="402"/>
      <c r="P941" s="402"/>
      <c r="Q941" s="402"/>
      <c r="R941" s="402"/>
      <c r="S941" s="402"/>
      <c r="T941" s="402"/>
      <c r="U941" s="402"/>
      <c r="V941" s="402"/>
      <c r="W941" s="402"/>
      <c r="X941" s="402"/>
      <c r="Y941" s="402"/>
      <c r="Z941" s="402"/>
      <c r="AA941" s="402"/>
    </row>
    <row r="942">
      <c r="A942" s="455"/>
      <c r="B942" s="455"/>
      <c r="C942" s="455"/>
      <c r="D942" s="455"/>
      <c r="E942" s="402"/>
      <c r="F942" s="402"/>
      <c r="G942" s="402"/>
      <c r="H942" s="402"/>
      <c r="I942" s="402"/>
      <c r="J942" s="402"/>
      <c r="K942" s="402"/>
      <c r="L942" s="402"/>
      <c r="M942" s="402"/>
      <c r="N942" s="402"/>
      <c r="O942" s="402"/>
      <c r="P942" s="402"/>
      <c r="Q942" s="402"/>
      <c r="R942" s="402"/>
      <c r="S942" s="402"/>
      <c r="T942" s="402"/>
      <c r="U942" s="402"/>
      <c r="V942" s="402"/>
      <c r="W942" s="402"/>
      <c r="X942" s="402"/>
      <c r="Y942" s="402"/>
      <c r="Z942" s="402"/>
      <c r="AA942" s="402"/>
    </row>
    <row r="943">
      <c r="A943" s="455"/>
      <c r="B943" s="455"/>
      <c r="C943" s="455"/>
      <c r="D943" s="455"/>
      <c r="E943" s="402"/>
      <c r="F943" s="402"/>
      <c r="G943" s="402"/>
      <c r="H943" s="402"/>
      <c r="I943" s="402"/>
      <c r="J943" s="402"/>
      <c r="K943" s="402"/>
      <c r="L943" s="402"/>
      <c r="M943" s="402"/>
      <c r="N943" s="402"/>
      <c r="O943" s="402"/>
      <c r="P943" s="402"/>
      <c r="Q943" s="402"/>
      <c r="R943" s="402"/>
      <c r="S943" s="402"/>
      <c r="T943" s="402"/>
      <c r="U943" s="402"/>
      <c r="V943" s="402"/>
      <c r="W943" s="402"/>
      <c r="X943" s="402"/>
      <c r="Y943" s="402"/>
      <c r="Z943" s="402"/>
      <c r="AA943" s="402"/>
    </row>
    <row r="944">
      <c r="A944" s="455"/>
      <c r="B944" s="455"/>
      <c r="C944" s="455"/>
      <c r="D944" s="455"/>
      <c r="E944" s="402"/>
      <c r="F944" s="402"/>
      <c r="G944" s="402"/>
      <c r="H944" s="402"/>
      <c r="I944" s="402"/>
      <c r="J944" s="402"/>
      <c r="K944" s="402"/>
      <c r="L944" s="402"/>
      <c r="M944" s="402"/>
      <c r="N944" s="402"/>
      <c r="O944" s="402"/>
      <c r="P944" s="402"/>
      <c r="Q944" s="402"/>
      <c r="R944" s="402"/>
      <c r="S944" s="402"/>
      <c r="T944" s="402"/>
      <c r="U944" s="402"/>
      <c r="V944" s="402"/>
      <c r="W944" s="402"/>
      <c r="X944" s="402"/>
      <c r="Y944" s="402"/>
      <c r="Z944" s="402"/>
      <c r="AA944" s="402"/>
    </row>
    <row r="945">
      <c r="A945" s="455"/>
      <c r="B945" s="455"/>
      <c r="C945" s="455"/>
      <c r="D945" s="455"/>
      <c r="E945" s="402"/>
      <c r="F945" s="402"/>
      <c r="G945" s="402"/>
      <c r="H945" s="402"/>
      <c r="I945" s="402"/>
      <c r="J945" s="402"/>
      <c r="K945" s="402"/>
      <c r="L945" s="402"/>
      <c r="M945" s="402"/>
      <c r="N945" s="402"/>
      <c r="O945" s="402"/>
      <c r="P945" s="402"/>
      <c r="Q945" s="402"/>
      <c r="R945" s="402"/>
      <c r="S945" s="402"/>
      <c r="T945" s="402"/>
      <c r="U945" s="402"/>
      <c r="V945" s="402"/>
      <c r="W945" s="402"/>
      <c r="X945" s="402"/>
      <c r="Y945" s="402"/>
      <c r="Z945" s="402"/>
      <c r="AA945" s="402"/>
    </row>
    <row r="946">
      <c r="A946" s="455"/>
      <c r="B946" s="455"/>
      <c r="C946" s="455"/>
      <c r="D946" s="455"/>
      <c r="E946" s="402"/>
      <c r="F946" s="402"/>
      <c r="G946" s="402"/>
      <c r="H946" s="402"/>
      <c r="I946" s="402"/>
      <c r="J946" s="402"/>
      <c r="K946" s="402"/>
      <c r="L946" s="402"/>
      <c r="M946" s="402"/>
      <c r="N946" s="402"/>
      <c r="O946" s="402"/>
      <c r="P946" s="402"/>
      <c r="Q946" s="402"/>
      <c r="R946" s="402"/>
      <c r="S946" s="402"/>
      <c r="T946" s="402"/>
      <c r="U946" s="402"/>
      <c r="V946" s="402"/>
      <c r="W946" s="402"/>
      <c r="X946" s="402"/>
      <c r="Y946" s="402"/>
      <c r="Z946" s="402"/>
      <c r="AA946" s="402"/>
    </row>
    <row r="947">
      <c r="A947" s="455"/>
      <c r="B947" s="455"/>
      <c r="C947" s="455"/>
      <c r="D947" s="455"/>
      <c r="E947" s="402"/>
      <c r="F947" s="402"/>
      <c r="G947" s="402"/>
      <c r="H947" s="402"/>
      <c r="I947" s="402"/>
      <c r="J947" s="402"/>
      <c r="K947" s="402"/>
      <c r="L947" s="402"/>
      <c r="M947" s="402"/>
      <c r="N947" s="402"/>
      <c r="O947" s="402"/>
      <c r="P947" s="402"/>
      <c r="Q947" s="402"/>
      <c r="R947" s="402"/>
      <c r="S947" s="402"/>
      <c r="T947" s="402"/>
      <c r="U947" s="402"/>
      <c r="V947" s="402"/>
      <c r="W947" s="402"/>
      <c r="X947" s="402"/>
      <c r="Y947" s="402"/>
      <c r="Z947" s="402"/>
      <c r="AA947" s="402"/>
    </row>
    <row r="948">
      <c r="A948" s="455"/>
      <c r="B948" s="455"/>
      <c r="C948" s="455"/>
      <c r="D948" s="455"/>
      <c r="E948" s="402"/>
      <c r="F948" s="402"/>
      <c r="G948" s="402"/>
      <c r="H948" s="402"/>
      <c r="I948" s="402"/>
      <c r="J948" s="402"/>
      <c r="K948" s="402"/>
      <c r="L948" s="402"/>
      <c r="M948" s="402"/>
      <c r="N948" s="402"/>
      <c r="O948" s="402"/>
      <c r="P948" s="402"/>
      <c r="Q948" s="402"/>
      <c r="R948" s="402"/>
      <c r="S948" s="402"/>
      <c r="T948" s="402"/>
      <c r="U948" s="402"/>
      <c r="V948" s="402"/>
      <c r="W948" s="402"/>
      <c r="X948" s="402"/>
      <c r="Y948" s="402"/>
      <c r="Z948" s="402"/>
      <c r="AA948" s="402"/>
    </row>
    <row r="949">
      <c r="A949" s="455"/>
      <c r="B949" s="455"/>
      <c r="C949" s="455"/>
      <c r="D949" s="455"/>
      <c r="E949" s="402"/>
      <c r="F949" s="402"/>
      <c r="G949" s="402"/>
      <c r="H949" s="402"/>
      <c r="I949" s="402"/>
      <c r="J949" s="402"/>
      <c r="K949" s="402"/>
      <c r="L949" s="402"/>
      <c r="M949" s="402"/>
      <c r="N949" s="402"/>
      <c r="O949" s="402"/>
      <c r="P949" s="402"/>
      <c r="Q949" s="402"/>
      <c r="R949" s="402"/>
      <c r="S949" s="402"/>
      <c r="T949" s="402"/>
      <c r="U949" s="402"/>
      <c r="V949" s="402"/>
      <c r="W949" s="402"/>
      <c r="X949" s="402"/>
      <c r="Y949" s="402"/>
      <c r="Z949" s="402"/>
      <c r="AA949" s="402"/>
    </row>
    <row r="950">
      <c r="A950" s="455"/>
      <c r="B950" s="455"/>
      <c r="C950" s="455"/>
      <c r="D950" s="455"/>
      <c r="E950" s="402"/>
      <c r="F950" s="402"/>
      <c r="G950" s="402"/>
      <c r="H950" s="402"/>
      <c r="I950" s="402"/>
      <c r="J950" s="402"/>
      <c r="K950" s="402"/>
      <c r="L950" s="402"/>
      <c r="M950" s="402"/>
      <c r="N950" s="402"/>
      <c r="O950" s="402"/>
      <c r="P950" s="402"/>
      <c r="Q950" s="402"/>
      <c r="R950" s="402"/>
      <c r="S950" s="402"/>
      <c r="T950" s="402"/>
      <c r="U950" s="402"/>
      <c r="V950" s="402"/>
      <c r="W950" s="402"/>
      <c r="X950" s="402"/>
      <c r="Y950" s="402"/>
      <c r="Z950" s="402"/>
      <c r="AA950" s="402"/>
    </row>
    <row r="951">
      <c r="A951" s="455"/>
      <c r="B951" s="455"/>
      <c r="C951" s="455"/>
      <c r="D951" s="455"/>
      <c r="E951" s="402"/>
      <c r="F951" s="402"/>
      <c r="G951" s="402"/>
      <c r="H951" s="402"/>
      <c r="I951" s="402"/>
      <c r="J951" s="402"/>
      <c r="K951" s="402"/>
      <c r="L951" s="402"/>
      <c r="M951" s="402"/>
      <c r="N951" s="402"/>
      <c r="O951" s="402"/>
      <c r="P951" s="402"/>
      <c r="Q951" s="402"/>
      <c r="R951" s="402"/>
      <c r="S951" s="402"/>
      <c r="T951" s="402"/>
      <c r="U951" s="402"/>
      <c r="V951" s="402"/>
      <c r="W951" s="402"/>
      <c r="X951" s="402"/>
      <c r="Y951" s="402"/>
      <c r="Z951" s="402"/>
      <c r="AA951" s="402"/>
    </row>
    <row r="952">
      <c r="A952" s="455"/>
      <c r="B952" s="455"/>
      <c r="C952" s="455"/>
      <c r="D952" s="455"/>
      <c r="E952" s="402"/>
      <c r="F952" s="402"/>
      <c r="G952" s="402"/>
      <c r="H952" s="402"/>
      <c r="I952" s="402"/>
      <c r="J952" s="402"/>
      <c r="K952" s="402"/>
      <c r="L952" s="402"/>
      <c r="M952" s="402"/>
      <c r="N952" s="402"/>
      <c r="O952" s="402"/>
      <c r="P952" s="402"/>
      <c r="Q952" s="402"/>
      <c r="R952" s="402"/>
      <c r="S952" s="402"/>
      <c r="T952" s="402"/>
      <c r="U952" s="402"/>
      <c r="V952" s="402"/>
      <c r="W952" s="402"/>
      <c r="X952" s="402"/>
      <c r="Y952" s="402"/>
      <c r="Z952" s="402"/>
      <c r="AA952" s="402"/>
    </row>
    <row r="953">
      <c r="A953" s="455"/>
      <c r="B953" s="455"/>
      <c r="C953" s="455"/>
      <c r="D953" s="455"/>
      <c r="E953" s="402"/>
      <c r="F953" s="402"/>
      <c r="G953" s="402"/>
      <c r="H953" s="402"/>
      <c r="I953" s="402"/>
      <c r="J953" s="402"/>
      <c r="K953" s="402"/>
      <c r="L953" s="402"/>
      <c r="M953" s="402"/>
      <c r="N953" s="402"/>
      <c r="O953" s="402"/>
      <c r="P953" s="402"/>
      <c r="Q953" s="402"/>
      <c r="R953" s="402"/>
      <c r="S953" s="402"/>
      <c r="T953" s="402"/>
      <c r="U953" s="402"/>
      <c r="V953" s="402"/>
      <c r="W953" s="402"/>
      <c r="X953" s="402"/>
      <c r="Y953" s="402"/>
      <c r="Z953" s="402"/>
      <c r="AA953" s="402"/>
    </row>
    <row r="954">
      <c r="A954" s="455"/>
      <c r="B954" s="455"/>
      <c r="C954" s="455"/>
      <c r="D954" s="455"/>
      <c r="E954" s="402"/>
      <c r="F954" s="402"/>
      <c r="G954" s="402"/>
      <c r="H954" s="402"/>
      <c r="I954" s="402"/>
      <c r="J954" s="402"/>
      <c r="K954" s="402"/>
      <c r="L954" s="402"/>
      <c r="M954" s="402"/>
      <c r="N954" s="402"/>
      <c r="O954" s="402"/>
      <c r="P954" s="402"/>
      <c r="Q954" s="402"/>
      <c r="R954" s="402"/>
      <c r="S954" s="402"/>
      <c r="T954" s="402"/>
      <c r="U954" s="402"/>
      <c r="V954" s="402"/>
      <c r="W954" s="402"/>
      <c r="X954" s="402"/>
      <c r="Y954" s="402"/>
      <c r="Z954" s="402"/>
      <c r="AA954" s="402"/>
    </row>
    <row r="955">
      <c r="A955" s="455"/>
      <c r="B955" s="455"/>
      <c r="C955" s="455"/>
      <c r="D955" s="455"/>
      <c r="E955" s="402"/>
      <c r="F955" s="402"/>
      <c r="G955" s="402"/>
      <c r="H955" s="402"/>
      <c r="I955" s="402"/>
      <c r="J955" s="402"/>
      <c r="K955" s="402"/>
      <c r="L955" s="402"/>
      <c r="M955" s="402"/>
      <c r="N955" s="402"/>
      <c r="O955" s="402"/>
      <c r="P955" s="402"/>
      <c r="Q955" s="402"/>
      <c r="R955" s="402"/>
      <c r="S955" s="402"/>
      <c r="T955" s="402"/>
      <c r="U955" s="402"/>
      <c r="V955" s="402"/>
      <c r="W955" s="402"/>
      <c r="X955" s="402"/>
      <c r="Y955" s="402"/>
      <c r="Z955" s="402"/>
      <c r="AA955" s="402"/>
    </row>
    <row r="956">
      <c r="A956" s="455"/>
      <c r="B956" s="455"/>
      <c r="C956" s="455"/>
      <c r="D956" s="455"/>
      <c r="E956" s="402"/>
      <c r="F956" s="402"/>
      <c r="G956" s="402"/>
      <c r="H956" s="402"/>
      <c r="I956" s="402"/>
      <c r="J956" s="402"/>
      <c r="K956" s="402"/>
      <c r="L956" s="402"/>
      <c r="M956" s="402"/>
      <c r="N956" s="402"/>
      <c r="O956" s="402"/>
      <c r="P956" s="402"/>
      <c r="Q956" s="402"/>
      <c r="R956" s="402"/>
      <c r="S956" s="402"/>
      <c r="T956" s="402"/>
      <c r="U956" s="402"/>
      <c r="V956" s="402"/>
      <c r="W956" s="402"/>
      <c r="X956" s="402"/>
      <c r="Y956" s="402"/>
      <c r="Z956" s="402"/>
      <c r="AA956" s="402"/>
    </row>
    <row r="957">
      <c r="A957" s="455"/>
      <c r="B957" s="455"/>
      <c r="C957" s="455"/>
      <c r="D957" s="455"/>
      <c r="E957" s="402"/>
      <c r="F957" s="402"/>
      <c r="G957" s="402"/>
      <c r="H957" s="402"/>
      <c r="I957" s="402"/>
      <c r="J957" s="402"/>
      <c r="K957" s="402"/>
      <c r="L957" s="402"/>
      <c r="M957" s="402"/>
      <c r="N957" s="402"/>
      <c r="O957" s="402"/>
      <c r="P957" s="402"/>
      <c r="Q957" s="402"/>
      <c r="R957" s="402"/>
      <c r="S957" s="402"/>
      <c r="T957" s="402"/>
      <c r="U957" s="402"/>
      <c r="V957" s="402"/>
      <c r="W957" s="402"/>
      <c r="X957" s="402"/>
      <c r="Y957" s="402"/>
      <c r="Z957" s="402"/>
      <c r="AA957" s="402"/>
    </row>
    <row r="958">
      <c r="A958" s="455"/>
      <c r="B958" s="455"/>
      <c r="C958" s="455"/>
      <c r="D958" s="455"/>
      <c r="E958" s="402"/>
      <c r="F958" s="402"/>
      <c r="G958" s="402"/>
      <c r="H958" s="402"/>
      <c r="I958" s="402"/>
      <c r="J958" s="402"/>
      <c r="K958" s="402"/>
      <c r="L958" s="402"/>
      <c r="M958" s="402"/>
      <c r="N958" s="402"/>
      <c r="O958" s="402"/>
      <c r="P958" s="402"/>
      <c r="Q958" s="402"/>
      <c r="R958" s="402"/>
      <c r="S958" s="402"/>
      <c r="T958" s="402"/>
      <c r="U958" s="402"/>
      <c r="V958" s="402"/>
      <c r="W958" s="402"/>
      <c r="X958" s="402"/>
      <c r="Y958" s="402"/>
      <c r="Z958" s="402"/>
      <c r="AA958" s="402"/>
    </row>
    <row r="959">
      <c r="A959" s="455"/>
      <c r="B959" s="455"/>
      <c r="C959" s="455"/>
      <c r="D959" s="455"/>
      <c r="E959" s="402"/>
      <c r="F959" s="402"/>
      <c r="G959" s="402"/>
      <c r="H959" s="402"/>
      <c r="I959" s="402"/>
      <c r="J959" s="402"/>
      <c r="K959" s="402"/>
      <c r="L959" s="402"/>
      <c r="M959" s="402"/>
      <c r="N959" s="402"/>
      <c r="O959" s="402"/>
      <c r="P959" s="402"/>
      <c r="Q959" s="402"/>
      <c r="R959" s="402"/>
      <c r="S959" s="402"/>
      <c r="T959" s="402"/>
      <c r="U959" s="402"/>
      <c r="V959" s="402"/>
      <c r="W959" s="402"/>
      <c r="X959" s="402"/>
      <c r="Y959" s="402"/>
      <c r="Z959" s="402"/>
      <c r="AA959" s="402"/>
    </row>
    <row r="960">
      <c r="A960" s="455"/>
      <c r="B960" s="455"/>
      <c r="C960" s="455"/>
      <c r="D960" s="455"/>
      <c r="E960" s="402"/>
      <c r="F960" s="402"/>
      <c r="G960" s="402"/>
      <c r="H960" s="402"/>
      <c r="I960" s="402"/>
      <c r="J960" s="402"/>
      <c r="K960" s="402"/>
      <c r="L960" s="402"/>
      <c r="M960" s="402"/>
      <c r="N960" s="402"/>
      <c r="O960" s="402"/>
      <c r="P960" s="402"/>
      <c r="Q960" s="402"/>
      <c r="R960" s="402"/>
      <c r="S960" s="402"/>
      <c r="T960" s="402"/>
      <c r="U960" s="402"/>
      <c r="V960" s="402"/>
      <c r="W960" s="402"/>
      <c r="X960" s="402"/>
      <c r="Y960" s="402"/>
      <c r="Z960" s="402"/>
      <c r="AA960" s="402"/>
    </row>
    <row r="961">
      <c r="A961" s="455"/>
      <c r="B961" s="455"/>
      <c r="C961" s="455"/>
      <c r="D961" s="455"/>
      <c r="E961" s="402"/>
      <c r="F961" s="402"/>
      <c r="G961" s="402"/>
      <c r="H961" s="402"/>
      <c r="I961" s="402"/>
      <c r="J961" s="402"/>
      <c r="K961" s="402"/>
      <c r="L961" s="402"/>
      <c r="M961" s="402"/>
      <c r="N961" s="402"/>
      <c r="O961" s="402"/>
      <c r="P961" s="402"/>
      <c r="Q961" s="402"/>
      <c r="R961" s="402"/>
      <c r="S961" s="402"/>
      <c r="T961" s="402"/>
      <c r="U961" s="402"/>
      <c r="V961" s="402"/>
      <c r="W961" s="402"/>
      <c r="X961" s="402"/>
      <c r="Y961" s="402"/>
      <c r="Z961" s="402"/>
      <c r="AA961" s="402"/>
    </row>
    <row r="962">
      <c r="A962" s="455"/>
      <c r="B962" s="455"/>
      <c r="C962" s="455"/>
      <c r="D962" s="455"/>
      <c r="E962" s="402"/>
      <c r="F962" s="402"/>
      <c r="G962" s="402"/>
      <c r="H962" s="402"/>
      <c r="I962" s="402"/>
      <c r="J962" s="402"/>
      <c r="K962" s="402"/>
      <c r="L962" s="402"/>
      <c r="M962" s="402"/>
      <c r="N962" s="402"/>
      <c r="O962" s="402"/>
      <c r="P962" s="402"/>
      <c r="Q962" s="402"/>
      <c r="R962" s="402"/>
      <c r="S962" s="402"/>
      <c r="T962" s="402"/>
      <c r="U962" s="402"/>
      <c r="V962" s="402"/>
      <c r="W962" s="402"/>
      <c r="X962" s="402"/>
      <c r="Y962" s="402"/>
      <c r="Z962" s="402"/>
      <c r="AA962" s="402"/>
    </row>
    <row r="963">
      <c r="A963" s="455"/>
      <c r="B963" s="455"/>
      <c r="C963" s="455"/>
      <c r="D963" s="455"/>
      <c r="E963" s="402"/>
      <c r="F963" s="402"/>
      <c r="G963" s="402"/>
      <c r="H963" s="402"/>
      <c r="I963" s="402"/>
      <c r="J963" s="402"/>
      <c r="K963" s="402"/>
      <c r="L963" s="402"/>
      <c r="M963" s="402"/>
      <c r="N963" s="402"/>
      <c r="O963" s="402"/>
      <c r="P963" s="402"/>
      <c r="Q963" s="402"/>
      <c r="R963" s="402"/>
      <c r="S963" s="402"/>
      <c r="T963" s="402"/>
      <c r="U963" s="402"/>
      <c r="V963" s="402"/>
      <c r="W963" s="402"/>
      <c r="X963" s="402"/>
      <c r="Y963" s="402"/>
      <c r="Z963" s="402"/>
      <c r="AA963" s="402"/>
    </row>
    <row r="964">
      <c r="A964" s="455"/>
      <c r="B964" s="455"/>
      <c r="C964" s="455"/>
      <c r="D964" s="455"/>
      <c r="E964" s="402"/>
      <c r="F964" s="402"/>
      <c r="G964" s="402"/>
      <c r="H964" s="402"/>
      <c r="I964" s="402"/>
      <c r="J964" s="402"/>
      <c r="K964" s="402"/>
      <c r="L964" s="402"/>
      <c r="M964" s="402"/>
      <c r="N964" s="402"/>
      <c r="O964" s="402"/>
      <c r="P964" s="402"/>
      <c r="Q964" s="402"/>
      <c r="R964" s="402"/>
      <c r="S964" s="402"/>
      <c r="T964" s="402"/>
      <c r="U964" s="402"/>
      <c r="V964" s="402"/>
      <c r="W964" s="402"/>
      <c r="X964" s="402"/>
      <c r="Y964" s="402"/>
      <c r="Z964" s="402"/>
      <c r="AA964" s="402"/>
    </row>
    <row r="965">
      <c r="A965" s="455"/>
      <c r="B965" s="455"/>
      <c r="C965" s="455"/>
      <c r="D965" s="455"/>
      <c r="E965" s="402"/>
      <c r="F965" s="402"/>
      <c r="G965" s="402"/>
      <c r="H965" s="402"/>
      <c r="I965" s="402"/>
      <c r="J965" s="402"/>
      <c r="K965" s="402"/>
      <c r="L965" s="402"/>
      <c r="M965" s="402"/>
      <c r="N965" s="402"/>
      <c r="O965" s="402"/>
      <c r="P965" s="402"/>
      <c r="Q965" s="402"/>
      <c r="R965" s="402"/>
      <c r="S965" s="402"/>
      <c r="T965" s="402"/>
      <c r="U965" s="402"/>
      <c r="V965" s="402"/>
      <c r="W965" s="402"/>
      <c r="X965" s="402"/>
      <c r="Y965" s="402"/>
      <c r="Z965" s="402"/>
      <c r="AA965" s="402"/>
    </row>
    <row r="966">
      <c r="A966" s="455"/>
      <c r="B966" s="455"/>
      <c r="C966" s="455"/>
      <c r="D966" s="455"/>
      <c r="E966" s="402"/>
      <c r="F966" s="402"/>
      <c r="G966" s="402"/>
      <c r="H966" s="402"/>
      <c r="I966" s="402"/>
      <c r="J966" s="402"/>
      <c r="K966" s="402"/>
      <c r="L966" s="402"/>
      <c r="M966" s="402"/>
      <c r="N966" s="402"/>
      <c r="O966" s="402"/>
      <c r="P966" s="402"/>
      <c r="Q966" s="402"/>
      <c r="R966" s="402"/>
      <c r="S966" s="402"/>
      <c r="T966" s="402"/>
      <c r="U966" s="402"/>
      <c r="V966" s="402"/>
      <c r="W966" s="402"/>
      <c r="X966" s="402"/>
      <c r="Y966" s="402"/>
      <c r="Z966" s="402"/>
      <c r="AA966" s="402"/>
    </row>
    <row r="967">
      <c r="A967" s="455"/>
      <c r="B967" s="455"/>
      <c r="C967" s="455"/>
      <c r="D967" s="455"/>
      <c r="E967" s="402"/>
      <c r="F967" s="402"/>
      <c r="G967" s="402"/>
      <c r="H967" s="402"/>
      <c r="I967" s="402"/>
      <c r="J967" s="402"/>
      <c r="K967" s="402"/>
      <c r="L967" s="402"/>
      <c r="M967" s="402"/>
      <c r="N967" s="402"/>
      <c r="O967" s="402"/>
      <c r="P967" s="402"/>
      <c r="Q967" s="402"/>
      <c r="R967" s="402"/>
      <c r="S967" s="402"/>
      <c r="T967" s="402"/>
      <c r="U967" s="402"/>
      <c r="V967" s="402"/>
      <c r="W967" s="402"/>
      <c r="X967" s="402"/>
      <c r="Y967" s="402"/>
      <c r="Z967" s="402"/>
      <c r="AA967" s="402"/>
    </row>
    <row r="968">
      <c r="A968" s="455"/>
      <c r="B968" s="455"/>
      <c r="C968" s="455"/>
      <c r="D968" s="455"/>
      <c r="E968" s="402"/>
      <c r="F968" s="402"/>
      <c r="G968" s="402"/>
      <c r="H968" s="402"/>
      <c r="I968" s="402"/>
      <c r="J968" s="402"/>
      <c r="K968" s="402"/>
      <c r="L968" s="402"/>
      <c r="M968" s="402"/>
      <c r="N968" s="402"/>
      <c r="O968" s="402"/>
      <c r="P968" s="402"/>
      <c r="Q968" s="402"/>
      <c r="R968" s="402"/>
      <c r="S968" s="402"/>
      <c r="T968" s="402"/>
      <c r="U968" s="402"/>
      <c r="V968" s="402"/>
      <c r="W968" s="402"/>
      <c r="X968" s="402"/>
      <c r="Y968" s="402"/>
      <c r="Z968" s="402"/>
      <c r="AA968" s="402"/>
    </row>
    <row r="969">
      <c r="A969" s="455"/>
      <c r="B969" s="455"/>
      <c r="C969" s="455"/>
      <c r="D969" s="455"/>
      <c r="E969" s="402"/>
      <c r="F969" s="402"/>
      <c r="G969" s="402"/>
      <c r="H969" s="402"/>
      <c r="I969" s="402"/>
      <c r="J969" s="402"/>
      <c r="K969" s="402"/>
      <c r="L969" s="402"/>
      <c r="M969" s="402"/>
      <c r="N969" s="402"/>
      <c r="O969" s="402"/>
      <c r="P969" s="402"/>
      <c r="Q969" s="402"/>
      <c r="R969" s="402"/>
      <c r="S969" s="402"/>
      <c r="T969" s="402"/>
      <c r="U969" s="402"/>
      <c r="V969" s="402"/>
      <c r="W969" s="402"/>
      <c r="X969" s="402"/>
      <c r="Y969" s="402"/>
      <c r="Z969" s="402"/>
      <c r="AA969" s="402"/>
    </row>
    <row r="970">
      <c r="A970" s="455"/>
      <c r="B970" s="455"/>
      <c r="C970" s="455"/>
      <c r="D970" s="455"/>
      <c r="E970" s="402"/>
      <c r="F970" s="402"/>
      <c r="G970" s="402"/>
      <c r="H970" s="402"/>
      <c r="I970" s="402"/>
      <c r="J970" s="402"/>
      <c r="K970" s="402"/>
      <c r="L970" s="402"/>
      <c r="M970" s="402"/>
      <c r="N970" s="402"/>
      <c r="O970" s="402"/>
      <c r="P970" s="402"/>
      <c r="Q970" s="402"/>
      <c r="R970" s="402"/>
      <c r="S970" s="402"/>
      <c r="T970" s="402"/>
      <c r="U970" s="402"/>
      <c r="V970" s="402"/>
      <c r="W970" s="402"/>
      <c r="X970" s="402"/>
      <c r="Y970" s="402"/>
      <c r="Z970" s="402"/>
      <c r="AA970" s="402"/>
    </row>
    <row r="971">
      <c r="A971" s="455"/>
      <c r="B971" s="455"/>
      <c r="C971" s="455"/>
      <c r="D971" s="455"/>
      <c r="E971" s="402"/>
      <c r="F971" s="402"/>
      <c r="G971" s="402"/>
      <c r="H971" s="402"/>
      <c r="I971" s="402"/>
      <c r="J971" s="402"/>
      <c r="K971" s="402"/>
      <c r="L971" s="402"/>
      <c r="M971" s="402"/>
      <c r="N971" s="402"/>
      <c r="O971" s="402"/>
      <c r="P971" s="402"/>
      <c r="Q971" s="402"/>
      <c r="R971" s="402"/>
      <c r="S971" s="402"/>
      <c r="T971" s="402"/>
      <c r="U971" s="402"/>
      <c r="V971" s="402"/>
      <c r="W971" s="402"/>
      <c r="X971" s="402"/>
      <c r="Y971" s="402"/>
      <c r="Z971" s="402"/>
      <c r="AA971" s="402"/>
    </row>
    <row r="972">
      <c r="A972" s="455"/>
      <c r="B972" s="455"/>
      <c r="C972" s="455"/>
      <c r="D972" s="455"/>
      <c r="E972" s="402"/>
      <c r="F972" s="402"/>
      <c r="G972" s="402"/>
      <c r="H972" s="402"/>
      <c r="I972" s="402"/>
      <c r="J972" s="402"/>
      <c r="K972" s="402"/>
      <c r="L972" s="402"/>
      <c r="M972" s="402"/>
      <c r="N972" s="402"/>
      <c r="O972" s="402"/>
      <c r="P972" s="402"/>
      <c r="Q972" s="402"/>
      <c r="R972" s="402"/>
      <c r="S972" s="402"/>
      <c r="T972" s="402"/>
      <c r="U972" s="402"/>
      <c r="V972" s="402"/>
      <c r="W972" s="402"/>
      <c r="X972" s="402"/>
      <c r="Y972" s="402"/>
      <c r="Z972" s="402"/>
      <c r="AA972" s="402"/>
    </row>
    <row r="973">
      <c r="A973" s="455"/>
      <c r="B973" s="455"/>
      <c r="C973" s="455"/>
      <c r="D973" s="455"/>
      <c r="E973" s="402"/>
      <c r="F973" s="402"/>
      <c r="G973" s="402"/>
      <c r="H973" s="402"/>
      <c r="I973" s="402"/>
      <c r="J973" s="402"/>
      <c r="K973" s="402"/>
      <c r="L973" s="402"/>
      <c r="M973" s="402"/>
      <c r="N973" s="402"/>
      <c r="O973" s="402"/>
      <c r="P973" s="402"/>
      <c r="Q973" s="402"/>
      <c r="R973" s="402"/>
      <c r="S973" s="402"/>
      <c r="T973" s="402"/>
      <c r="U973" s="402"/>
      <c r="V973" s="402"/>
      <c r="W973" s="402"/>
      <c r="X973" s="402"/>
      <c r="Y973" s="402"/>
      <c r="Z973" s="402"/>
      <c r="AA973" s="402"/>
    </row>
    <row r="974">
      <c r="A974" s="455"/>
      <c r="B974" s="455"/>
      <c r="C974" s="455"/>
      <c r="D974" s="455"/>
      <c r="E974" s="402"/>
      <c r="F974" s="402"/>
      <c r="G974" s="402"/>
      <c r="H974" s="402"/>
      <c r="I974" s="402"/>
      <c r="J974" s="402"/>
      <c r="K974" s="402"/>
      <c r="L974" s="402"/>
      <c r="M974" s="402"/>
      <c r="N974" s="402"/>
      <c r="O974" s="402"/>
      <c r="P974" s="402"/>
      <c r="Q974" s="402"/>
      <c r="R974" s="402"/>
      <c r="S974" s="402"/>
      <c r="T974" s="402"/>
      <c r="U974" s="402"/>
      <c r="V974" s="402"/>
      <c r="W974" s="402"/>
      <c r="X974" s="402"/>
      <c r="Y974" s="402"/>
      <c r="Z974" s="402"/>
      <c r="AA974" s="402"/>
    </row>
    <row r="975">
      <c r="A975" s="455"/>
      <c r="B975" s="455"/>
      <c r="C975" s="455"/>
      <c r="D975" s="455"/>
      <c r="E975" s="402"/>
      <c r="F975" s="402"/>
      <c r="G975" s="402"/>
      <c r="H975" s="402"/>
      <c r="I975" s="402"/>
      <c r="J975" s="402"/>
      <c r="K975" s="402"/>
      <c r="L975" s="402"/>
      <c r="M975" s="402"/>
      <c r="N975" s="402"/>
      <c r="O975" s="402"/>
      <c r="P975" s="402"/>
      <c r="Q975" s="402"/>
      <c r="R975" s="402"/>
      <c r="S975" s="402"/>
      <c r="T975" s="402"/>
      <c r="U975" s="402"/>
      <c r="V975" s="402"/>
      <c r="W975" s="402"/>
      <c r="X975" s="402"/>
      <c r="Y975" s="402"/>
      <c r="Z975" s="402"/>
      <c r="AA975" s="402"/>
    </row>
    <row r="976">
      <c r="A976" s="455"/>
      <c r="B976" s="455"/>
      <c r="C976" s="455"/>
      <c r="D976" s="455"/>
      <c r="E976" s="402"/>
      <c r="F976" s="402"/>
      <c r="G976" s="402"/>
      <c r="H976" s="402"/>
      <c r="I976" s="402"/>
      <c r="J976" s="402"/>
      <c r="K976" s="402"/>
      <c r="L976" s="402"/>
      <c r="M976" s="402"/>
      <c r="N976" s="402"/>
      <c r="O976" s="402"/>
      <c r="P976" s="402"/>
      <c r="Q976" s="402"/>
      <c r="R976" s="402"/>
      <c r="S976" s="402"/>
      <c r="T976" s="402"/>
      <c r="U976" s="402"/>
      <c r="V976" s="402"/>
      <c r="W976" s="402"/>
      <c r="X976" s="402"/>
      <c r="Y976" s="402"/>
      <c r="Z976" s="402"/>
      <c r="AA976" s="402"/>
    </row>
    <row r="977">
      <c r="A977" s="455"/>
      <c r="B977" s="455"/>
      <c r="C977" s="455"/>
      <c r="D977" s="455"/>
      <c r="E977" s="402"/>
      <c r="F977" s="402"/>
      <c r="G977" s="402"/>
      <c r="H977" s="402"/>
      <c r="I977" s="402"/>
      <c r="J977" s="402"/>
      <c r="K977" s="402"/>
      <c r="L977" s="402"/>
      <c r="M977" s="402"/>
      <c r="N977" s="402"/>
      <c r="O977" s="402"/>
      <c r="P977" s="402"/>
      <c r="Q977" s="402"/>
      <c r="R977" s="402"/>
      <c r="S977" s="402"/>
      <c r="T977" s="402"/>
      <c r="U977" s="402"/>
      <c r="V977" s="402"/>
      <c r="W977" s="402"/>
      <c r="X977" s="402"/>
      <c r="Y977" s="402"/>
      <c r="Z977" s="402"/>
      <c r="AA977" s="402"/>
    </row>
    <row r="978">
      <c r="A978" s="455"/>
      <c r="B978" s="455"/>
      <c r="C978" s="455"/>
      <c r="D978" s="455"/>
      <c r="E978" s="402"/>
      <c r="F978" s="402"/>
      <c r="G978" s="402"/>
      <c r="H978" s="402"/>
      <c r="I978" s="402"/>
      <c r="J978" s="402"/>
      <c r="K978" s="402"/>
      <c r="L978" s="402"/>
      <c r="M978" s="402"/>
      <c r="N978" s="402"/>
      <c r="O978" s="402"/>
      <c r="P978" s="402"/>
      <c r="Q978" s="402"/>
      <c r="R978" s="402"/>
      <c r="S978" s="402"/>
      <c r="T978" s="402"/>
      <c r="U978" s="402"/>
      <c r="V978" s="402"/>
      <c r="W978" s="402"/>
      <c r="X978" s="402"/>
      <c r="Y978" s="402"/>
      <c r="Z978" s="402"/>
      <c r="AA978" s="402"/>
    </row>
    <row r="979">
      <c r="A979" s="455"/>
      <c r="B979" s="455"/>
      <c r="C979" s="455"/>
      <c r="D979" s="455"/>
      <c r="E979" s="402"/>
      <c r="F979" s="402"/>
      <c r="G979" s="402"/>
      <c r="H979" s="402"/>
      <c r="I979" s="402"/>
      <c r="J979" s="402"/>
      <c r="K979" s="402"/>
      <c r="L979" s="402"/>
      <c r="M979" s="402"/>
      <c r="N979" s="402"/>
      <c r="O979" s="402"/>
      <c r="P979" s="402"/>
      <c r="Q979" s="402"/>
      <c r="R979" s="402"/>
      <c r="S979" s="402"/>
      <c r="T979" s="402"/>
      <c r="U979" s="402"/>
      <c r="V979" s="402"/>
      <c r="W979" s="402"/>
      <c r="X979" s="402"/>
      <c r="Y979" s="402"/>
      <c r="Z979" s="402"/>
      <c r="AA979" s="402"/>
    </row>
    <row r="980">
      <c r="A980" s="455"/>
      <c r="B980" s="455"/>
      <c r="C980" s="455"/>
      <c r="D980" s="455"/>
      <c r="E980" s="402"/>
      <c r="F980" s="402"/>
      <c r="G980" s="402"/>
      <c r="H980" s="402"/>
      <c r="I980" s="402"/>
      <c r="J980" s="402"/>
      <c r="K980" s="402"/>
      <c r="L980" s="402"/>
      <c r="M980" s="402"/>
      <c r="N980" s="402"/>
      <c r="O980" s="402"/>
      <c r="P980" s="402"/>
      <c r="Q980" s="402"/>
      <c r="R980" s="402"/>
      <c r="S980" s="402"/>
      <c r="T980" s="402"/>
      <c r="U980" s="402"/>
      <c r="V980" s="402"/>
      <c r="W980" s="402"/>
      <c r="X980" s="402"/>
      <c r="Y980" s="402"/>
      <c r="Z980" s="402"/>
      <c r="AA980" s="402"/>
    </row>
    <row r="981">
      <c r="A981" s="455"/>
      <c r="B981" s="455"/>
      <c r="C981" s="455"/>
      <c r="D981" s="455"/>
      <c r="E981" s="402"/>
      <c r="F981" s="402"/>
      <c r="G981" s="402"/>
      <c r="H981" s="402"/>
      <c r="I981" s="402"/>
      <c r="J981" s="402"/>
      <c r="K981" s="402"/>
      <c r="L981" s="402"/>
      <c r="M981" s="402"/>
      <c r="N981" s="402"/>
      <c r="O981" s="402"/>
      <c r="P981" s="402"/>
      <c r="Q981" s="402"/>
      <c r="R981" s="402"/>
      <c r="S981" s="402"/>
      <c r="T981" s="402"/>
      <c r="U981" s="402"/>
      <c r="V981" s="402"/>
      <c r="W981" s="402"/>
      <c r="X981" s="402"/>
      <c r="Y981" s="402"/>
      <c r="Z981" s="402"/>
      <c r="AA981" s="402"/>
    </row>
    <row r="982">
      <c r="A982" s="455"/>
      <c r="B982" s="455"/>
      <c r="C982" s="455"/>
      <c r="D982" s="455"/>
      <c r="E982" s="402"/>
      <c r="F982" s="402"/>
      <c r="G982" s="402"/>
      <c r="H982" s="402"/>
      <c r="I982" s="402"/>
      <c r="J982" s="402"/>
      <c r="K982" s="402"/>
      <c r="L982" s="402"/>
      <c r="M982" s="402"/>
      <c r="N982" s="402"/>
      <c r="O982" s="402"/>
      <c r="P982" s="402"/>
      <c r="Q982" s="402"/>
      <c r="R982" s="402"/>
      <c r="S982" s="402"/>
      <c r="T982" s="402"/>
      <c r="U982" s="402"/>
      <c r="V982" s="402"/>
      <c r="W982" s="402"/>
      <c r="X982" s="402"/>
      <c r="Y982" s="402"/>
      <c r="Z982" s="402"/>
      <c r="AA982" s="402"/>
    </row>
    <row r="983">
      <c r="A983" s="455"/>
      <c r="B983" s="455"/>
      <c r="C983" s="455"/>
      <c r="D983" s="455"/>
      <c r="E983" s="402"/>
      <c r="F983" s="402"/>
      <c r="G983" s="402"/>
      <c r="H983" s="402"/>
      <c r="I983" s="402"/>
      <c r="J983" s="402"/>
      <c r="K983" s="402"/>
      <c r="L983" s="402"/>
      <c r="M983" s="402"/>
      <c r="N983" s="402"/>
      <c r="O983" s="402"/>
      <c r="P983" s="402"/>
      <c r="Q983" s="402"/>
      <c r="R983" s="402"/>
      <c r="S983" s="402"/>
      <c r="T983" s="402"/>
      <c r="U983" s="402"/>
      <c r="V983" s="402"/>
      <c r="W983" s="402"/>
      <c r="X983" s="402"/>
      <c r="Y983" s="402"/>
      <c r="Z983" s="402"/>
      <c r="AA983" s="402"/>
    </row>
    <row r="984">
      <c r="A984" s="455"/>
      <c r="B984" s="455"/>
      <c r="C984" s="455"/>
      <c r="D984" s="455"/>
      <c r="E984" s="402"/>
      <c r="F984" s="402"/>
      <c r="G984" s="402"/>
      <c r="H984" s="402"/>
      <c r="I984" s="402"/>
      <c r="J984" s="402"/>
      <c r="K984" s="402"/>
      <c r="L984" s="402"/>
      <c r="M984" s="402"/>
      <c r="N984" s="402"/>
      <c r="O984" s="402"/>
      <c r="P984" s="402"/>
      <c r="Q984" s="402"/>
      <c r="R984" s="402"/>
      <c r="S984" s="402"/>
      <c r="T984" s="402"/>
      <c r="U984" s="402"/>
      <c r="V984" s="402"/>
      <c r="W984" s="402"/>
      <c r="X984" s="402"/>
      <c r="Y984" s="402"/>
      <c r="Z984" s="402"/>
      <c r="AA984" s="402"/>
    </row>
    <row r="985">
      <c r="A985" s="455"/>
      <c r="B985" s="455"/>
      <c r="C985" s="455"/>
      <c r="D985" s="455"/>
      <c r="E985" s="402"/>
      <c r="F985" s="402"/>
      <c r="G985" s="402"/>
      <c r="H985" s="402"/>
      <c r="I985" s="402"/>
      <c r="J985" s="402"/>
      <c r="K985" s="402"/>
      <c r="L985" s="402"/>
      <c r="M985" s="402"/>
      <c r="N985" s="402"/>
      <c r="O985" s="402"/>
      <c r="P985" s="402"/>
      <c r="Q985" s="402"/>
      <c r="R985" s="402"/>
      <c r="S985" s="402"/>
      <c r="T985" s="402"/>
      <c r="U985" s="402"/>
      <c r="V985" s="402"/>
      <c r="W985" s="402"/>
      <c r="X985" s="402"/>
      <c r="Y985" s="402"/>
      <c r="Z985" s="402"/>
      <c r="AA985" s="402"/>
    </row>
    <row r="986">
      <c r="A986" s="455"/>
      <c r="B986" s="455"/>
      <c r="C986" s="455"/>
      <c r="D986" s="455"/>
      <c r="E986" s="402"/>
      <c r="F986" s="402"/>
      <c r="G986" s="402"/>
      <c r="H986" s="402"/>
      <c r="I986" s="402"/>
      <c r="J986" s="402"/>
      <c r="K986" s="402"/>
      <c r="L986" s="402"/>
      <c r="M986" s="402"/>
      <c r="N986" s="402"/>
      <c r="O986" s="402"/>
      <c r="P986" s="402"/>
      <c r="Q986" s="402"/>
      <c r="R986" s="402"/>
      <c r="S986" s="402"/>
      <c r="T986" s="402"/>
      <c r="U986" s="402"/>
      <c r="V986" s="402"/>
      <c r="W986" s="402"/>
      <c r="X986" s="402"/>
      <c r="Y986" s="402"/>
      <c r="Z986" s="402"/>
      <c r="AA986" s="402"/>
    </row>
    <row r="987">
      <c r="A987" s="455"/>
      <c r="B987" s="455"/>
      <c r="C987" s="455"/>
      <c r="D987" s="455"/>
      <c r="E987" s="402"/>
      <c r="F987" s="402"/>
      <c r="G987" s="402"/>
      <c r="H987" s="402"/>
      <c r="I987" s="402"/>
      <c r="J987" s="402"/>
      <c r="K987" s="402"/>
      <c r="L987" s="402"/>
      <c r="M987" s="402"/>
      <c r="N987" s="402"/>
      <c r="O987" s="402"/>
      <c r="P987" s="402"/>
      <c r="Q987" s="402"/>
      <c r="R987" s="402"/>
      <c r="S987" s="402"/>
      <c r="T987" s="402"/>
      <c r="U987" s="402"/>
      <c r="V987" s="402"/>
      <c r="W987" s="402"/>
      <c r="X987" s="402"/>
      <c r="Y987" s="402"/>
      <c r="Z987" s="402"/>
      <c r="AA987" s="402"/>
    </row>
    <row r="988">
      <c r="A988" s="455"/>
      <c r="B988" s="455"/>
      <c r="C988" s="455"/>
      <c r="D988" s="455"/>
      <c r="E988" s="402"/>
      <c r="F988" s="402"/>
      <c r="G988" s="402"/>
      <c r="H988" s="402"/>
      <c r="I988" s="402"/>
      <c r="J988" s="402"/>
      <c r="K988" s="402"/>
      <c r="L988" s="402"/>
      <c r="M988" s="402"/>
      <c r="N988" s="402"/>
      <c r="O988" s="402"/>
      <c r="P988" s="402"/>
      <c r="Q988" s="402"/>
      <c r="R988" s="402"/>
      <c r="S988" s="402"/>
      <c r="T988" s="402"/>
      <c r="U988" s="402"/>
      <c r="V988" s="402"/>
      <c r="W988" s="402"/>
      <c r="X988" s="402"/>
      <c r="Y988" s="402"/>
      <c r="Z988" s="402"/>
      <c r="AA988" s="402"/>
    </row>
    <row r="989">
      <c r="A989" s="455"/>
      <c r="B989" s="455"/>
      <c r="C989" s="455"/>
      <c r="D989" s="455"/>
      <c r="E989" s="402"/>
      <c r="F989" s="402"/>
      <c r="G989" s="402"/>
      <c r="H989" s="402"/>
      <c r="I989" s="402"/>
      <c r="J989" s="402"/>
      <c r="K989" s="402"/>
      <c r="L989" s="402"/>
      <c r="M989" s="402"/>
      <c r="N989" s="402"/>
      <c r="O989" s="402"/>
      <c r="P989" s="402"/>
      <c r="Q989" s="402"/>
      <c r="R989" s="402"/>
      <c r="S989" s="402"/>
      <c r="T989" s="402"/>
      <c r="U989" s="402"/>
      <c r="V989" s="402"/>
      <c r="W989" s="402"/>
      <c r="X989" s="402"/>
      <c r="Y989" s="402"/>
      <c r="Z989" s="402"/>
      <c r="AA989" s="402"/>
    </row>
    <row r="990">
      <c r="A990" s="455"/>
      <c r="B990" s="455"/>
      <c r="C990" s="455"/>
      <c r="D990" s="455"/>
      <c r="E990" s="402"/>
      <c r="F990" s="402"/>
      <c r="G990" s="402"/>
      <c r="H990" s="402"/>
      <c r="I990" s="402"/>
      <c r="J990" s="402"/>
      <c r="K990" s="402"/>
      <c r="L990" s="402"/>
      <c r="M990" s="402"/>
      <c r="N990" s="402"/>
      <c r="O990" s="402"/>
      <c r="P990" s="402"/>
      <c r="Q990" s="402"/>
      <c r="R990" s="402"/>
      <c r="S990" s="402"/>
      <c r="T990" s="402"/>
      <c r="U990" s="402"/>
      <c r="V990" s="402"/>
      <c r="W990" s="402"/>
      <c r="X990" s="402"/>
      <c r="Y990" s="402"/>
      <c r="Z990" s="402"/>
      <c r="AA990" s="402"/>
    </row>
    <row r="991">
      <c r="A991" s="455"/>
      <c r="B991" s="455"/>
      <c r="C991" s="455"/>
      <c r="D991" s="455"/>
      <c r="E991" s="402"/>
      <c r="F991" s="402"/>
      <c r="G991" s="402"/>
      <c r="H991" s="402"/>
      <c r="I991" s="402"/>
      <c r="J991" s="402"/>
      <c r="K991" s="402"/>
      <c r="L991" s="402"/>
      <c r="M991" s="402"/>
      <c r="N991" s="402"/>
      <c r="O991" s="402"/>
      <c r="P991" s="402"/>
      <c r="Q991" s="402"/>
      <c r="R991" s="402"/>
      <c r="S991" s="402"/>
      <c r="T991" s="402"/>
      <c r="U991" s="402"/>
      <c r="V991" s="402"/>
      <c r="W991" s="402"/>
      <c r="X991" s="402"/>
      <c r="Y991" s="402"/>
      <c r="Z991" s="402"/>
      <c r="AA991" s="402"/>
    </row>
    <row r="992">
      <c r="A992" s="455"/>
      <c r="B992" s="455"/>
      <c r="C992" s="455"/>
      <c r="D992" s="455"/>
      <c r="E992" s="402"/>
      <c r="F992" s="402"/>
      <c r="G992" s="402"/>
      <c r="H992" s="402"/>
      <c r="I992" s="402"/>
      <c r="J992" s="402"/>
      <c r="K992" s="402"/>
      <c r="L992" s="402"/>
      <c r="M992" s="402"/>
      <c r="N992" s="402"/>
      <c r="O992" s="402"/>
      <c r="P992" s="402"/>
      <c r="Q992" s="402"/>
      <c r="R992" s="402"/>
      <c r="S992" s="402"/>
      <c r="T992" s="402"/>
      <c r="U992" s="402"/>
      <c r="V992" s="402"/>
      <c r="W992" s="402"/>
      <c r="X992" s="402"/>
      <c r="Y992" s="402"/>
      <c r="Z992" s="402"/>
      <c r="AA992" s="402"/>
    </row>
    <row r="993">
      <c r="A993" s="455"/>
      <c r="B993" s="455"/>
      <c r="C993" s="455"/>
      <c r="D993" s="455"/>
      <c r="E993" s="402"/>
      <c r="F993" s="402"/>
      <c r="G993" s="402"/>
      <c r="H993" s="402"/>
      <c r="I993" s="402"/>
      <c r="J993" s="402"/>
      <c r="K993" s="402"/>
      <c r="L993" s="402"/>
      <c r="M993" s="402"/>
      <c r="N993" s="402"/>
      <c r="O993" s="402"/>
      <c r="P993" s="402"/>
      <c r="Q993" s="402"/>
      <c r="R993" s="402"/>
      <c r="S993" s="402"/>
      <c r="T993" s="402"/>
      <c r="U993" s="402"/>
      <c r="V993" s="402"/>
      <c r="W993" s="402"/>
      <c r="X993" s="402"/>
      <c r="Y993" s="402"/>
      <c r="Z993" s="402"/>
      <c r="AA993" s="402"/>
    </row>
    <row r="994">
      <c r="A994" s="455"/>
      <c r="B994" s="455"/>
      <c r="C994" s="455"/>
      <c r="D994" s="455"/>
      <c r="E994" s="402"/>
      <c r="F994" s="402"/>
      <c r="G994" s="402"/>
      <c r="H994" s="402"/>
      <c r="I994" s="402"/>
      <c r="J994" s="402"/>
      <c r="K994" s="402"/>
      <c r="L994" s="402"/>
      <c r="M994" s="402"/>
      <c r="N994" s="402"/>
      <c r="O994" s="402"/>
      <c r="P994" s="402"/>
      <c r="Q994" s="402"/>
      <c r="R994" s="402"/>
      <c r="S994" s="402"/>
      <c r="T994" s="402"/>
      <c r="U994" s="402"/>
      <c r="V994" s="402"/>
      <c r="W994" s="402"/>
      <c r="X994" s="402"/>
      <c r="Y994" s="402"/>
      <c r="Z994" s="402"/>
      <c r="AA994" s="402"/>
    </row>
    <row r="995">
      <c r="A995" s="455"/>
      <c r="B995" s="455"/>
      <c r="C995" s="455"/>
      <c r="D995" s="455"/>
      <c r="E995" s="402"/>
      <c r="F995" s="402"/>
      <c r="G995" s="402"/>
      <c r="H995" s="402"/>
      <c r="I995" s="402"/>
      <c r="J995" s="402"/>
      <c r="K995" s="402"/>
      <c r="L995" s="402"/>
      <c r="M995" s="402"/>
      <c r="N995" s="402"/>
      <c r="O995" s="402"/>
      <c r="P995" s="402"/>
      <c r="Q995" s="402"/>
      <c r="R995" s="402"/>
      <c r="S995" s="402"/>
      <c r="T995" s="402"/>
      <c r="U995" s="402"/>
      <c r="V995" s="402"/>
      <c r="W995" s="402"/>
      <c r="X995" s="402"/>
      <c r="Y995" s="402"/>
      <c r="Z995" s="402"/>
      <c r="AA995" s="402"/>
    </row>
    <row r="996">
      <c r="A996" s="455"/>
      <c r="B996" s="455"/>
      <c r="C996" s="455"/>
      <c r="D996" s="455"/>
      <c r="E996" s="402"/>
      <c r="F996" s="402"/>
      <c r="G996" s="402"/>
      <c r="H996" s="402"/>
      <c r="I996" s="402"/>
      <c r="J996" s="402"/>
      <c r="K996" s="402"/>
      <c r="L996" s="402"/>
      <c r="M996" s="402"/>
      <c r="N996" s="402"/>
      <c r="O996" s="402"/>
      <c r="P996" s="402"/>
      <c r="Q996" s="402"/>
      <c r="R996" s="402"/>
      <c r="S996" s="402"/>
      <c r="T996" s="402"/>
      <c r="U996" s="402"/>
      <c r="V996" s="402"/>
      <c r="W996" s="402"/>
      <c r="X996" s="402"/>
      <c r="Y996" s="402"/>
      <c r="Z996" s="402"/>
      <c r="AA996" s="402"/>
    </row>
  </sheetData>
  <mergeCells count="41">
    <mergeCell ref="E13:E17"/>
    <mergeCell ref="F13:F17"/>
    <mergeCell ref="E18:E22"/>
    <mergeCell ref="F18:F22"/>
    <mergeCell ref="A1:F2"/>
    <mergeCell ref="A4:A12"/>
    <mergeCell ref="D4:D12"/>
    <mergeCell ref="E4:E12"/>
    <mergeCell ref="F4:F12"/>
    <mergeCell ref="A13:A17"/>
    <mergeCell ref="A18:A22"/>
    <mergeCell ref="A28:A33"/>
    <mergeCell ref="A34:A41"/>
    <mergeCell ref="A42:A43"/>
    <mergeCell ref="A44:A46"/>
    <mergeCell ref="A48:A53"/>
    <mergeCell ref="A55:A62"/>
    <mergeCell ref="A24:A26"/>
    <mergeCell ref="D24:D26"/>
    <mergeCell ref="E24:E26"/>
    <mergeCell ref="F24:F26"/>
    <mergeCell ref="D28:D33"/>
    <mergeCell ref="E28:E33"/>
    <mergeCell ref="F28:F33"/>
    <mergeCell ref="D13:D17"/>
    <mergeCell ref="D18:D22"/>
    <mergeCell ref="D34:D41"/>
    <mergeCell ref="E34:E41"/>
    <mergeCell ref="F34:F41"/>
    <mergeCell ref="E42:E43"/>
    <mergeCell ref="F42:F43"/>
    <mergeCell ref="D55:D62"/>
    <mergeCell ref="E55:E62"/>
    <mergeCell ref="F55:F62"/>
    <mergeCell ref="D42:D43"/>
    <mergeCell ref="D44:D46"/>
    <mergeCell ref="E44:E46"/>
    <mergeCell ref="F44:F46"/>
    <mergeCell ref="D48:D53"/>
    <mergeCell ref="E48:E53"/>
    <mergeCell ref="F48:F5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32.38"/>
    <col customWidth="1" min="2" max="2" width="65.88"/>
    <col customWidth="1" min="3" max="3" width="44.5"/>
    <col customWidth="1" min="4" max="4" width="25.25"/>
    <col customWidth="1" min="5" max="5" width="17.88"/>
    <col customWidth="1" min="6" max="6" width="28.88"/>
    <col customWidth="1" min="7" max="7" width="13.75"/>
    <col customWidth="1" min="8" max="9" width="18.13"/>
    <col customWidth="1" min="10" max="10" width="19.38"/>
    <col customWidth="1" min="11" max="12" width="17.13"/>
    <col customWidth="1" min="13" max="13" width="44.0"/>
    <col customWidth="1" min="14" max="14" width="48.63"/>
    <col customWidth="1" min="15" max="15" width="39.0"/>
    <col customWidth="1" min="16" max="17" width="42.63"/>
    <col customWidth="1" min="18" max="18" width="38.63"/>
  </cols>
  <sheetData>
    <row r="1" ht="20.25" customHeight="1">
      <c r="A1" s="108"/>
      <c r="C1" s="109"/>
      <c r="D1" s="109"/>
      <c r="E1" s="109"/>
      <c r="F1" s="109"/>
      <c r="G1" s="109"/>
      <c r="H1" s="111"/>
      <c r="I1" s="109"/>
      <c r="J1" s="109"/>
      <c r="K1" s="109"/>
      <c r="L1" s="109"/>
      <c r="M1" s="109"/>
      <c r="N1" s="109"/>
      <c r="O1" s="109"/>
      <c r="P1" s="109"/>
      <c r="Q1" s="110"/>
      <c r="R1" s="110"/>
      <c r="S1" s="112"/>
      <c r="T1" s="112"/>
      <c r="U1" s="112"/>
    </row>
    <row r="2" ht="20.25" customHeight="1">
      <c r="A2" s="110"/>
      <c r="B2" s="109"/>
      <c r="C2" s="109"/>
      <c r="D2" s="109"/>
      <c r="E2" s="109"/>
      <c r="F2" s="109"/>
      <c r="G2" s="109"/>
      <c r="H2" s="111"/>
      <c r="I2" s="109"/>
      <c r="J2" s="109"/>
      <c r="K2" s="109"/>
      <c r="L2" s="109"/>
      <c r="M2" s="109"/>
      <c r="N2" s="109"/>
      <c r="O2" s="109"/>
      <c r="P2" s="109"/>
      <c r="Q2" s="110"/>
      <c r="R2" s="110"/>
      <c r="S2" s="112"/>
      <c r="T2" s="112"/>
      <c r="U2" s="112"/>
    </row>
    <row r="3" ht="20.25" customHeight="1">
      <c r="A3" s="110"/>
      <c r="B3" s="109"/>
      <c r="C3" s="109"/>
      <c r="D3" s="109"/>
      <c r="E3" s="109"/>
      <c r="F3" s="109"/>
      <c r="G3" s="109"/>
      <c r="H3" s="111"/>
      <c r="I3" s="109"/>
      <c r="J3" s="109"/>
      <c r="K3" s="109"/>
      <c r="L3" s="109"/>
      <c r="M3" s="109"/>
      <c r="N3" s="109"/>
      <c r="O3" s="109"/>
      <c r="P3" s="109"/>
      <c r="Q3" s="110"/>
      <c r="R3" s="110"/>
      <c r="S3" s="112"/>
      <c r="T3" s="112"/>
      <c r="U3" s="112"/>
    </row>
    <row r="4" ht="21.0" customHeight="1">
      <c r="A4" s="110"/>
      <c r="B4" s="109"/>
      <c r="C4" s="109"/>
      <c r="D4" s="110"/>
      <c r="E4" s="110"/>
      <c r="F4" s="110"/>
      <c r="G4" s="110"/>
      <c r="H4" s="110"/>
      <c r="I4" s="110"/>
      <c r="J4" s="110"/>
      <c r="K4" s="110"/>
      <c r="L4" s="110"/>
      <c r="M4" s="110"/>
      <c r="N4" s="110"/>
      <c r="O4" s="110"/>
      <c r="P4" s="110"/>
      <c r="Q4" s="110"/>
      <c r="R4" s="110"/>
      <c r="S4" s="112"/>
      <c r="T4" s="112"/>
      <c r="U4" s="112"/>
    </row>
    <row r="5" ht="23.25" customHeight="1">
      <c r="A5" s="116" t="s">
        <v>151</v>
      </c>
      <c r="B5" s="116" t="s">
        <v>178</v>
      </c>
      <c r="C5" s="118" t="s">
        <v>1080</v>
      </c>
      <c r="D5" s="117" t="s">
        <v>1081</v>
      </c>
      <c r="E5" s="117" t="s">
        <v>180</v>
      </c>
      <c r="F5" s="117" t="s">
        <v>184</v>
      </c>
      <c r="G5" s="117" t="s">
        <v>193</v>
      </c>
      <c r="H5" s="459"/>
      <c r="I5" s="460" t="s">
        <v>1082</v>
      </c>
      <c r="J5" s="117" t="s">
        <v>1083</v>
      </c>
      <c r="K5" s="117"/>
      <c r="L5" s="117"/>
      <c r="M5" s="117"/>
      <c r="N5" s="117"/>
      <c r="O5" s="117"/>
      <c r="P5" s="117"/>
      <c r="Q5" s="116"/>
      <c r="R5" s="116"/>
      <c r="S5" s="112"/>
      <c r="T5" s="112"/>
      <c r="U5" s="112"/>
    </row>
    <row r="6" ht="18.75" customHeight="1">
      <c r="A6" s="135" t="s">
        <v>2</v>
      </c>
      <c r="B6" s="262" t="s">
        <v>1084</v>
      </c>
      <c r="C6" s="135" t="s">
        <v>1085</v>
      </c>
      <c r="D6" s="461" t="s">
        <v>1086</v>
      </c>
      <c r="E6" s="262" t="s">
        <v>1087</v>
      </c>
      <c r="F6" s="262" t="s">
        <v>1088</v>
      </c>
      <c r="G6" s="262" t="s">
        <v>1089</v>
      </c>
      <c r="H6" s="131"/>
      <c r="I6" s="131"/>
      <c r="J6" s="126"/>
      <c r="K6" s="126"/>
      <c r="L6" s="126"/>
      <c r="M6" s="156"/>
      <c r="N6" s="125"/>
      <c r="O6" s="125"/>
      <c r="P6" s="125"/>
      <c r="Q6" s="125"/>
      <c r="R6" s="254"/>
      <c r="S6" s="149"/>
      <c r="T6" s="149"/>
      <c r="U6" s="149"/>
    </row>
    <row r="7" ht="18.75" customHeight="1">
      <c r="A7" s="135" t="s">
        <v>2</v>
      </c>
      <c r="B7" s="262" t="s">
        <v>1084</v>
      </c>
      <c r="C7" s="135" t="s">
        <v>1085</v>
      </c>
      <c r="D7" s="461" t="s">
        <v>1090</v>
      </c>
      <c r="E7" s="262" t="s">
        <v>1087</v>
      </c>
      <c r="F7" s="262" t="s">
        <v>1088</v>
      </c>
      <c r="G7" s="262" t="s">
        <v>1089</v>
      </c>
      <c r="H7" s="131"/>
      <c r="I7" s="131"/>
      <c r="J7" s="126"/>
      <c r="K7" s="126"/>
      <c r="L7" s="126"/>
      <c r="M7" s="156"/>
      <c r="N7" s="125"/>
      <c r="O7" s="125"/>
      <c r="P7" s="125"/>
      <c r="Q7" s="125"/>
      <c r="R7" s="254"/>
      <c r="S7" s="149"/>
      <c r="T7" s="149"/>
      <c r="U7" s="149"/>
    </row>
    <row r="8" ht="18.75" customHeight="1">
      <c r="A8" s="135" t="s">
        <v>2</v>
      </c>
      <c r="B8" s="262" t="s">
        <v>1084</v>
      </c>
      <c r="C8" s="135" t="s">
        <v>1085</v>
      </c>
      <c r="D8" s="262" t="s">
        <v>1091</v>
      </c>
      <c r="E8" s="262" t="s">
        <v>1087</v>
      </c>
      <c r="F8" s="262" t="s">
        <v>1088</v>
      </c>
      <c r="G8" s="262" t="s">
        <v>1089</v>
      </c>
      <c r="H8" s="131"/>
      <c r="I8" s="131"/>
      <c r="J8" s="125"/>
      <c r="K8" s="125"/>
      <c r="L8" s="125"/>
      <c r="M8" s="139"/>
      <c r="N8" s="125"/>
      <c r="O8" s="125"/>
      <c r="P8" s="125"/>
      <c r="Q8" s="125"/>
      <c r="R8" s="254"/>
      <c r="S8" s="149"/>
      <c r="T8" s="149"/>
      <c r="U8" s="149"/>
    </row>
    <row r="9" ht="18.75" customHeight="1">
      <c r="A9" s="135" t="s">
        <v>2</v>
      </c>
      <c r="B9" s="262" t="s">
        <v>1084</v>
      </c>
      <c r="C9" s="135" t="s">
        <v>1085</v>
      </c>
      <c r="D9" s="262" t="s">
        <v>1092</v>
      </c>
      <c r="E9" s="262" t="s">
        <v>1087</v>
      </c>
      <c r="F9" s="262" t="s">
        <v>1088</v>
      </c>
      <c r="G9" s="262" t="s">
        <v>1089</v>
      </c>
      <c r="H9" s="131"/>
      <c r="I9" s="131"/>
      <c r="J9" s="125"/>
      <c r="K9" s="125"/>
      <c r="L9" s="125"/>
      <c r="M9" s="139"/>
      <c r="N9" s="125"/>
      <c r="O9" s="125"/>
      <c r="P9" s="125"/>
      <c r="Q9" s="125"/>
      <c r="R9" s="125"/>
      <c r="S9" s="149"/>
      <c r="T9" s="149"/>
      <c r="U9" s="149"/>
    </row>
    <row r="10" ht="18.75" customHeight="1">
      <c r="A10" s="135" t="s">
        <v>2</v>
      </c>
      <c r="B10" s="262" t="s">
        <v>1084</v>
      </c>
      <c r="C10" s="135" t="s">
        <v>1093</v>
      </c>
      <c r="D10" s="262" t="s">
        <v>1094</v>
      </c>
      <c r="E10" s="262" t="s">
        <v>1095</v>
      </c>
      <c r="F10" s="262" t="s">
        <v>1088</v>
      </c>
      <c r="G10" s="262" t="s">
        <v>1089</v>
      </c>
      <c r="H10" s="125" t="s">
        <v>1096</v>
      </c>
      <c r="I10" s="131"/>
      <c r="J10" s="126"/>
      <c r="K10" s="126"/>
      <c r="L10" s="126"/>
      <c r="M10" s="144"/>
      <c r="N10" s="126"/>
      <c r="O10" s="126"/>
      <c r="P10" s="125"/>
      <c r="Q10" s="125"/>
      <c r="R10" s="125"/>
      <c r="S10" s="149"/>
      <c r="T10" s="149"/>
      <c r="U10" s="149"/>
    </row>
    <row r="11" ht="18.75" customHeight="1">
      <c r="A11" s="135" t="s">
        <v>2</v>
      </c>
      <c r="B11" s="262" t="s">
        <v>1084</v>
      </c>
      <c r="C11" s="135" t="s">
        <v>1093</v>
      </c>
      <c r="D11" s="262" t="s">
        <v>1097</v>
      </c>
      <c r="E11" s="262" t="s">
        <v>1098</v>
      </c>
      <c r="F11" s="262" t="s">
        <v>1088</v>
      </c>
      <c r="G11" s="262" t="s">
        <v>1089</v>
      </c>
      <c r="H11" s="125" t="s">
        <v>1096</v>
      </c>
      <c r="I11" s="131"/>
      <c r="J11" s="126"/>
      <c r="K11" s="126"/>
      <c r="L11" s="126"/>
      <c r="M11" s="147"/>
      <c r="N11" s="125"/>
      <c r="O11" s="125"/>
      <c r="P11" s="125"/>
      <c r="Q11" s="125"/>
      <c r="R11" s="254"/>
      <c r="S11" s="149"/>
      <c r="T11" s="149"/>
      <c r="U11" s="149"/>
    </row>
    <row r="12" ht="18.75" customHeight="1">
      <c r="A12" s="135" t="s">
        <v>2</v>
      </c>
      <c r="B12" s="262" t="s">
        <v>1084</v>
      </c>
      <c r="C12" s="135" t="s">
        <v>1093</v>
      </c>
      <c r="D12" s="262" t="s">
        <v>1099</v>
      </c>
      <c r="E12" s="262" t="s">
        <v>1100</v>
      </c>
      <c r="F12" s="262" t="s">
        <v>1088</v>
      </c>
      <c r="G12" s="262" t="s">
        <v>1089</v>
      </c>
      <c r="H12" s="125" t="s">
        <v>1096</v>
      </c>
      <c r="I12" s="131"/>
      <c r="J12" s="125"/>
      <c r="K12" s="125"/>
      <c r="L12" s="126"/>
      <c r="M12" s="139"/>
      <c r="N12" s="125"/>
      <c r="O12" s="125"/>
      <c r="P12" s="125"/>
      <c r="Q12" s="125"/>
      <c r="R12" s="126"/>
      <c r="S12" s="149"/>
      <c r="T12" s="149"/>
      <c r="U12" s="149"/>
    </row>
    <row r="13" ht="18.75" customHeight="1">
      <c r="A13" s="135" t="s">
        <v>0</v>
      </c>
      <c r="B13" s="358" t="s">
        <v>23</v>
      </c>
      <c r="C13" s="135" t="s">
        <v>1101</v>
      </c>
      <c r="D13" s="262" t="s">
        <v>1094</v>
      </c>
      <c r="E13" s="262" t="s">
        <v>1102</v>
      </c>
      <c r="F13" s="262" t="s">
        <v>1088</v>
      </c>
      <c r="G13" s="262" t="s">
        <v>1089</v>
      </c>
      <c r="H13" s="131"/>
      <c r="I13" s="131"/>
      <c r="J13" s="126"/>
      <c r="K13" s="153"/>
      <c r="L13" s="126"/>
      <c r="M13" s="144"/>
      <c r="N13" s="153"/>
      <c r="O13" s="153"/>
      <c r="P13" s="153"/>
      <c r="Q13" s="153"/>
      <c r="R13" s="153"/>
      <c r="S13" s="149"/>
      <c r="T13" s="149"/>
      <c r="U13" s="149"/>
    </row>
    <row r="14" ht="18.75" customHeight="1">
      <c r="A14" s="135" t="s">
        <v>0</v>
      </c>
      <c r="B14" s="358" t="s">
        <v>23</v>
      </c>
      <c r="C14" s="135" t="s">
        <v>1101</v>
      </c>
      <c r="D14" s="262" t="s">
        <v>1103</v>
      </c>
      <c r="E14" s="262" t="s">
        <v>1104</v>
      </c>
      <c r="F14" s="262" t="s">
        <v>1088</v>
      </c>
      <c r="G14" s="262" t="s">
        <v>1089</v>
      </c>
      <c r="H14" s="131"/>
      <c r="I14" s="131"/>
      <c r="J14" s="126"/>
      <c r="K14" s="125"/>
      <c r="L14" s="126"/>
      <c r="M14" s="147"/>
      <c r="N14" s="125"/>
      <c r="O14" s="125"/>
      <c r="P14" s="125"/>
      <c r="Q14" s="125"/>
      <c r="R14" s="126"/>
      <c r="S14" s="149"/>
      <c r="T14" s="149"/>
      <c r="U14" s="149"/>
    </row>
    <row r="15" ht="18.75" customHeight="1">
      <c r="A15" s="135" t="s">
        <v>0</v>
      </c>
      <c r="B15" s="358" t="s">
        <v>23</v>
      </c>
      <c r="C15" s="135" t="s">
        <v>1105</v>
      </c>
      <c r="D15" s="462">
        <v>45433.0</v>
      </c>
      <c r="E15" s="262" t="s">
        <v>1106</v>
      </c>
      <c r="F15" s="262" t="s">
        <v>1088</v>
      </c>
      <c r="G15" s="262" t="s">
        <v>1089</v>
      </c>
      <c r="H15" s="131"/>
      <c r="I15" s="131"/>
      <c r="J15" s="126"/>
      <c r="K15" s="125"/>
      <c r="L15" s="126"/>
      <c r="M15" s="147"/>
      <c r="N15" s="125"/>
      <c r="O15" s="125"/>
      <c r="P15" s="125"/>
      <c r="Q15" s="125"/>
      <c r="R15" s="126"/>
      <c r="S15" s="149"/>
      <c r="T15" s="149"/>
      <c r="U15" s="149"/>
    </row>
    <row r="16">
      <c r="A16" s="135" t="s">
        <v>3</v>
      </c>
      <c r="B16" s="135" t="s">
        <v>1107</v>
      </c>
      <c r="C16" s="135" t="s">
        <v>1108</v>
      </c>
      <c r="D16" s="262" t="s">
        <v>1109</v>
      </c>
      <c r="E16" s="262" t="s">
        <v>1110</v>
      </c>
      <c r="F16" s="262" t="s">
        <v>1088</v>
      </c>
      <c r="G16" s="262" t="s">
        <v>746</v>
      </c>
      <c r="H16" s="131"/>
      <c r="I16" s="131"/>
      <c r="J16" s="126"/>
      <c r="K16" s="125"/>
      <c r="L16" s="126"/>
      <c r="M16" s="147"/>
      <c r="N16" s="125"/>
      <c r="O16" s="125"/>
      <c r="P16" s="125"/>
      <c r="Q16" s="125"/>
      <c r="R16" s="126"/>
      <c r="S16" s="149"/>
      <c r="T16" s="149"/>
      <c r="U16" s="149"/>
    </row>
    <row r="17" ht="18.75" customHeight="1">
      <c r="A17" s="135" t="s">
        <v>1</v>
      </c>
      <c r="B17" s="160" t="s">
        <v>1111</v>
      </c>
      <c r="C17" s="135" t="s">
        <v>1112</v>
      </c>
      <c r="D17" s="462">
        <v>45467.0</v>
      </c>
      <c r="E17" s="262" t="s">
        <v>1113</v>
      </c>
      <c r="F17" s="262" t="s">
        <v>1088</v>
      </c>
      <c r="G17" s="262" t="s">
        <v>1089</v>
      </c>
      <c r="H17" s="131"/>
      <c r="I17" s="131"/>
      <c r="J17" s="126"/>
      <c r="K17" s="125"/>
      <c r="L17" s="126"/>
      <c r="M17" s="147"/>
      <c r="N17" s="125"/>
      <c r="O17" s="125"/>
      <c r="P17" s="125"/>
      <c r="Q17" s="125"/>
      <c r="R17" s="125"/>
      <c r="S17" s="149"/>
      <c r="T17" s="149"/>
      <c r="U17" s="149"/>
    </row>
    <row r="18" ht="18.75" customHeight="1">
      <c r="A18" s="135" t="s">
        <v>1</v>
      </c>
      <c r="B18" s="160" t="s">
        <v>1111</v>
      </c>
      <c r="C18" s="135" t="s">
        <v>1114</v>
      </c>
      <c r="D18" s="462">
        <v>45467.0</v>
      </c>
      <c r="E18" s="262" t="s">
        <v>1113</v>
      </c>
      <c r="F18" s="262" t="s">
        <v>1088</v>
      </c>
      <c r="G18" s="262" t="s">
        <v>1089</v>
      </c>
      <c r="H18" s="131"/>
      <c r="I18" s="131"/>
      <c r="J18" s="126"/>
      <c r="K18" s="125"/>
      <c r="L18" s="126"/>
      <c r="M18" s="155"/>
      <c r="N18" s="125"/>
      <c r="O18" s="125"/>
      <c r="P18" s="125"/>
      <c r="Q18" s="125"/>
      <c r="R18" s="126"/>
      <c r="S18" s="149"/>
      <c r="T18" s="149"/>
      <c r="U18" s="149"/>
    </row>
    <row r="19" ht="18.75" customHeight="1">
      <c r="A19" s="135" t="s">
        <v>2</v>
      </c>
      <c r="B19" s="135" t="s">
        <v>1084</v>
      </c>
      <c r="C19" s="135" t="s">
        <v>1115</v>
      </c>
      <c r="D19" s="262" t="s">
        <v>1116</v>
      </c>
      <c r="E19" s="262" t="s">
        <v>1117</v>
      </c>
      <c r="F19" s="262" t="s">
        <v>1118</v>
      </c>
      <c r="G19" s="262" t="s">
        <v>1089</v>
      </c>
      <c r="H19" s="131"/>
      <c r="I19" s="131"/>
      <c r="J19" s="126"/>
      <c r="K19" s="125"/>
      <c r="L19" s="126"/>
      <c r="M19" s="155"/>
      <c r="N19" s="125"/>
      <c r="O19" s="125"/>
      <c r="P19" s="125"/>
      <c r="Q19" s="125"/>
      <c r="R19" s="126"/>
      <c r="S19" s="149"/>
      <c r="T19" s="149"/>
      <c r="U19" s="149"/>
    </row>
    <row r="20" ht="18.75" customHeight="1">
      <c r="A20" s="135" t="s">
        <v>2</v>
      </c>
      <c r="B20" s="135" t="s">
        <v>1084</v>
      </c>
      <c r="C20" s="135" t="s">
        <v>1119</v>
      </c>
      <c r="D20" s="262" t="s">
        <v>1120</v>
      </c>
      <c r="E20" s="262" t="s">
        <v>1121</v>
      </c>
      <c r="F20" s="262" t="s">
        <v>1118</v>
      </c>
      <c r="G20" s="262" t="s">
        <v>1089</v>
      </c>
      <c r="H20" s="131"/>
      <c r="I20" s="131"/>
      <c r="J20" s="126"/>
      <c r="K20" s="126"/>
      <c r="L20" s="126"/>
      <c r="M20" s="147"/>
      <c r="N20" s="125"/>
      <c r="O20" s="125"/>
      <c r="P20" s="126"/>
      <c r="Q20" s="125"/>
      <c r="R20" s="254"/>
      <c r="S20" s="149"/>
      <c r="T20" s="149"/>
      <c r="U20" s="149"/>
    </row>
    <row r="21">
      <c r="A21" s="135" t="s">
        <v>1</v>
      </c>
      <c r="B21" s="135" t="s">
        <v>1122</v>
      </c>
      <c r="C21" s="135" t="s">
        <v>1123</v>
      </c>
      <c r="D21" s="462">
        <v>45404.0</v>
      </c>
      <c r="E21" s="262" t="s">
        <v>1117</v>
      </c>
      <c r="F21" s="262" t="s">
        <v>1088</v>
      </c>
      <c r="G21" s="262"/>
      <c r="H21" s="131"/>
      <c r="I21" s="131"/>
      <c r="J21" s="126"/>
      <c r="K21" s="125"/>
      <c r="L21" s="126"/>
      <c r="M21" s="147"/>
      <c r="N21" s="125"/>
      <c r="O21" s="125"/>
      <c r="P21" s="125"/>
      <c r="Q21" s="125"/>
      <c r="R21" s="125"/>
      <c r="S21" s="149"/>
      <c r="T21" s="149"/>
      <c r="U21" s="149"/>
    </row>
    <row r="22">
      <c r="A22" s="135" t="s">
        <v>1</v>
      </c>
      <c r="B22" s="135" t="s">
        <v>1122</v>
      </c>
      <c r="C22" s="135" t="s">
        <v>1114</v>
      </c>
      <c r="D22" s="462">
        <v>45407.0</v>
      </c>
      <c r="E22" s="262" t="s">
        <v>1124</v>
      </c>
      <c r="F22" s="262" t="s">
        <v>1088</v>
      </c>
      <c r="G22" s="262"/>
      <c r="H22" s="131"/>
      <c r="I22" s="131"/>
      <c r="J22" s="126"/>
      <c r="K22" s="126"/>
      <c r="L22" s="126"/>
      <c r="M22" s="125"/>
      <c r="N22" s="126"/>
      <c r="O22" s="126"/>
      <c r="P22" s="126"/>
      <c r="Q22" s="126"/>
      <c r="R22" s="126"/>
      <c r="S22" s="149"/>
      <c r="T22" s="149"/>
      <c r="U22" s="149"/>
    </row>
    <row r="23">
      <c r="A23" s="135" t="s">
        <v>1</v>
      </c>
      <c r="B23" s="135" t="s">
        <v>1122</v>
      </c>
      <c r="C23" s="135" t="s">
        <v>1125</v>
      </c>
      <c r="D23" s="262" t="s">
        <v>1126</v>
      </c>
      <c r="E23" s="262" t="s">
        <v>1127</v>
      </c>
      <c r="F23" s="262" t="s">
        <v>1088</v>
      </c>
      <c r="G23" s="262"/>
      <c r="H23" s="131"/>
      <c r="I23" s="131"/>
      <c r="J23" s="125"/>
      <c r="K23" s="125"/>
      <c r="L23" s="126"/>
      <c r="M23" s="156"/>
      <c r="N23" s="125"/>
      <c r="O23" s="125"/>
      <c r="P23" s="125"/>
      <c r="Q23" s="126"/>
      <c r="R23" s="126"/>
      <c r="S23" s="149"/>
      <c r="T23" s="149"/>
      <c r="U23" s="149"/>
    </row>
    <row r="24">
      <c r="A24" s="135" t="s">
        <v>1</v>
      </c>
      <c r="B24" s="135" t="s">
        <v>1122</v>
      </c>
      <c r="C24" s="125" t="s">
        <v>1128</v>
      </c>
      <c r="D24" s="125" t="s">
        <v>1129</v>
      </c>
      <c r="E24" s="126" t="s">
        <v>1130</v>
      </c>
      <c r="F24" s="126" t="s">
        <v>1118</v>
      </c>
      <c r="G24" s="126"/>
      <c r="H24" s="131"/>
      <c r="I24" s="131"/>
      <c r="J24" s="125"/>
      <c r="K24" s="125"/>
      <c r="L24" s="126"/>
      <c r="M24" s="156"/>
      <c r="N24" s="125"/>
      <c r="O24" s="125"/>
      <c r="P24" s="125"/>
      <c r="Q24" s="125"/>
      <c r="R24" s="126"/>
      <c r="S24" s="149"/>
      <c r="T24" s="149"/>
      <c r="U24" s="149"/>
    </row>
    <row r="25">
      <c r="A25" s="135" t="s">
        <v>1</v>
      </c>
      <c r="B25" s="135" t="s">
        <v>1122</v>
      </c>
      <c r="C25" s="125" t="s">
        <v>1131</v>
      </c>
      <c r="D25" s="125" t="s">
        <v>1129</v>
      </c>
      <c r="E25" s="126" t="s">
        <v>1130</v>
      </c>
      <c r="F25" s="126" t="s">
        <v>1118</v>
      </c>
      <c r="G25" s="126"/>
      <c r="H25" s="131"/>
      <c r="I25" s="131"/>
      <c r="J25" s="125"/>
      <c r="K25" s="125"/>
      <c r="L25" s="126"/>
      <c r="M25" s="156"/>
      <c r="N25" s="135"/>
      <c r="O25" s="125"/>
      <c r="P25" s="125"/>
      <c r="Q25" s="125"/>
      <c r="R25" s="126"/>
      <c r="S25" s="149"/>
      <c r="T25" s="149"/>
      <c r="U25" s="149"/>
    </row>
    <row r="26">
      <c r="A26" s="135" t="s">
        <v>1</v>
      </c>
      <c r="B26" s="135" t="s">
        <v>1122</v>
      </c>
      <c r="C26" s="125" t="s">
        <v>1132</v>
      </c>
      <c r="D26" s="125" t="s">
        <v>1129</v>
      </c>
      <c r="E26" s="126" t="s">
        <v>1130</v>
      </c>
      <c r="F26" s="126" t="s">
        <v>1118</v>
      </c>
      <c r="G26" s="126"/>
      <c r="H26" s="131"/>
      <c r="I26" s="131"/>
      <c r="J26" s="125"/>
      <c r="K26" s="125"/>
      <c r="L26" s="126"/>
      <c r="M26" s="10"/>
      <c r="N26" s="125"/>
      <c r="O26" s="125"/>
      <c r="P26" s="125"/>
      <c r="Q26" s="125"/>
      <c r="R26" s="256"/>
      <c r="S26" s="149"/>
      <c r="T26" s="149"/>
      <c r="U26" s="149"/>
    </row>
    <row r="27">
      <c r="A27" s="135" t="s">
        <v>1</v>
      </c>
      <c r="B27" s="135" t="s">
        <v>1122</v>
      </c>
      <c r="C27" s="125" t="s">
        <v>1133</v>
      </c>
      <c r="D27" s="125" t="s">
        <v>1129</v>
      </c>
      <c r="E27" s="126" t="s">
        <v>1130</v>
      </c>
      <c r="F27" s="126" t="s">
        <v>1118</v>
      </c>
      <c r="G27" s="126"/>
      <c r="H27" s="131"/>
      <c r="I27" s="131"/>
      <c r="J27" s="125"/>
      <c r="K27" s="125"/>
      <c r="L27" s="126"/>
      <c r="M27" s="360"/>
      <c r="N27" s="125"/>
      <c r="O27" s="125"/>
      <c r="P27" s="125"/>
      <c r="Q27" s="126"/>
      <c r="R27" s="126"/>
      <c r="S27" s="149"/>
      <c r="T27" s="149"/>
      <c r="U27" s="149"/>
    </row>
    <row r="28">
      <c r="A28" s="135" t="s">
        <v>1</v>
      </c>
      <c r="B28" s="124" t="s">
        <v>1134</v>
      </c>
      <c r="C28" s="125" t="s">
        <v>1135</v>
      </c>
      <c r="D28" s="126" t="s">
        <v>1136</v>
      </c>
      <c r="E28" s="126" t="s">
        <v>1137</v>
      </c>
      <c r="F28" s="126" t="s">
        <v>1118</v>
      </c>
      <c r="G28" s="126"/>
      <c r="H28" s="131"/>
      <c r="I28" s="131"/>
      <c r="J28" s="125"/>
      <c r="K28" s="126"/>
      <c r="L28" s="126"/>
      <c r="M28" s="361"/>
      <c r="N28" s="125"/>
      <c r="O28" s="125"/>
      <c r="P28" s="125"/>
      <c r="Q28" s="125"/>
      <c r="R28" s="257"/>
      <c r="S28" s="149"/>
      <c r="T28" s="149"/>
      <c r="U28" s="149"/>
    </row>
    <row r="29">
      <c r="A29" s="135" t="s">
        <v>1</v>
      </c>
      <c r="B29" s="124" t="s">
        <v>1134</v>
      </c>
      <c r="C29" s="125" t="s">
        <v>1138</v>
      </c>
      <c r="D29" s="126" t="s">
        <v>1139</v>
      </c>
      <c r="E29" s="126" t="s">
        <v>1140</v>
      </c>
      <c r="F29" s="126" t="s">
        <v>1118</v>
      </c>
      <c r="G29" s="126"/>
      <c r="H29" s="131"/>
      <c r="I29" s="131"/>
      <c r="J29" s="125"/>
      <c r="K29" s="126"/>
      <c r="L29" s="126"/>
      <c r="M29" s="361"/>
      <c r="N29" s="125"/>
      <c r="O29" s="125"/>
      <c r="P29" s="125"/>
      <c r="Q29" s="125"/>
      <c r="R29" s="254"/>
      <c r="S29" s="149"/>
      <c r="T29" s="149"/>
      <c r="U29" s="149"/>
    </row>
    <row r="30">
      <c r="A30" s="135" t="s">
        <v>1</v>
      </c>
      <c r="B30" s="124" t="s">
        <v>1134</v>
      </c>
      <c r="C30" s="125" t="s">
        <v>1141</v>
      </c>
      <c r="D30" s="126" t="s">
        <v>1142</v>
      </c>
      <c r="E30" s="126" t="s">
        <v>1095</v>
      </c>
      <c r="F30" s="126" t="s">
        <v>1088</v>
      </c>
      <c r="G30" s="126"/>
      <c r="H30" s="131"/>
      <c r="I30" s="131"/>
      <c r="J30" s="125"/>
      <c r="K30" s="126"/>
      <c r="L30" s="126"/>
      <c r="M30" s="463"/>
      <c r="N30" s="125"/>
      <c r="O30" s="125"/>
      <c r="P30" s="125"/>
      <c r="Q30" s="125"/>
      <c r="R30" s="126"/>
      <c r="S30" s="149"/>
      <c r="T30" s="149"/>
      <c r="U30" s="149"/>
    </row>
    <row r="31">
      <c r="A31" s="135" t="s">
        <v>3</v>
      </c>
      <c r="B31" s="125" t="s">
        <v>78</v>
      </c>
      <c r="C31" s="362" t="s">
        <v>1143</v>
      </c>
      <c r="D31" s="125" t="s">
        <v>1144</v>
      </c>
      <c r="E31" s="362" t="s">
        <v>1102</v>
      </c>
      <c r="F31" s="125" t="s">
        <v>1118</v>
      </c>
      <c r="G31" s="125" t="s">
        <v>1145</v>
      </c>
      <c r="H31" s="131"/>
      <c r="I31" s="131"/>
      <c r="J31" s="125"/>
      <c r="K31" s="125"/>
      <c r="L31" s="125"/>
      <c r="M31" s="250"/>
      <c r="N31" s="125"/>
      <c r="O31" s="125"/>
      <c r="P31" s="125"/>
      <c r="Q31" s="125"/>
      <c r="R31" s="259"/>
      <c r="S31" s="354"/>
      <c r="T31" s="354"/>
      <c r="U31" s="354"/>
    </row>
    <row r="32">
      <c r="A32" s="135" t="s">
        <v>3</v>
      </c>
      <c r="B32" s="125" t="s">
        <v>78</v>
      </c>
      <c r="C32" s="362" t="s">
        <v>1146</v>
      </c>
      <c r="D32" s="125" t="s">
        <v>1147</v>
      </c>
      <c r="E32" s="362" t="s">
        <v>1148</v>
      </c>
      <c r="F32" s="125" t="s">
        <v>1118</v>
      </c>
      <c r="G32" s="125" t="s">
        <v>1145</v>
      </c>
      <c r="H32" s="131"/>
      <c r="I32" s="131"/>
      <c r="J32" s="125"/>
      <c r="K32" s="125"/>
      <c r="L32" s="125"/>
      <c r="M32" s="361"/>
      <c r="N32" s="125"/>
      <c r="O32" s="125"/>
      <c r="P32" s="125"/>
      <c r="Q32" s="125"/>
      <c r="R32" s="259"/>
      <c r="S32" s="354"/>
      <c r="T32" s="354"/>
      <c r="U32" s="354"/>
    </row>
    <row r="33">
      <c r="A33" s="135" t="s">
        <v>3</v>
      </c>
      <c r="B33" s="125" t="s">
        <v>78</v>
      </c>
      <c r="C33" s="362" t="s">
        <v>1149</v>
      </c>
      <c r="D33" s="125" t="s">
        <v>1150</v>
      </c>
      <c r="E33" s="362" t="s">
        <v>1151</v>
      </c>
      <c r="F33" s="125" t="s">
        <v>1118</v>
      </c>
      <c r="G33" s="125" t="s">
        <v>1145</v>
      </c>
      <c r="H33" s="131"/>
      <c r="I33" s="131"/>
      <c r="J33" s="125"/>
      <c r="K33" s="125"/>
      <c r="L33" s="125"/>
      <c r="M33" s="361"/>
      <c r="N33" s="125"/>
      <c r="O33" s="125"/>
      <c r="P33" s="125"/>
      <c r="Q33" s="125"/>
      <c r="R33" s="125"/>
      <c r="S33" s="354"/>
      <c r="T33" s="354"/>
      <c r="U33" s="354"/>
    </row>
    <row r="34">
      <c r="A34" s="135" t="s">
        <v>3</v>
      </c>
      <c r="B34" s="125" t="s">
        <v>78</v>
      </c>
      <c r="C34" s="362" t="s">
        <v>1152</v>
      </c>
      <c r="D34" s="195">
        <v>45457.0</v>
      </c>
      <c r="E34" s="362" t="s">
        <v>1153</v>
      </c>
      <c r="F34" s="125" t="s">
        <v>1118</v>
      </c>
      <c r="G34" s="125" t="s">
        <v>1145</v>
      </c>
      <c r="H34" s="131"/>
      <c r="I34" s="131"/>
      <c r="J34" s="125"/>
      <c r="K34" s="125"/>
      <c r="L34" s="125"/>
      <c r="M34" s="144"/>
      <c r="N34" s="125"/>
      <c r="O34" s="125"/>
      <c r="P34" s="125"/>
      <c r="Q34" s="125"/>
      <c r="R34" s="125"/>
      <c r="S34" s="354"/>
      <c r="T34" s="354"/>
      <c r="U34" s="354"/>
    </row>
    <row r="35">
      <c r="A35" s="135" t="s">
        <v>3</v>
      </c>
      <c r="B35" s="125" t="s">
        <v>78</v>
      </c>
      <c r="C35" s="362" t="s">
        <v>1154</v>
      </c>
      <c r="D35" s="125" t="s">
        <v>1155</v>
      </c>
      <c r="E35" s="362" t="s">
        <v>1151</v>
      </c>
      <c r="F35" s="125" t="s">
        <v>1118</v>
      </c>
      <c r="G35" s="125" t="s">
        <v>1145</v>
      </c>
      <c r="H35" s="131"/>
      <c r="I35" s="131"/>
      <c r="J35" s="125"/>
      <c r="K35" s="125"/>
      <c r="L35" s="125"/>
      <c r="M35" s="144"/>
      <c r="N35" s="125"/>
      <c r="O35" s="125"/>
      <c r="P35" s="125"/>
      <c r="Q35" s="125"/>
      <c r="R35" s="125"/>
      <c r="S35" s="354"/>
      <c r="T35" s="354"/>
      <c r="U35" s="354"/>
    </row>
    <row r="36">
      <c r="A36" s="135" t="s">
        <v>3</v>
      </c>
      <c r="B36" s="125" t="s">
        <v>78</v>
      </c>
      <c r="C36" s="362" t="s">
        <v>1156</v>
      </c>
      <c r="D36" s="125" t="s">
        <v>1157</v>
      </c>
      <c r="E36" s="362" t="s">
        <v>1104</v>
      </c>
      <c r="F36" s="125" t="s">
        <v>1118</v>
      </c>
      <c r="G36" s="125" t="s">
        <v>1145</v>
      </c>
      <c r="H36" s="131"/>
      <c r="I36" s="131"/>
      <c r="J36" s="125"/>
      <c r="K36" s="125"/>
      <c r="L36" s="125"/>
      <c r="M36" s="144"/>
      <c r="N36" s="125"/>
      <c r="O36" s="173"/>
      <c r="P36" s="173"/>
      <c r="Q36" s="125"/>
      <c r="R36" s="125"/>
      <c r="S36" s="354"/>
      <c r="T36" s="354"/>
      <c r="U36" s="354"/>
    </row>
    <row r="37">
      <c r="A37" s="135" t="s">
        <v>3</v>
      </c>
      <c r="B37" s="125" t="s">
        <v>78</v>
      </c>
      <c r="C37" s="362" t="s">
        <v>1158</v>
      </c>
      <c r="D37" s="125" t="s">
        <v>1150</v>
      </c>
      <c r="E37" s="362" t="s">
        <v>1151</v>
      </c>
      <c r="F37" s="125" t="s">
        <v>1118</v>
      </c>
      <c r="G37" s="125" t="s">
        <v>1145</v>
      </c>
      <c r="H37" s="131"/>
      <c r="I37" s="131"/>
      <c r="J37" s="125"/>
      <c r="K37" s="125"/>
      <c r="L37" s="125"/>
      <c r="M37" s="144"/>
      <c r="N37" s="125"/>
      <c r="O37" s="173"/>
      <c r="P37" s="173"/>
      <c r="Q37" s="125"/>
      <c r="R37" s="125"/>
      <c r="S37" s="354"/>
      <c r="T37" s="354"/>
      <c r="U37" s="354"/>
    </row>
    <row r="38" ht="22.5" customHeight="1">
      <c r="A38" s="135" t="s">
        <v>6</v>
      </c>
      <c r="B38" s="124" t="s">
        <v>29</v>
      </c>
      <c r="C38" s="125" t="s">
        <v>1159</v>
      </c>
      <c r="D38" s="126" t="s">
        <v>1160</v>
      </c>
      <c r="E38" s="126" t="s">
        <v>1095</v>
      </c>
      <c r="F38" s="126" t="s">
        <v>1118</v>
      </c>
      <c r="G38" s="126" t="s">
        <v>1145</v>
      </c>
      <c r="H38" s="131"/>
      <c r="I38" s="131"/>
      <c r="J38" s="125"/>
      <c r="K38" s="125"/>
      <c r="L38" s="126"/>
      <c r="M38" s="125"/>
      <c r="N38" s="125"/>
      <c r="O38" s="125"/>
      <c r="P38" s="125"/>
      <c r="Q38" s="125"/>
      <c r="R38" s="125"/>
      <c r="S38" s="149"/>
      <c r="T38" s="149"/>
      <c r="U38" s="149"/>
    </row>
    <row r="39" ht="21.75" customHeight="1">
      <c r="A39" s="135" t="s">
        <v>6</v>
      </c>
      <c r="B39" s="124" t="s">
        <v>29</v>
      </c>
      <c r="C39" s="146" t="s">
        <v>1161</v>
      </c>
      <c r="D39" s="126" t="s">
        <v>1162</v>
      </c>
      <c r="E39" s="126" t="s">
        <v>1100</v>
      </c>
      <c r="F39" s="126" t="s">
        <v>1118</v>
      </c>
      <c r="G39" s="126" t="s">
        <v>1145</v>
      </c>
      <c r="H39" s="131"/>
      <c r="I39" s="131"/>
      <c r="J39" s="125"/>
      <c r="K39" s="125"/>
      <c r="L39" s="126"/>
      <c r="M39" s="125"/>
      <c r="N39" s="125"/>
      <c r="O39" s="125"/>
      <c r="P39" s="125"/>
      <c r="Q39" s="125"/>
      <c r="R39" s="126"/>
      <c r="S39" s="149"/>
      <c r="T39" s="149"/>
      <c r="U39" s="149"/>
    </row>
    <row r="40" ht="19.5" customHeight="1">
      <c r="A40" s="135" t="s">
        <v>6</v>
      </c>
      <c r="B40" s="124" t="s">
        <v>29</v>
      </c>
      <c r="C40" s="146" t="s">
        <v>1163</v>
      </c>
      <c r="D40" s="126" t="s">
        <v>1164</v>
      </c>
      <c r="E40" s="126" t="s">
        <v>1095</v>
      </c>
      <c r="F40" s="126" t="s">
        <v>1118</v>
      </c>
      <c r="G40" s="126" t="s">
        <v>1145</v>
      </c>
      <c r="H40" s="131"/>
      <c r="I40" s="131"/>
      <c r="J40" s="125"/>
      <c r="K40" s="125"/>
      <c r="L40" s="126"/>
      <c r="M40" s="125"/>
      <c r="N40" s="125"/>
      <c r="O40" s="125"/>
      <c r="P40" s="125"/>
      <c r="Q40" s="125"/>
      <c r="R40" s="126"/>
      <c r="S40" s="149"/>
      <c r="T40" s="149"/>
      <c r="U40" s="149"/>
    </row>
    <row r="41" ht="20.25" customHeight="1">
      <c r="A41" s="135" t="s">
        <v>6</v>
      </c>
      <c r="B41" s="124" t="s">
        <v>29</v>
      </c>
      <c r="C41" s="125" t="s">
        <v>1165</v>
      </c>
      <c r="D41" s="126" t="s">
        <v>1160</v>
      </c>
      <c r="E41" s="126" t="s">
        <v>1095</v>
      </c>
      <c r="F41" s="126" t="s">
        <v>1118</v>
      </c>
      <c r="G41" s="126" t="s">
        <v>1145</v>
      </c>
      <c r="H41" s="131"/>
      <c r="I41" s="131"/>
      <c r="J41" s="126"/>
      <c r="K41" s="126"/>
      <c r="L41" s="126"/>
      <c r="M41" s="144"/>
      <c r="N41" s="126"/>
      <c r="O41" s="125"/>
      <c r="P41" s="125"/>
      <c r="Q41" s="125"/>
      <c r="R41" s="173"/>
      <c r="S41" s="149"/>
      <c r="T41" s="149"/>
      <c r="U41" s="149"/>
    </row>
    <row r="42" ht="20.25" customHeight="1">
      <c r="A42" s="135" t="s">
        <v>6</v>
      </c>
      <c r="B42" s="124" t="s">
        <v>29</v>
      </c>
      <c r="C42" s="125" t="s">
        <v>1166</v>
      </c>
      <c r="D42" s="126" t="s">
        <v>1167</v>
      </c>
      <c r="E42" s="126" t="s">
        <v>1087</v>
      </c>
      <c r="F42" s="126" t="s">
        <v>1118</v>
      </c>
      <c r="G42" s="126" t="s">
        <v>1089</v>
      </c>
      <c r="H42" s="131"/>
      <c r="I42" s="131"/>
      <c r="J42" s="126"/>
      <c r="K42" s="126"/>
      <c r="L42" s="126"/>
      <c r="M42" s="144"/>
      <c r="N42" s="126"/>
      <c r="O42" s="173"/>
      <c r="P42" s="173"/>
      <c r="Q42" s="173"/>
      <c r="R42" s="173"/>
      <c r="S42" s="149"/>
      <c r="T42" s="149"/>
      <c r="U42" s="149"/>
    </row>
    <row r="43" ht="17.25" customHeight="1">
      <c r="A43" s="135" t="s">
        <v>6</v>
      </c>
      <c r="B43" s="124" t="s">
        <v>29</v>
      </c>
      <c r="C43" s="146" t="s">
        <v>1168</v>
      </c>
      <c r="D43" s="129">
        <v>45496.0</v>
      </c>
      <c r="E43" s="126" t="s">
        <v>1127</v>
      </c>
      <c r="F43" s="126" t="s">
        <v>1118</v>
      </c>
      <c r="G43" s="126" t="s">
        <v>1089</v>
      </c>
      <c r="H43" s="131"/>
      <c r="I43" s="131"/>
      <c r="J43" s="125"/>
      <c r="K43" s="125"/>
      <c r="L43" s="126"/>
      <c r="M43" s="125"/>
      <c r="N43" s="125"/>
      <c r="O43" s="125"/>
      <c r="P43" s="125"/>
      <c r="Q43" s="125"/>
      <c r="R43" s="126"/>
      <c r="S43" s="149"/>
      <c r="T43" s="149"/>
      <c r="U43" s="149"/>
    </row>
    <row r="44" ht="18.75" customHeight="1">
      <c r="A44" s="135" t="s">
        <v>6</v>
      </c>
      <c r="B44" s="124" t="s">
        <v>29</v>
      </c>
      <c r="C44" s="146" t="s">
        <v>1169</v>
      </c>
      <c r="D44" s="126" t="s">
        <v>1170</v>
      </c>
      <c r="E44" s="126" t="s">
        <v>1171</v>
      </c>
      <c r="F44" s="126" t="s">
        <v>1088</v>
      </c>
      <c r="G44" s="126" t="s">
        <v>1089</v>
      </c>
      <c r="H44" s="131"/>
      <c r="I44" s="131"/>
      <c r="J44" s="125"/>
      <c r="K44" s="125"/>
      <c r="L44" s="126"/>
      <c r="M44" s="125"/>
      <c r="N44" s="125"/>
      <c r="O44" s="125"/>
      <c r="P44" s="125"/>
      <c r="Q44" s="125"/>
      <c r="R44" s="126"/>
      <c r="S44" s="149"/>
      <c r="T44" s="149"/>
      <c r="U44" s="149"/>
    </row>
    <row r="45" ht="18.0" customHeight="1">
      <c r="A45" s="135" t="s">
        <v>6</v>
      </c>
      <c r="B45" s="124" t="s">
        <v>29</v>
      </c>
      <c r="C45" s="146" t="s">
        <v>1172</v>
      </c>
      <c r="D45" s="126" t="s">
        <v>1173</v>
      </c>
      <c r="E45" s="126" t="s">
        <v>1127</v>
      </c>
      <c r="F45" s="126" t="s">
        <v>1088</v>
      </c>
      <c r="G45" s="126" t="s">
        <v>1089</v>
      </c>
      <c r="H45" s="131"/>
      <c r="I45" s="131"/>
      <c r="J45" s="125"/>
      <c r="K45" s="125"/>
      <c r="L45" s="126"/>
      <c r="M45" s="125"/>
      <c r="N45" s="125"/>
      <c r="O45" s="125"/>
      <c r="P45" s="125"/>
      <c r="Q45" s="125"/>
      <c r="R45" s="126"/>
      <c r="S45" s="149"/>
      <c r="T45" s="149"/>
      <c r="U45" s="149"/>
    </row>
    <row r="46" ht="20.25" customHeight="1">
      <c r="A46" s="135" t="s">
        <v>6</v>
      </c>
      <c r="B46" s="124" t="s">
        <v>29</v>
      </c>
      <c r="C46" s="146" t="s">
        <v>1174</v>
      </c>
      <c r="D46" s="126" t="s">
        <v>1170</v>
      </c>
      <c r="E46" s="126" t="s">
        <v>1171</v>
      </c>
      <c r="F46" s="126" t="s">
        <v>1088</v>
      </c>
      <c r="G46" s="126" t="s">
        <v>1089</v>
      </c>
      <c r="H46" s="131"/>
      <c r="I46" s="131"/>
      <c r="J46" s="125"/>
      <c r="K46" s="125"/>
      <c r="L46" s="126"/>
      <c r="M46" s="125"/>
      <c r="N46" s="125"/>
      <c r="O46" s="125"/>
      <c r="P46" s="125"/>
      <c r="Q46" s="125"/>
      <c r="R46" s="126"/>
      <c r="S46" s="149"/>
      <c r="T46" s="149"/>
      <c r="U46" s="149"/>
    </row>
    <row r="47" ht="19.5" customHeight="1">
      <c r="A47" s="135" t="s">
        <v>6</v>
      </c>
      <c r="B47" s="124" t="s">
        <v>29</v>
      </c>
      <c r="C47" s="146" t="s">
        <v>1175</v>
      </c>
      <c r="D47" s="126" t="s">
        <v>1173</v>
      </c>
      <c r="E47" s="126" t="s">
        <v>1127</v>
      </c>
      <c r="F47" s="126" t="s">
        <v>1088</v>
      </c>
      <c r="G47" s="126" t="s">
        <v>1089</v>
      </c>
      <c r="H47" s="131"/>
      <c r="I47" s="131"/>
      <c r="J47" s="125"/>
      <c r="K47" s="125"/>
      <c r="L47" s="126"/>
      <c r="M47" s="125"/>
      <c r="N47" s="125"/>
      <c r="O47" s="125"/>
      <c r="P47" s="125"/>
      <c r="Q47" s="125"/>
      <c r="R47" s="126"/>
      <c r="S47" s="149"/>
      <c r="T47" s="149"/>
      <c r="U47" s="149"/>
    </row>
    <row r="48" ht="21.0" customHeight="1">
      <c r="A48" s="135" t="s">
        <v>6</v>
      </c>
      <c r="B48" s="124" t="s">
        <v>29</v>
      </c>
      <c r="C48" s="146" t="s">
        <v>1176</v>
      </c>
      <c r="D48" s="126" t="s">
        <v>1177</v>
      </c>
      <c r="E48" s="126" t="s">
        <v>1178</v>
      </c>
      <c r="F48" s="126" t="s">
        <v>1088</v>
      </c>
      <c r="G48" s="126" t="s">
        <v>1089</v>
      </c>
      <c r="H48" s="131"/>
      <c r="I48" s="131"/>
      <c r="J48" s="125"/>
      <c r="K48" s="125"/>
      <c r="L48" s="126"/>
      <c r="M48" s="125"/>
      <c r="N48" s="125"/>
      <c r="O48" s="125"/>
      <c r="P48" s="125"/>
      <c r="Q48" s="125"/>
      <c r="R48" s="126"/>
      <c r="S48" s="149"/>
      <c r="T48" s="149"/>
      <c r="U48" s="149"/>
    </row>
    <row r="49" ht="21.0" customHeight="1">
      <c r="A49" s="135" t="s">
        <v>6</v>
      </c>
      <c r="B49" s="124" t="s">
        <v>29</v>
      </c>
      <c r="C49" s="146" t="s">
        <v>1179</v>
      </c>
      <c r="D49" s="464">
        <v>45499.0</v>
      </c>
      <c r="E49" s="126" t="s">
        <v>1153</v>
      </c>
      <c r="F49" s="126" t="s">
        <v>1088</v>
      </c>
      <c r="G49" s="126" t="s">
        <v>1089</v>
      </c>
      <c r="H49" s="131"/>
      <c r="I49" s="131"/>
      <c r="J49" s="125"/>
      <c r="K49" s="125"/>
      <c r="L49" s="126"/>
      <c r="M49" s="125"/>
      <c r="N49" s="125"/>
      <c r="O49" s="125"/>
      <c r="P49" s="125"/>
      <c r="Q49" s="125"/>
      <c r="R49" s="126"/>
      <c r="S49" s="149"/>
      <c r="T49" s="149"/>
      <c r="U49" s="149"/>
    </row>
    <row r="50" ht="20.25" customHeight="1">
      <c r="A50" s="135" t="s">
        <v>6</v>
      </c>
      <c r="B50" s="124" t="s">
        <v>29</v>
      </c>
      <c r="C50" s="146" t="s">
        <v>1180</v>
      </c>
      <c r="D50" s="126" t="s">
        <v>1173</v>
      </c>
      <c r="E50" s="126" t="s">
        <v>1127</v>
      </c>
      <c r="F50" s="126" t="s">
        <v>1088</v>
      </c>
      <c r="G50" s="126" t="s">
        <v>1089</v>
      </c>
      <c r="H50" s="131"/>
      <c r="I50" s="131"/>
      <c r="J50" s="125"/>
      <c r="K50" s="125"/>
      <c r="L50" s="126"/>
      <c r="M50" s="125"/>
      <c r="N50" s="125"/>
      <c r="O50" s="125"/>
      <c r="P50" s="125"/>
      <c r="Q50" s="125"/>
      <c r="R50" s="126"/>
      <c r="S50" s="149"/>
      <c r="T50" s="149"/>
      <c r="U50" s="149"/>
    </row>
    <row r="51">
      <c r="A51" s="135" t="s">
        <v>3</v>
      </c>
      <c r="B51" s="125" t="s">
        <v>65</v>
      </c>
      <c r="C51" s="362" t="s">
        <v>1156</v>
      </c>
      <c r="D51" s="126" t="s">
        <v>1181</v>
      </c>
      <c r="E51" s="126" t="s">
        <v>1110</v>
      </c>
      <c r="F51" s="126" t="s">
        <v>1118</v>
      </c>
      <c r="G51" s="126" t="s">
        <v>1145</v>
      </c>
      <c r="H51" s="131"/>
      <c r="I51" s="131"/>
      <c r="J51" s="125"/>
      <c r="K51" s="125"/>
      <c r="L51" s="126"/>
      <c r="M51" s="125"/>
      <c r="N51" s="125"/>
      <c r="O51" s="125"/>
      <c r="P51" s="125"/>
      <c r="Q51" s="125"/>
      <c r="R51" s="126"/>
      <c r="S51" s="149"/>
      <c r="T51" s="149"/>
      <c r="U51" s="149"/>
    </row>
    <row r="52">
      <c r="A52" s="135" t="s">
        <v>3</v>
      </c>
      <c r="B52" s="125" t="s">
        <v>65</v>
      </c>
      <c r="C52" s="125" t="s">
        <v>1149</v>
      </c>
      <c r="D52" s="129">
        <v>45477.0</v>
      </c>
      <c r="E52" s="126" t="s">
        <v>1127</v>
      </c>
      <c r="F52" s="126" t="s">
        <v>1118</v>
      </c>
      <c r="G52" s="126" t="s">
        <v>1145</v>
      </c>
      <c r="H52" s="131"/>
      <c r="I52" s="131"/>
      <c r="J52" s="125"/>
      <c r="K52" s="125"/>
      <c r="L52" s="126"/>
      <c r="M52" s="125"/>
      <c r="N52" s="125"/>
      <c r="O52" s="125"/>
      <c r="P52" s="125"/>
      <c r="Q52" s="125"/>
      <c r="R52" s="173"/>
      <c r="S52" s="465"/>
      <c r="T52" s="465" t="s">
        <v>335</v>
      </c>
      <c r="U52" s="149"/>
    </row>
    <row r="53">
      <c r="A53" s="135" t="s">
        <v>3</v>
      </c>
      <c r="B53" s="125" t="s">
        <v>65</v>
      </c>
      <c r="C53" s="125" t="s">
        <v>1182</v>
      </c>
      <c r="D53" s="126" t="s">
        <v>1183</v>
      </c>
      <c r="E53" s="126" t="s">
        <v>1148</v>
      </c>
      <c r="F53" s="126" t="s">
        <v>1118</v>
      </c>
      <c r="G53" s="126" t="s">
        <v>1145</v>
      </c>
      <c r="H53" s="131"/>
      <c r="I53" s="131"/>
      <c r="J53" s="126"/>
      <c r="K53" s="126"/>
      <c r="L53" s="126"/>
      <c r="M53" s="144"/>
      <c r="N53" s="125"/>
      <c r="O53" s="125"/>
      <c r="P53" s="125"/>
      <c r="Q53" s="125"/>
      <c r="R53" s="125"/>
      <c r="S53" s="149"/>
      <c r="T53" s="149"/>
      <c r="U53" s="149"/>
    </row>
    <row r="54">
      <c r="A54" s="135" t="s">
        <v>3</v>
      </c>
      <c r="B54" s="124" t="s">
        <v>47</v>
      </c>
      <c r="C54" s="125" t="s">
        <v>1184</v>
      </c>
      <c r="D54" s="129">
        <v>45505.0</v>
      </c>
      <c r="E54" s="126" t="s">
        <v>1185</v>
      </c>
      <c r="F54" s="126" t="s">
        <v>1088</v>
      </c>
      <c r="G54" s="126" t="s">
        <v>746</v>
      </c>
      <c r="H54" s="131"/>
      <c r="I54" s="131"/>
      <c r="J54" s="126"/>
      <c r="K54" s="126"/>
      <c r="L54" s="126"/>
      <c r="M54" s="144"/>
      <c r="N54" s="125"/>
      <c r="O54" s="125"/>
      <c r="P54" s="125"/>
      <c r="Q54" s="125"/>
      <c r="R54" s="125"/>
      <c r="S54" s="149"/>
      <c r="T54" s="149"/>
      <c r="U54" s="149"/>
    </row>
    <row r="55">
      <c r="A55" s="135" t="s">
        <v>3</v>
      </c>
      <c r="B55" s="124" t="s">
        <v>47</v>
      </c>
      <c r="C55" s="125" t="s">
        <v>1186</v>
      </c>
      <c r="D55" s="126" t="s">
        <v>1187</v>
      </c>
      <c r="E55" s="126" t="s">
        <v>1188</v>
      </c>
      <c r="F55" s="126" t="s">
        <v>1088</v>
      </c>
      <c r="G55" s="126" t="s">
        <v>1145</v>
      </c>
      <c r="H55" s="131"/>
      <c r="I55" s="131"/>
      <c r="J55" s="126"/>
      <c r="K55" s="466"/>
      <c r="L55" s="126"/>
      <c r="M55" s="144"/>
      <c r="N55" s="125"/>
      <c r="O55" s="125"/>
      <c r="P55" s="125"/>
      <c r="Q55" s="125"/>
      <c r="R55" s="126"/>
      <c r="S55" s="149"/>
      <c r="T55" s="149"/>
      <c r="U55" s="149"/>
    </row>
    <row r="56">
      <c r="A56" s="135" t="s">
        <v>3</v>
      </c>
      <c r="B56" s="124" t="s">
        <v>1189</v>
      </c>
      <c r="C56" s="125" t="s">
        <v>1190</v>
      </c>
      <c r="D56" s="126" t="s">
        <v>1191</v>
      </c>
      <c r="E56" s="126" t="s">
        <v>1121</v>
      </c>
      <c r="F56" s="126" t="s">
        <v>1118</v>
      </c>
      <c r="G56" s="126" t="s">
        <v>1145</v>
      </c>
      <c r="H56" s="131"/>
      <c r="I56" s="131"/>
      <c r="J56" s="126"/>
      <c r="K56" s="466"/>
      <c r="L56" s="466"/>
      <c r="M56" s="144"/>
      <c r="N56" s="125"/>
      <c r="O56" s="125"/>
      <c r="P56" s="125"/>
      <c r="Q56" s="125"/>
      <c r="R56" s="126"/>
      <c r="S56" s="149"/>
      <c r="T56" s="149"/>
      <c r="U56" s="149"/>
    </row>
    <row r="57">
      <c r="A57" s="135" t="s">
        <v>3</v>
      </c>
      <c r="B57" s="124" t="s">
        <v>1189</v>
      </c>
      <c r="C57" s="125" t="s">
        <v>1192</v>
      </c>
      <c r="D57" s="126" t="s">
        <v>1193</v>
      </c>
      <c r="E57" s="126" t="s">
        <v>1117</v>
      </c>
      <c r="F57" s="126" t="s">
        <v>1118</v>
      </c>
      <c r="G57" s="126" t="s">
        <v>1145</v>
      </c>
      <c r="H57" s="131"/>
      <c r="I57" s="131"/>
      <c r="J57" s="153"/>
      <c r="K57" s="153"/>
      <c r="L57" s="153"/>
      <c r="M57" s="231"/>
      <c r="N57" s="153"/>
      <c r="O57" s="153"/>
      <c r="P57" s="153"/>
      <c r="Q57" s="153"/>
      <c r="R57" s="153"/>
      <c r="S57" s="149"/>
      <c r="T57" s="149"/>
      <c r="U57" s="149"/>
    </row>
    <row r="58">
      <c r="A58" s="135" t="s">
        <v>3</v>
      </c>
      <c r="B58" s="124" t="s">
        <v>1189</v>
      </c>
      <c r="C58" s="125" t="s">
        <v>1194</v>
      </c>
      <c r="D58" s="126" t="s">
        <v>1195</v>
      </c>
      <c r="E58" s="126" t="s">
        <v>1087</v>
      </c>
      <c r="F58" s="126" t="s">
        <v>1118</v>
      </c>
      <c r="G58" s="126" t="s">
        <v>1145</v>
      </c>
      <c r="H58" s="131"/>
      <c r="I58" s="131"/>
      <c r="J58" s="153"/>
      <c r="K58" s="153"/>
      <c r="L58" s="153"/>
      <c r="M58" s="231"/>
      <c r="N58" s="153"/>
      <c r="O58" s="153"/>
      <c r="P58" s="153"/>
      <c r="Q58" s="153"/>
      <c r="R58" s="153"/>
      <c r="S58" s="149"/>
      <c r="T58" s="149"/>
      <c r="U58" s="149"/>
    </row>
    <row r="59">
      <c r="A59" s="135" t="s">
        <v>3</v>
      </c>
      <c r="B59" s="124" t="s">
        <v>47</v>
      </c>
      <c r="C59" s="125" t="s">
        <v>1182</v>
      </c>
      <c r="D59" s="126" t="s">
        <v>1196</v>
      </c>
      <c r="E59" s="126" t="s">
        <v>1197</v>
      </c>
      <c r="F59" s="126" t="s">
        <v>1118</v>
      </c>
      <c r="G59" s="126" t="s">
        <v>1145</v>
      </c>
      <c r="H59" s="131"/>
      <c r="I59" s="131"/>
      <c r="J59" s="153"/>
      <c r="K59" s="153"/>
      <c r="L59" s="153"/>
      <c r="M59" s="231"/>
      <c r="N59" s="153"/>
      <c r="O59" s="153"/>
      <c r="P59" s="153"/>
      <c r="Q59" s="153"/>
      <c r="R59" s="153"/>
      <c r="S59" s="149"/>
      <c r="T59" s="149"/>
      <c r="U59" s="149"/>
    </row>
    <row r="60">
      <c r="A60" s="135" t="s">
        <v>3</v>
      </c>
      <c r="B60" s="124" t="s">
        <v>47</v>
      </c>
      <c r="C60" s="125" t="s">
        <v>1198</v>
      </c>
      <c r="D60" s="126" t="s">
        <v>1187</v>
      </c>
      <c r="E60" s="126" t="s">
        <v>1185</v>
      </c>
      <c r="F60" s="126" t="s">
        <v>1118</v>
      </c>
      <c r="G60" s="126" t="s">
        <v>1145</v>
      </c>
      <c r="H60" s="131"/>
      <c r="I60" s="131"/>
      <c r="J60" s="153"/>
      <c r="K60" s="153"/>
      <c r="L60" s="153"/>
      <c r="M60" s="231"/>
      <c r="N60" s="153"/>
      <c r="O60" s="153"/>
      <c r="P60" s="153"/>
      <c r="Q60" s="153"/>
      <c r="R60" s="153"/>
      <c r="S60" s="149"/>
      <c r="T60" s="149"/>
      <c r="U60" s="149"/>
    </row>
    <row r="61">
      <c r="A61" s="135" t="s">
        <v>3</v>
      </c>
      <c r="B61" s="124" t="s">
        <v>47</v>
      </c>
      <c r="C61" s="125" t="s">
        <v>1199</v>
      </c>
      <c r="D61" s="126" t="s">
        <v>1200</v>
      </c>
      <c r="E61" s="126" t="s">
        <v>1185</v>
      </c>
      <c r="F61" s="126" t="s">
        <v>1118</v>
      </c>
      <c r="G61" s="126" t="s">
        <v>1145</v>
      </c>
      <c r="H61" s="131"/>
      <c r="I61" s="131"/>
      <c r="J61" s="153"/>
      <c r="K61" s="153"/>
      <c r="L61" s="126"/>
      <c r="M61" s="144"/>
      <c r="N61" s="153"/>
      <c r="O61" s="153"/>
      <c r="P61" s="153"/>
      <c r="Q61" s="153"/>
      <c r="R61" s="153"/>
      <c r="S61" s="149"/>
      <c r="T61" s="149"/>
      <c r="U61" s="149"/>
    </row>
    <row r="62">
      <c r="A62" s="135" t="s">
        <v>3</v>
      </c>
      <c r="B62" s="124" t="s">
        <v>47</v>
      </c>
      <c r="C62" s="125" t="s">
        <v>1201</v>
      </c>
      <c r="D62" s="129">
        <v>45502.0</v>
      </c>
      <c r="E62" s="126" t="s">
        <v>1202</v>
      </c>
      <c r="F62" s="126" t="s">
        <v>1118</v>
      </c>
      <c r="G62" s="126" t="s">
        <v>746</v>
      </c>
      <c r="H62" s="131"/>
      <c r="I62" s="131"/>
      <c r="J62" s="126"/>
      <c r="K62" s="126"/>
      <c r="L62" s="126"/>
      <c r="M62" s="144"/>
      <c r="N62" s="125"/>
      <c r="O62" s="125"/>
      <c r="P62" s="125"/>
      <c r="Q62" s="125"/>
      <c r="R62" s="126"/>
      <c r="S62" s="149"/>
      <c r="T62" s="149"/>
      <c r="U62" s="149"/>
    </row>
    <row r="63">
      <c r="A63" s="135" t="s">
        <v>3</v>
      </c>
      <c r="B63" s="124" t="s">
        <v>47</v>
      </c>
      <c r="C63" s="125" t="s">
        <v>1203</v>
      </c>
      <c r="D63" s="126" t="s">
        <v>1187</v>
      </c>
      <c r="E63" s="126" t="s">
        <v>1153</v>
      </c>
      <c r="F63" s="126" t="s">
        <v>1118</v>
      </c>
      <c r="G63" s="126" t="s">
        <v>1145</v>
      </c>
      <c r="H63" s="131"/>
      <c r="I63" s="131"/>
      <c r="J63" s="126"/>
      <c r="K63" s="126"/>
      <c r="L63" s="125"/>
      <c r="M63" s="144"/>
      <c r="N63" s="125"/>
      <c r="O63" s="125"/>
      <c r="P63" s="125"/>
      <c r="Q63" s="125"/>
      <c r="R63" s="126"/>
      <c r="S63" s="149"/>
      <c r="T63" s="149"/>
      <c r="U63" s="149"/>
    </row>
    <row r="64">
      <c r="A64" s="135" t="s">
        <v>3</v>
      </c>
      <c r="B64" s="124" t="s">
        <v>47</v>
      </c>
      <c r="C64" s="125" t="s">
        <v>1204</v>
      </c>
      <c r="D64" s="129">
        <v>45502.0</v>
      </c>
      <c r="E64" s="126" t="s">
        <v>1153</v>
      </c>
      <c r="F64" s="126" t="s">
        <v>1118</v>
      </c>
      <c r="G64" s="126" t="s">
        <v>1145</v>
      </c>
      <c r="H64" s="131"/>
      <c r="I64" s="131"/>
      <c r="J64" s="126"/>
      <c r="K64" s="126"/>
      <c r="L64" s="125"/>
      <c r="M64" s="144"/>
      <c r="N64" s="125"/>
      <c r="O64" s="125"/>
      <c r="P64" s="125"/>
      <c r="Q64" s="125"/>
      <c r="R64" s="262"/>
      <c r="S64" s="149"/>
      <c r="T64" s="149"/>
      <c r="U64" s="149"/>
    </row>
    <row r="65">
      <c r="A65" s="135" t="s">
        <v>3</v>
      </c>
      <c r="B65" s="124" t="s">
        <v>47</v>
      </c>
      <c r="C65" s="125" t="s">
        <v>1205</v>
      </c>
      <c r="D65" s="126" t="s">
        <v>1206</v>
      </c>
      <c r="E65" s="126" t="s">
        <v>1207</v>
      </c>
      <c r="F65" s="126" t="s">
        <v>1118</v>
      </c>
      <c r="G65" s="126" t="s">
        <v>1145</v>
      </c>
      <c r="H65" s="131"/>
      <c r="I65" s="131"/>
      <c r="J65" s="126"/>
      <c r="K65" s="126"/>
      <c r="L65" s="125"/>
      <c r="M65" s="144"/>
      <c r="N65" s="125"/>
      <c r="O65" s="125"/>
      <c r="P65" s="125"/>
      <c r="Q65" s="125"/>
      <c r="R65" s="126"/>
      <c r="S65" s="149"/>
      <c r="T65" s="149"/>
      <c r="U65" s="149"/>
    </row>
    <row r="66">
      <c r="A66" s="135" t="s">
        <v>3</v>
      </c>
      <c r="B66" s="124" t="s">
        <v>47</v>
      </c>
      <c r="C66" s="125" t="s">
        <v>1208</v>
      </c>
      <c r="D66" s="129">
        <v>45505.0</v>
      </c>
      <c r="E66" s="126" t="s">
        <v>1202</v>
      </c>
      <c r="F66" s="126" t="s">
        <v>1118</v>
      </c>
      <c r="G66" s="126" t="s">
        <v>1145</v>
      </c>
      <c r="H66" s="131"/>
      <c r="I66" s="131"/>
      <c r="J66" s="126"/>
      <c r="K66" s="126"/>
      <c r="L66" s="125"/>
      <c r="M66" s="467"/>
      <c r="N66" s="125"/>
      <c r="O66" s="125"/>
      <c r="P66" s="126"/>
      <c r="Q66" s="125"/>
      <c r="R66" s="126"/>
      <c r="S66" s="149"/>
      <c r="T66" s="149"/>
      <c r="U66" s="149"/>
    </row>
    <row r="67">
      <c r="A67" s="135" t="s">
        <v>3</v>
      </c>
      <c r="B67" s="124" t="s">
        <v>47</v>
      </c>
      <c r="C67" s="125" t="s">
        <v>1209</v>
      </c>
      <c r="D67" s="129">
        <v>45503.0</v>
      </c>
      <c r="E67" s="126" t="s">
        <v>1188</v>
      </c>
      <c r="F67" s="126" t="s">
        <v>1118</v>
      </c>
      <c r="G67" s="126" t="s">
        <v>1145</v>
      </c>
      <c r="H67" s="131"/>
      <c r="I67" s="131"/>
      <c r="J67" s="126"/>
      <c r="K67" s="126"/>
      <c r="L67" s="125"/>
      <c r="M67" s="144"/>
      <c r="N67" s="126"/>
      <c r="O67" s="125"/>
      <c r="P67" s="125"/>
      <c r="Q67" s="125"/>
      <c r="R67" s="126"/>
      <c r="S67" s="149"/>
      <c r="T67" s="149"/>
      <c r="U67" s="149"/>
    </row>
    <row r="68">
      <c r="A68" s="135" t="s">
        <v>3</v>
      </c>
      <c r="B68" s="124" t="s">
        <v>47</v>
      </c>
      <c r="C68" s="125" t="s">
        <v>1210</v>
      </c>
      <c r="D68" s="129">
        <v>45505.0</v>
      </c>
      <c r="E68" s="126" t="s">
        <v>1202</v>
      </c>
      <c r="F68" s="126" t="s">
        <v>1118</v>
      </c>
      <c r="G68" s="126" t="s">
        <v>746</v>
      </c>
      <c r="H68" s="131"/>
      <c r="I68" s="131"/>
      <c r="J68" s="126"/>
      <c r="K68" s="126"/>
      <c r="L68" s="125"/>
      <c r="M68" s="144"/>
      <c r="N68" s="126"/>
      <c r="O68" s="125"/>
      <c r="P68" s="125"/>
      <c r="Q68" s="125"/>
      <c r="R68" s="126"/>
      <c r="S68" s="149"/>
      <c r="T68" s="149"/>
      <c r="U68" s="149"/>
    </row>
    <row r="69">
      <c r="A69" s="135" t="s">
        <v>3</v>
      </c>
      <c r="B69" s="124" t="s">
        <v>1189</v>
      </c>
      <c r="C69" s="125" t="s">
        <v>1190</v>
      </c>
      <c r="D69" s="126" t="s">
        <v>1211</v>
      </c>
      <c r="E69" s="126" t="s">
        <v>1087</v>
      </c>
      <c r="F69" s="126" t="s">
        <v>1118</v>
      </c>
      <c r="G69" s="126" t="s">
        <v>1145</v>
      </c>
      <c r="H69" s="131"/>
      <c r="I69" s="131"/>
      <c r="J69" s="126"/>
      <c r="K69" s="126"/>
      <c r="L69" s="125"/>
      <c r="M69" s="467"/>
      <c r="N69" s="126"/>
      <c r="O69" s="125"/>
      <c r="P69" s="125"/>
      <c r="Q69" s="153"/>
      <c r="R69" s="126"/>
      <c r="S69" s="149"/>
      <c r="T69" s="149"/>
      <c r="U69" s="149"/>
    </row>
    <row r="70">
      <c r="A70" s="135" t="s">
        <v>3</v>
      </c>
      <c r="B70" s="124" t="s">
        <v>1189</v>
      </c>
      <c r="C70" s="125" t="s">
        <v>1192</v>
      </c>
      <c r="D70" s="126" t="s">
        <v>1212</v>
      </c>
      <c r="E70" s="126" t="s">
        <v>1100</v>
      </c>
      <c r="F70" s="126" t="s">
        <v>1118</v>
      </c>
      <c r="G70" s="126" t="s">
        <v>1145</v>
      </c>
      <c r="H70" s="131"/>
      <c r="I70" s="131"/>
      <c r="J70" s="126"/>
      <c r="K70" s="125"/>
      <c r="L70" s="125"/>
      <c r="M70" s="144"/>
      <c r="N70" s="125"/>
      <c r="O70" s="125"/>
      <c r="P70" s="125"/>
      <c r="Q70" s="125"/>
      <c r="R70" s="254"/>
      <c r="S70" s="149"/>
      <c r="T70" s="149"/>
      <c r="U70" s="149"/>
    </row>
    <row r="71">
      <c r="A71" s="135" t="s">
        <v>3</v>
      </c>
      <c r="B71" s="124" t="s">
        <v>1189</v>
      </c>
      <c r="C71" s="125" t="s">
        <v>1194</v>
      </c>
      <c r="D71" s="126" t="s">
        <v>1213</v>
      </c>
      <c r="E71" s="126" t="s">
        <v>1151</v>
      </c>
      <c r="F71" s="126" t="s">
        <v>1118</v>
      </c>
      <c r="G71" s="126" t="s">
        <v>1145</v>
      </c>
      <c r="H71" s="131"/>
      <c r="I71" s="131"/>
      <c r="J71" s="126"/>
      <c r="K71" s="125"/>
      <c r="L71" s="125"/>
      <c r="M71" s="144"/>
      <c r="N71" s="125"/>
      <c r="O71" s="125"/>
      <c r="P71" s="125"/>
      <c r="Q71" s="125"/>
      <c r="R71" s="152"/>
      <c r="S71" s="149"/>
      <c r="T71" s="149"/>
      <c r="U71" s="149"/>
    </row>
    <row r="72">
      <c r="A72" s="135" t="s">
        <v>3</v>
      </c>
      <c r="B72" s="125" t="s">
        <v>65</v>
      </c>
      <c r="C72" s="125" t="s">
        <v>1214</v>
      </c>
      <c r="D72" s="126" t="s">
        <v>1215</v>
      </c>
      <c r="E72" s="126" t="s">
        <v>1216</v>
      </c>
      <c r="F72" s="126" t="s">
        <v>1118</v>
      </c>
      <c r="G72" s="126" t="s">
        <v>1145</v>
      </c>
      <c r="H72" s="131"/>
      <c r="I72" s="131"/>
      <c r="J72" s="126"/>
      <c r="K72" s="125"/>
      <c r="L72" s="126"/>
      <c r="M72" s="173"/>
      <c r="N72" s="125"/>
      <c r="O72" s="125"/>
      <c r="P72" s="125"/>
      <c r="Q72" s="125"/>
      <c r="R72" s="257"/>
      <c r="S72" s="149"/>
      <c r="T72" s="149"/>
      <c r="U72" s="149"/>
    </row>
    <row r="73">
      <c r="A73" s="135" t="s">
        <v>3</v>
      </c>
      <c r="B73" s="125" t="s">
        <v>78</v>
      </c>
      <c r="C73" s="362" t="s">
        <v>1143</v>
      </c>
      <c r="D73" s="126" t="s">
        <v>1217</v>
      </c>
      <c r="E73" s="126" t="s">
        <v>1218</v>
      </c>
      <c r="F73" s="126" t="s">
        <v>1118</v>
      </c>
      <c r="G73" s="126" t="s">
        <v>1145</v>
      </c>
      <c r="H73" s="131"/>
      <c r="I73" s="131"/>
      <c r="J73" s="126"/>
      <c r="K73" s="125"/>
      <c r="L73" s="126"/>
      <c r="M73" s="173"/>
      <c r="N73" s="125"/>
      <c r="O73" s="126"/>
      <c r="P73" s="126"/>
      <c r="Q73" s="125"/>
      <c r="R73" s="257"/>
      <c r="S73" s="149"/>
      <c r="T73" s="149"/>
      <c r="U73" s="149"/>
    </row>
    <row r="74">
      <c r="A74" s="135" t="s">
        <v>3</v>
      </c>
      <c r="B74" s="125" t="s">
        <v>78</v>
      </c>
      <c r="C74" s="362" t="s">
        <v>1146</v>
      </c>
      <c r="D74" s="126" t="s">
        <v>1219</v>
      </c>
      <c r="E74" s="126" t="s">
        <v>1098</v>
      </c>
      <c r="F74" s="126" t="s">
        <v>1118</v>
      </c>
      <c r="G74" s="126" t="s">
        <v>1145</v>
      </c>
      <c r="H74" s="131"/>
      <c r="I74" s="131"/>
      <c r="J74" s="126"/>
      <c r="K74" s="125"/>
      <c r="L74" s="126"/>
      <c r="M74" s="173"/>
      <c r="N74" s="125"/>
      <c r="O74" s="126"/>
      <c r="P74" s="126"/>
      <c r="Q74" s="125"/>
      <c r="R74" s="257"/>
      <c r="S74" s="149"/>
      <c r="T74" s="149"/>
      <c r="U74" s="149"/>
    </row>
    <row r="75">
      <c r="A75" s="135" t="s">
        <v>3</v>
      </c>
      <c r="B75" s="125" t="s">
        <v>78</v>
      </c>
      <c r="C75" s="362" t="s">
        <v>1149</v>
      </c>
      <c r="D75" s="126" t="s">
        <v>1220</v>
      </c>
      <c r="E75" s="126" t="s">
        <v>1221</v>
      </c>
      <c r="F75" s="126" t="s">
        <v>1118</v>
      </c>
      <c r="G75" s="126" t="s">
        <v>1145</v>
      </c>
      <c r="H75" s="131"/>
      <c r="I75" s="131"/>
      <c r="J75" s="126"/>
      <c r="K75" s="125"/>
      <c r="L75" s="126"/>
      <c r="M75" s="173"/>
      <c r="N75" s="126"/>
      <c r="O75" s="126"/>
      <c r="P75" s="126"/>
      <c r="Q75" s="153"/>
      <c r="R75" s="153"/>
      <c r="S75" s="149"/>
      <c r="T75" s="149"/>
      <c r="U75" s="149"/>
    </row>
    <row r="76">
      <c r="A76" s="135" t="s">
        <v>3</v>
      </c>
      <c r="B76" s="125" t="s">
        <v>78</v>
      </c>
      <c r="C76" s="362" t="s">
        <v>1152</v>
      </c>
      <c r="D76" s="129">
        <v>45520.0</v>
      </c>
      <c r="E76" s="126" t="s">
        <v>1153</v>
      </c>
      <c r="F76" s="126" t="s">
        <v>1118</v>
      </c>
      <c r="G76" s="126" t="s">
        <v>1145</v>
      </c>
      <c r="H76" s="131"/>
      <c r="I76" s="131"/>
      <c r="J76" s="126"/>
      <c r="K76" s="126"/>
      <c r="L76" s="126"/>
      <c r="M76" s="144"/>
      <c r="N76" s="125"/>
      <c r="O76" s="125"/>
      <c r="P76" s="125"/>
      <c r="Q76" s="125"/>
      <c r="R76" s="153"/>
      <c r="S76" s="149"/>
      <c r="T76" s="149"/>
      <c r="U76" s="149"/>
    </row>
    <row r="77">
      <c r="A77" s="135" t="s">
        <v>3</v>
      </c>
      <c r="B77" s="125" t="s">
        <v>78</v>
      </c>
      <c r="C77" s="362" t="s">
        <v>1154</v>
      </c>
      <c r="D77" s="126" t="s">
        <v>1222</v>
      </c>
      <c r="E77" s="126" t="s">
        <v>1218</v>
      </c>
      <c r="F77" s="126" t="s">
        <v>1118</v>
      </c>
      <c r="G77" s="126" t="s">
        <v>1145</v>
      </c>
      <c r="H77" s="131"/>
      <c r="I77" s="131"/>
      <c r="J77" s="126"/>
      <c r="K77" s="153"/>
      <c r="L77" s="126"/>
      <c r="M77" s="144"/>
      <c r="N77" s="125"/>
      <c r="O77" s="125"/>
      <c r="P77" s="125"/>
      <c r="Q77" s="125"/>
      <c r="R77" s="153"/>
      <c r="S77" s="149"/>
      <c r="T77" s="149"/>
      <c r="U77" s="149"/>
    </row>
    <row r="78">
      <c r="A78" s="135" t="s">
        <v>3</v>
      </c>
      <c r="B78" s="125" t="s">
        <v>78</v>
      </c>
      <c r="C78" s="362" t="s">
        <v>1158</v>
      </c>
      <c r="D78" s="126" t="s">
        <v>1223</v>
      </c>
      <c r="E78" s="126" t="s">
        <v>1102</v>
      </c>
      <c r="F78" s="126" t="s">
        <v>1118</v>
      </c>
      <c r="G78" s="126" t="s">
        <v>1145</v>
      </c>
      <c r="H78" s="131"/>
      <c r="I78" s="131"/>
      <c r="J78" s="126"/>
      <c r="K78" s="153"/>
      <c r="L78" s="126"/>
      <c r="M78" s="365"/>
      <c r="N78" s="125"/>
      <c r="O78" s="125"/>
      <c r="P78" s="366"/>
      <c r="Q78" s="126"/>
      <c r="R78" s="153"/>
      <c r="S78" s="149"/>
      <c r="T78" s="149"/>
      <c r="U78" s="149"/>
    </row>
    <row r="79" ht="18.75" customHeight="1">
      <c r="A79" s="135" t="s">
        <v>18</v>
      </c>
      <c r="B79" s="124" t="s">
        <v>18</v>
      </c>
      <c r="C79" s="125" t="s">
        <v>1224</v>
      </c>
      <c r="D79" s="126" t="s">
        <v>1225</v>
      </c>
      <c r="E79" s="126" t="s">
        <v>1121</v>
      </c>
      <c r="F79" s="126" t="s">
        <v>1088</v>
      </c>
      <c r="G79" s="468" t="s">
        <v>1145</v>
      </c>
      <c r="H79" s="131"/>
      <c r="I79" s="131"/>
      <c r="J79" s="126"/>
      <c r="K79" s="153"/>
      <c r="L79" s="126"/>
      <c r="M79" s="144"/>
      <c r="N79" s="126"/>
      <c r="O79" s="125"/>
      <c r="P79" s="125"/>
      <c r="Q79" s="126"/>
      <c r="R79" s="153"/>
      <c r="S79" s="149"/>
      <c r="T79" s="149"/>
      <c r="U79" s="149"/>
    </row>
    <row r="80" ht="18.75" customHeight="1">
      <c r="A80" s="135" t="s">
        <v>18</v>
      </c>
      <c r="B80" s="124" t="s">
        <v>18</v>
      </c>
      <c r="C80" s="125" t="s">
        <v>1224</v>
      </c>
      <c r="D80" s="126" t="s">
        <v>1226</v>
      </c>
      <c r="E80" s="126" t="s">
        <v>1121</v>
      </c>
      <c r="F80" s="126" t="s">
        <v>1088</v>
      </c>
      <c r="G80" s="468" t="s">
        <v>1145</v>
      </c>
      <c r="H80" s="131"/>
      <c r="I80" s="131"/>
      <c r="J80" s="126"/>
      <c r="K80" s="153"/>
      <c r="L80" s="126"/>
      <c r="M80" s="144"/>
      <c r="N80" s="125"/>
      <c r="O80" s="125"/>
      <c r="P80" s="125"/>
      <c r="Q80" s="222"/>
      <c r="R80" s="153"/>
      <c r="S80" s="149"/>
      <c r="T80" s="149"/>
      <c r="U80" s="149"/>
    </row>
    <row r="81" ht="18.75" customHeight="1">
      <c r="A81" s="135" t="s">
        <v>18</v>
      </c>
      <c r="B81" s="124" t="s">
        <v>18</v>
      </c>
      <c r="C81" s="125" t="s">
        <v>1209</v>
      </c>
      <c r="D81" s="126" t="s">
        <v>1227</v>
      </c>
      <c r="E81" s="126" t="s">
        <v>1098</v>
      </c>
      <c r="F81" s="126" t="s">
        <v>1118</v>
      </c>
      <c r="G81" s="468" t="s">
        <v>1145</v>
      </c>
      <c r="H81" s="131"/>
      <c r="I81" s="131"/>
      <c r="J81" s="126"/>
      <c r="K81" s="153"/>
      <c r="L81" s="153"/>
      <c r="M81" s="144"/>
      <c r="N81" s="125"/>
      <c r="O81" s="469"/>
      <c r="P81" s="125"/>
      <c r="Q81" s="126"/>
      <c r="R81" s="153"/>
      <c r="S81" s="149"/>
      <c r="T81" s="149"/>
      <c r="U81" s="149"/>
    </row>
    <row r="82" ht="18.75" customHeight="1">
      <c r="A82" s="135" t="s">
        <v>18</v>
      </c>
      <c r="B82" s="124" t="s">
        <v>18</v>
      </c>
      <c r="C82" s="125" t="s">
        <v>1209</v>
      </c>
      <c r="D82" s="126" t="s">
        <v>1228</v>
      </c>
      <c r="E82" s="126" t="s">
        <v>1100</v>
      </c>
      <c r="F82" s="126" t="s">
        <v>1118</v>
      </c>
      <c r="G82" s="468" t="s">
        <v>1145</v>
      </c>
      <c r="H82" s="131"/>
      <c r="I82" s="131"/>
      <c r="J82" s="126"/>
      <c r="K82" s="153"/>
      <c r="L82" s="153"/>
      <c r="M82" s="144"/>
      <c r="N82" s="125"/>
      <c r="O82" s="469"/>
      <c r="P82" s="125"/>
      <c r="Q82" s="126"/>
      <c r="R82" s="153"/>
      <c r="S82" s="149"/>
      <c r="T82" s="149"/>
      <c r="U82" s="149"/>
    </row>
    <row r="83" ht="18.75" customHeight="1">
      <c r="A83" s="135" t="s">
        <v>18</v>
      </c>
      <c r="B83" s="124" t="s">
        <v>18</v>
      </c>
      <c r="C83" s="125" t="s">
        <v>1209</v>
      </c>
      <c r="D83" s="126" t="s">
        <v>1229</v>
      </c>
      <c r="E83" s="126" t="s">
        <v>1095</v>
      </c>
      <c r="F83" s="126" t="s">
        <v>1118</v>
      </c>
      <c r="G83" s="468" t="s">
        <v>1145</v>
      </c>
      <c r="H83" s="131"/>
      <c r="I83" s="131"/>
      <c r="J83" s="126"/>
      <c r="K83" s="153"/>
      <c r="L83" s="153"/>
      <c r="M83" s="144"/>
      <c r="N83" s="125"/>
      <c r="O83" s="469"/>
      <c r="P83" s="125"/>
      <c r="Q83" s="126"/>
      <c r="R83" s="153"/>
      <c r="S83" s="149"/>
      <c r="T83" s="149"/>
      <c r="U83" s="149"/>
    </row>
    <row r="84" ht="18.75" customHeight="1">
      <c r="A84" s="470" t="s">
        <v>8</v>
      </c>
      <c r="B84" s="200" t="s">
        <v>31</v>
      </c>
      <c r="C84" s="125" t="s">
        <v>1230</v>
      </c>
      <c r="D84" s="126" t="s">
        <v>1231</v>
      </c>
      <c r="E84" s="126">
        <v>68.0</v>
      </c>
      <c r="F84" s="126" t="s">
        <v>1118</v>
      </c>
      <c r="G84" s="126" t="s">
        <v>1145</v>
      </c>
      <c r="H84" s="131"/>
      <c r="I84" s="131"/>
      <c r="J84" s="126"/>
      <c r="K84" s="153"/>
      <c r="L84" s="153"/>
      <c r="M84" s="144"/>
      <c r="N84" s="125"/>
      <c r="O84" s="469"/>
      <c r="P84" s="125"/>
      <c r="Q84" s="126"/>
      <c r="R84" s="153"/>
      <c r="S84" s="149"/>
      <c r="T84" s="149"/>
      <c r="U84" s="149"/>
    </row>
    <row r="85" ht="18.75" customHeight="1">
      <c r="A85" s="470" t="s">
        <v>8</v>
      </c>
      <c r="B85" s="160" t="s">
        <v>31</v>
      </c>
      <c r="C85" s="125" t="s">
        <v>1232</v>
      </c>
      <c r="D85" s="126" t="s">
        <v>1233</v>
      </c>
      <c r="E85" s="126">
        <v>60.0</v>
      </c>
      <c r="F85" s="126" t="s">
        <v>1118</v>
      </c>
      <c r="G85" s="126" t="s">
        <v>1145</v>
      </c>
      <c r="H85" s="131"/>
      <c r="I85" s="131"/>
      <c r="J85" s="126"/>
      <c r="K85" s="153"/>
      <c r="L85" s="153"/>
      <c r="M85" s="144"/>
      <c r="N85" s="125"/>
      <c r="O85" s="469"/>
      <c r="P85" s="125"/>
      <c r="Q85" s="126"/>
      <c r="R85" s="153"/>
      <c r="S85" s="149"/>
      <c r="T85" s="149"/>
      <c r="U85" s="149"/>
    </row>
    <row r="86" ht="18.75" customHeight="1">
      <c r="A86" s="470" t="s">
        <v>8</v>
      </c>
      <c r="B86" s="160" t="s">
        <v>31</v>
      </c>
      <c r="C86" s="125" t="s">
        <v>1234</v>
      </c>
      <c r="D86" s="126" t="s">
        <v>1233</v>
      </c>
      <c r="E86" s="126">
        <v>60.0</v>
      </c>
      <c r="F86" s="126" t="s">
        <v>1118</v>
      </c>
      <c r="G86" s="126" t="s">
        <v>1145</v>
      </c>
      <c r="H86" s="131"/>
      <c r="I86" s="131"/>
      <c r="J86" s="126"/>
      <c r="K86" s="153"/>
      <c r="L86" s="153"/>
      <c r="M86" s="144"/>
      <c r="N86" s="125"/>
      <c r="O86" s="469"/>
      <c r="P86" s="125"/>
      <c r="Q86" s="126"/>
      <c r="R86" s="153"/>
      <c r="S86" s="149"/>
      <c r="T86" s="149"/>
      <c r="U86" s="149"/>
    </row>
    <row r="87" ht="18.75" customHeight="1">
      <c r="A87" s="470" t="s">
        <v>8</v>
      </c>
      <c r="B87" s="160" t="s">
        <v>31</v>
      </c>
      <c r="C87" s="125" t="s">
        <v>1235</v>
      </c>
      <c r="D87" s="126" t="s">
        <v>1233</v>
      </c>
      <c r="E87" s="126">
        <v>60.0</v>
      </c>
      <c r="F87" s="126" t="s">
        <v>1118</v>
      </c>
      <c r="G87" s="126" t="s">
        <v>1145</v>
      </c>
      <c r="H87" s="131"/>
      <c r="I87" s="131"/>
      <c r="J87" s="126"/>
      <c r="K87" s="153"/>
      <c r="L87" s="153"/>
      <c r="M87" s="144"/>
      <c r="N87" s="125"/>
      <c r="O87" s="469"/>
      <c r="P87" s="125"/>
      <c r="Q87" s="126"/>
      <c r="R87" s="153"/>
      <c r="S87" s="149"/>
      <c r="T87" s="149"/>
      <c r="U87" s="149"/>
    </row>
    <row r="88" ht="18.75" customHeight="1">
      <c r="A88" s="470" t="s">
        <v>8</v>
      </c>
      <c r="B88" s="160" t="s">
        <v>31</v>
      </c>
      <c r="C88" s="125" t="s">
        <v>1236</v>
      </c>
      <c r="D88" s="126" t="s">
        <v>1233</v>
      </c>
      <c r="E88" s="126">
        <v>60.0</v>
      </c>
      <c r="F88" s="126" t="s">
        <v>1118</v>
      </c>
      <c r="G88" s="126" t="s">
        <v>1145</v>
      </c>
      <c r="H88" s="131"/>
      <c r="I88" s="131"/>
      <c r="J88" s="126"/>
      <c r="K88" s="153"/>
      <c r="L88" s="153"/>
      <c r="M88" s="144"/>
      <c r="N88" s="125"/>
      <c r="O88" s="469"/>
      <c r="P88" s="125"/>
      <c r="Q88" s="126"/>
      <c r="R88" s="153"/>
      <c r="S88" s="149"/>
      <c r="T88" s="149"/>
      <c r="U88" s="149"/>
    </row>
    <row r="89" ht="18.75" customHeight="1">
      <c r="A89" s="470" t="s">
        <v>8</v>
      </c>
      <c r="B89" s="160" t="s">
        <v>31</v>
      </c>
      <c r="C89" s="125" t="s">
        <v>1237</v>
      </c>
      <c r="D89" s="126" t="s">
        <v>1233</v>
      </c>
      <c r="E89" s="126">
        <v>60.0</v>
      </c>
      <c r="F89" s="126" t="s">
        <v>1118</v>
      </c>
      <c r="G89" s="126" t="s">
        <v>1145</v>
      </c>
      <c r="H89" s="131"/>
      <c r="I89" s="131"/>
      <c r="J89" s="126"/>
      <c r="K89" s="153"/>
      <c r="L89" s="153"/>
      <c r="M89" s="144"/>
      <c r="N89" s="125"/>
      <c r="O89" s="469"/>
      <c r="P89" s="125"/>
      <c r="Q89" s="126"/>
      <c r="R89" s="153"/>
      <c r="S89" s="149"/>
      <c r="T89" s="149"/>
      <c r="U89" s="149"/>
    </row>
    <row r="90" ht="18.75" customHeight="1">
      <c r="A90" s="470" t="s">
        <v>8</v>
      </c>
      <c r="B90" s="160" t="s">
        <v>31</v>
      </c>
      <c r="C90" s="125" t="s">
        <v>1238</v>
      </c>
      <c r="D90" s="126" t="s">
        <v>1233</v>
      </c>
      <c r="E90" s="126">
        <v>60.0</v>
      </c>
      <c r="F90" s="126" t="s">
        <v>1118</v>
      </c>
      <c r="G90" s="126" t="s">
        <v>1145</v>
      </c>
      <c r="H90" s="131"/>
      <c r="I90" s="131"/>
      <c r="J90" s="126"/>
      <c r="K90" s="153"/>
      <c r="L90" s="153"/>
      <c r="M90" s="144"/>
      <c r="N90" s="125"/>
      <c r="O90" s="469"/>
      <c r="P90" s="125"/>
      <c r="Q90" s="126"/>
      <c r="R90" s="153"/>
      <c r="S90" s="149"/>
      <c r="T90" s="149"/>
      <c r="U90" s="149"/>
    </row>
    <row r="91" ht="18.75" customHeight="1">
      <c r="A91" s="470" t="s">
        <v>8</v>
      </c>
      <c r="B91" s="200" t="s">
        <v>882</v>
      </c>
      <c r="C91" s="125" t="s">
        <v>1239</v>
      </c>
      <c r="D91" s="126" t="s">
        <v>1231</v>
      </c>
      <c r="E91" s="126">
        <v>68.0</v>
      </c>
      <c r="F91" s="126" t="s">
        <v>1118</v>
      </c>
      <c r="G91" s="126" t="s">
        <v>1145</v>
      </c>
      <c r="H91" s="131"/>
      <c r="I91" s="131"/>
      <c r="J91" s="126"/>
      <c r="K91" s="153"/>
      <c r="L91" s="153"/>
      <c r="M91" s="144"/>
      <c r="N91" s="125"/>
      <c r="O91" s="469"/>
      <c r="P91" s="125"/>
      <c r="Q91" s="126"/>
      <c r="R91" s="153"/>
      <c r="S91" s="149"/>
      <c r="T91" s="149"/>
      <c r="U91" s="149"/>
    </row>
    <row r="92" ht="18.75" customHeight="1">
      <c r="A92" s="470" t="s">
        <v>8</v>
      </c>
      <c r="B92" s="200" t="s">
        <v>882</v>
      </c>
      <c r="C92" s="125" t="s">
        <v>1240</v>
      </c>
      <c r="D92" s="126" t="s">
        <v>1233</v>
      </c>
      <c r="E92" s="126">
        <v>60.0</v>
      </c>
      <c r="F92" s="126" t="s">
        <v>1118</v>
      </c>
      <c r="G92" s="126" t="s">
        <v>1145</v>
      </c>
      <c r="H92" s="131"/>
      <c r="I92" s="131"/>
      <c r="J92" s="126"/>
      <c r="K92" s="153"/>
      <c r="L92" s="153"/>
      <c r="M92" s="144"/>
      <c r="N92" s="125"/>
      <c r="O92" s="469"/>
      <c r="P92" s="125"/>
      <c r="Q92" s="126"/>
      <c r="R92" s="153"/>
      <c r="S92" s="149"/>
      <c r="T92" s="149"/>
      <c r="U92" s="149"/>
    </row>
    <row r="93" ht="18.75" customHeight="1">
      <c r="A93" s="470" t="s">
        <v>8</v>
      </c>
      <c r="B93" s="200" t="s">
        <v>882</v>
      </c>
      <c r="C93" s="125" t="s">
        <v>1241</v>
      </c>
      <c r="D93" s="126" t="s">
        <v>1233</v>
      </c>
      <c r="E93" s="126">
        <v>60.0</v>
      </c>
      <c r="F93" s="126" t="s">
        <v>1118</v>
      </c>
      <c r="G93" s="126" t="s">
        <v>1145</v>
      </c>
      <c r="H93" s="131"/>
      <c r="I93" s="131"/>
      <c r="J93" s="126"/>
      <c r="K93" s="153"/>
      <c r="L93" s="153"/>
      <c r="M93" s="144"/>
      <c r="N93" s="125"/>
      <c r="O93" s="469"/>
      <c r="P93" s="125"/>
      <c r="Q93" s="126"/>
      <c r="R93" s="153"/>
      <c r="S93" s="149"/>
      <c r="T93" s="149"/>
      <c r="U93" s="149"/>
    </row>
    <row r="94" ht="18.75" customHeight="1">
      <c r="A94" s="470" t="s">
        <v>8</v>
      </c>
      <c r="B94" s="200" t="s">
        <v>882</v>
      </c>
      <c r="C94" s="125" t="s">
        <v>1242</v>
      </c>
      <c r="D94" s="126" t="s">
        <v>1233</v>
      </c>
      <c r="E94" s="126">
        <v>120.0</v>
      </c>
      <c r="F94" s="126" t="s">
        <v>1118</v>
      </c>
      <c r="G94" s="126" t="s">
        <v>1145</v>
      </c>
      <c r="H94" s="131"/>
      <c r="I94" s="131"/>
      <c r="J94" s="126"/>
      <c r="K94" s="153"/>
      <c r="L94" s="153"/>
      <c r="M94" s="144"/>
      <c r="N94" s="125"/>
      <c r="O94" s="469"/>
      <c r="P94" s="125"/>
      <c r="Q94" s="126"/>
      <c r="R94" s="153"/>
      <c r="S94" s="149"/>
      <c r="T94" s="149"/>
      <c r="U94" s="149"/>
    </row>
    <row r="95" ht="18.75" customHeight="1">
      <c r="A95" s="470" t="s">
        <v>8</v>
      </c>
      <c r="B95" s="200" t="s">
        <v>882</v>
      </c>
      <c r="C95" s="125" t="s">
        <v>1243</v>
      </c>
      <c r="D95" s="126" t="s">
        <v>1233</v>
      </c>
      <c r="E95" s="126">
        <v>60.0</v>
      </c>
      <c r="F95" s="126" t="s">
        <v>1118</v>
      </c>
      <c r="G95" s="126" t="s">
        <v>1145</v>
      </c>
      <c r="H95" s="131"/>
      <c r="I95" s="131"/>
      <c r="J95" s="126"/>
      <c r="K95" s="153"/>
      <c r="L95" s="153"/>
      <c r="M95" s="144"/>
      <c r="N95" s="125"/>
      <c r="O95" s="469"/>
      <c r="P95" s="125"/>
      <c r="Q95" s="126"/>
      <c r="R95" s="153"/>
      <c r="S95" s="149"/>
      <c r="T95" s="149"/>
      <c r="U95" s="149"/>
    </row>
    <row r="96" ht="18.75" customHeight="1">
      <c r="A96" s="470" t="s">
        <v>8</v>
      </c>
      <c r="B96" s="200" t="s">
        <v>1244</v>
      </c>
      <c r="C96" s="125" t="s">
        <v>1239</v>
      </c>
      <c r="D96" s="126" t="s">
        <v>1245</v>
      </c>
      <c r="E96" s="126">
        <v>40.0</v>
      </c>
      <c r="F96" s="126" t="s">
        <v>1118</v>
      </c>
      <c r="G96" s="126" t="s">
        <v>1145</v>
      </c>
      <c r="H96" s="131"/>
      <c r="I96" s="131"/>
      <c r="J96" s="126"/>
      <c r="K96" s="153"/>
      <c r="L96" s="153"/>
      <c r="M96" s="144"/>
      <c r="N96" s="125"/>
      <c r="O96" s="469"/>
      <c r="P96" s="125"/>
      <c r="Q96" s="126"/>
      <c r="R96" s="153"/>
      <c r="S96" s="149"/>
      <c r="T96" s="149"/>
      <c r="U96" s="149"/>
    </row>
    <row r="97" ht="18.75" customHeight="1">
      <c r="A97" s="470" t="s">
        <v>8</v>
      </c>
      <c r="B97" s="200" t="s">
        <v>1244</v>
      </c>
      <c r="C97" s="125" t="s">
        <v>1246</v>
      </c>
      <c r="D97" s="126" t="s">
        <v>1247</v>
      </c>
      <c r="E97" s="126">
        <v>92.0</v>
      </c>
      <c r="F97" s="126" t="s">
        <v>1118</v>
      </c>
      <c r="G97" s="126" t="s">
        <v>1145</v>
      </c>
      <c r="H97" s="131"/>
      <c r="I97" s="131"/>
      <c r="J97" s="126"/>
      <c r="K97" s="153"/>
      <c r="L97" s="153"/>
      <c r="M97" s="144"/>
      <c r="N97" s="125"/>
      <c r="O97" s="469"/>
      <c r="P97" s="125"/>
      <c r="Q97" s="126"/>
      <c r="R97" s="153"/>
      <c r="S97" s="149"/>
      <c r="T97" s="149"/>
      <c r="U97" s="149"/>
    </row>
    <row r="98" ht="18.75" customHeight="1">
      <c r="A98" s="470" t="s">
        <v>8</v>
      </c>
      <c r="B98" s="200" t="s">
        <v>1244</v>
      </c>
      <c r="C98" s="125" t="s">
        <v>1248</v>
      </c>
      <c r="D98" s="126" t="s">
        <v>1247</v>
      </c>
      <c r="E98" s="126">
        <v>92.0</v>
      </c>
      <c r="F98" s="126" t="s">
        <v>1118</v>
      </c>
      <c r="G98" s="126" t="s">
        <v>1145</v>
      </c>
      <c r="H98" s="131"/>
      <c r="I98" s="131"/>
      <c r="J98" s="126"/>
      <c r="K98" s="153"/>
      <c r="L98" s="153"/>
      <c r="M98" s="144"/>
      <c r="N98" s="125"/>
      <c r="O98" s="469"/>
      <c r="P98" s="125"/>
      <c r="Q98" s="126"/>
      <c r="R98" s="153"/>
      <c r="S98" s="149"/>
      <c r="T98" s="149"/>
      <c r="U98" s="149"/>
    </row>
    <row r="99" ht="18.75" customHeight="1">
      <c r="A99" s="470" t="s">
        <v>8</v>
      </c>
      <c r="B99" s="200" t="s">
        <v>102</v>
      </c>
      <c r="C99" s="125" t="s">
        <v>1237</v>
      </c>
      <c r="D99" s="126" t="s">
        <v>1249</v>
      </c>
      <c r="E99" s="126">
        <v>60.0</v>
      </c>
      <c r="F99" s="126" t="s">
        <v>1118</v>
      </c>
      <c r="G99" s="126" t="s">
        <v>1145</v>
      </c>
      <c r="H99" s="131"/>
      <c r="I99" s="131"/>
      <c r="J99" s="126"/>
      <c r="K99" s="153"/>
      <c r="L99" s="153"/>
      <c r="M99" s="144"/>
      <c r="N99" s="125"/>
      <c r="O99" s="469"/>
      <c r="P99" s="125"/>
      <c r="Q99" s="126"/>
      <c r="R99" s="153"/>
      <c r="S99" s="149"/>
      <c r="T99" s="149"/>
      <c r="U99" s="149"/>
    </row>
    <row r="100">
      <c r="A100" s="135" t="s">
        <v>3</v>
      </c>
      <c r="B100" s="124" t="s">
        <v>47</v>
      </c>
      <c r="C100" s="125" t="s">
        <v>1201</v>
      </c>
      <c r="D100" s="129">
        <v>45560.0</v>
      </c>
      <c r="E100" s="126" t="s">
        <v>1202</v>
      </c>
      <c r="F100" s="126" t="s">
        <v>1118</v>
      </c>
      <c r="G100" s="126" t="s">
        <v>1145</v>
      </c>
      <c r="H100" s="131"/>
      <c r="I100" s="131"/>
      <c r="J100" s="126"/>
      <c r="K100" s="153"/>
      <c r="L100" s="153"/>
      <c r="M100" s="144"/>
      <c r="N100" s="125"/>
      <c r="O100" s="469"/>
      <c r="P100" s="125"/>
      <c r="Q100" s="126"/>
      <c r="R100" s="153"/>
      <c r="S100" s="149"/>
      <c r="T100" s="149"/>
      <c r="U100" s="149"/>
    </row>
    <row r="101">
      <c r="A101" s="135" t="s">
        <v>3</v>
      </c>
      <c r="B101" s="125" t="s">
        <v>65</v>
      </c>
      <c r="C101" s="135" t="s">
        <v>1108</v>
      </c>
      <c r="D101" s="125"/>
      <c r="E101" s="125" t="s">
        <v>1110</v>
      </c>
      <c r="F101" s="126" t="s">
        <v>1118</v>
      </c>
      <c r="G101" s="126"/>
      <c r="H101" s="131"/>
      <c r="I101" s="131"/>
      <c r="J101" s="126"/>
      <c r="K101" s="153"/>
      <c r="L101" s="153"/>
      <c r="M101" s="144"/>
      <c r="N101" s="125"/>
      <c r="O101" s="469"/>
      <c r="P101" s="125"/>
      <c r="Q101" s="126"/>
      <c r="R101" s="153"/>
      <c r="S101" s="149"/>
      <c r="T101" s="149"/>
      <c r="U101" s="149"/>
    </row>
    <row r="102">
      <c r="A102" s="135" t="s">
        <v>3</v>
      </c>
      <c r="B102" s="124" t="s">
        <v>1189</v>
      </c>
      <c r="C102" s="125" t="s">
        <v>1250</v>
      </c>
      <c r="D102" s="126"/>
      <c r="E102" s="126" t="s">
        <v>1087</v>
      </c>
      <c r="F102" s="126" t="s">
        <v>1088</v>
      </c>
      <c r="G102" s="126"/>
      <c r="H102" s="131"/>
      <c r="I102" s="131"/>
      <c r="J102" s="126"/>
      <c r="K102" s="153"/>
      <c r="L102" s="153"/>
      <c r="M102" s="144"/>
      <c r="N102" s="125"/>
      <c r="O102" s="469"/>
      <c r="P102" s="125"/>
      <c r="Q102" s="126"/>
      <c r="R102" s="153"/>
      <c r="S102" s="149"/>
      <c r="T102" s="149"/>
      <c r="U102" s="149"/>
    </row>
    <row r="103" ht="18.75" customHeight="1">
      <c r="A103" s="135"/>
      <c r="B103" s="226"/>
      <c r="C103" s="125"/>
      <c r="D103" s="126"/>
      <c r="E103" s="126"/>
      <c r="F103" s="126"/>
      <c r="G103" s="126"/>
      <c r="H103" s="131"/>
      <c r="I103" s="131"/>
      <c r="J103" s="126"/>
      <c r="K103" s="153"/>
      <c r="L103" s="153"/>
      <c r="M103" s="144"/>
      <c r="N103" s="125"/>
      <c r="O103" s="469"/>
      <c r="P103" s="125"/>
      <c r="Q103" s="126"/>
      <c r="R103" s="153"/>
      <c r="S103" s="149"/>
      <c r="T103" s="149"/>
      <c r="U103" s="149"/>
    </row>
    <row r="104" ht="18.75" customHeight="1">
      <c r="A104" s="135"/>
      <c r="B104" s="226"/>
      <c r="C104" s="125"/>
      <c r="D104" s="126"/>
      <c r="E104" s="126"/>
      <c r="F104" s="126"/>
      <c r="G104" s="126"/>
      <c r="H104" s="131"/>
      <c r="I104" s="131"/>
      <c r="J104" s="126"/>
      <c r="K104" s="153"/>
      <c r="L104" s="153"/>
      <c r="M104" s="144"/>
      <c r="N104" s="125"/>
      <c r="O104" s="469"/>
      <c r="P104" s="125"/>
      <c r="Q104" s="126"/>
      <c r="R104" s="153"/>
      <c r="S104" s="149"/>
      <c r="T104" s="149"/>
      <c r="U104" s="149"/>
    </row>
    <row r="105" ht="18.75" customHeight="1">
      <c r="A105" s="135"/>
      <c r="B105" s="226"/>
      <c r="C105" s="125"/>
      <c r="D105" s="126"/>
      <c r="E105" s="126"/>
      <c r="F105" s="126"/>
      <c r="G105" s="126"/>
      <c r="H105" s="131"/>
      <c r="I105" s="131"/>
      <c r="J105" s="126"/>
      <c r="K105" s="153"/>
      <c r="L105" s="153"/>
      <c r="M105" s="144"/>
      <c r="N105" s="125"/>
      <c r="O105" s="469"/>
      <c r="P105" s="125"/>
      <c r="Q105" s="126"/>
      <c r="R105" s="153"/>
      <c r="S105" s="149"/>
      <c r="T105" s="149"/>
      <c r="U105" s="149"/>
    </row>
    <row r="106" ht="18.75" customHeight="1">
      <c r="A106" s="135"/>
      <c r="B106" s="226"/>
      <c r="C106" s="125"/>
      <c r="D106" s="126"/>
      <c r="E106" s="126"/>
      <c r="F106" s="126"/>
      <c r="G106" s="126"/>
      <c r="H106" s="131"/>
      <c r="I106" s="131"/>
      <c r="J106" s="126"/>
      <c r="K106" s="153"/>
      <c r="L106" s="153"/>
      <c r="M106" s="144"/>
      <c r="N106" s="125"/>
      <c r="O106" s="469"/>
      <c r="P106" s="125"/>
      <c r="Q106" s="126"/>
      <c r="R106" s="153"/>
      <c r="S106" s="149"/>
      <c r="T106" s="149"/>
      <c r="U106" s="149"/>
    </row>
    <row r="107" ht="18.75" customHeight="1">
      <c r="A107" s="135"/>
      <c r="B107" s="226"/>
      <c r="C107" s="125"/>
      <c r="D107" s="126"/>
      <c r="E107" s="126"/>
      <c r="F107" s="126"/>
      <c r="G107" s="126"/>
      <c r="H107" s="131"/>
      <c r="I107" s="131"/>
      <c r="J107" s="126"/>
      <c r="K107" s="153"/>
      <c r="L107" s="153"/>
      <c r="M107" s="144"/>
      <c r="N107" s="125"/>
      <c r="O107" s="469"/>
      <c r="P107" s="125"/>
      <c r="Q107" s="126"/>
      <c r="R107" s="153"/>
      <c r="S107" s="149"/>
      <c r="T107" s="149"/>
      <c r="U107" s="149"/>
    </row>
    <row r="108" ht="18.75" customHeight="1">
      <c r="A108" s="135"/>
      <c r="B108" s="226"/>
      <c r="C108" s="125"/>
      <c r="D108" s="126"/>
      <c r="E108" s="126"/>
      <c r="F108" s="126"/>
      <c r="G108" s="126"/>
      <c r="H108" s="131"/>
      <c r="I108" s="131"/>
      <c r="J108" s="126"/>
      <c r="K108" s="153"/>
      <c r="L108" s="153"/>
      <c r="M108" s="144"/>
      <c r="N108" s="125"/>
      <c r="O108" s="469"/>
      <c r="P108" s="125"/>
      <c r="Q108" s="126"/>
      <c r="R108" s="153"/>
      <c r="S108" s="149"/>
      <c r="T108" s="149"/>
      <c r="U108" s="149"/>
    </row>
    <row r="109" ht="18.75" customHeight="1">
      <c r="A109" s="135"/>
      <c r="B109" s="226"/>
      <c r="C109" s="125"/>
      <c r="D109" s="126"/>
      <c r="E109" s="126"/>
      <c r="F109" s="126"/>
      <c r="G109" s="126"/>
      <c r="H109" s="131"/>
      <c r="I109" s="131"/>
      <c r="J109" s="126"/>
      <c r="K109" s="153"/>
      <c r="L109" s="153"/>
      <c r="M109" s="144"/>
      <c r="N109" s="125"/>
      <c r="O109" s="469"/>
      <c r="P109" s="125"/>
      <c r="Q109" s="126"/>
      <c r="R109" s="153"/>
      <c r="S109" s="149"/>
      <c r="T109" s="149"/>
      <c r="U109" s="149"/>
    </row>
    <row r="110" ht="18.75" customHeight="1">
      <c r="A110" s="135"/>
      <c r="B110" s="226"/>
      <c r="C110" s="125"/>
      <c r="D110" s="126"/>
      <c r="E110" s="126"/>
      <c r="F110" s="126"/>
      <c r="G110" s="126"/>
      <c r="H110" s="131"/>
      <c r="I110" s="131"/>
      <c r="J110" s="126"/>
      <c r="K110" s="153"/>
      <c r="L110" s="153"/>
      <c r="M110" s="144"/>
      <c r="N110" s="125"/>
      <c r="O110" s="469"/>
      <c r="P110" s="125"/>
      <c r="Q110" s="126"/>
      <c r="R110" s="153"/>
      <c r="S110" s="149"/>
      <c r="T110" s="149"/>
      <c r="U110" s="149"/>
    </row>
    <row r="111" ht="18.75" customHeight="1">
      <c r="A111" s="135"/>
      <c r="B111" s="226"/>
      <c r="C111" s="125"/>
      <c r="D111" s="126"/>
      <c r="E111" s="126"/>
      <c r="F111" s="126"/>
      <c r="G111" s="126"/>
      <c r="H111" s="131"/>
      <c r="I111" s="131"/>
      <c r="J111" s="126"/>
      <c r="K111" s="153"/>
      <c r="L111" s="153"/>
      <c r="M111" s="144"/>
      <c r="N111" s="125"/>
      <c r="O111" s="469"/>
      <c r="P111" s="125"/>
      <c r="Q111" s="126"/>
      <c r="R111" s="153"/>
      <c r="S111" s="149"/>
      <c r="T111" s="149"/>
      <c r="U111" s="149"/>
    </row>
    <row r="112" ht="18.75" customHeight="1">
      <c r="A112" s="135"/>
      <c r="B112" s="226"/>
      <c r="C112" s="125"/>
      <c r="D112" s="126"/>
      <c r="E112" s="126"/>
      <c r="F112" s="126"/>
      <c r="G112" s="126"/>
      <c r="H112" s="131"/>
      <c r="I112" s="131"/>
      <c r="J112" s="126"/>
      <c r="K112" s="153"/>
      <c r="L112" s="153"/>
      <c r="M112" s="144"/>
      <c r="N112" s="125"/>
      <c r="O112" s="469"/>
      <c r="P112" s="125"/>
      <c r="Q112" s="126"/>
      <c r="R112" s="153"/>
      <c r="S112" s="149"/>
      <c r="T112" s="149"/>
      <c r="U112" s="149"/>
    </row>
    <row r="113" ht="18.75" customHeight="1">
      <c r="A113" s="135"/>
      <c r="B113" s="226"/>
      <c r="C113" s="125"/>
      <c r="D113" s="126"/>
      <c r="E113" s="126"/>
      <c r="F113" s="126"/>
      <c r="G113" s="126"/>
      <c r="H113" s="131"/>
      <c r="I113" s="131"/>
      <c r="J113" s="126"/>
      <c r="K113" s="153"/>
      <c r="L113" s="153"/>
      <c r="M113" s="144"/>
      <c r="N113" s="125"/>
      <c r="O113" s="469"/>
      <c r="P113" s="125"/>
      <c r="Q113" s="126"/>
      <c r="R113" s="153"/>
      <c r="S113" s="149"/>
      <c r="T113" s="149"/>
      <c r="U113" s="149"/>
    </row>
    <row r="114" ht="18.75" customHeight="1">
      <c r="A114" s="135"/>
      <c r="B114" s="226"/>
      <c r="C114" s="125"/>
      <c r="D114" s="126"/>
      <c r="E114" s="126"/>
      <c r="F114" s="126"/>
      <c r="G114" s="126"/>
      <c r="H114" s="131"/>
      <c r="I114" s="131"/>
      <c r="J114" s="126"/>
      <c r="K114" s="153"/>
      <c r="L114" s="153"/>
      <c r="M114" s="144"/>
      <c r="N114" s="125"/>
      <c r="O114" s="469"/>
      <c r="P114" s="125"/>
      <c r="Q114" s="126"/>
      <c r="R114" s="153"/>
      <c r="S114" s="149"/>
      <c r="T114" s="149"/>
      <c r="U114" s="149"/>
    </row>
    <row r="115" ht="18.75" customHeight="1">
      <c r="A115" s="135"/>
      <c r="B115" s="226"/>
      <c r="C115" s="125"/>
      <c r="D115" s="126"/>
      <c r="E115" s="126"/>
      <c r="F115" s="126"/>
      <c r="G115" s="126"/>
      <c r="H115" s="131"/>
      <c r="I115" s="131"/>
      <c r="J115" s="126"/>
      <c r="K115" s="153"/>
      <c r="L115" s="153"/>
      <c r="M115" s="144"/>
      <c r="N115" s="125"/>
      <c r="O115" s="469"/>
      <c r="P115" s="125"/>
      <c r="Q115" s="126"/>
      <c r="R115" s="153"/>
      <c r="S115" s="149"/>
      <c r="T115" s="149"/>
      <c r="U115" s="149"/>
    </row>
    <row r="116" ht="18.75" customHeight="1">
      <c r="A116" s="135"/>
      <c r="B116" s="226"/>
      <c r="C116" s="125"/>
      <c r="D116" s="126"/>
      <c r="E116" s="126"/>
      <c r="F116" s="126"/>
      <c r="G116" s="126"/>
      <c r="H116" s="131"/>
      <c r="I116" s="131"/>
      <c r="J116" s="126"/>
      <c r="K116" s="153"/>
      <c r="L116" s="153"/>
      <c r="M116" s="144"/>
      <c r="N116" s="125"/>
      <c r="O116" s="469"/>
      <c r="P116" s="125"/>
      <c r="Q116" s="126"/>
      <c r="R116" s="153"/>
      <c r="S116" s="149"/>
      <c r="T116" s="149"/>
      <c r="U116" s="149"/>
    </row>
    <row r="117" ht="18.75" customHeight="1">
      <c r="A117" s="135"/>
      <c r="B117" s="226"/>
      <c r="C117" s="125"/>
      <c r="D117" s="126"/>
      <c r="E117" s="126"/>
      <c r="F117" s="126"/>
      <c r="G117" s="126"/>
      <c r="H117" s="131"/>
      <c r="I117" s="131"/>
      <c r="J117" s="126"/>
      <c r="K117" s="153"/>
      <c r="L117" s="153"/>
      <c r="M117" s="144"/>
      <c r="N117" s="125"/>
      <c r="O117" s="469"/>
      <c r="P117" s="125"/>
      <c r="Q117" s="126"/>
      <c r="R117" s="153"/>
      <c r="S117" s="149"/>
      <c r="T117" s="149"/>
      <c r="U117" s="149"/>
    </row>
    <row r="118" ht="18.75" customHeight="1">
      <c r="A118" s="135"/>
      <c r="B118" s="226"/>
      <c r="C118" s="125"/>
      <c r="D118" s="126"/>
      <c r="E118" s="126"/>
      <c r="F118" s="126"/>
      <c r="G118" s="126"/>
      <c r="H118" s="131"/>
      <c r="I118" s="131"/>
      <c r="J118" s="126"/>
      <c r="K118" s="153"/>
      <c r="L118" s="153"/>
      <c r="M118" s="144"/>
      <c r="N118" s="125"/>
      <c r="O118" s="469"/>
      <c r="P118" s="125"/>
      <c r="Q118" s="126"/>
      <c r="R118" s="153"/>
      <c r="S118" s="149"/>
      <c r="T118" s="149"/>
      <c r="U118" s="149"/>
    </row>
    <row r="119" ht="18.75" customHeight="1">
      <c r="A119" s="135"/>
      <c r="B119" s="226"/>
      <c r="C119" s="125"/>
      <c r="D119" s="126"/>
      <c r="E119" s="126"/>
      <c r="F119" s="126"/>
      <c r="G119" s="126"/>
      <c r="H119" s="131"/>
      <c r="I119" s="131"/>
      <c r="J119" s="126"/>
      <c r="K119" s="153"/>
      <c r="L119" s="153"/>
      <c r="M119" s="144"/>
      <c r="N119" s="125"/>
      <c r="O119" s="469"/>
      <c r="P119" s="125"/>
      <c r="Q119" s="126"/>
      <c r="R119" s="153"/>
      <c r="S119" s="149"/>
      <c r="T119" s="149"/>
      <c r="U119" s="149"/>
    </row>
    <row r="120" ht="18.75" customHeight="1">
      <c r="A120" s="135"/>
      <c r="B120" s="226"/>
      <c r="C120" s="125"/>
      <c r="D120" s="126"/>
      <c r="E120" s="126"/>
      <c r="F120" s="126"/>
      <c r="G120" s="126"/>
      <c r="H120" s="131"/>
      <c r="I120" s="131"/>
      <c r="J120" s="126"/>
      <c r="K120" s="153"/>
      <c r="L120" s="153"/>
      <c r="M120" s="144"/>
      <c r="N120" s="125"/>
      <c r="O120" s="469"/>
      <c r="P120" s="125"/>
      <c r="Q120" s="126"/>
      <c r="R120" s="153"/>
      <c r="S120" s="149"/>
      <c r="T120" s="149"/>
      <c r="U120" s="149"/>
    </row>
    <row r="121" ht="18.75" customHeight="1">
      <c r="A121" s="135"/>
      <c r="B121" s="226"/>
      <c r="C121" s="125"/>
      <c r="D121" s="126"/>
      <c r="E121" s="126"/>
      <c r="F121" s="126"/>
      <c r="G121" s="126"/>
      <c r="H121" s="131"/>
      <c r="I121" s="131"/>
      <c r="J121" s="126"/>
      <c r="K121" s="153"/>
      <c r="L121" s="153"/>
      <c r="M121" s="144"/>
      <c r="N121" s="125"/>
      <c r="O121" s="469"/>
      <c r="P121" s="125"/>
      <c r="Q121" s="126"/>
      <c r="R121" s="153"/>
      <c r="S121" s="149"/>
      <c r="T121" s="149"/>
      <c r="U121" s="149"/>
    </row>
    <row r="122" ht="18.75" customHeight="1">
      <c r="A122" s="135"/>
      <c r="B122" s="226"/>
      <c r="C122" s="125"/>
      <c r="D122" s="126"/>
      <c r="E122" s="126"/>
      <c r="F122" s="126"/>
      <c r="G122" s="126"/>
      <c r="H122" s="131"/>
      <c r="I122" s="131"/>
      <c r="J122" s="126"/>
      <c r="K122" s="153"/>
      <c r="L122" s="153"/>
      <c r="M122" s="144"/>
      <c r="N122" s="125"/>
      <c r="O122" s="469"/>
      <c r="P122" s="125"/>
      <c r="Q122" s="126"/>
      <c r="R122" s="153"/>
      <c r="S122" s="149"/>
      <c r="T122" s="149"/>
      <c r="U122" s="149"/>
    </row>
    <row r="123" ht="18.75" customHeight="1">
      <c r="A123" s="135"/>
      <c r="B123" s="226"/>
      <c r="C123" s="125"/>
      <c r="D123" s="126"/>
      <c r="E123" s="126"/>
      <c r="F123" s="126"/>
      <c r="G123" s="126"/>
      <c r="H123" s="131"/>
      <c r="I123" s="131"/>
      <c r="J123" s="126"/>
      <c r="K123" s="153"/>
      <c r="L123" s="153"/>
      <c r="M123" s="144"/>
      <c r="N123" s="125"/>
      <c r="O123" s="469"/>
      <c r="P123" s="125"/>
      <c r="Q123" s="126"/>
      <c r="R123" s="153"/>
      <c r="S123" s="149"/>
      <c r="T123" s="149"/>
      <c r="U123" s="149"/>
    </row>
    <row r="124" ht="18.75" customHeight="1">
      <c r="A124" s="135"/>
      <c r="B124" s="226"/>
      <c r="C124" s="125"/>
      <c r="D124" s="126"/>
      <c r="E124" s="126"/>
      <c r="F124" s="126"/>
      <c r="G124" s="126"/>
      <c r="H124" s="131"/>
      <c r="I124" s="131"/>
      <c r="J124" s="126"/>
      <c r="K124" s="153"/>
      <c r="L124" s="153"/>
      <c r="M124" s="144"/>
      <c r="N124" s="125"/>
      <c r="O124" s="469"/>
      <c r="P124" s="125"/>
      <c r="Q124" s="126"/>
      <c r="R124" s="153"/>
      <c r="S124" s="149"/>
      <c r="T124" s="149"/>
      <c r="U124" s="149"/>
    </row>
    <row r="125" ht="18.75" customHeight="1">
      <c r="A125" s="135"/>
      <c r="B125" s="226"/>
      <c r="C125" s="125"/>
      <c r="D125" s="126"/>
      <c r="E125" s="126"/>
      <c r="F125" s="126"/>
      <c r="G125" s="126"/>
      <c r="H125" s="131"/>
      <c r="I125" s="131"/>
      <c r="J125" s="126"/>
      <c r="K125" s="153"/>
      <c r="L125" s="153"/>
      <c r="M125" s="144"/>
      <c r="N125" s="125"/>
      <c r="O125" s="469"/>
      <c r="P125" s="125"/>
      <c r="Q125" s="126"/>
      <c r="R125" s="153"/>
      <c r="S125" s="149"/>
      <c r="T125" s="149"/>
      <c r="U125" s="149"/>
    </row>
    <row r="126" ht="18.75" customHeight="1">
      <c r="A126" s="135"/>
      <c r="B126" s="226"/>
      <c r="C126" s="125"/>
      <c r="D126" s="126"/>
      <c r="E126" s="126"/>
      <c r="F126" s="126"/>
      <c r="G126" s="126"/>
      <c r="H126" s="131"/>
      <c r="I126" s="131"/>
      <c r="J126" s="126"/>
      <c r="K126" s="153"/>
      <c r="L126" s="153"/>
      <c r="M126" s="144"/>
      <c r="N126" s="125"/>
      <c r="O126" s="469"/>
      <c r="P126" s="125"/>
      <c r="Q126" s="126"/>
      <c r="R126" s="153"/>
      <c r="S126" s="149"/>
      <c r="T126" s="149"/>
      <c r="U126" s="149"/>
    </row>
    <row r="127" ht="18.75" customHeight="1">
      <c r="A127" s="135"/>
      <c r="B127" s="226"/>
      <c r="C127" s="125"/>
      <c r="D127" s="126"/>
      <c r="E127" s="126"/>
      <c r="F127" s="126"/>
      <c r="G127" s="126"/>
      <c r="H127" s="131"/>
      <c r="I127" s="131"/>
      <c r="J127" s="126"/>
      <c r="K127" s="153"/>
      <c r="L127" s="153"/>
      <c r="M127" s="144"/>
      <c r="N127" s="125"/>
      <c r="O127" s="469"/>
      <c r="P127" s="125"/>
      <c r="Q127" s="126"/>
      <c r="R127" s="153"/>
      <c r="S127" s="149"/>
      <c r="T127" s="149"/>
      <c r="U127" s="149"/>
    </row>
    <row r="128" ht="18.75" customHeight="1">
      <c r="A128" s="135"/>
      <c r="B128" s="226"/>
      <c r="C128" s="125"/>
      <c r="D128" s="126"/>
      <c r="E128" s="126"/>
      <c r="F128" s="126"/>
      <c r="G128" s="126"/>
      <c r="H128" s="131"/>
      <c r="I128" s="131"/>
      <c r="J128" s="126"/>
      <c r="K128" s="153"/>
      <c r="L128" s="153"/>
      <c r="M128" s="144"/>
      <c r="N128" s="125"/>
      <c r="O128" s="469"/>
      <c r="P128" s="125"/>
      <c r="Q128" s="126"/>
      <c r="R128" s="153"/>
      <c r="S128" s="149"/>
      <c r="T128" s="149"/>
      <c r="U128" s="149"/>
    </row>
    <row r="129" ht="18.75" customHeight="1">
      <c r="A129" s="135"/>
      <c r="B129" s="226"/>
      <c r="C129" s="125"/>
      <c r="D129" s="126"/>
      <c r="E129" s="126"/>
      <c r="F129" s="126"/>
      <c r="G129" s="126"/>
      <c r="H129" s="131"/>
      <c r="I129" s="131"/>
      <c r="J129" s="126"/>
      <c r="K129" s="153"/>
      <c r="L129" s="153"/>
      <c r="M129" s="144"/>
      <c r="N129" s="125"/>
      <c r="O129" s="469"/>
      <c r="P129" s="125"/>
      <c r="Q129" s="126"/>
      <c r="R129" s="153"/>
      <c r="S129" s="149"/>
      <c r="T129" s="149"/>
      <c r="U129" s="149"/>
    </row>
    <row r="130" ht="18.75" customHeight="1">
      <c r="A130" s="135"/>
      <c r="B130" s="226"/>
      <c r="C130" s="125"/>
      <c r="D130" s="126"/>
      <c r="E130" s="126"/>
      <c r="F130" s="126"/>
      <c r="G130" s="126"/>
      <c r="H130" s="131"/>
      <c r="I130" s="131"/>
      <c r="J130" s="126"/>
      <c r="K130" s="153"/>
      <c r="L130" s="153"/>
      <c r="M130" s="144"/>
      <c r="N130" s="125"/>
      <c r="O130" s="469"/>
      <c r="P130" s="125"/>
      <c r="Q130" s="126"/>
      <c r="R130" s="153"/>
      <c r="S130" s="149"/>
      <c r="T130" s="149"/>
      <c r="U130" s="149"/>
    </row>
    <row r="131" ht="18.75" customHeight="1">
      <c r="A131" s="135"/>
      <c r="B131" s="226"/>
      <c r="C131" s="125"/>
      <c r="D131" s="126"/>
      <c r="E131" s="126"/>
      <c r="F131" s="126"/>
      <c r="G131" s="126"/>
      <c r="H131" s="131"/>
      <c r="I131" s="131"/>
      <c r="J131" s="126"/>
      <c r="K131" s="153"/>
      <c r="L131" s="153"/>
      <c r="M131" s="144"/>
      <c r="N131" s="125"/>
      <c r="O131" s="469"/>
      <c r="P131" s="125"/>
      <c r="Q131" s="126"/>
      <c r="R131" s="153"/>
      <c r="S131" s="149"/>
      <c r="T131" s="149"/>
      <c r="U131" s="149"/>
    </row>
    <row r="132" ht="18.75" customHeight="1">
      <c r="A132" s="135"/>
      <c r="B132" s="226"/>
      <c r="C132" s="125"/>
      <c r="D132" s="126"/>
      <c r="E132" s="126"/>
      <c r="F132" s="126"/>
      <c r="G132" s="126"/>
      <c r="H132" s="131"/>
      <c r="I132" s="131"/>
      <c r="J132" s="126"/>
      <c r="K132" s="153"/>
      <c r="L132" s="153"/>
      <c r="M132" s="144"/>
      <c r="N132" s="125"/>
      <c r="O132" s="469"/>
      <c r="P132" s="125"/>
      <c r="Q132" s="126"/>
      <c r="R132" s="153"/>
      <c r="S132" s="149"/>
      <c r="T132" s="149"/>
      <c r="U132" s="149"/>
    </row>
    <row r="133" ht="18.75" customHeight="1">
      <c r="A133" s="135"/>
      <c r="B133" s="226"/>
      <c r="C133" s="125"/>
      <c r="D133" s="126"/>
      <c r="E133" s="126"/>
      <c r="F133" s="126"/>
      <c r="G133" s="126"/>
      <c r="H133" s="131"/>
      <c r="I133" s="131"/>
      <c r="J133" s="126"/>
      <c r="K133" s="153"/>
      <c r="L133" s="153"/>
      <c r="M133" s="144"/>
      <c r="N133" s="125"/>
      <c r="O133" s="469"/>
      <c r="P133" s="125"/>
      <c r="Q133" s="126"/>
      <c r="R133" s="153"/>
      <c r="S133" s="149"/>
      <c r="T133" s="149"/>
      <c r="U133" s="149"/>
    </row>
    <row r="134" ht="18.75" customHeight="1">
      <c r="A134" s="135"/>
      <c r="B134" s="226"/>
      <c r="C134" s="125"/>
      <c r="D134" s="126"/>
      <c r="E134" s="126"/>
      <c r="F134" s="126"/>
      <c r="G134" s="126"/>
      <c r="H134" s="131"/>
      <c r="I134" s="131"/>
      <c r="J134" s="126"/>
      <c r="K134" s="153"/>
      <c r="L134" s="153"/>
      <c r="M134" s="144"/>
      <c r="N134" s="125"/>
      <c r="O134" s="469"/>
      <c r="P134" s="125"/>
      <c r="Q134" s="126"/>
      <c r="R134" s="153"/>
      <c r="S134" s="149"/>
      <c r="T134" s="149"/>
      <c r="U134" s="149"/>
    </row>
    <row r="135" ht="18.75" customHeight="1">
      <c r="A135" s="135"/>
      <c r="B135" s="226"/>
      <c r="C135" s="125"/>
      <c r="D135" s="126"/>
      <c r="E135" s="126"/>
      <c r="F135" s="126"/>
      <c r="G135" s="126"/>
      <c r="H135" s="131"/>
      <c r="I135" s="131"/>
      <c r="J135" s="126"/>
      <c r="K135" s="153"/>
      <c r="L135" s="153"/>
      <c r="M135" s="144"/>
      <c r="N135" s="125"/>
      <c r="O135" s="469"/>
      <c r="P135" s="125"/>
      <c r="Q135" s="126"/>
      <c r="R135" s="153"/>
      <c r="S135" s="149"/>
      <c r="T135" s="149"/>
      <c r="U135" s="149"/>
    </row>
    <row r="136" ht="18.75" customHeight="1">
      <c r="A136" s="135"/>
      <c r="B136" s="226"/>
      <c r="C136" s="125"/>
      <c r="D136" s="126"/>
      <c r="E136" s="126"/>
      <c r="F136" s="126"/>
      <c r="G136" s="126"/>
      <c r="H136" s="131"/>
      <c r="I136" s="131"/>
      <c r="J136" s="126"/>
      <c r="K136" s="153"/>
      <c r="L136" s="153"/>
      <c r="M136" s="144"/>
      <c r="N136" s="125"/>
      <c r="O136" s="469"/>
      <c r="P136" s="125"/>
      <c r="Q136" s="126"/>
      <c r="R136" s="153"/>
      <c r="S136" s="149"/>
      <c r="T136" s="149"/>
      <c r="U136" s="149"/>
    </row>
    <row r="137" ht="18.75" customHeight="1">
      <c r="A137" s="135"/>
      <c r="B137" s="226"/>
      <c r="C137" s="125"/>
      <c r="D137" s="126"/>
      <c r="E137" s="126"/>
      <c r="F137" s="126"/>
      <c r="G137" s="126"/>
      <c r="H137" s="131"/>
      <c r="I137" s="131"/>
      <c r="J137" s="126"/>
      <c r="K137" s="153"/>
      <c r="L137" s="153"/>
      <c r="M137" s="144"/>
      <c r="N137" s="125"/>
      <c r="O137" s="469"/>
      <c r="P137" s="125"/>
      <c r="Q137" s="126"/>
      <c r="R137" s="153"/>
      <c r="S137" s="149"/>
      <c r="T137" s="149"/>
      <c r="U137" s="149"/>
    </row>
    <row r="138" ht="18.75" customHeight="1">
      <c r="A138" s="135"/>
      <c r="B138" s="226"/>
      <c r="C138" s="125"/>
      <c r="D138" s="126"/>
      <c r="E138" s="126"/>
      <c r="F138" s="126"/>
      <c r="G138" s="126"/>
      <c r="H138" s="131"/>
      <c r="I138" s="131"/>
      <c r="J138" s="126"/>
      <c r="K138" s="153"/>
      <c r="L138" s="153"/>
      <c r="M138" s="144"/>
      <c r="N138" s="125"/>
      <c r="O138" s="469"/>
      <c r="P138" s="125"/>
      <c r="Q138" s="126"/>
      <c r="R138" s="153"/>
      <c r="S138" s="149"/>
      <c r="T138" s="149"/>
      <c r="U138" s="149"/>
    </row>
    <row r="139" ht="18.75" customHeight="1">
      <c r="A139" s="135"/>
      <c r="B139" s="226"/>
      <c r="C139" s="125"/>
      <c r="D139" s="126"/>
      <c r="E139" s="126"/>
      <c r="F139" s="126"/>
      <c r="G139" s="126"/>
      <c r="H139" s="131"/>
      <c r="I139" s="131"/>
      <c r="J139" s="126"/>
      <c r="K139" s="153"/>
      <c r="L139" s="153"/>
      <c r="M139" s="144"/>
      <c r="N139" s="125"/>
      <c r="O139" s="469"/>
      <c r="P139" s="125"/>
      <c r="Q139" s="126"/>
      <c r="R139" s="153"/>
      <c r="S139" s="149"/>
      <c r="T139" s="149"/>
      <c r="U139" s="149"/>
    </row>
    <row r="140" ht="18.75" customHeight="1">
      <c r="A140" s="135"/>
      <c r="B140" s="226"/>
      <c r="C140" s="125"/>
      <c r="D140" s="126"/>
      <c r="E140" s="126"/>
      <c r="F140" s="126"/>
      <c r="G140" s="126"/>
      <c r="H140" s="131"/>
      <c r="I140" s="131"/>
      <c r="J140" s="126"/>
      <c r="K140" s="153"/>
      <c r="L140" s="153"/>
      <c r="M140" s="144"/>
      <c r="N140" s="125"/>
      <c r="O140" s="469"/>
      <c r="P140" s="125"/>
      <c r="Q140" s="126"/>
      <c r="R140" s="153"/>
      <c r="S140" s="149"/>
      <c r="T140" s="149"/>
      <c r="U140" s="149"/>
    </row>
    <row r="141" ht="18.75" customHeight="1">
      <c r="A141" s="135"/>
      <c r="B141" s="226"/>
      <c r="C141" s="125"/>
      <c r="D141" s="126"/>
      <c r="E141" s="126"/>
      <c r="F141" s="126"/>
      <c r="G141" s="126"/>
      <c r="H141" s="131"/>
      <c r="I141" s="131"/>
      <c r="J141" s="126"/>
      <c r="K141" s="153"/>
      <c r="L141" s="153"/>
      <c r="M141" s="144"/>
      <c r="N141" s="125"/>
      <c r="O141" s="469"/>
      <c r="P141" s="125"/>
      <c r="Q141" s="126"/>
      <c r="R141" s="153"/>
      <c r="S141" s="149"/>
      <c r="T141" s="149"/>
      <c r="U141" s="149"/>
    </row>
    <row r="142" ht="18.75" customHeight="1">
      <c r="A142" s="135"/>
      <c r="B142" s="226"/>
      <c r="C142" s="125"/>
      <c r="D142" s="126"/>
      <c r="E142" s="126"/>
      <c r="F142" s="126"/>
      <c r="G142" s="126"/>
      <c r="H142" s="131"/>
      <c r="I142" s="131"/>
      <c r="J142" s="126"/>
      <c r="K142" s="153"/>
      <c r="L142" s="153"/>
      <c r="M142" s="144"/>
      <c r="N142" s="125"/>
      <c r="O142" s="469"/>
      <c r="P142" s="125"/>
      <c r="Q142" s="126"/>
      <c r="R142" s="153"/>
      <c r="S142" s="149"/>
      <c r="T142" s="149"/>
      <c r="U142" s="149"/>
    </row>
    <row r="143" ht="18.75" customHeight="1">
      <c r="A143" s="135"/>
      <c r="B143" s="226"/>
      <c r="C143" s="125"/>
      <c r="D143" s="126"/>
      <c r="E143" s="126"/>
      <c r="F143" s="126"/>
      <c r="G143" s="126"/>
      <c r="H143" s="131"/>
      <c r="I143" s="131"/>
      <c r="J143" s="126"/>
      <c r="K143" s="153"/>
      <c r="L143" s="153"/>
      <c r="M143" s="144"/>
      <c r="N143" s="125"/>
      <c r="O143" s="469"/>
      <c r="P143" s="125"/>
      <c r="Q143" s="126"/>
      <c r="R143" s="153"/>
      <c r="S143" s="149"/>
      <c r="T143" s="149"/>
      <c r="U143" s="149"/>
    </row>
    <row r="144" ht="18.75" customHeight="1">
      <c r="A144" s="135"/>
      <c r="B144" s="226"/>
      <c r="C144" s="125"/>
      <c r="D144" s="126"/>
      <c r="E144" s="126"/>
      <c r="F144" s="126"/>
      <c r="G144" s="126"/>
      <c r="H144" s="131"/>
      <c r="I144" s="131"/>
      <c r="J144" s="126"/>
      <c r="K144" s="153"/>
      <c r="L144" s="153"/>
      <c r="M144" s="144"/>
      <c r="N144" s="125"/>
      <c r="O144" s="469"/>
      <c r="P144" s="125"/>
      <c r="Q144" s="126"/>
      <c r="R144" s="153"/>
      <c r="S144" s="149"/>
      <c r="T144" s="149"/>
      <c r="U144" s="149"/>
    </row>
    <row r="145" ht="18.75" customHeight="1">
      <c r="A145" s="135"/>
      <c r="B145" s="226"/>
      <c r="C145" s="125"/>
      <c r="D145" s="126"/>
      <c r="E145" s="126"/>
      <c r="F145" s="126"/>
      <c r="G145" s="126"/>
      <c r="H145" s="131"/>
      <c r="I145" s="131"/>
      <c r="J145" s="126"/>
      <c r="K145" s="153"/>
      <c r="L145" s="153"/>
      <c r="M145" s="144"/>
      <c r="N145" s="125"/>
      <c r="O145" s="469"/>
      <c r="P145" s="125"/>
      <c r="Q145" s="126"/>
      <c r="R145" s="153"/>
      <c r="S145" s="149"/>
      <c r="T145" s="149"/>
      <c r="U145" s="149"/>
    </row>
    <row r="146" ht="18.75" customHeight="1">
      <c r="A146" s="135"/>
      <c r="B146" s="226"/>
      <c r="C146" s="125"/>
      <c r="D146" s="126"/>
      <c r="E146" s="126"/>
      <c r="F146" s="126"/>
      <c r="G146" s="126"/>
      <c r="H146" s="131"/>
      <c r="I146" s="131"/>
      <c r="J146" s="126"/>
      <c r="K146" s="153"/>
      <c r="L146" s="153"/>
      <c r="M146" s="144"/>
      <c r="N146" s="125"/>
      <c r="O146" s="469"/>
      <c r="P146" s="125"/>
      <c r="Q146" s="126"/>
      <c r="R146" s="153"/>
      <c r="S146" s="149"/>
      <c r="T146" s="149"/>
      <c r="U146" s="149"/>
    </row>
    <row r="147" ht="18.75" customHeight="1">
      <c r="A147" s="135"/>
      <c r="B147" s="226"/>
      <c r="C147" s="125"/>
      <c r="D147" s="126"/>
      <c r="E147" s="126"/>
      <c r="F147" s="126"/>
      <c r="G147" s="126"/>
      <c r="H147" s="131"/>
      <c r="I147" s="131"/>
      <c r="J147" s="126"/>
      <c r="K147" s="153"/>
      <c r="L147" s="153"/>
      <c r="M147" s="144"/>
      <c r="N147" s="125"/>
      <c r="O147" s="469"/>
      <c r="P147" s="125"/>
      <c r="Q147" s="126"/>
      <c r="R147" s="153"/>
      <c r="S147" s="149"/>
      <c r="T147" s="149"/>
      <c r="U147" s="149"/>
    </row>
    <row r="148" ht="18.75" customHeight="1">
      <c r="A148" s="135"/>
      <c r="B148" s="226"/>
      <c r="C148" s="125"/>
      <c r="D148" s="126"/>
      <c r="E148" s="126"/>
      <c r="F148" s="126"/>
      <c r="G148" s="126"/>
      <c r="H148" s="131"/>
      <c r="I148" s="131"/>
      <c r="J148" s="126"/>
      <c r="K148" s="153"/>
      <c r="L148" s="153"/>
      <c r="M148" s="144"/>
      <c r="N148" s="125"/>
      <c r="O148" s="469"/>
      <c r="P148" s="125"/>
      <c r="Q148" s="126"/>
      <c r="R148" s="153"/>
      <c r="S148" s="149"/>
      <c r="T148" s="149"/>
      <c r="U148" s="149"/>
    </row>
    <row r="149" ht="18.75" customHeight="1">
      <c r="A149" s="135"/>
      <c r="C149" s="125"/>
      <c r="D149" s="126"/>
      <c r="E149" s="126"/>
      <c r="F149" s="126"/>
      <c r="G149" s="126"/>
      <c r="H149" s="131"/>
      <c r="I149" s="131"/>
      <c r="J149" s="126"/>
      <c r="K149" s="153"/>
      <c r="L149" s="153"/>
      <c r="M149" s="144"/>
      <c r="N149" s="125"/>
      <c r="O149" s="469"/>
      <c r="P149" s="125"/>
      <c r="Q149" s="126"/>
      <c r="R149" s="153"/>
      <c r="S149" s="149"/>
      <c r="T149" s="149"/>
      <c r="U149" s="149"/>
    </row>
    <row r="150">
      <c r="A150" s="135"/>
      <c r="C150" s="125"/>
      <c r="D150" s="126"/>
      <c r="E150" s="126"/>
      <c r="F150" s="126"/>
      <c r="G150" s="126"/>
      <c r="H150" s="131"/>
      <c r="I150" s="131"/>
      <c r="J150" s="126"/>
      <c r="K150" s="206"/>
      <c r="L150" s="206"/>
      <c r="M150" s="206"/>
      <c r="N150" s="206"/>
      <c r="O150" s="206"/>
      <c r="P150" s="206"/>
      <c r="Q150" s="153"/>
      <c r="R150" s="153"/>
      <c r="S150" s="231"/>
      <c r="T150" s="231"/>
      <c r="U150" s="231"/>
    </row>
    <row r="151">
      <c r="A151" s="135"/>
      <c r="C151" s="125"/>
      <c r="D151" s="126"/>
      <c r="E151" s="126"/>
      <c r="F151" s="126"/>
      <c r="G151" s="126"/>
      <c r="H151" s="131"/>
      <c r="I151" s="131"/>
      <c r="J151" s="126"/>
      <c r="K151" s="206"/>
      <c r="L151" s="206"/>
      <c r="M151" s="206"/>
      <c r="N151" s="206"/>
      <c r="O151" s="206"/>
      <c r="P151" s="206"/>
      <c r="Q151" s="153"/>
      <c r="R151" s="153"/>
      <c r="S151" s="231"/>
      <c r="T151" s="231"/>
      <c r="U151" s="231"/>
    </row>
    <row r="152">
      <c r="A152" s="135"/>
      <c r="C152" s="125"/>
      <c r="D152" s="126"/>
      <c r="E152" s="126"/>
      <c r="F152" s="126"/>
      <c r="G152" s="126"/>
      <c r="H152" s="131"/>
      <c r="I152" s="131"/>
      <c r="J152" s="126"/>
      <c r="K152" s="206"/>
      <c r="L152" s="206"/>
      <c r="M152" s="206"/>
      <c r="N152" s="206"/>
      <c r="O152" s="206"/>
      <c r="P152" s="206"/>
      <c r="Q152" s="153"/>
      <c r="R152" s="153"/>
      <c r="S152" s="231"/>
      <c r="T152" s="231"/>
      <c r="U152" s="231"/>
    </row>
    <row r="153">
      <c r="A153" s="135"/>
      <c r="C153" s="125"/>
      <c r="D153" s="126"/>
      <c r="E153" s="126"/>
      <c r="F153" s="126"/>
      <c r="G153" s="126"/>
      <c r="H153" s="131"/>
      <c r="I153" s="131"/>
      <c r="J153" s="126"/>
      <c r="K153" s="206"/>
      <c r="L153" s="206"/>
      <c r="M153" s="206"/>
      <c r="N153" s="206"/>
      <c r="O153" s="206"/>
      <c r="P153" s="206"/>
      <c r="Q153" s="153"/>
      <c r="R153" s="153"/>
      <c r="S153" s="231"/>
      <c r="T153" s="231"/>
      <c r="U153" s="231"/>
    </row>
    <row r="154">
      <c r="A154" s="135"/>
      <c r="C154" s="125"/>
      <c r="D154" s="126"/>
      <c r="E154" s="126"/>
      <c r="F154" s="126"/>
      <c r="G154" s="126"/>
      <c r="H154" s="131"/>
      <c r="I154" s="131"/>
      <c r="J154" s="126"/>
      <c r="K154" s="206"/>
      <c r="L154" s="206"/>
      <c r="M154" s="206"/>
      <c r="N154" s="206"/>
      <c r="O154" s="206"/>
      <c r="P154" s="206"/>
      <c r="Q154" s="153"/>
      <c r="R154" s="153"/>
      <c r="S154" s="231"/>
      <c r="T154" s="231"/>
      <c r="U154" s="231"/>
    </row>
    <row r="155">
      <c r="A155" s="135"/>
      <c r="C155" s="125"/>
      <c r="D155" s="126"/>
      <c r="E155" s="126"/>
      <c r="F155" s="126"/>
      <c r="G155" s="126"/>
      <c r="H155" s="131"/>
      <c r="I155" s="131"/>
      <c r="J155" s="126"/>
      <c r="K155" s="206"/>
      <c r="L155" s="206"/>
      <c r="M155" s="206"/>
      <c r="N155" s="206"/>
      <c r="O155" s="206"/>
      <c r="P155" s="206"/>
      <c r="Q155" s="153"/>
      <c r="R155" s="153"/>
      <c r="S155" s="231"/>
      <c r="T155" s="231"/>
      <c r="U155" s="231"/>
    </row>
    <row r="156">
      <c r="A156" s="135"/>
      <c r="C156" s="125"/>
      <c r="D156" s="126"/>
      <c r="E156" s="126"/>
      <c r="F156" s="126"/>
      <c r="G156" s="126"/>
      <c r="H156" s="131"/>
      <c r="I156" s="131"/>
      <c r="J156" s="126"/>
      <c r="K156" s="206"/>
      <c r="L156" s="206"/>
      <c r="M156" s="206"/>
      <c r="N156" s="206"/>
      <c r="O156" s="206"/>
      <c r="P156" s="206"/>
      <c r="Q156" s="153"/>
      <c r="R156" s="153"/>
      <c r="S156" s="231"/>
      <c r="T156" s="231"/>
      <c r="U156" s="231"/>
    </row>
    <row r="157">
      <c r="A157" s="135"/>
      <c r="C157" s="125"/>
      <c r="D157" s="126"/>
      <c r="E157" s="126"/>
      <c r="F157" s="126"/>
      <c r="G157" s="126"/>
      <c r="H157" s="131"/>
      <c r="I157" s="131"/>
      <c r="J157" s="126"/>
      <c r="K157" s="206"/>
      <c r="L157" s="206"/>
      <c r="M157" s="206"/>
      <c r="N157" s="206"/>
      <c r="O157" s="206"/>
      <c r="P157" s="206"/>
      <c r="Q157" s="153"/>
      <c r="R157" s="153"/>
      <c r="S157" s="231"/>
      <c r="T157" s="231"/>
      <c r="U157" s="231"/>
    </row>
    <row r="158">
      <c r="A158" s="135"/>
      <c r="C158" s="125"/>
      <c r="D158" s="126"/>
      <c r="E158" s="126"/>
      <c r="F158" s="126"/>
      <c r="G158" s="126"/>
      <c r="H158" s="131"/>
      <c r="I158" s="131"/>
      <c r="J158" s="126"/>
      <c r="K158" s="206"/>
      <c r="L158" s="206"/>
      <c r="M158" s="206"/>
      <c r="N158" s="206"/>
      <c r="O158" s="206"/>
      <c r="P158" s="206"/>
      <c r="Q158" s="153"/>
      <c r="R158" s="153"/>
      <c r="S158" s="231"/>
      <c r="T158" s="231"/>
      <c r="U158" s="231"/>
    </row>
    <row r="159">
      <c r="A159" s="135"/>
      <c r="C159" s="125"/>
      <c r="D159" s="126"/>
      <c r="E159" s="126"/>
      <c r="F159" s="126"/>
      <c r="G159" s="126"/>
      <c r="H159" s="131"/>
      <c r="I159" s="131"/>
      <c r="J159" s="126"/>
      <c r="K159" s="206"/>
      <c r="L159" s="206"/>
      <c r="M159" s="206"/>
      <c r="N159" s="206"/>
      <c r="O159" s="206"/>
      <c r="P159" s="206"/>
      <c r="Q159" s="153"/>
      <c r="R159" s="153"/>
      <c r="S159" s="231"/>
      <c r="T159" s="231"/>
      <c r="U159" s="231"/>
    </row>
    <row r="160">
      <c r="A160" s="135"/>
      <c r="C160" s="125"/>
      <c r="D160" s="126"/>
      <c r="E160" s="126"/>
      <c r="F160" s="126"/>
      <c r="G160" s="126"/>
      <c r="H160" s="131"/>
      <c r="I160" s="131"/>
      <c r="J160" s="126"/>
      <c r="K160" s="206"/>
      <c r="L160" s="206"/>
      <c r="M160" s="206"/>
      <c r="N160" s="206"/>
      <c r="O160" s="206"/>
      <c r="P160" s="206"/>
      <c r="Q160" s="153"/>
      <c r="R160" s="153"/>
      <c r="S160" s="231"/>
      <c r="T160" s="231"/>
      <c r="U160" s="231"/>
    </row>
    <row r="161">
      <c r="A161" s="135"/>
      <c r="C161" s="125"/>
      <c r="D161" s="126"/>
      <c r="E161" s="126"/>
      <c r="F161" s="126"/>
      <c r="G161" s="126"/>
      <c r="H161" s="131"/>
      <c r="I161" s="131"/>
      <c r="J161" s="126"/>
      <c r="K161" s="206"/>
      <c r="L161" s="206"/>
      <c r="M161" s="206"/>
      <c r="N161" s="206"/>
      <c r="O161" s="206"/>
      <c r="P161" s="206"/>
      <c r="Q161" s="153"/>
      <c r="R161" s="153"/>
      <c r="S161" s="231"/>
      <c r="T161" s="231"/>
      <c r="U161" s="231"/>
    </row>
    <row r="162">
      <c r="A162" s="135"/>
      <c r="C162" s="125"/>
      <c r="D162" s="126"/>
      <c r="E162" s="126"/>
      <c r="F162" s="126"/>
      <c r="G162" s="126"/>
      <c r="H162" s="131"/>
      <c r="I162" s="131"/>
      <c r="J162" s="126"/>
      <c r="K162" s="206"/>
      <c r="L162" s="206"/>
      <c r="M162" s="206"/>
      <c r="N162" s="206"/>
      <c r="O162" s="206"/>
      <c r="P162" s="206"/>
      <c r="Q162" s="153"/>
      <c r="R162" s="153"/>
      <c r="S162" s="231"/>
      <c r="T162" s="231"/>
      <c r="U162" s="231"/>
    </row>
    <row r="163">
      <c r="A163" s="135"/>
      <c r="C163" s="125"/>
      <c r="D163" s="126"/>
      <c r="E163" s="126"/>
      <c r="F163" s="126"/>
      <c r="G163" s="126"/>
      <c r="H163" s="131"/>
      <c r="I163" s="131"/>
      <c r="J163" s="126"/>
      <c r="K163" s="206"/>
      <c r="L163" s="206"/>
      <c r="M163" s="206"/>
      <c r="N163" s="206"/>
      <c r="O163" s="206"/>
      <c r="P163" s="206"/>
      <c r="Q163" s="153"/>
      <c r="R163" s="153"/>
      <c r="S163" s="231"/>
      <c r="T163" s="231"/>
      <c r="U163" s="231"/>
    </row>
    <row r="164">
      <c r="A164" s="135"/>
      <c r="C164" s="125"/>
      <c r="D164" s="126"/>
      <c r="E164" s="126"/>
      <c r="F164" s="126"/>
      <c r="G164" s="126"/>
      <c r="H164" s="131"/>
      <c r="I164" s="131"/>
      <c r="J164" s="126"/>
      <c r="K164" s="206"/>
      <c r="L164" s="206"/>
      <c r="M164" s="206"/>
      <c r="N164" s="206"/>
      <c r="O164" s="206"/>
      <c r="P164" s="206"/>
      <c r="Q164" s="153"/>
      <c r="R164" s="153"/>
      <c r="S164" s="231"/>
      <c r="T164" s="231"/>
      <c r="U164" s="231"/>
    </row>
    <row r="165">
      <c r="A165" s="135"/>
      <c r="C165" s="125"/>
      <c r="D165" s="126"/>
      <c r="E165" s="126"/>
      <c r="F165" s="126"/>
      <c r="G165" s="126"/>
      <c r="H165" s="131"/>
      <c r="I165" s="131"/>
      <c r="J165" s="126"/>
      <c r="K165" s="206"/>
      <c r="L165" s="206"/>
      <c r="M165" s="206"/>
      <c r="N165" s="206"/>
      <c r="O165" s="206"/>
      <c r="P165" s="206"/>
      <c r="Q165" s="153"/>
      <c r="R165" s="153"/>
      <c r="S165" s="231"/>
      <c r="T165" s="231"/>
      <c r="U165" s="231"/>
    </row>
    <row r="166">
      <c r="A166" s="135"/>
      <c r="C166" s="125"/>
      <c r="D166" s="126"/>
      <c r="E166" s="126"/>
      <c r="F166" s="126"/>
      <c r="G166" s="126"/>
      <c r="H166" s="131"/>
      <c r="I166" s="131"/>
      <c r="J166" s="126"/>
      <c r="K166" s="206"/>
      <c r="L166" s="206"/>
      <c r="M166" s="206"/>
      <c r="N166" s="206"/>
      <c r="O166" s="206"/>
      <c r="P166" s="206"/>
      <c r="Q166" s="153"/>
      <c r="R166" s="153"/>
      <c r="S166" s="231"/>
      <c r="T166" s="231"/>
      <c r="U166" s="231"/>
    </row>
    <row r="167">
      <c r="A167" s="135"/>
      <c r="C167" s="125"/>
      <c r="D167" s="126"/>
      <c r="E167" s="126"/>
      <c r="F167" s="126"/>
      <c r="G167" s="126"/>
      <c r="H167" s="131"/>
      <c r="I167" s="131"/>
      <c r="J167" s="126"/>
      <c r="K167" s="206"/>
      <c r="L167" s="206"/>
      <c r="M167" s="206"/>
      <c r="N167" s="206"/>
      <c r="O167" s="206"/>
      <c r="P167" s="206"/>
      <c r="Q167" s="153"/>
      <c r="R167" s="153"/>
      <c r="S167" s="231"/>
      <c r="T167" s="231"/>
      <c r="U167" s="231"/>
    </row>
    <row r="168">
      <c r="A168" s="135"/>
      <c r="C168" s="125"/>
      <c r="D168" s="126"/>
      <c r="E168" s="126"/>
      <c r="F168" s="126"/>
      <c r="G168" s="126"/>
      <c r="H168" s="131"/>
      <c r="I168" s="131"/>
      <c r="J168" s="126"/>
      <c r="K168" s="206"/>
      <c r="L168" s="206"/>
      <c r="M168" s="206"/>
      <c r="N168" s="206"/>
      <c r="O168" s="206"/>
      <c r="P168" s="206"/>
      <c r="Q168" s="153"/>
      <c r="R168" s="153"/>
      <c r="S168" s="231"/>
      <c r="T168" s="231"/>
      <c r="U168" s="231"/>
    </row>
    <row r="169">
      <c r="A169" s="135"/>
      <c r="C169" s="125"/>
      <c r="D169" s="126"/>
      <c r="E169" s="126"/>
      <c r="F169" s="126"/>
      <c r="G169" s="126"/>
      <c r="H169" s="131"/>
      <c r="I169" s="131"/>
      <c r="J169" s="126"/>
      <c r="K169" s="206"/>
      <c r="L169" s="206"/>
      <c r="M169" s="206"/>
      <c r="N169" s="206"/>
      <c r="O169" s="206"/>
      <c r="P169" s="206"/>
      <c r="Q169" s="153"/>
      <c r="R169" s="153"/>
      <c r="S169" s="231"/>
      <c r="T169" s="231"/>
      <c r="U169" s="231"/>
    </row>
    <row r="170">
      <c r="A170" s="135"/>
      <c r="C170" s="125"/>
      <c r="D170" s="126"/>
      <c r="E170" s="126"/>
      <c r="F170" s="126"/>
      <c r="G170" s="126"/>
      <c r="H170" s="131"/>
      <c r="I170" s="131"/>
      <c r="J170" s="126"/>
      <c r="K170" s="206"/>
      <c r="L170" s="206"/>
      <c r="M170" s="206"/>
      <c r="N170" s="206"/>
      <c r="O170" s="206"/>
      <c r="P170" s="206"/>
      <c r="Q170" s="153"/>
      <c r="R170" s="153"/>
      <c r="S170" s="231"/>
      <c r="T170" s="231"/>
      <c r="U170" s="231"/>
    </row>
    <row r="171">
      <c r="A171" s="135"/>
      <c r="C171" s="125"/>
      <c r="D171" s="126"/>
      <c r="E171" s="126"/>
      <c r="F171" s="126"/>
      <c r="G171" s="126"/>
      <c r="H171" s="131"/>
      <c r="I171" s="131"/>
      <c r="J171" s="126"/>
      <c r="K171" s="206"/>
      <c r="L171" s="206"/>
      <c r="M171" s="206"/>
      <c r="N171" s="206"/>
      <c r="O171" s="206"/>
      <c r="P171" s="206"/>
      <c r="Q171" s="153"/>
      <c r="R171" s="153"/>
      <c r="S171" s="231"/>
      <c r="T171" s="231"/>
      <c r="U171" s="231"/>
    </row>
    <row r="172">
      <c r="A172" s="135"/>
      <c r="C172" s="125"/>
      <c r="D172" s="126"/>
      <c r="E172" s="126"/>
      <c r="F172" s="126"/>
      <c r="G172" s="126"/>
      <c r="H172" s="131"/>
      <c r="I172" s="131"/>
      <c r="J172" s="126"/>
      <c r="K172" s="206"/>
      <c r="L172" s="206"/>
      <c r="M172" s="206"/>
      <c r="N172" s="206"/>
      <c r="O172" s="206"/>
      <c r="P172" s="206"/>
      <c r="Q172" s="153"/>
      <c r="R172" s="153"/>
      <c r="S172" s="231"/>
      <c r="T172" s="231"/>
      <c r="U172" s="231"/>
    </row>
    <row r="173">
      <c r="A173" s="135"/>
      <c r="C173" s="125"/>
      <c r="D173" s="126"/>
      <c r="E173" s="126"/>
      <c r="F173" s="126"/>
      <c r="G173" s="126"/>
      <c r="H173" s="131"/>
      <c r="I173" s="131"/>
      <c r="J173" s="126"/>
      <c r="K173" s="206"/>
      <c r="L173" s="206"/>
      <c r="M173" s="206"/>
      <c r="N173" s="206"/>
      <c r="O173" s="206"/>
      <c r="P173" s="206"/>
      <c r="Q173" s="153"/>
      <c r="R173" s="153"/>
      <c r="S173" s="231"/>
      <c r="T173" s="231"/>
      <c r="U173" s="231"/>
    </row>
    <row r="174">
      <c r="A174" s="135"/>
      <c r="C174" s="125"/>
      <c r="D174" s="126"/>
      <c r="E174" s="126"/>
      <c r="F174" s="126"/>
      <c r="G174" s="126"/>
      <c r="H174" s="131"/>
      <c r="I174" s="131"/>
      <c r="J174" s="126"/>
      <c r="K174" s="206"/>
      <c r="L174" s="206"/>
      <c r="M174" s="206"/>
      <c r="N174" s="206"/>
      <c r="O174" s="206"/>
      <c r="P174" s="206"/>
      <c r="Q174" s="153"/>
      <c r="R174" s="153"/>
      <c r="S174" s="231"/>
      <c r="T174" s="231"/>
      <c r="U174" s="231"/>
    </row>
    <row r="175">
      <c r="A175" s="135"/>
      <c r="C175" s="125"/>
      <c r="D175" s="126"/>
      <c r="E175" s="126"/>
      <c r="F175" s="126"/>
      <c r="G175" s="126"/>
      <c r="H175" s="131"/>
      <c r="I175" s="131"/>
      <c r="J175" s="126"/>
      <c r="K175" s="206"/>
      <c r="L175" s="206"/>
      <c r="M175" s="206"/>
      <c r="N175" s="206"/>
      <c r="O175" s="206"/>
      <c r="P175" s="206"/>
      <c r="Q175" s="153"/>
      <c r="R175" s="153"/>
      <c r="S175" s="231"/>
      <c r="T175" s="231"/>
      <c r="U175" s="231"/>
    </row>
    <row r="176">
      <c r="A176" s="135"/>
      <c r="C176" s="125"/>
      <c r="D176" s="126"/>
      <c r="E176" s="126"/>
      <c r="F176" s="126"/>
      <c r="G176" s="126"/>
      <c r="H176" s="131"/>
      <c r="I176" s="131"/>
      <c r="J176" s="126"/>
      <c r="K176" s="206"/>
      <c r="L176" s="206"/>
      <c r="M176" s="206"/>
      <c r="N176" s="206"/>
      <c r="O176" s="206"/>
      <c r="P176" s="206"/>
      <c r="Q176" s="153"/>
      <c r="R176" s="153"/>
      <c r="S176" s="231"/>
      <c r="T176" s="231"/>
      <c r="U176" s="231"/>
    </row>
    <row r="177">
      <c r="A177" s="135"/>
      <c r="C177" s="125"/>
      <c r="D177" s="126"/>
      <c r="E177" s="126"/>
      <c r="F177" s="126"/>
      <c r="G177" s="126"/>
      <c r="H177" s="131"/>
      <c r="I177" s="131"/>
      <c r="J177" s="126"/>
      <c r="K177" s="206"/>
      <c r="L177" s="206"/>
      <c r="M177" s="206"/>
      <c r="N177" s="206"/>
      <c r="O177" s="206"/>
      <c r="P177" s="206"/>
      <c r="Q177" s="153"/>
      <c r="R177" s="153"/>
      <c r="S177" s="231"/>
      <c r="T177" s="231"/>
      <c r="U177" s="231"/>
    </row>
    <row r="178">
      <c r="A178" s="135"/>
      <c r="C178" s="125"/>
      <c r="D178" s="126"/>
      <c r="E178" s="126"/>
      <c r="F178" s="126"/>
      <c r="G178" s="126"/>
      <c r="H178" s="131"/>
      <c r="I178" s="131"/>
      <c r="J178" s="126"/>
      <c r="K178" s="206"/>
      <c r="L178" s="206"/>
      <c r="M178" s="206"/>
      <c r="N178" s="206"/>
      <c r="O178" s="206"/>
      <c r="P178" s="206"/>
      <c r="Q178" s="153"/>
      <c r="R178" s="153"/>
      <c r="S178" s="231"/>
      <c r="T178" s="231"/>
      <c r="U178" s="231"/>
    </row>
    <row r="179">
      <c r="A179" s="135"/>
      <c r="C179" s="125"/>
      <c r="D179" s="126"/>
      <c r="E179" s="126"/>
      <c r="F179" s="126"/>
      <c r="G179" s="126"/>
      <c r="H179" s="131"/>
      <c r="I179" s="131"/>
      <c r="J179" s="126"/>
      <c r="K179" s="206"/>
      <c r="L179" s="206"/>
      <c r="M179" s="206"/>
      <c r="N179" s="206"/>
      <c r="O179" s="206"/>
      <c r="P179" s="206"/>
      <c r="Q179" s="153"/>
      <c r="R179" s="153"/>
      <c r="S179" s="231"/>
      <c r="T179" s="231"/>
      <c r="U179" s="231"/>
    </row>
    <row r="180">
      <c r="A180" s="135"/>
      <c r="C180" s="125"/>
      <c r="D180" s="126"/>
      <c r="E180" s="126"/>
      <c r="F180" s="126"/>
      <c r="G180" s="126"/>
      <c r="H180" s="131"/>
      <c r="I180" s="131"/>
      <c r="J180" s="126"/>
      <c r="K180" s="206"/>
      <c r="L180" s="206"/>
      <c r="M180" s="206"/>
      <c r="N180" s="206"/>
      <c r="O180" s="206"/>
      <c r="P180" s="206"/>
      <c r="Q180" s="153"/>
      <c r="R180" s="153"/>
      <c r="S180" s="231"/>
      <c r="T180" s="231"/>
      <c r="U180" s="231"/>
    </row>
    <row r="181">
      <c r="A181" s="135"/>
      <c r="C181" s="125"/>
      <c r="D181" s="126"/>
      <c r="E181" s="126"/>
      <c r="F181" s="126"/>
      <c r="G181" s="126"/>
      <c r="H181" s="131"/>
      <c r="I181" s="131"/>
      <c r="J181" s="126"/>
      <c r="K181" s="206"/>
      <c r="L181" s="206"/>
      <c r="M181" s="206"/>
      <c r="N181" s="206"/>
      <c r="O181" s="206"/>
      <c r="P181" s="206"/>
      <c r="Q181" s="153"/>
      <c r="R181" s="153"/>
      <c r="S181" s="231"/>
      <c r="T181" s="231"/>
      <c r="U181" s="231"/>
    </row>
    <row r="182">
      <c r="A182" s="135"/>
      <c r="C182" s="125"/>
      <c r="D182" s="126"/>
      <c r="E182" s="126"/>
      <c r="F182" s="126"/>
      <c r="G182" s="126"/>
      <c r="H182" s="131"/>
      <c r="I182" s="131"/>
      <c r="J182" s="126"/>
      <c r="K182" s="206"/>
      <c r="L182" s="206"/>
      <c r="M182" s="206"/>
      <c r="N182" s="206"/>
      <c r="O182" s="206"/>
      <c r="P182" s="206"/>
      <c r="Q182" s="153"/>
      <c r="R182" s="153"/>
      <c r="S182" s="231"/>
      <c r="T182" s="231"/>
      <c r="U182" s="231"/>
    </row>
    <row r="183">
      <c r="A183" s="135"/>
      <c r="C183" s="125"/>
      <c r="D183" s="126"/>
      <c r="E183" s="126"/>
      <c r="F183" s="126"/>
      <c r="G183" s="126"/>
      <c r="H183" s="131"/>
      <c r="I183" s="131"/>
      <c r="J183" s="126"/>
      <c r="K183" s="206"/>
      <c r="L183" s="206"/>
      <c r="M183" s="206"/>
      <c r="N183" s="206"/>
      <c r="O183" s="206"/>
      <c r="P183" s="206"/>
      <c r="Q183" s="153"/>
      <c r="R183" s="153"/>
      <c r="S183" s="231"/>
      <c r="T183" s="231"/>
      <c r="U183" s="231"/>
    </row>
    <row r="184">
      <c r="A184" s="135"/>
      <c r="C184" s="125"/>
      <c r="D184" s="126"/>
      <c r="E184" s="126"/>
      <c r="F184" s="126"/>
      <c r="G184" s="126"/>
      <c r="H184" s="131"/>
      <c r="I184" s="131"/>
      <c r="J184" s="126"/>
      <c r="K184" s="206"/>
      <c r="L184" s="206"/>
      <c r="M184" s="206"/>
      <c r="N184" s="206"/>
      <c r="O184" s="206"/>
      <c r="P184" s="206"/>
      <c r="Q184" s="153"/>
      <c r="R184" s="153"/>
      <c r="S184" s="231"/>
      <c r="T184" s="231"/>
      <c r="U184" s="231"/>
    </row>
    <row r="185">
      <c r="A185" s="135"/>
      <c r="C185" s="125"/>
      <c r="D185" s="126"/>
      <c r="E185" s="126"/>
      <c r="F185" s="126"/>
      <c r="G185" s="126"/>
      <c r="H185" s="131"/>
      <c r="I185" s="131"/>
      <c r="J185" s="126"/>
      <c r="K185" s="206"/>
      <c r="L185" s="206"/>
      <c r="M185" s="206"/>
      <c r="N185" s="206"/>
      <c r="O185" s="206"/>
      <c r="P185" s="206"/>
      <c r="Q185" s="153"/>
      <c r="R185" s="153"/>
      <c r="S185" s="231"/>
      <c r="T185" s="231"/>
      <c r="U185" s="231"/>
    </row>
    <row r="186">
      <c r="A186" s="135"/>
      <c r="C186" s="125"/>
      <c r="D186" s="126"/>
      <c r="E186" s="126"/>
      <c r="F186" s="126"/>
      <c r="G186" s="126"/>
      <c r="H186" s="131"/>
      <c r="I186" s="131"/>
      <c r="J186" s="126"/>
      <c r="K186" s="206"/>
      <c r="L186" s="206"/>
      <c r="M186" s="206"/>
      <c r="N186" s="206"/>
      <c r="O186" s="206"/>
      <c r="P186" s="206"/>
      <c r="Q186" s="153"/>
      <c r="R186" s="153"/>
      <c r="S186" s="231"/>
      <c r="T186" s="231"/>
      <c r="U186" s="231"/>
    </row>
    <row r="187">
      <c r="A187" s="153"/>
      <c r="B187" s="206"/>
      <c r="C187" s="206"/>
      <c r="D187" s="206"/>
      <c r="E187" s="206"/>
      <c r="F187" s="206"/>
      <c r="G187" s="206"/>
      <c r="H187" s="230"/>
      <c r="I187" s="206"/>
      <c r="J187" s="206"/>
      <c r="K187" s="206"/>
      <c r="L187" s="206"/>
      <c r="M187" s="206"/>
      <c r="N187" s="206"/>
      <c r="O187" s="206"/>
      <c r="P187" s="206"/>
      <c r="Q187" s="153"/>
      <c r="R187" s="153"/>
      <c r="S187" s="231"/>
      <c r="T187" s="231"/>
      <c r="U187" s="231"/>
    </row>
    <row r="188">
      <c r="A188" s="153"/>
      <c r="B188" s="206"/>
      <c r="C188" s="206"/>
      <c r="D188" s="206"/>
      <c r="E188" s="206"/>
      <c r="F188" s="206"/>
      <c r="G188" s="206"/>
      <c r="H188" s="230"/>
      <c r="I188" s="206"/>
      <c r="J188" s="206"/>
      <c r="K188" s="206"/>
      <c r="L188" s="206"/>
      <c r="M188" s="206"/>
      <c r="N188" s="206"/>
      <c r="O188" s="206"/>
      <c r="P188" s="206"/>
      <c r="Q188" s="153"/>
      <c r="R188" s="153"/>
      <c r="S188" s="231"/>
      <c r="T188" s="231"/>
      <c r="U188" s="231"/>
    </row>
    <row r="189">
      <c r="A189" s="153"/>
      <c r="B189" s="206"/>
      <c r="C189" s="206"/>
      <c r="D189" s="206"/>
      <c r="E189" s="206"/>
      <c r="F189" s="206"/>
      <c r="G189" s="206"/>
      <c r="H189" s="230"/>
      <c r="I189" s="206"/>
      <c r="J189" s="206"/>
      <c r="K189" s="206"/>
      <c r="L189" s="206"/>
      <c r="M189" s="206"/>
      <c r="N189" s="206"/>
      <c r="O189" s="206"/>
      <c r="P189" s="206"/>
      <c r="Q189" s="153"/>
      <c r="R189" s="153"/>
      <c r="S189" s="231"/>
      <c r="T189" s="231"/>
      <c r="U189" s="231"/>
    </row>
    <row r="190">
      <c r="A190" s="153"/>
      <c r="B190" s="206"/>
      <c r="C190" s="206"/>
      <c r="D190" s="206"/>
      <c r="E190" s="206"/>
      <c r="F190" s="206"/>
      <c r="G190" s="206"/>
      <c r="H190" s="230"/>
      <c r="I190" s="206"/>
      <c r="J190" s="206"/>
      <c r="K190" s="206"/>
      <c r="L190" s="206"/>
      <c r="M190" s="206"/>
      <c r="N190" s="206"/>
      <c r="O190" s="206"/>
      <c r="P190" s="206"/>
      <c r="Q190" s="153"/>
      <c r="R190" s="153"/>
      <c r="S190" s="231"/>
      <c r="T190" s="231"/>
      <c r="U190" s="231"/>
    </row>
    <row r="191">
      <c r="A191" s="153"/>
      <c r="B191" s="206"/>
      <c r="C191" s="206"/>
      <c r="D191" s="206"/>
      <c r="E191" s="206"/>
      <c r="F191" s="206"/>
      <c r="G191" s="206"/>
      <c r="H191" s="230"/>
      <c r="I191" s="206"/>
      <c r="J191" s="206"/>
      <c r="K191" s="206"/>
      <c r="L191" s="206"/>
      <c r="M191" s="206"/>
      <c r="N191" s="206"/>
      <c r="O191" s="206"/>
      <c r="P191" s="206"/>
      <c r="Q191" s="153"/>
      <c r="R191" s="153"/>
      <c r="S191" s="231"/>
      <c r="T191" s="231"/>
      <c r="U191" s="231"/>
    </row>
    <row r="192">
      <c r="A192" s="153"/>
      <c r="B192" s="206"/>
      <c r="C192" s="206"/>
      <c r="D192" s="206"/>
      <c r="E192" s="206"/>
      <c r="F192" s="206"/>
      <c r="G192" s="206"/>
      <c r="H192" s="230"/>
      <c r="I192" s="206"/>
      <c r="J192" s="206"/>
      <c r="K192" s="206"/>
      <c r="L192" s="206"/>
      <c r="M192" s="206"/>
      <c r="N192" s="206"/>
      <c r="O192" s="206"/>
      <c r="P192" s="206"/>
      <c r="Q192" s="153"/>
      <c r="R192" s="153"/>
      <c r="S192" s="231"/>
      <c r="T192" s="231"/>
      <c r="U192" s="231"/>
    </row>
    <row r="193">
      <c r="A193" s="153"/>
      <c r="B193" s="206"/>
      <c r="C193" s="206"/>
      <c r="D193" s="206"/>
      <c r="E193" s="206"/>
      <c r="F193" s="206"/>
      <c r="G193" s="206"/>
      <c r="H193" s="230"/>
      <c r="I193" s="206"/>
      <c r="J193" s="206"/>
      <c r="K193" s="206"/>
      <c r="L193" s="206"/>
      <c r="M193" s="206"/>
      <c r="N193" s="206"/>
      <c r="O193" s="206"/>
      <c r="P193" s="206"/>
      <c r="Q193" s="153"/>
      <c r="R193" s="153"/>
      <c r="S193" s="231"/>
      <c r="T193" s="231"/>
      <c r="U193" s="231"/>
    </row>
    <row r="194">
      <c r="A194" s="153"/>
      <c r="B194" s="206"/>
      <c r="C194" s="206"/>
      <c r="D194" s="206"/>
      <c r="E194" s="206"/>
      <c r="F194" s="206"/>
      <c r="G194" s="206"/>
      <c r="H194" s="230"/>
      <c r="I194" s="206"/>
      <c r="J194" s="206"/>
      <c r="K194" s="206"/>
      <c r="L194" s="206"/>
      <c r="M194" s="206"/>
      <c r="N194" s="206"/>
      <c r="O194" s="206"/>
      <c r="P194" s="206"/>
      <c r="Q194" s="153"/>
      <c r="R194" s="153"/>
      <c r="S194" s="231"/>
      <c r="T194" s="231"/>
      <c r="U194" s="231"/>
    </row>
    <row r="195">
      <c r="A195" s="153"/>
      <c r="B195" s="206"/>
      <c r="C195" s="206"/>
      <c r="D195" s="206"/>
      <c r="E195" s="206"/>
      <c r="F195" s="206"/>
      <c r="G195" s="206"/>
      <c r="H195" s="230"/>
      <c r="I195" s="206"/>
      <c r="J195" s="206"/>
      <c r="K195" s="206"/>
      <c r="L195" s="206"/>
      <c r="M195" s="206"/>
      <c r="N195" s="206"/>
      <c r="O195" s="206"/>
      <c r="P195" s="206"/>
      <c r="Q195" s="153"/>
      <c r="R195" s="153"/>
      <c r="S195" s="231"/>
      <c r="T195" s="231"/>
      <c r="U195" s="231"/>
    </row>
    <row r="196">
      <c r="A196" s="153"/>
      <c r="B196" s="206"/>
      <c r="C196" s="206"/>
      <c r="D196" s="206"/>
      <c r="E196" s="206"/>
      <c r="F196" s="206"/>
      <c r="G196" s="206"/>
      <c r="H196" s="230"/>
      <c r="I196" s="206"/>
      <c r="J196" s="206"/>
      <c r="K196" s="206"/>
      <c r="L196" s="206"/>
      <c r="M196" s="206"/>
      <c r="N196" s="206"/>
      <c r="O196" s="206"/>
      <c r="P196" s="206"/>
      <c r="Q196" s="153"/>
      <c r="R196" s="153"/>
      <c r="S196" s="231"/>
      <c r="T196" s="231"/>
      <c r="U196" s="231"/>
    </row>
    <row r="197">
      <c r="A197" s="153"/>
      <c r="B197" s="206"/>
      <c r="C197" s="206"/>
      <c r="D197" s="206"/>
      <c r="E197" s="206"/>
      <c r="F197" s="206"/>
      <c r="G197" s="206"/>
      <c r="H197" s="230"/>
      <c r="I197" s="206"/>
      <c r="J197" s="206"/>
      <c r="K197" s="206"/>
      <c r="L197" s="206"/>
      <c r="M197" s="206"/>
      <c r="N197" s="206"/>
      <c r="O197" s="206"/>
      <c r="P197" s="206"/>
      <c r="Q197" s="153"/>
      <c r="R197" s="153"/>
      <c r="S197" s="231"/>
      <c r="T197" s="231"/>
      <c r="U197" s="231"/>
    </row>
    <row r="198">
      <c r="A198" s="153"/>
      <c r="B198" s="206"/>
      <c r="C198" s="206"/>
      <c r="D198" s="206"/>
      <c r="E198" s="206"/>
      <c r="F198" s="206"/>
      <c r="G198" s="206"/>
      <c r="H198" s="230"/>
      <c r="I198" s="206"/>
      <c r="J198" s="206"/>
      <c r="K198" s="206"/>
      <c r="L198" s="206"/>
      <c r="M198" s="206"/>
      <c r="N198" s="206"/>
      <c r="O198" s="206"/>
      <c r="P198" s="206"/>
      <c r="Q198" s="153"/>
      <c r="R198" s="153"/>
      <c r="S198" s="231"/>
      <c r="T198" s="231"/>
      <c r="U198" s="231"/>
    </row>
    <row r="199">
      <c r="A199" s="153"/>
      <c r="B199" s="206"/>
      <c r="C199" s="206"/>
      <c r="D199" s="206"/>
      <c r="E199" s="206"/>
      <c r="F199" s="206"/>
      <c r="G199" s="206"/>
      <c r="H199" s="230"/>
      <c r="I199" s="206"/>
      <c r="J199" s="206"/>
      <c r="K199" s="206"/>
      <c r="L199" s="206"/>
      <c r="M199" s="206"/>
      <c r="N199" s="206"/>
      <c r="O199" s="206"/>
      <c r="P199" s="206"/>
      <c r="Q199" s="153"/>
      <c r="R199" s="153"/>
      <c r="S199" s="231"/>
      <c r="T199" s="231"/>
      <c r="U199" s="231"/>
    </row>
    <row r="200">
      <c r="A200" s="153"/>
      <c r="B200" s="206"/>
      <c r="C200" s="206"/>
      <c r="D200" s="206"/>
      <c r="E200" s="206"/>
      <c r="F200" s="206"/>
      <c r="G200" s="206"/>
      <c r="H200" s="230"/>
      <c r="I200" s="206"/>
      <c r="J200" s="206"/>
      <c r="K200" s="206"/>
      <c r="L200" s="206"/>
      <c r="M200" s="206"/>
      <c r="N200" s="206"/>
      <c r="O200" s="206"/>
      <c r="P200" s="206"/>
      <c r="Q200" s="153"/>
      <c r="R200" s="153"/>
      <c r="S200" s="231"/>
      <c r="T200" s="231"/>
      <c r="U200" s="231"/>
    </row>
    <row r="201">
      <c r="A201" s="153"/>
      <c r="B201" s="206"/>
      <c r="C201" s="206"/>
      <c r="D201" s="206"/>
      <c r="E201" s="206"/>
      <c r="F201" s="206"/>
      <c r="G201" s="206"/>
      <c r="H201" s="230"/>
      <c r="I201" s="206"/>
      <c r="J201" s="206"/>
      <c r="K201" s="206"/>
      <c r="L201" s="206"/>
      <c r="M201" s="206"/>
      <c r="N201" s="206"/>
      <c r="O201" s="206"/>
      <c r="P201" s="206"/>
      <c r="Q201" s="153"/>
      <c r="R201" s="153"/>
      <c r="S201" s="231"/>
      <c r="T201" s="231"/>
      <c r="U201" s="231"/>
    </row>
    <row r="202">
      <c r="A202" s="153"/>
      <c r="B202" s="206"/>
      <c r="C202" s="206"/>
      <c r="D202" s="206"/>
      <c r="E202" s="206"/>
      <c r="F202" s="206"/>
      <c r="G202" s="206"/>
      <c r="H202" s="230"/>
      <c r="I202" s="206"/>
      <c r="J202" s="206"/>
      <c r="K202" s="206"/>
      <c r="L202" s="206"/>
      <c r="M202" s="206"/>
      <c r="N202" s="206"/>
      <c r="O202" s="206"/>
      <c r="P202" s="206"/>
      <c r="Q202" s="153"/>
      <c r="R202" s="153"/>
      <c r="S202" s="231"/>
      <c r="T202" s="231"/>
      <c r="U202" s="231"/>
    </row>
    <row r="203">
      <c r="A203" s="153"/>
      <c r="B203" s="206"/>
      <c r="C203" s="206"/>
      <c r="D203" s="206"/>
      <c r="E203" s="206"/>
      <c r="F203" s="206"/>
      <c r="G203" s="206"/>
      <c r="H203" s="230"/>
      <c r="I203" s="206"/>
      <c r="J203" s="206"/>
      <c r="K203" s="206"/>
      <c r="L203" s="206"/>
      <c r="M203" s="206"/>
      <c r="N203" s="206"/>
      <c r="O203" s="206"/>
      <c r="P203" s="206"/>
      <c r="Q203" s="153"/>
      <c r="R203" s="153"/>
      <c r="S203" s="231"/>
      <c r="T203" s="231"/>
      <c r="U203" s="231"/>
    </row>
    <row r="204">
      <c r="A204" s="153"/>
      <c r="B204" s="206"/>
      <c r="C204" s="206"/>
      <c r="D204" s="206"/>
      <c r="E204" s="206"/>
      <c r="F204" s="206"/>
      <c r="G204" s="206"/>
      <c r="H204" s="230"/>
      <c r="I204" s="206"/>
      <c r="J204" s="206"/>
      <c r="K204" s="206"/>
      <c r="L204" s="206"/>
      <c r="M204" s="206"/>
      <c r="N204" s="206"/>
      <c r="O204" s="206"/>
      <c r="P204" s="206"/>
      <c r="Q204" s="153"/>
      <c r="R204" s="153"/>
      <c r="S204" s="231"/>
      <c r="T204" s="231"/>
      <c r="U204" s="231"/>
    </row>
    <row r="205">
      <c r="A205" s="153"/>
      <c r="B205" s="206"/>
      <c r="C205" s="206"/>
      <c r="D205" s="206"/>
      <c r="E205" s="206"/>
      <c r="F205" s="206"/>
      <c r="G205" s="206"/>
      <c r="H205" s="230"/>
      <c r="I205" s="206"/>
      <c r="J205" s="206"/>
      <c r="K205" s="206"/>
      <c r="L205" s="206"/>
      <c r="M205" s="206"/>
      <c r="N205" s="206"/>
      <c r="O205" s="206"/>
      <c r="P205" s="206"/>
      <c r="Q205" s="153"/>
      <c r="R205" s="153"/>
      <c r="S205" s="231"/>
      <c r="T205" s="231"/>
      <c r="U205" s="231"/>
    </row>
    <row r="206">
      <c r="A206" s="153"/>
      <c r="B206" s="206"/>
      <c r="C206" s="206"/>
      <c r="D206" s="206"/>
      <c r="E206" s="206"/>
      <c r="F206" s="206"/>
      <c r="G206" s="206"/>
      <c r="H206" s="230"/>
      <c r="I206" s="206"/>
      <c r="J206" s="206"/>
      <c r="K206" s="206"/>
      <c r="L206" s="206"/>
      <c r="M206" s="206"/>
      <c r="N206" s="206"/>
      <c r="O206" s="206"/>
      <c r="P206" s="206"/>
      <c r="Q206" s="153"/>
      <c r="R206" s="153"/>
      <c r="S206" s="231"/>
      <c r="T206" s="231"/>
      <c r="U206" s="231"/>
    </row>
    <row r="207">
      <c r="A207" s="153"/>
      <c r="B207" s="206"/>
      <c r="C207" s="206"/>
      <c r="D207" s="206"/>
      <c r="E207" s="206"/>
      <c r="F207" s="206"/>
      <c r="G207" s="206"/>
      <c r="H207" s="230"/>
      <c r="I207" s="206"/>
      <c r="J207" s="206"/>
      <c r="K207" s="206"/>
      <c r="L207" s="206"/>
      <c r="M207" s="206"/>
      <c r="N207" s="206"/>
      <c r="O207" s="206"/>
      <c r="P207" s="206"/>
      <c r="Q207" s="153"/>
      <c r="R207" s="153"/>
      <c r="S207" s="231"/>
      <c r="T207" s="231"/>
      <c r="U207" s="231"/>
    </row>
    <row r="208">
      <c r="A208" s="153"/>
      <c r="B208" s="206"/>
      <c r="C208" s="206"/>
      <c r="D208" s="206"/>
      <c r="E208" s="206"/>
      <c r="F208" s="206"/>
      <c r="G208" s="206"/>
      <c r="H208" s="230"/>
      <c r="I208" s="206"/>
      <c r="J208" s="206"/>
      <c r="K208" s="206"/>
      <c r="L208" s="206"/>
      <c r="M208" s="206"/>
      <c r="N208" s="206"/>
      <c r="O208" s="206"/>
      <c r="P208" s="206"/>
      <c r="Q208" s="153"/>
      <c r="R208" s="153"/>
      <c r="S208" s="231"/>
      <c r="T208" s="231"/>
      <c r="U208" s="231"/>
    </row>
    <row r="209">
      <c r="A209" s="153"/>
      <c r="B209" s="206"/>
      <c r="C209" s="206"/>
      <c r="D209" s="206"/>
      <c r="E209" s="206"/>
      <c r="F209" s="206"/>
      <c r="G209" s="206"/>
      <c r="H209" s="230"/>
      <c r="I209" s="206"/>
      <c r="J209" s="206"/>
      <c r="K209" s="206"/>
      <c r="L209" s="206"/>
      <c r="M209" s="206"/>
      <c r="N209" s="206"/>
      <c r="O209" s="206"/>
      <c r="P209" s="206"/>
      <c r="Q209" s="153"/>
      <c r="R209" s="153"/>
      <c r="S209" s="231"/>
      <c r="T209" s="231"/>
      <c r="U209" s="231"/>
    </row>
    <row r="210">
      <c r="A210" s="153"/>
      <c r="B210" s="206"/>
      <c r="C210" s="206"/>
      <c r="D210" s="206"/>
      <c r="E210" s="206"/>
      <c r="F210" s="206"/>
      <c r="G210" s="206"/>
      <c r="H210" s="230"/>
      <c r="I210" s="206"/>
      <c r="J210" s="206"/>
      <c r="K210" s="206"/>
      <c r="L210" s="206"/>
      <c r="M210" s="206"/>
      <c r="N210" s="206"/>
      <c r="O210" s="206"/>
      <c r="P210" s="206"/>
      <c r="Q210" s="153"/>
      <c r="R210" s="153"/>
      <c r="S210" s="231"/>
      <c r="T210" s="231"/>
      <c r="U210" s="231"/>
    </row>
    <row r="211">
      <c r="A211" s="153"/>
      <c r="B211" s="206"/>
      <c r="C211" s="206"/>
      <c r="D211" s="206"/>
      <c r="E211" s="206"/>
      <c r="F211" s="206"/>
      <c r="G211" s="206"/>
      <c r="H211" s="230"/>
      <c r="I211" s="206"/>
      <c r="J211" s="206"/>
      <c r="K211" s="206"/>
      <c r="L211" s="206"/>
      <c r="M211" s="206"/>
      <c r="N211" s="206"/>
      <c r="O211" s="206"/>
      <c r="P211" s="206"/>
      <c r="Q211" s="153"/>
      <c r="R211" s="153"/>
      <c r="S211" s="231"/>
      <c r="T211" s="231"/>
      <c r="U211" s="231"/>
    </row>
    <row r="212">
      <c r="A212" s="153"/>
      <c r="B212" s="206"/>
      <c r="C212" s="206"/>
      <c r="D212" s="206"/>
      <c r="E212" s="206"/>
      <c r="F212" s="206"/>
      <c r="G212" s="206"/>
      <c r="H212" s="230"/>
      <c r="I212" s="206"/>
      <c r="J212" s="206"/>
      <c r="K212" s="206"/>
      <c r="L212" s="206"/>
      <c r="M212" s="206"/>
      <c r="N212" s="206"/>
      <c r="O212" s="206"/>
      <c r="P212" s="206"/>
      <c r="Q212" s="153"/>
      <c r="R212" s="153"/>
      <c r="S212" s="231"/>
      <c r="T212" s="231"/>
      <c r="U212" s="231"/>
    </row>
    <row r="213">
      <c r="A213" s="153"/>
      <c r="B213" s="206"/>
      <c r="C213" s="206"/>
      <c r="D213" s="206"/>
      <c r="E213" s="206"/>
      <c r="F213" s="206"/>
      <c r="G213" s="206"/>
      <c r="H213" s="230"/>
      <c r="I213" s="206"/>
      <c r="J213" s="206"/>
      <c r="K213" s="206"/>
      <c r="L213" s="206"/>
      <c r="M213" s="206"/>
      <c r="N213" s="206"/>
      <c r="O213" s="206"/>
      <c r="P213" s="206"/>
      <c r="Q213" s="153"/>
      <c r="R213" s="153"/>
      <c r="S213" s="231"/>
      <c r="T213" s="231"/>
      <c r="U213" s="231"/>
    </row>
    <row r="214">
      <c r="A214" s="153"/>
      <c r="B214" s="206"/>
      <c r="C214" s="206"/>
      <c r="D214" s="206"/>
      <c r="E214" s="206"/>
      <c r="F214" s="206"/>
      <c r="G214" s="206"/>
      <c r="H214" s="230"/>
      <c r="I214" s="206"/>
      <c r="J214" s="206"/>
      <c r="K214" s="206"/>
      <c r="L214" s="206"/>
      <c r="M214" s="206"/>
      <c r="N214" s="206"/>
      <c r="O214" s="206"/>
      <c r="P214" s="206"/>
      <c r="Q214" s="153"/>
      <c r="R214" s="153"/>
      <c r="S214" s="231"/>
      <c r="T214" s="231"/>
      <c r="U214" s="231"/>
    </row>
    <row r="215">
      <c r="A215" s="153"/>
      <c r="B215" s="206"/>
      <c r="C215" s="206"/>
      <c r="D215" s="206"/>
      <c r="E215" s="206"/>
      <c r="F215" s="206"/>
      <c r="G215" s="206"/>
      <c r="H215" s="230"/>
      <c r="I215" s="206"/>
      <c r="J215" s="206"/>
      <c r="K215" s="206"/>
      <c r="L215" s="206"/>
      <c r="M215" s="206"/>
      <c r="N215" s="206"/>
      <c r="O215" s="206"/>
      <c r="P215" s="206"/>
      <c r="Q215" s="153"/>
      <c r="R215" s="153"/>
      <c r="S215" s="231"/>
      <c r="T215" s="231"/>
      <c r="U215" s="231"/>
    </row>
    <row r="216">
      <c r="A216" s="153"/>
      <c r="B216" s="206"/>
      <c r="C216" s="206"/>
      <c r="D216" s="206"/>
      <c r="E216" s="206"/>
      <c r="F216" s="206"/>
      <c r="G216" s="206"/>
      <c r="H216" s="230"/>
      <c r="I216" s="206"/>
      <c r="J216" s="206"/>
      <c r="K216" s="206"/>
      <c r="L216" s="206"/>
      <c r="M216" s="206"/>
      <c r="N216" s="206"/>
      <c r="O216" s="206"/>
      <c r="P216" s="206"/>
      <c r="Q216" s="153"/>
      <c r="R216" s="153"/>
      <c r="S216" s="231"/>
      <c r="T216" s="231"/>
      <c r="U216" s="231"/>
    </row>
    <row r="217">
      <c r="A217" s="153"/>
      <c r="B217" s="206"/>
      <c r="C217" s="206"/>
      <c r="D217" s="206"/>
      <c r="E217" s="206"/>
      <c r="F217" s="206"/>
      <c r="G217" s="206"/>
      <c r="H217" s="230"/>
      <c r="I217" s="206"/>
      <c r="J217" s="206"/>
      <c r="K217" s="206"/>
      <c r="L217" s="206"/>
      <c r="M217" s="206"/>
      <c r="N217" s="206"/>
      <c r="O217" s="206"/>
      <c r="P217" s="206"/>
      <c r="Q217" s="153"/>
      <c r="R217" s="153"/>
      <c r="S217" s="231"/>
      <c r="T217" s="231"/>
      <c r="U217" s="231"/>
    </row>
    <row r="218">
      <c r="A218" s="153"/>
      <c r="B218" s="206"/>
      <c r="C218" s="206"/>
      <c r="D218" s="206"/>
      <c r="E218" s="206"/>
      <c r="F218" s="206"/>
      <c r="G218" s="206"/>
      <c r="H218" s="230"/>
      <c r="I218" s="206"/>
      <c r="J218" s="206"/>
      <c r="K218" s="206"/>
      <c r="L218" s="206"/>
      <c r="M218" s="206"/>
      <c r="N218" s="206"/>
      <c r="O218" s="206"/>
      <c r="P218" s="206"/>
      <c r="Q218" s="153"/>
      <c r="R218" s="153"/>
      <c r="S218" s="231"/>
      <c r="T218" s="231"/>
      <c r="U218" s="231"/>
    </row>
    <row r="219">
      <c r="A219" s="153"/>
      <c r="B219" s="206"/>
      <c r="C219" s="206"/>
      <c r="D219" s="206"/>
      <c r="E219" s="206"/>
      <c r="F219" s="206"/>
      <c r="G219" s="206"/>
      <c r="H219" s="230"/>
      <c r="I219" s="206"/>
      <c r="J219" s="206"/>
      <c r="K219" s="206"/>
      <c r="L219" s="206"/>
      <c r="M219" s="206"/>
      <c r="N219" s="206"/>
      <c r="O219" s="206"/>
      <c r="P219" s="206"/>
      <c r="Q219" s="153"/>
      <c r="R219" s="153"/>
      <c r="S219" s="231"/>
      <c r="T219" s="231"/>
      <c r="U219" s="231"/>
    </row>
    <row r="220">
      <c r="A220" s="153"/>
      <c r="B220" s="206"/>
      <c r="C220" s="206"/>
      <c r="D220" s="206"/>
      <c r="E220" s="206"/>
      <c r="F220" s="206"/>
      <c r="G220" s="206"/>
      <c r="H220" s="230"/>
      <c r="I220" s="206"/>
      <c r="J220" s="206"/>
      <c r="K220" s="206"/>
      <c r="L220" s="206"/>
      <c r="M220" s="206"/>
      <c r="N220" s="206"/>
      <c r="O220" s="206"/>
      <c r="P220" s="206"/>
      <c r="Q220" s="153"/>
      <c r="R220" s="153"/>
      <c r="S220" s="231"/>
      <c r="T220" s="231"/>
      <c r="U220" s="231"/>
    </row>
    <row r="221">
      <c r="A221" s="153"/>
      <c r="B221" s="206"/>
      <c r="C221" s="206"/>
      <c r="D221" s="206"/>
      <c r="E221" s="206"/>
      <c r="F221" s="206"/>
      <c r="G221" s="206"/>
      <c r="H221" s="230"/>
      <c r="I221" s="206"/>
      <c r="J221" s="206"/>
      <c r="K221" s="206"/>
      <c r="L221" s="206"/>
      <c r="M221" s="206"/>
      <c r="N221" s="206"/>
      <c r="O221" s="206"/>
      <c r="P221" s="206"/>
      <c r="Q221" s="153"/>
      <c r="R221" s="153"/>
      <c r="S221" s="231"/>
      <c r="T221" s="231"/>
      <c r="U221" s="231"/>
    </row>
    <row r="222">
      <c r="A222" s="153"/>
      <c r="B222" s="206"/>
      <c r="C222" s="206"/>
      <c r="D222" s="206"/>
      <c r="E222" s="206"/>
      <c r="F222" s="206"/>
      <c r="G222" s="206"/>
      <c r="H222" s="230"/>
      <c r="I222" s="206"/>
      <c r="J222" s="206"/>
      <c r="K222" s="206"/>
      <c r="L222" s="206"/>
      <c r="M222" s="206"/>
      <c r="N222" s="206"/>
      <c r="O222" s="206"/>
      <c r="P222" s="206"/>
      <c r="Q222" s="153"/>
      <c r="R222" s="153"/>
      <c r="S222" s="231"/>
      <c r="T222" s="231"/>
      <c r="U222" s="231"/>
    </row>
    <row r="223">
      <c r="A223" s="153"/>
      <c r="B223" s="206"/>
      <c r="C223" s="206"/>
      <c r="D223" s="206"/>
      <c r="E223" s="206"/>
      <c r="F223" s="206"/>
      <c r="G223" s="206"/>
      <c r="H223" s="230"/>
      <c r="I223" s="206"/>
      <c r="J223" s="206"/>
      <c r="K223" s="206"/>
      <c r="L223" s="206"/>
      <c r="M223" s="206"/>
      <c r="N223" s="206"/>
      <c r="O223" s="206"/>
      <c r="P223" s="206"/>
      <c r="Q223" s="153"/>
      <c r="R223" s="153"/>
      <c r="S223" s="231"/>
      <c r="T223" s="231"/>
      <c r="U223" s="231"/>
    </row>
    <row r="224">
      <c r="A224" s="153"/>
      <c r="B224" s="206"/>
      <c r="C224" s="206"/>
      <c r="D224" s="206"/>
      <c r="E224" s="206"/>
      <c r="F224" s="206"/>
      <c r="G224" s="206"/>
      <c r="H224" s="230"/>
      <c r="I224" s="206"/>
      <c r="J224" s="206"/>
      <c r="K224" s="206"/>
      <c r="L224" s="206"/>
      <c r="M224" s="206"/>
      <c r="N224" s="206"/>
      <c r="O224" s="206"/>
      <c r="P224" s="206"/>
      <c r="Q224" s="153"/>
      <c r="R224" s="153"/>
      <c r="S224" s="231"/>
      <c r="T224" s="231"/>
      <c r="U224" s="231"/>
    </row>
    <row r="225">
      <c r="A225" s="153"/>
      <c r="B225" s="206"/>
      <c r="C225" s="206"/>
      <c r="D225" s="206"/>
      <c r="E225" s="206"/>
      <c r="F225" s="206"/>
      <c r="G225" s="206"/>
      <c r="H225" s="230"/>
      <c r="I225" s="206"/>
      <c r="J225" s="206"/>
      <c r="K225" s="206"/>
      <c r="L225" s="206"/>
      <c r="M225" s="206"/>
      <c r="N225" s="206"/>
      <c r="O225" s="206"/>
      <c r="P225" s="206"/>
      <c r="Q225" s="153"/>
      <c r="R225" s="153"/>
      <c r="S225" s="231"/>
      <c r="T225" s="231"/>
      <c r="U225" s="231"/>
    </row>
    <row r="226">
      <c r="A226" s="153"/>
      <c r="B226" s="206"/>
      <c r="C226" s="206"/>
      <c r="D226" s="206"/>
      <c r="E226" s="206"/>
      <c r="F226" s="206"/>
      <c r="G226" s="206"/>
      <c r="H226" s="230"/>
      <c r="I226" s="206"/>
      <c r="J226" s="206"/>
      <c r="K226" s="206"/>
      <c r="L226" s="206"/>
      <c r="M226" s="206"/>
      <c r="N226" s="206"/>
      <c r="O226" s="206"/>
      <c r="P226" s="206"/>
      <c r="Q226" s="153"/>
      <c r="R226" s="153"/>
      <c r="S226" s="231"/>
      <c r="T226" s="231"/>
      <c r="U226" s="231"/>
    </row>
    <row r="227">
      <c r="A227" s="153"/>
      <c r="B227" s="206"/>
      <c r="C227" s="206"/>
      <c r="D227" s="206"/>
      <c r="E227" s="206"/>
      <c r="F227" s="206"/>
      <c r="G227" s="206"/>
      <c r="H227" s="230"/>
      <c r="I227" s="206"/>
      <c r="J227" s="206"/>
      <c r="K227" s="206"/>
      <c r="L227" s="206"/>
      <c r="M227" s="206"/>
      <c r="N227" s="206"/>
      <c r="O227" s="206"/>
      <c r="P227" s="206"/>
      <c r="Q227" s="153"/>
      <c r="R227" s="153"/>
      <c r="S227" s="231"/>
      <c r="T227" s="231"/>
      <c r="U227" s="231"/>
    </row>
    <row r="228">
      <c r="A228" s="153"/>
      <c r="B228" s="206"/>
      <c r="C228" s="206"/>
      <c r="D228" s="206"/>
      <c r="E228" s="206"/>
      <c r="F228" s="206"/>
      <c r="G228" s="206"/>
      <c r="H228" s="230"/>
      <c r="I228" s="206"/>
      <c r="J228" s="206"/>
      <c r="K228" s="206"/>
      <c r="L228" s="206"/>
      <c r="M228" s="206"/>
      <c r="N228" s="206"/>
      <c r="O228" s="206"/>
      <c r="P228" s="206"/>
      <c r="Q228" s="153"/>
      <c r="R228" s="153"/>
      <c r="S228" s="231"/>
      <c r="T228" s="231"/>
      <c r="U228" s="231"/>
    </row>
    <row r="229">
      <c r="A229" s="153"/>
      <c r="B229" s="206"/>
      <c r="C229" s="206"/>
      <c r="D229" s="206"/>
      <c r="E229" s="206"/>
      <c r="F229" s="206"/>
      <c r="G229" s="206"/>
      <c r="H229" s="230"/>
      <c r="I229" s="206"/>
      <c r="J229" s="206"/>
      <c r="K229" s="206"/>
      <c r="L229" s="206"/>
      <c r="M229" s="206"/>
      <c r="N229" s="206"/>
      <c r="O229" s="206"/>
      <c r="P229" s="206"/>
      <c r="Q229" s="153"/>
      <c r="R229" s="153"/>
      <c r="S229" s="231"/>
      <c r="T229" s="231"/>
      <c r="U229" s="231"/>
    </row>
    <row r="230">
      <c r="A230" s="153"/>
      <c r="B230" s="206"/>
      <c r="C230" s="206"/>
      <c r="D230" s="206"/>
      <c r="E230" s="206"/>
      <c r="F230" s="206"/>
      <c r="G230" s="206"/>
      <c r="H230" s="230"/>
      <c r="I230" s="206"/>
      <c r="J230" s="206"/>
      <c r="K230" s="206"/>
      <c r="L230" s="206"/>
      <c r="M230" s="206"/>
      <c r="N230" s="206"/>
      <c r="O230" s="206"/>
      <c r="P230" s="206"/>
      <c r="Q230" s="153"/>
      <c r="R230" s="153"/>
      <c r="S230" s="231"/>
      <c r="T230" s="231"/>
      <c r="U230" s="231"/>
    </row>
    <row r="231">
      <c r="A231" s="153"/>
      <c r="B231" s="206"/>
      <c r="C231" s="206"/>
      <c r="D231" s="206"/>
      <c r="E231" s="206"/>
      <c r="F231" s="206"/>
      <c r="G231" s="206"/>
      <c r="H231" s="230"/>
      <c r="I231" s="206"/>
      <c r="J231" s="206"/>
      <c r="K231" s="206"/>
      <c r="L231" s="206"/>
      <c r="M231" s="206"/>
      <c r="N231" s="206"/>
      <c r="O231" s="206"/>
      <c r="P231" s="206"/>
      <c r="Q231" s="153"/>
      <c r="R231" s="153"/>
      <c r="S231" s="231"/>
      <c r="T231" s="231"/>
      <c r="U231" s="231"/>
    </row>
    <row r="232">
      <c r="A232" s="153"/>
      <c r="B232" s="206"/>
      <c r="C232" s="206"/>
      <c r="D232" s="206"/>
      <c r="E232" s="206"/>
      <c r="F232" s="206"/>
      <c r="G232" s="206"/>
      <c r="H232" s="230"/>
      <c r="I232" s="206"/>
      <c r="J232" s="206"/>
      <c r="K232" s="206"/>
      <c r="L232" s="206"/>
      <c r="M232" s="206"/>
      <c r="N232" s="206"/>
      <c r="O232" s="206"/>
      <c r="P232" s="206"/>
      <c r="Q232" s="153"/>
      <c r="R232" s="153"/>
      <c r="S232" s="231"/>
      <c r="T232" s="231"/>
      <c r="U232" s="231"/>
    </row>
    <row r="233">
      <c r="A233" s="153"/>
      <c r="B233" s="206"/>
      <c r="C233" s="206"/>
      <c r="D233" s="206"/>
      <c r="E233" s="206"/>
      <c r="F233" s="206"/>
      <c r="G233" s="206"/>
      <c r="H233" s="230"/>
      <c r="I233" s="206"/>
      <c r="J233" s="206"/>
      <c r="K233" s="206"/>
      <c r="L233" s="206"/>
      <c r="M233" s="206"/>
      <c r="N233" s="206"/>
      <c r="O233" s="206"/>
      <c r="P233" s="206"/>
      <c r="Q233" s="153"/>
      <c r="R233" s="153"/>
      <c r="S233" s="231"/>
      <c r="T233" s="231"/>
      <c r="U233" s="231"/>
    </row>
    <row r="234">
      <c r="A234" s="153"/>
      <c r="B234" s="206"/>
      <c r="C234" s="206"/>
      <c r="D234" s="206"/>
      <c r="E234" s="206"/>
      <c r="F234" s="206"/>
      <c r="G234" s="206"/>
      <c r="H234" s="230"/>
      <c r="I234" s="206"/>
      <c r="J234" s="206"/>
      <c r="K234" s="206"/>
      <c r="L234" s="206"/>
      <c r="M234" s="206"/>
      <c r="N234" s="206"/>
      <c r="O234" s="206"/>
      <c r="P234" s="206"/>
      <c r="Q234" s="153"/>
      <c r="R234" s="153"/>
      <c r="S234" s="231"/>
      <c r="T234" s="231"/>
      <c r="U234" s="231"/>
    </row>
    <row r="235">
      <c r="A235" s="153"/>
      <c r="B235" s="206"/>
      <c r="C235" s="206"/>
      <c r="D235" s="206"/>
      <c r="E235" s="206"/>
      <c r="F235" s="206"/>
      <c r="G235" s="206"/>
      <c r="H235" s="230"/>
      <c r="I235" s="206"/>
      <c r="J235" s="206"/>
      <c r="K235" s="206"/>
      <c r="L235" s="206"/>
      <c r="M235" s="206"/>
      <c r="N235" s="206"/>
      <c r="O235" s="206"/>
      <c r="P235" s="206"/>
      <c r="Q235" s="153"/>
      <c r="R235" s="153"/>
      <c r="S235" s="231"/>
      <c r="T235" s="231"/>
      <c r="U235" s="231"/>
    </row>
    <row r="236">
      <c r="A236" s="153"/>
      <c r="B236" s="206"/>
      <c r="C236" s="206"/>
      <c r="D236" s="206"/>
      <c r="E236" s="206"/>
      <c r="F236" s="206"/>
      <c r="G236" s="206"/>
      <c r="H236" s="230"/>
      <c r="I236" s="206"/>
      <c r="J236" s="206"/>
      <c r="K236" s="206"/>
      <c r="L236" s="206"/>
      <c r="M236" s="206"/>
      <c r="N236" s="206"/>
      <c r="O236" s="206"/>
      <c r="P236" s="206"/>
      <c r="Q236" s="153"/>
      <c r="R236" s="153"/>
      <c r="S236" s="231"/>
      <c r="T236" s="231"/>
      <c r="U236" s="231"/>
    </row>
    <row r="237">
      <c r="A237" s="153"/>
      <c r="B237" s="206"/>
      <c r="C237" s="206"/>
      <c r="D237" s="206"/>
      <c r="E237" s="206"/>
      <c r="F237" s="206"/>
      <c r="G237" s="206"/>
      <c r="H237" s="230"/>
      <c r="I237" s="206"/>
      <c r="J237" s="206"/>
      <c r="K237" s="206"/>
      <c r="L237" s="206"/>
      <c r="M237" s="206"/>
      <c r="N237" s="206"/>
      <c r="O237" s="206"/>
      <c r="P237" s="206"/>
      <c r="Q237" s="153"/>
      <c r="R237" s="153"/>
      <c r="S237" s="231"/>
      <c r="T237" s="231"/>
      <c r="U237" s="231"/>
    </row>
    <row r="238">
      <c r="A238" s="153"/>
      <c r="B238" s="206"/>
      <c r="C238" s="206"/>
      <c r="D238" s="206"/>
      <c r="E238" s="206"/>
      <c r="F238" s="206"/>
      <c r="G238" s="206"/>
      <c r="H238" s="230"/>
      <c r="I238" s="206"/>
      <c r="J238" s="206"/>
      <c r="K238" s="206"/>
      <c r="L238" s="206"/>
      <c r="M238" s="206"/>
      <c r="N238" s="206"/>
      <c r="O238" s="206"/>
      <c r="P238" s="206"/>
      <c r="Q238" s="153"/>
      <c r="R238" s="153"/>
      <c r="S238" s="231"/>
      <c r="T238" s="231"/>
      <c r="U238" s="231"/>
    </row>
    <row r="239">
      <c r="A239" s="153"/>
      <c r="B239" s="206"/>
      <c r="C239" s="206"/>
      <c r="D239" s="206"/>
      <c r="E239" s="206"/>
      <c r="F239" s="206"/>
      <c r="G239" s="206"/>
      <c r="H239" s="230"/>
      <c r="I239" s="206"/>
      <c r="J239" s="206"/>
      <c r="K239" s="206"/>
      <c r="L239" s="206"/>
      <c r="M239" s="206"/>
      <c r="N239" s="206"/>
      <c r="O239" s="206"/>
      <c r="P239" s="206"/>
      <c r="Q239" s="153"/>
      <c r="R239" s="153"/>
      <c r="S239" s="231"/>
      <c r="T239" s="231"/>
      <c r="U239" s="231"/>
    </row>
    <row r="240">
      <c r="A240" s="153"/>
      <c r="B240" s="206"/>
      <c r="C240" s="206"/>
      <c r="D240" s="206"/>
      <c r="E240" s="206"/>
      <c r="F240" s="206"/>
      <c r="G240" s="206"/>
      <c r="H240" s="230"/>
      <c r="I240" s="206"/>
      <c r="J240" s="206"/>
      <c r="K240" s="206"/>
      <c r="L240" s="206"/>
      <c r="M240" s="206"/>
      <c r="N240" s="206"/>
      <c r="O240" s="206"/>
      <c r="P240" s="206"/>
      <c r="Q240" s="153"/>
      <c r="R240" s="153"/>
      <c r="S240" s="231"/>
      <c r="T240" s="231"/>
      <c r="U240" s="231"/>
    </row>
    <row r="241">
      <c r="A241" s="153"/>
      <c r="B241" s="206"/>
      <c r="C241" s="206"/>
      <c r="D241" s="206"/>
      <c r="E241" s="206"/>
      <c r="F241" s="206"/>
      <c r="G241" s="206"/>
      <c r="H241" s="230"/>
      <c r="I241" s="206"/>
      <c r="J241" s="206"/>
      <c r="K241" s="206"/>
      <c r="L241" s="206"/>
      <c r="M241" s="206"/>
      <c r="N241" s="206"/>
      <c r="O241" s="206"/>
      <c r="P241" s="206"/>
      <c r="Q241" s="153"/>
      <c r="R241" s="153"/>
      <c r="S241" s="231"/>
      <c r="T241" s="231"/>
      <c r="U241" s="231"/>
    </row>
    <row r="242">
      <c r="A242" s="153"/>
      <c r="B242" s="206"/>
      <c r="C242" s="206"/>
      <c r="D242" s="206"/>
      <c r="E242" s="206"/>
      <c r="F242" s="206"/>
      <c r="G242" s="206"/>
      <c r="H242" s="230"/>
      <c r="I242" s="206"/>
      <c r="J242" s="206"/>
      <c r="K242" s="206"/>
      <c r="L242" s="206"/>
      <c r="M242" s="206"/>
      <c r="N242" s="206"/>
      <c r="O242" s="206"/>
      <c r="P242" s="206"/>
      <c r="Q242" s="153"/>
      <c r="R242" s="153"/>
      <c r="S242" s="231"/>
      <c r="T242" s="231"/>
      <c r="U242" s="231"/>
    </row>
    <row r="243">
      <c r="A243" s="153"/>
      <c r="B243" s="206"/>
      <c r="C243" s="206"/>
      <c r="D243" s="206"/>
      <c r="E243" s="206"/>
      <c r="F243" s="206"/>
      <c r="G243" s="206"/>
      <c r="H243" s="230"/>
      <c r="I243" s="206"/>
      <c r="J243" s="206"/>
      <c r="K243" s="206"/>
      <c r="L243" s="206"/>
      <c r="M243" s="206"/>
      <c r="N243" s="206"/>
      <c r="O243" s="206"/>
      <c r="P243" s="206"/>
      <c r="Q243" s="153"/>
      <c r="R243" s="153"/>
      <c r="S243" s="231"/>
      <c r="T243" s="231"/>
      <c r="U243" s="231"/>
    </row>
    <row r="244">
      <c r="A244" s="153"/>
      <c r="B244" s="206"/>
      <c r="C244" s="206"/>
      <c r="D244" s="206"/>
      <c r="E244" s="206"/>
      <c r="F244" s="206"/>
      <c r="G244" s="206"/>
      <c r="H244" s="230"/>
      <c r="I244" s="206"/>
      <c r="J244" s="206"/>
      <c r="K244" s="206"/>
      <c r="L244" s="206"/>
      <c r="M244" s="206"/>
      <c r="N244" s="206"/>
      <c r="O244" s="206"/>
      <c r="P244" s="206"/>
      <c r="Q244" s="153"/>
      <c r="R244" s="153"/>
      <c r="S244" s="231"/>
      <c r="T244" s="231"/>
      <c r="U244" s="231"/>
    </row>
    <row r="245">
      <c r="A245" s="153"/>
      <c r="B245" s="206"/>
      <c r="C245" s="206"/>
      <c r="D245" s="206"/>
      <c r="E245" s="206"/>
      <c r="F245" s="206"/>
      <c r="G245" s="206"/>
      <c r="H245" s="230"/>
      <c r="I245" s="206"/>
      <c r="J245" s="206"/>
      <c r="K245" s="206"/>
      <c r="L245" s="206"/>
      <c r="M245" s="206"/>
      <c r="N245" s="206"/>
      <c r="O245" s="206"/>
      <c r="P245" s="206"/>
      <c r="Q245" s="153"/>
      <c r="R245" s="153"/>
      <c r="S245" s="231"/>
      <c r="T245" s="231"/>
      <c r="U245" s="231"/>
    </row>
    <row r="246">
      <c r="A246" s="153"/>
      <c r="B246" s="206"/>
      <c r="C246" s="206"/>
      <c r="D246" s="206"/>
      <c r="E246" s="206"/>
      <c r="F246" s="206"/>
      <c r="G246" s="206"/>
      <c r="H246" s="230"/>
      <c r="I246" s="206"/>
      <c r="J246" s="206"/>
      <c r="K246" s="206"/>
      <c r="L246" s="206"/>
      <c r="M246" s="206"/>
      <c r="N246" s="206"/>
      <c r="O246" s="206"/>
      <c r="P246" s="206"/>
      <c r="Q246" s="153"/>
      <c r="R246" s="153"/>
      <c r="S246" s="231"/>
      <c r="T246" s="231"/>
      <c r="U246" s="231"/>
    </row>
    <row r="247">
      <c r="A247" s="153"/>
      <c r="B247" s="206"/>
      <c r="C247" s="206"/>
      <c r="D247" s="206"/>
      <c r="E247" s="206"/>
      <c r="F247" s="206"/>
      <c r="G247" s="206"/>
      <c r="H247" s="230"/>
      <c r="I247" s="206"/>
      <c r="J247" s="206"/>
      <c r="K247" s="206"/>
      <c r="L247" s="206"/>
      <c r="M247" s="206"/>
      <c r="N247" s="206"/>
      <c r="O247" s="206"/>
      <c r="P247" s="206"/>
      <c r="Q247" s="153"/>
      <c r="R247" s="153"/>
      <c r="S247" s="231"/>
      <c r="T247" s="231"/>
      <c r="U247" s="231"/>
    </row>
    <row r="248">
      <c r="A248" s="153"/>
      <c r="B248" s="206"/>
      <c r="C248" s="206"/>
      <c r="D248" s="206"/>
      <c r="E248" s="206"/>
      <c r="F248" s="206"/>
      <c r="G248" s="206"/>
      <c r="H248" s="230"/>
      <c r="I248" s="206"/>
      <c r="J248" s="206"/>
      <c r="K248" s="206"/>
      <c r="L248" s="206"/>
      <c r="M248" s="206"/>
      <c r="N248" s="206"/>
      <c r="O248" s="206"/>
      <c r="P248" s="206"/>
      <c r="Q248" s="153"/>
      <c r="R248" s="153"/>
      <c r="S248" s="231"/>
      <c r="T248" s="231"/>
      <c r="U248" s="231"/>
    </row>
    <row r="249">
      <c r="A249" s="153"/>
      <c r="B249" s="206"/>
      <c r="C249" s="206"/>
      <c r="D249" s="206"/>
      <c r="E249" s="206"/>
      <c r="F249" s="206"/>
      <c r="G249" s="206"/>
      <c r="H249" s="230"/>
      <c r="I249" s="206"/>
      <c r="J249" s="206"/>
      <c r="K249" s="206"/>
      <c r="L249" s="206"/>
      <c r="M249" s="206"/>
      <c r="N249" s="206"/>
      <c r="O249" s="206"/>
      <c r="P249" s="206"/>
      <c r="Q249" s="153"/>
      <c r="R249" s="153"/>
      <c r="S249" s="231"/>
      <c r="T249" s="231"/>
      <c r="U249" s="231"/>
    </row>
    <row r="250">
      <c r="A250" s="153"/>
      <c r="B250" s="206"/>
      <c r="C250" s="206"/>
      <c r="D250" s="206"/>
      <c r="E250" s="206"/>
      <c r="F250" s="206"/>
      <c r="G250" s="206"/>
      <c r="H250" s="230"/>
      <c r="I250" s="206"/>
      <c r="J250" s="206"/>
      <c r="K250" s="206"/>
      <c r="L250" s="206"/>
      <c r="M250" s="206"/>
      <c r="N250" s="206"/>
      <c r="O250" s="206"/>
      <c r="P250" s="206"/>
      <c r="Q250" s="153"/>
      <c r="R250" s="153"/>
      <c r="S250" s="231"/>
      <c r="T250" s="231"/>
      <c r="U250" s="231"/>
    </row>
    <row r="251">
      <c r="A251" s="153"/>
      <c r="B251" s="206"/>
      <c r="C251" s="206"/>
      <c r="D251" s="206"/>
      <c r="E251" s="206"/>
      <c r="F251" s="206"/>
      <c r="G251" s="206"/>
      <c r="H251" s="230"/>
      <c r="I251" s="206"/>
      <c r="J251" s="206"/>
      <c r="K251" s="206"/>
      <c r="L251" s="206"/>
      <c r="M251" s="206"/>
      <c r="N251" s="206"/>
      <c r="O251" s="206"/>
      <c r="P251" s="206"/>
      <c r="Q251" s="153"/>
      <c r="R251" s="153"/>
      <c r="S251" s="231"/>
      <c r="T251" s="231"/>
      <c r="U251" s="231"/>
    </row>
    <row r="252">
      <c r="A252" s="153"/>
      <c r="B252" s="206"/>
      <c r="C252" s="206"/>
      <c r="D252" s="206"/>
      <c r="E252" s="206"/>
      <c r="F252" s="206"/>
      <c r="G252" s="206"/>
      <c r="H252" s="230"/>
      <c r="I252" s="206"/>
      <c r="J252" s="206"/>
      <c r="K252" s="206"/>
      <c r="L252" s="206"/>
      <c r="M252" s="206"/>
      <c r="N252" s="206"/>
      <c r="O252" s="206"/>
      <c r="P252" s="206"/>
      <c r="Q252" s="153"/>
      <c r="R252" s="153"/>
      <c r="S252" s="231"/>
      <c r="T252" s="231"/>
      <c r="U252" s="231"/>
    </row>
    <row r="253">
      <c r="A253" s="153"/>
      <c r="B253" s="206"/>
      <c r="C253" s="206"/>
      <c r="D253" s="206"/>
      <c r="E253" s="206"/>
      <c r="F253" s="206"/>
      <c r="G253" s="206"/>
      <c r="H253" s="230"/>
      <c r="I253" s="206"/>
      <c r="J253" s="206"/>
      <c r="K253" s="206"/>
      <c r="L253" s="206"/>
      <c r="M253" s="206"/>
      <c r="N253" s="206"/>
      <c r="O253" s="206"/>
      <c r="P253" s="206"/>
      <c r="Q253" s="153"/>
      <c r="R253" s="153"/>
      <c r="S253" s="231"/>
      <c r="T253" s="231"/>
      <c r="U253" s="231"/>
    </row>
    <row r="254">
      <c r="A254" s="153"/>
      <c r="B254" s="206"/>
      <c r="C254" s="206"/>
      <c r="D254" s="206"/>
      <c r="E254" s="206"/>
      <c r="F254" s="206"/>
      <c r="G254" s="206"/>
      <c r="H254" s="230"/>
      <c r="I254" s="206"/>
      <c r="J254" s="206"/>
      <c r="K254" s="206"/>
      <c r="L254" s="206"/>
      <c r="M254" s="206"/>
      <c r="N254" s="206"/>
      <c r="O254" s="206"/>
      <c r="P254" s="206"/>
      <c r="Q254" s="153"/>
      <c r="R254" s="153"/>
      <c r="S254" s="231"/>
      <c r="T254" s="231"/>
      <c r="U254" s="231"/>
    </row>
    <row r="255">
      <c r="A255" s="153"/>
      <c r="B255" s="206"/>
      <c r="C255" s="206"/>
      <c r="D255" s="206"/>
      <c r="E255" s="206"/>
      <c r="F255" s="206"/>
      <c r="G255" s="206"/>
      <c r="H255" s="230"/>
      <c r="I255" s="206"/>
      <c r="J255" s="206"/>
      <c r="K255" s="206"/>
      <c r="L255" s="206"/>
      <c r="M255" s="206"/>
      <c r="N255" s="206"/>
      <c r="O255" s="206"/>
      <c r="P255" s="206"/>
      <c r="Q255" s="153"/>
      <c r="R255" s="153"/>
      <c r="S255" s="231"/>
      <c r="T255" s="231"/>
      <c r="U255" s="231"/>
    </row>
    <row r="256">
      <c r="A256" s="153"/>
      <c r="B256" s="206"/>
      <c r="C256" s="206"/>
      <c r="D256" s="206"/>
      <c r="E256" s="206"/>
      <c r="F256" s="206"/>
      <c r="G256" s="206"/>
      <c r="H256" s="230"/>
      <c r="I256" s="206"/>
      <c r="J256" s="206"/>
      <c r="K256" s="206"/>
      <c r="L256" s="206"/>
      <c r="M256" s="206"/>
      <c r="N256" s="206"/>
      <c r="O256" s="206"/>
      <c r="P256" s="206"/>
      <c r="Q256" s="153"/>
      <c r="R256" s="153"/>
      <c r="S256" s="231"/>
      <c r="T256" s="231"/>
      <c r="U256" s="231"/>
    </row>
    <row r="257">
      <c r="A257" s="153"/>
      <c r="B257" s="206"/>
      <c r="C257" s="206"/>
      <c r="D257" s="206"/>
      <c r="E257" s="206"/>
      <c r="F257" s="206"/>
      <c r="G257" s="206"/>
      <c r="H257" s="230"/>
      <c r="I257" s="206"/>
      <c r="J257" s="206"/>
      <c r="K257" s="206"/>
      <c r="L257" s="206"/>
      <c r="M257" s="206"/>
      <c r="N257" s="206"/>
      <c r="O257" s="206"/>
      <c r="P257" s="206"/>
      <c r="Q257" s="153"/>
      <c r="R257" s="153"/>
      <c r="S257" s="231"/>
      <c r="T257" s="231"/>
      <c r="U257" s="231"/>
    </row>
    <row r="258">
      <c r="A258" s="153"/>
      <c r="B258" s="206"/>
      <c r="C258" s="206"/>
      <c r="D258" s="206"/>
      <c r="E258" s="206"/>
      <c r="F258" s="206"/>
      <c r="G258" s="206"/>
      <c r="H258" s="230"/>
      <c r="I258" s="206"/>
      <c r="J258" s="206"/>
      <c r="K258" s="206"/>
      <c r="L258" s="206"/>
      <c r="M258" s="206"/>
      <c r="N258" s="206"/>
      <c r="O258" s="206"/>
      <c r="P258" s="206"/>
      <c r="Q258" s="153"/>
      <c r="R258" s="153"/>
      <c r="S258" s="231"/>
      <c r="T258" s="231"/>
      <c r="U258" s="231"/>
    </row>
    <row r="259">
      <c r="A259" s="153"/>
      <c r="B259" s="206"/>
      <c r="C259" s="206"/>
      <c r="D259" s="206"/>
      <c r="E259" s="206"/>
      <c r="F259" s="206"/>
      <c r="G259" s="206"/>
      <c r="H259" s="230"/>
      <c r="I259" s="206"/>
      <c r="J259" s="206"/>
      <c r="K259" s="206"/>
      <c r="L259" s="206"/>
      <c r="M259" s="206"/>
      <c r="N259" s="206"/>
      <c r="O259" s="206"/>
      <c r="P259" s="206"/>
      <c r="Q259" s="153"/>
      <c r="R259" s="153"/>
      <c r="S259" s="231"/>
      <c r="T259" s="231"/>
      <c r="U259" s="231"/>
    </row>
    <row r="260">
      <c r="A260" s="153"/>
      <c r="B260" s="206"/>
      <c r="C260" s="206"/>
      <c r="D260" s="206"/>
      <c r="E260" s="206"/>
      <c r="F260" s="206"/>
      <c r="G260" s="206"/>
      <c r="H260" s="230"/>
      <c r="I260" s="206"/>
      <c r="J260" s="206"/>
      <c r="K260" s="206"/>
      <c r="L260" s="206"/>
      <c r="M260" s="206"/>
      <c r="N260" s="206"/>
      <c r="O260" s="206"/>
      <c r="P260" s="206"/>
      <c r="Q260" s="153"/>
      <c r="R260" s="153"/>
      <c r="S260" s="231"/>
      <c r="T260" s="231"/>
      <c r="U260" s="231"/>
    </row>
    <row r="261">
      <c r="A261" s="153"/>
      <c r="B261" s="206"/>
      <c r="C261" s="206"/>
      <c r="D261" s="206"/>
      <c r="E261" s="206"/>
      <c r="F261" s="206"/>
      <c r="G261" s="206"/>
      <c r="H261" s="230"/>
      <c r="I261" s="206"/>
      <c r="J261" s="206"/>
      <c r="K261" s="206"/>
      <c r="L261" s="206"/>
      <c r="M261" s="206"/>
      <c r="N261" s="206"/>
      <c r="O261" s="206"/>
      <c r="P261" s="206"/>
      <c r="Q261" s="153"/>
      <c r="R261" s="153"/>
      <c r="S261" s="231"/>
      <c r="T261" s="231"/>
      <c r="U261" s="231"/>
    </row>
    <row r="262">
      <c r="A262" s="153"/>
      <c r="B262" s="206"/>
      <c r="C262" s="206"/>
      <c r="D262" s="206"/>
      <c r="E262" s="206"/>
      <c r="F262" s="206"/>
      <c r="G262" s="206"/>
      <c r="H262" s="230"/>
      <c r="I262" s="206"/>
      <c r="J262" s="206"/>
      <c r="K262" s="206"/>
      <c r="L262" s="206"/>
      <c r="M262" s="206"/>
      <c r="N262" s="206"/>
      <c r="O262" s="206"/>
      <c r="P262" s="206"/>
      <c r="Q262" s="153"/>
      <c r="R262" s="153"/>
      <c r="S262" s="231"/>
      <c r="T262" s="231"/>
      <c r="U262" s="231"/>
    </row>
    <row r="263">
      <c r="A263" s="153"/>
      <c r="B263" s="206"/>
      <c r="C263" s="206"/>
      <c r="D263" s="206"/>
      <c r="E263" s="206"/>
      <c r="F263" s="206"/>
      <c r="G263" s="206"/>
      <c r="H263" s="230"/>
      <c r="I263" s="206"/>
      <c r="J263" s="206"/>
      <c r="K263" s="206"/>
      <c r="L263" s="206"/>
      <c r="M263" s="206"/>
      <c r="N263" s="206"/>
      <c r="O263" s="206"/>
      <c r="P263" s="206"/>
      <c r="Q263" s="153"/>
      <c r="R263" s="153"/>
      <c r="S263" s="231"/>
      <c r="T263" s="231"/>
      <c r="U263" s="231"/>
    </row>
    <row r="264">
      <c r="A264" s="153"/>
      <c r="B264" s="206"/>
      <c r="C264" s="206"/>
      <c r="D264" s="206"/>
      <c r="E264" s="206"/>
      <c r="F264" s="206"/>
      <c r="G264" s="206"/>
      <c r="H264" s="230"/>
      <c r="I264" s="206"/>
      <c r="J264" s="206"/>
      <c r="K264" s="206"/>
      <c r="L264" s="206"/>
      <c r="M264" s="206"/>
      <c r="N264" s="206"/>
      <c r="O264" s="206"/>
      <c r="P264" s="206"/>
      <c r="Q264" s="153"/>
      <c r="R264" s="153"/>
      <c r="S264" s="231"/>
      <c r="T264" s="231"/>
      <c r="U264" s="231"/>
    </row>
    <row r="265">
      <c r="A265" s="153"/>
      <c r="B265" s="206"/>
      <c r="C265" s="206"/>
      <c r="D265" s="206"/>
      <c r="E265" s="206"/>
      <c r="F265" s="206"/>
      <c r="G265" s="206"/>
      <c r="H265" s="230"/>
      <c r="I265" s="206"/>
      <c r="J265" s="206"/>
      <c r="K265" s="206"/>
      <c r="L265" s="206"/>
      <c r="M265" s="206"/>
      <c r="N265" s="206"/>
      <c r="O265" s="206"/>
      <c r="P265" s="206"/>
      <c r="Q265" s="153"/>
      <c r="R265" s="153"/>
      <c r="S265" s="231"/>
      <c r="T265" s="231"/>
      <c r="U265" s="231"/>
    </row>
    <row r="266">
      <c r="A266" s="153"/>
      <c r="B266" s="206"/>
      <c r="C266" s="206"/>
      <c r="D266" s="206"/>
      <c r="E266" s="206"/>
      <c r="F266" s="206"/>
      <c r="G266" s="206"/>
      <c r="H266" s="230"/>
      <c r="I266" s="206"/>
      <c r="J266" s="206"/>
      <c r="K266" s="206"/>
      <c r="L266" s="206"/>
      <c r="M266" s="206"/>
      <c r="N266" s="206"/>
      <c r="O266" s="206"/>
      <c r="P266" s="206"/>
      <c r="Q266" s="153"/>
      <c r="R266" s="153"/>
      <c r="S266" s="231"/>
      <c r="T266" s="231"/>
      <c r="U266" s="231"/>
    </row>
    <row r="267">
      <c r="A267" s="153"/>
      <c r="B267" s="206"/>
      <c r="C267" s="206"/>
      <c r="D267" s="206"/>
      <c r="E267" s="206"/>
      <c r="F267" s="206"/>
      <c r="G267" s="206"/>
      <c r="H267" s="230"/>
      <c r="I267" s="206"/>
      <c r="J267" s="206"/>
      <c r="K267" s="206"/>
      <c r="L267" s="206"/>
      <c r="M267" s="206"/>
      <c r="N267" s="206"/>
      <c r="O267" s="206"/>
      <c r="P267" s="206"/>
      <c r="Q267" s="153"/>
      <c r="R267" s="153"/>
      <c r="S267" s="231"/>
      <c r="T267" s="231"/>
      <c r="U267" s="231"/>
    </row>
    <row r="268">
      <c r="A268" s="153"/>
      <c r="B268" s="206"/>
      <c r="C268" s="206"/>
      <c r="D268" s="206"/>
      <c r="E268" s="206"/>
      <c r="F268" s="206"/>
      <c r="G268" s="206"/>
      <c r="H268" s="230"/>
      <c r="I268" s="206"/>
      <c r="J268" s="206"/>
      <c r="K268" s="206"/>
      <c r="L268" s="206"/>
      <c r="M268" s="206"/>
      <c r="N268" s="206"/>
      <c r="O268" s="206"/>
      <c r="P268" s="206"/>
      <c r="Q268" s="153"/>
      <c r="R268" s="153"/>
      <c r="S268" s="231"/>
      <c r="T268" s="231"/>
      <c r="U268" s="231"/>
    </row>
    <row r="269">
      <c r="A269" s="153"/>
      <c r="B269" s="206"/>
      <c r="C269" s="206"/>
      <c r="D269" s="206"/>
      <c r="E269" s="206"/>
      <c r="F269" s="206"/>
      <c r="G269" s="206"/>
      <c r="H269" s="230"/>
      <c r="I269" s="206"/>
      <c r="J269" s="206"/>
      <c r="K269" s="206"/>
      <c r="L269" s="206"/>
      <c r="M269" s="206"/>
      <c r="N269" s="206"/>
      <c r="O269" s="206"/>
      <c r="P269" s="206"/>
      <c r="Q269" s="153"/>
      <c r="R269" s="153"/>
      <c r="S269" s="231"/>
      <c r="T269" s="231"/>
      <c r="U269" s="231"/>
    </row>
    <row r="270">
      <c r="A270" s="153"/>
      <c r="B270" s="206"/>
      <c r="C270" s="206"/>
      <c r="D270" s="206"/>
      <c r="E270" s="206"/>
      <c r="F270" s="206"/>
      <c r="G270" s="206"/>
      <c r="H270" s="230"/>
      <c r="I270" s="206"/>
      <c r="J270" s="206"/>
      <c r="K270" s="206"/>
      <c r="L270" s="206"/>
      <c r="M270" s="206"/>
      <c r="N270" s="206"/>
      <c r="O270" s="206"/>
      <c r="P270" s="206"/>
      <c r="Q270" s="153"/>
      <c r="R270" s="153"/>
      <c r="S270" s="231"/>
      <c r="T270" s="231"/>
      <c r="U270" s="231"/>
    </row>
    <row r="271">
      <c r="A271" s="153"/>
      <c r="B271" s="206"/>
      <c r="C271" s="206"/>
      <c r="D271" s="206"/>
      <c r="E271" s="206"/>
      <c r="F271" s="206"/>
      <c r="G271" s="206"/>
      <c r="H271" s="230"/>
      <c r="I271" s="206"/>
      <c r="J271" s="206"/>
      <c r="K271" s="206"/>
      <c r="L271" s="206"/>
      <c r="M271" s="206"/>
      <c r="N271" s="206"/>
      <c r="O271" s="206"/>
      <c r="P271" s="206"/>
      <c r="Q271" s="153"/>
      <c r="R271" s="153"/>
      <c r="S271" s="231"/>
      <c r="T271" s="231"/>
      <c r="U271" s="231"/>
    </row>
    <row r="272">
      <c r="A272" s="153"/>
      <c r="B272" s="206"/>
      <c r="C272" s="206"/>
      <c r="D272" s="206"/>
      <c r="E272" s="206"/>
      <c r="F272" s="206"/>
      <c r="G272" s="206"/>
      <c r="H272" s="230"/>
      <c r="I272" s="206"/>
      <c r="J272" s="206"/>
      <c r="K272" s="206"/>
      <c r="L272" s="206"/>
      <c r="M272" s="206"/>
      <c r="N272" s="206"/>
      <c r="O272" s="206"/>
      <c r="P272" s="206"/>
      <c r="Q272" s="153"/>
      <c r="R272" s="153"/>
      <c r="S272" s="231"/>
      <c r="T272" s="231"/>
      <c r="U272" s="231"/>
    </row>
    <row r="273">
      <c r="A273" s="153"/>
      <c r="B273" s="206"/>
      <c r="C273" s="206"/>
      <c r="D273" s="206"/>
      <c r="E273" s="206"/>
      <c r="F273" s="206"/>
      <c r="G273" s="206"/>
      <c r="H273" s="230"/>
      <c r="I273" s="206"/>
      <c r="J273" s="206"/>
      <c r="K273" s="206"/>
      <c r="L273" s="206"/>
      <c r="M273" s="206"/>
      <c r="N273" s="206"/>
      <c r="O273" s="206"/>
      <c r="P273" s="206"/>
      <c r="Q273" s="153"/>
      <c r="R273" s="153"/>
      <c r="S273" s="231"/>
      <c r="T273" s="231"/>
      <c r="U273" s="231"/>
    </row>
    <row r="274">
      <c r="A274" s="153"/>
      <c r="B274" s="206"/>
      <c r="C274" s="206"/>
      <c r="D274" s="206"/>
      <c r="E274" s="206"/>
      <c r="F274" s="206"/>
      <c r="G274" s="206"/>
      <c r="H274" s="230"/>
      <c r="I274" s="206"/>
      <c r="J274" s="206"/>
      <c r="K274" s="206"/>
      <c r="L274" s="206"/>
      <c r="M274" s="206"/>
      <c r="N274" s="206"/>
      <c r="O274" s="206"/>
      <c r="P274" s="206"/>
      <c r="Q274" s="153"/>
      <c r="R274" s="153"/>
      <c r="S274" s="231"/>
      <c r="T274" s="231"/>
      <c r="U274" s="231"/>
    </row>
    <row r="275">
      <c r="A275" s="153"/>
      <c r="B275" s="206"/>
      <c r="C275" s="206"/>
      <c r="D275" s="206"/>
      <c r="E275" s="206"/>
      <c r="F275" s="206"/>
      <c r="G275" s="206"/>
      <c r="H275" s="230"/>
      <c r="I275" s="206"/>
      <c r="J275" s="206"/>
      <c r="K275" s="206"/>
      <c r="L275" s="206"/>
      <c r="M275" s="206"/>
      <c r="N275" s="206"/>
      <c r="O275" s="206"/>
      <c r="P275" s="206"/>
      <c r="Q275" s="153"/>
      <c r="R275" s="153"/>
      <c r="S275" s="231"/>
      <c r="T275" s="231"/>
      <c r="U275" s="231"/>
    </row>
    <row r="276">
      <c r="A276" s="153"/>
      <c r="B276" s="206"/>
      <c r="C276" s="206"/>
      <c r="D276" s="206"/>
      <c r="E276" s="206"/>
      <c r="F276" s="206"/>
      <c r="G276" s="206"/>
      <c r="H276" s="230"/>
      <c r="I276" s="206"/>
      <c r="J276" s="206"/>
      <c r="K276" s="206"/>
      <c r="L276" s="206"/>
      <c r="M276" s="206"/>
      <c r="N276" s="206"/>
      <c r="O276" s="206"/>
      <c r="P276" s="206"/>
      <c r="Q276" s="153"/>
      <c r="R276" s="153"/>
      <c r="S276" s="231"/>
      <c r="T276" s="231"/>
      <c r="U276" s="231"/>
    </row>
    <row r="277">
      <c r="A277" s="153"/>
      <c r="B277" s="206"/>
      <c r="C277" s="206"/>
      <c r="D277" s="206"/>
      <c r="E277" s="206"/>
      <c r="F277" s="206"/>
      <c r="G277" s="206"/>
      <c r="H277" s="230"/>
      <c r="I277" s="206"/>
      <c r="J277" s="206"/>
      <c r="K277" s="206"/>
      <c r="L277" s="206"/>
      <c r="M277" s="206"/>
      <c r="N277" s="206"/>
      <c r="O277" s="206"/>
      <c r="P277" s="206"/>
      <c r="Q277" s="153"/>
      <c r="R277" s="153"/>
      <c r="S277" s="231"/>
      <c r="T277" s="231"/>
      <c r="U277" s="231"/>
    </row>
    <row r="278">
      <c r="A278" s="153"/>
      <c r="B278" s="206"/>
      <c r="C278" s="206"/>
      <c r="D278" s="206"/>
      <c r="E278" s="206"/>
      <c r="F278" s="206"/>
      <c r="G278" s="206"/>
      <c r="H278" s="230"/>
      <c r="I278" s="206"/>
      <c r="J278" s="206"/>
      <c r="K278" s="206"/>
      <c r="L278" s="206"/>
      <c r="M278" s="206"/>
      <c r="N278" s="206"/>
      <c r="O278" s="206"/>
      <c r="P278" s="206"/>
      <c r="Q278" s="153"/>
      <c r="R278" s="153"/>
      <c r="S278" s="231"/>
      <c r="T278" s="231"/>
      <c r="U278" s="231"/>
    </row>
    <row r="279">
      <c r="A279" s="153"/>
      <c r="B279" s="206"/>
      <c r="C279" s="206"/>
      <c r="D279" s="206"/>
      <c r="E279" s="206"/>
      <c r="F279" s="206"/>
      <c r="G279" s="206"/>
      <c r="H279" s="230"/>
      <c r="I279" s="206"/>
      <c r="J279" s="206"/>
      <c r="K279" s="206"/>
      <c r="L279" s="206"/>
      <c r="M279" s="206"/>
      <c r="N279" s="206"/>
      <c r="O279" s="206"/>
      <c r="P279" s="206"/>
      <c r="Q279" s="153"/>
      <c r="R279" s="153"/>
      <c r="S279" s="231"/>
      <c r="T279" s="231"/>
      <c r="U279" s="231"/>
    </row>
    <row r="280">
      <c r="A280" s="153"/>
      <c r="B280" s="206"/>
      <c r="C280" s="206"/>
      <c r="D280" s="206"/>
      <c r="E280" s="206"/>
      <c r="F280" s="206"/>
      <c r="G280" s="206"/>
      <c r="H280" s="230"/>
      <c r="I280" s="206"/>
      <c r="J280" s="206"/>
      <c r="K280" s="206"/>
      <c r="L280" s="206"/>
      <c r="M280" s="206"/>
      <c r="N280" s="206"/>
      <c r="O280" s="206"/>
      <c r="P280" s="206"/>
      <c r="Q280" s="153"/>
      <c r="R280" s="153"/>
      <c r="S280" s="231"/>
      <c r="T280" s="231"/>
      <c r="U280" s="231"/>
    </row>
    <row r="281">
      <c r="A281" s="153"/>
      <c r="B281" s="206"/>
      <c r="C281" s="206"/>
      <c r="D281" s="206"/>
      <c r="E281" s="206"/>
      <c r="F281" s="206"/>
      <c r="G281" s="206"/>
      <c r="H281" s="230"/>
      <c r="I281" s="206"/>
      <c r="J281" s="206"/>
      <c r="K281" s="206"/>
      <c r="L281" s="206"/>
      <c r="M281" s="206"/>
      <c r="N281" s="206"/>
      <c r="O281" s="206"/>
      <c r="P281" s="206"/>
      <c r="Q281" s="153"/>
      <c r="R281" s="153"/>
      <c r="S281" s="231"/>
      <c r="T281" s="231"/>
      <c r="U281" s="231"/>
    </row>
    <row r="282">
      <c r="A282" s="153"/>
      <c r="B282" s="206"/>
      <c r="C282" s="206"/>
      <c r="D282" s="206"/>
      <c r="E282" s="206"/>
      <c r="F282" s="206"/>
      <c r="G282" s="206"/>
      <c r="H282" s="230"/>
      <c r="I282" s="206"/>
      <c r="J282" s="206"/>
      <c r="K282" s="206"/>
      <c r="L282" s="206"/>
      <c r="M282" s="206"/>
      <c r="N282" s="206"/>
      <c r="O282" s="206"/>
      <c r="P282" s="206"/>
      <c r="Q282" s="153"/>
      <c r="R282" s="153"/>
      <c r="S282" s="231"/>
      <c r="T282" s="231"/>
      <c r="U282" s="231"/>
    </row>
    <row r="283">
      <c r="A283" s="153"/>
      <c r="B283" s="206"/>
      <c r="C283" s="206"/>
      <c r="D283" s="206"/>
      <c r="E283" s="206"/>
      <c r="F283" s="206"/>
      <c r="G283" s="206"/>
      <c r="H283" s="230"/>
      <c r="I283" s="206"/>
      <c r="J283" s="206"/>
      <c r="K283" s="206"/>
      <c r="L283" s="206"/>
      <c r="M283" s="206"/>
      <c r="N283" s="206"/>
      <c r="O283" s="206"/>
      <c r="P283" s="206"/>
      <c r="Q283" s="153"/>
      <c r="R283" s="153"/>
      <c r="S283" s="231"/>
      <c r="T283" s="231"/>
      <c r="U283" s="231"/>
    </row>
    <row r="284">
      <c r="A284" s="153"/>
      <c r="B284" s="206"/>
      <c r="C284" s="206"/>
      <c r="D284" s="206"/>
      <c r="E284" s="206"/>
      <c r="F284" s="206"/>
      <c r="G284" s="206"/>
      <c r="H284" s="230"/>
      <c r="I284" s="206"/>
      <c r="J284" s="206"/>
      <c r="K284" s="206"/>
      <c r="L284" s="206"/>
      <c r="M284" s="206"/>
      <c r="N284" s="206"/>
      <c r="O284" s="206"/>
      <c r="P284" s="206"/>
      <c r="Q284" s="153"/>
      <c r="R284" s="153"/>
      <c r="S284" s="231"/>
      <c r="T284" s="231"/>
      <c r="U284" s="231"/>
    </row>
    <row r="285">
      <c r="A285" s="153"/>
      <c r="B285" s="206"/>
      <c r="C285" s="206"/>
      <c r="D285" s="206"/>
      <c r="E285" s="206"/>
      <c r="F285" s="206"/>
      <c r="G285" s="206"/>
      <c r="H285" s="230"/>
      <c r="I285" s="206"/>
      <c r="J285" s="206"/>
      <c r="K285" s="206"/>
      <c r="L285" s="206"/>
      <c r="M285" s="206"/>
      <c r="N285" s="206"/>
      <c r="O285" s="206"/>
      <c r="P285" s="206"/>
      <c r="Q285" s="153"/>
      <c r="R285" s="153"/>
      <c r="S285" s="231"/>
      <c r="T285" s="231"/>
      <c r="U285" s="231"/>
    </row>
    <row r="286">
      <c r="A286" s="153"/>
      <c r="B286" s="206"/>
      <c r="C286" s="206"/>
      <c r="D286" s="206"/>
      <c r="E286" s="206"/>
      <c r="F286" s="206"/>
      <c r="G286" s="206"/>
      <c r="H286" s="230"/>
      <c r="I286" s="206"/>
      <c r="J286" s="206"/>
      <c r="K286" s="206"/>
      <c r="L286" s="206"/>
      <c r="M286" s="206"/>
      <c r="N286" s="206"/>
      <c r="O286" s="206"/>
      <c r="P286" s="206"/>
      <c r="Q286" s="153"/>
      <c r="R286" s="153"/>
      <c r="S286" s="231"/>
      <c r="T286" s="231"/>
      <c r="U286" s="231"/>
    </row>
    <row r="287">
      <c r="A287" s="153"/>
      <c r="B287" s="206"/>
      <c r="C287" s="206"/>
      <c r="D287" s="206"/>
      <c r="E287" s="206"/>
      <c r="F287" s="206"/>
      <c r="G287" s="206"/>
      <c r="H287" s="230"/>
      <c r="I287" s="206"/>
      <c r="J287" s="206"/>
      <c r="K287" s="206"/>
      <c r="L287" s="206"/>
      <c r="M287" s="206"/>
      <c r="N287" s="206"/>
      <c r="O287" s="206"/>
      <c r="P287" s="206"/>
      <c r="Q287" s="153"/>
      <c r="R287" s="153"/>
      <c r="S287" s="231"/>
      <c r="T287" s="231"/>
      <c r="U287" s="231"/>
    </row>
    <row r="288">
      <c r="A288" s="153"/>
      <c r="B288" s="206"/>
      <c r="C288" s="206"/>
      <c r="D288" s="206"/>
      <c r="E288" s="206"/>
      <c r="F288" s="206"/>
      <c r="G288" s="206"/>
      <c r="H288" s="230"/>
      <c r="I288" s="206"/>
      <c r="J288" s="206"/>
      <c r="K288" s="206"/>
      <c r="L288" s="206"/>
      <c r="M288" s="206"/>
      <c r="N288" s="206"/>
      <c r="O288" s="206"/>
      <c r="P288" s="206"/>
      <c r="Q288" s="153"/>
      <c r="R288" s="153"/>
      <c r="S288" s="231"/>
      <c r="T288" s="231"/>
      <c r="U288" s="231"/>
    </row>
    <row r="289">
      <c r="A289" s="153"/>
      <c r="B289" s="206"/>
      <c r="C289" s="206"/>
      <c r="D289" s="206"/>
      <c r="E289" s="206"/>
      <c r="F289" s="206"/>
      <c r="G289" s="206"/>
      <c r="H289" s="230"/>
      <c r="I289" s="206"/>
      <c r="J289" s="206"/>
      <c r="K289" s="206"/>
      <c r="L289" s="206"/>
      <c r="M289" s="206"/>
      <c r="N289" s="206"/>
      <c r="O289" s="206"/>
      <c r="P289" s="206"/>
      <c r="Q289" s="153"/>
      <c r="R289" s="153"/>
      <c r="S289" s="231"/>
      <c r="T289" s="231"/>
      <c r="U289" s="231"/>
    </row>
    <row r="290">
      <c r="A290" s="153"/>
      <c r="B290" s="206"/>
      <c r="C290" s="206"/>
      <c r="D290" s="206"/>
      <c r="E290" s="206"/>
      <c r="F290" s="206"/>
      <c r="G290" s="206"/>
      <c r="H290" s="230"/>
      <c r="I290" s="206"/>
      <c r="J290" s="206"/>
      <c r="K290" s="206"/>
      <c r="L290" s="206"/>
      <c r="M290" s="206"/>
      <c r="N290" s="206"/>
      <c r="O290" s="206"/>
      <c r="P290" s="206"/>
      <c r="Q290" s="153"/>
      <c r="R290" s="153"/>
      <c r="S290" s="231"/>
      <c r="T290" s="231"/>
      <c r="U290" s="231"/>
    </row>
    <row r="291">
      <c r="A291" s="153"/>
      <c r="B291" s="206"/>
      <c r="C291" s="206"/>
      <c r="D291" s="206"/>
      <c r="E291" s="206"/>
      <c r="F291" s="206"/>
      <c r="G291" s="206"/>
      <c r="H291" s="230"/>
      <c r="I291" s="206"/>
      <c r="J291" s="206"/>
      <c r="K291" s="206"/>
      <c r="L291" s="206"/>
      <c r="M291" s="206"/>
      <c r="N291" s="206"/>
      <c r="O291" s="206"/>
      <c r="P291" s="206"/>
      <c r="Q291" s="153"/>
      <c r="R291" s="153"/>
      <c r="S291" s="231"/>
      <c r="T291" s="231"/>
      <c r="U291" s="231"/>
    </row>
    <row r="292">
      <c r="A292" s="153"/>
      <c r="B292" s="206"/>
      <c r="C292" s="206"/>
      <c r="D292" s="206"/>
      <c r="E292" s="206"/>
      <c r="F292" s="206"/>
      <c r="G292" s="206"/>
      <c r="H292" s="230"/>
      <c r="I292" s="206"/>
      <c r="J292" s="206"/>
      <c r="K292" s="206"/>
      <c r="L292" s="206"/>
      <c r="M292" s="206"/>
      <c r="N292" s="206"/>
      <c r="O292" s="206"/>
      <c r="P292" s="206"/>
      <c r="Q292" s="153"/>
      <c r="R292" s="153"/>
      <c r="S292" s="231"/>
      <c r="T292" s="231"/>
      <c r="U292" s="231"/>
    </row>
    <row r="293">
      <c r="A293" s="153"/>
      <c r="B293" s="206"/>
      <c r="C293" s="206"/>
      <c r="D293" s="206"/>
      <c r="E293" s="206"/>
      <c r="F293" s="206"/>
      <c r="G293" s="206"/>
      <c r="H293" s="230"/>
      <c r="I293" s="206"/>
      <c r="J293" s="206"/>
      <c r="K293" s="206"/>
      <c r="L293" s="206"/>
      <c r="M293" s="206"/>
      <c r="N293" s="206"/>
      <c r="O293" s="206"/>
      <c r="P293" s="206"/>
      <c r="Q293" s="153"/>
      <c r="R293" s="153"/>
      <c r="S293" s="231"/>
      <c r="T293" s="231"/>
      <c r="U293" s="231"/>
    </row>
    <row r="294">
      <c r="A294" s="153"/>
      <c r="B294" s="206"/>
      <c r="C294" s="206"/>
      <c r="D294" s="206"/>
      <c r="E294" s="206"/>
      <c r="F294" s="206"/>
      <c r="G294" s="206"/>
      <c r="H294" s="230"/>
      <c r="I294" s="206"/>
      <c r="J294" s="206"/>
      <c r="K294" s="206"/>
      <c r="L294" s="206"/>
      <c r="M294" s="206"/>
      <c r="N294" s="206"/>
      <c r="O294" s="206"/>
      <c r="P294" s="206"/>
      <c r="Q294" s="153"/>
      <c r="R294" s="153"/>
      <c r="S294" s="231"/>
      <c r="T294" s="231"/>
      <c r="U294" s="231"/>
    </row>
    <row r="295">
      <c r="A295" s="153"/>
      <c r="B295" s="206"/>
      <c r="C295" s="206"/>
      <c r="D295" s="206"/>
      <c r="E295" s="206"/>
      <c r="F295" s="206"/>
      <c r="G295" s="206"/>
      <c r="H295" s="230"/>
      <c r="I295" s="206"/>
      <c r="J295" s="206"/>
      <c r="K295" s="206"/>
      <c r="L295" s="206"/>
      <c r="M295" s="206"/>
      <c r="N295" s="206"/>
      <c r="O295" s="206"/>
      <c r="P295" s="206"/>
      <c r="Q295" s="153"/>
      <c r="R295" s="153"/>
      <c r="S295" s="231"/>
      <c r="T295" s="231"/>
      <c r="U295" s="231"/>
    </row>
    <row r="296">
      <c r="A296" s="153"/>
      <c r="B296" s="206"/>
      <c r="C296" s="206"/>
      <c r="D296" s="206"/>
      <c r="E296" s="206"/>
      <c r="F296" s="206"/>
      <c r="G296" s="206"/>
      <c r="H296" s="230"/>
      <c r="I296" s="206"/>
      <c r="J296" s="206"/>
      <c r="K296" s="206"/>
      <c r="L296" s="206"/>
      <c r="M296" s="206"/>
      <c r="N296" s="206"/>
      <c r="O296" s="206"/>
      <c r="P296" s="206"/>
      <c r="Q296" s="153"/>
      <c r="R296" s="153"/>
      <c r="S296" s="231"/>
      <c r="T296" s="231"/>
      <c r="U296" s="231"/>
    </row>
  </sheetData>
  <autoFilter ref="$A$5:$J$186"/>
  <conditionalFormatting sqref="H6:I186">
    <cfRule type="cellIs" dxfId="7" priority="1" operator="lessThanOrEqual">
      <formula>"10%"</formula>
    </cfRule>
  </conditionalFormatting>
  <conditionalFormatting sqref="H6:I186">
    <cfRule type="cellIs" dxfId="8" priority="2" operator="greaterThan">
      <formula>"10%"</formula>
    </cfRule>
  </conditionalFormatting>
  <dataValidations>
    <dataValidation type="list" allowBlank="1" showErrorMessage="1" sqref="F6:F186">
      <formula1>"Professor Visitante,Gratificação de Magistério"</formula1>
    </dataValidation>
    <dataValidation type="list" allowBlank="1" showErrorMessage="1" sqref="G6:G186">
      <formula1>"Agendado,Aguardando,Cancelado"</formula1>
    </dataValidation>
    <dataValidation type="list" allowBlank="1" showErrorMessage="1" sqref="A6:A186">
      <formula1>Dados!$A$1:$V$1</formula1>
    </dataValidation>
  </dataValidation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outlineLevelRow="1"/>
  <cols>
    <col customWidth="1" min="1" max="1" width="13.25"/>
    <col customWidth="1" min="2" max="2" width="43.0"/>
    <col customWidth="1" min="3" max="3" width="7.25"/>
    <col customWidth="1" min="4" max="4" width="13.0"/>
    <col customWidth="1" min="5" max="5" width="14.38"/>
    <col customWidth="1" min="6" max="6" width="13.88"/>
    <col customWidth="1" min="7" max="8" width="12.38"/>
    <col customWidth="1" min="9" max="27" width="10.38"/>
  </cols>
  <sheetData>
    <row r="1">
      <c r="A1" s="471" t="str">
        <f>IFERROR(__xludf.DUMMYFUNCTION("IMPORTRANGE(""https://docs.google.com/spreadsheets/d/1bZfKD3fMqGkr4zlt8PWm8kvhnhcpEqpWdmEG9qrEuJk/edit?usp=sharing"",""GRADUAÇÃO!A1:F17"")"),"Resultado Definitivo do Certame
EDITAL 02/2024 - PROFESSOR VISITANTE - PROJETO APOIO ÀS AÇÕES DE EDUCAÇÃO PERMANENTE E PROFISSIONAL EM SAÚDE - DIEPS")</f>
        <v>Resultado Definitivo do Certame
EDITAL 02/2024 - PROFESSOR VISITANTE - PROJETO APOIO ÀS AÇÕES DE EDUCAÇÃO PERMANENTE E PROFISSIONAL EM SAÚDE - DIEPS</v>
      </c>
      <c r="G1" s="472"/>
      <c r="H1" s="473" t="s">
        <v>1251</v>
      </c>
      <c r="I1" s="474" t="s">
        <v>1252</v>
      </c>
      <c r="Q1" s="472"/>
      <c r="R1" s="472"/>
      <c r="S1" s="472"/>
      <c r="T1" s="472"/>
      <c r="U1" s="472"/>
      <c r="V1" s="472"/>
      <c r="W1" s="472"/>
      <c r="X1" s="472"/>
      <c r="Y1" s="472"/>
      <c r="Z1" s="472"/>
      <c r="AA1" s="472"/>
    </row>
    <row r="2">
      <c r="A2" s="475" t="str">
        <f>IFERROR(__xludf.DUMMYFUNCTION("""COMPUTED_VALUE"""),"BOLSA DE PROFESSOR-VISITANTE - GRADUAÇÃO")</f>
        <v>BOLSA DE PROFESSOR-VISITANTE - GRADUAÇÃO</v>
      </c>
      <c r="B2" s="476"/>
      <c r="C2" s="476"/>
      <c r="D2" s="476"/>
      <c r="E2" s="476"/>
      <c r="F2" s="477"/>
      <c r="G2" s="472"/>
      <c r="H2" s="472"/>
      <c r="I2" s="472"/>
      <c r="J2" s="472"/>
      <c r="K2" s="472"/>
      <c r="L2" s="472"/>
      <c r="M2" s="472"/>
      <c r="N2" s="472"/>
      <c r="O2" s="472"/>
      <c r="P2" s="472"/>
      <c r="Q2" s="472"/>
      <c r="R2" s="472"/>
      <c r="S2" s="472"/>
      <c r="T2" s="472"/>
      <c r="U2" s="472"/>
      <c r="V2" s="472"/>
      <c r="W2" s="472"/>
      <c r="X2" s="472"/>
      <c r="Y2" s="472"/>
      <c r="Z2" s="472"/>
      <c r="AA2" s="472"/>
    </row>
    <row r="3">
      <c r="A3" s="478" t="str">
        <f>IFERROR(__xludf.DUMMYFUNCTION("""COMPUTED_VALUE"""),"I - GRA - VIGILÂNCIA EM SAÚDE")</f>
        <v>I - GRA - VIGILÂNCIA EM SAÚDE</v>
      </c>
      <c r="B3" s="479"/>
      <c r="C3" s="479"/>
      <c r="D3" s="479"/>
      <c r="E3" s="479"/>
      <c r="F3" s="480"/>
      <c r="G3" s="472"/>
      <c r="H3" s="472"/>
      <c r="I3" s="472"/>
      <c r="J3" s="472"/>
      <c r="K3" s="472"/>
      <c r="L3" s="472"/>
      <c r="M3" s="472"/>
      <c r="N3" s="472"/>
      <c r="O3" s="472"/>
      <c r="P3" s="472"/>
      <c r="Q3" s="472"/>
      <c r="R3" s="472"/>
      <c r="S3" s="472"/>
      <c r="T3" s="472"/>
      <c r="U3" s="472"/>
      <c r="V3" s="472"/>
      <c r="W3" s="472"/>
      <c r="X3" s="472"/>
      <c r="Y3" s="472"/>
      <c r="Z3" s="472"/>
      <c r="AA3" s="472"/>
    </row>
    <row r="4" outlineLevel="1">
      <c r="A4" s="481" t="str">
        <f>IFERROR(__xludf.DUMMYFUNCTION("""COMPUTED_VALUE"""),"INSCRIÇÃO")</f>
        <v>INSCRIÇÃO</v>
      </c>
      <c r="B4" s="482" t="str">
        <f>IFERROR(__xludf.DUMMYFUNCTION("""COMPUTED_VALUE"""),"CANDIDATOS")</f>
        <v>CANDIDATOS</v>
      </c>
      <c r="C4" s="481" t="str">
        <f>IFERROR(__xludf.DUMMYFUNCTION("""COMPUTED_VALUE"""),"NF")</f>
        <v>NF</v>
      </c>
      <c r="D4" s="483" t="str">
        <f>IFERROR(__xludf.DUMMYFUNCTION("""COMPUTED_VALUE"""),"CONVOCADO(A)")</f>
        <v>CONVOCADO(A)</v>
      </c>
      <c r="E4" s="483" t="str">
        <f>IFERROR(__xludf.DUMMYFUNCTION("""COMPUTED_VALUE"""),"HOMOLOGADO(A)")</f>
        <v>HOMOLOGADO(A)</v>
      </c>
      <c r="F4" s="483" t="str">
        <f>IFERROR(__xludf.DUMMYFUNCTION("""COMPUTED_VALUE"""),"GERÊNCIA")</f>
        <v>GERÊNCIA</v>
      </c>
      <c r="G4" s="472"/>
      <c r="H4" s="472"/>
      <c r="I4" s="472"/>
      <c r="J4" s="472"/>
      <c r="K4" s="472"/>
      <c r="L4" s="472"/>
      <c r="M4" s="472"/>
      <c r="N4" s="472"/>
      <c r="O4" s="472"/>
      <c r="P4" s="472"/>
      <c r="Q4" s="472"/>
      <c r="R4" s="472"/>
      <c r="S4" s="472"/>
      <c r="T4" s="472"/>
      <c r="U4" s="472"/>
      <c r="V4" s="472"/>
      <c r="W4" s="472"/>
      <c r="X4" s="472"/>
      <c r="Y4" s="472"/>
      <c r="Z4" s="472"/>
      <c r="AA4" s="472"/>
    </row>
    <row r="5" outlineLevel="1">
      <c r="A5" s="484">
        <f>IFERROR(__xludf.DUMMYFUNCTION("""COMPUTED_VALUE"""),6.80430091676E11)</f>
        <v>680430091676</v>
      </c>
      <c r="B5" s="485" t="str">
        <f>IFERROR(__xludf.DUMMYFUNCTION("""COMPUTED_VALUE"""),"KARIZYA HOLANDA VERISSIMO RIBEIRO")</f>
        <v>KARIZYA HOLANDA VERISSIMO RIBEIRO</v>
      </c>
      <c r="C5" s="486">
        <f>IFERROR(__xludf.DUMMYFUNCTION("""COMPUTED_VALUE"""),7.0)</f>
        <v>7</v>
      </c>
      <c r="D5" s="487" t="str">
        <f>IFERROR(__xludf.DUMMYFUNCTION("""COMPUTED_VALUE"""),"SIM")</f>
        <v>SIM</v>
      </c>
      <c r="E5" s="487"/>
      <c r="F5" s="488" t="str">
        <f>IFERROR(__xludf.DUMMYFUNCTION("""COMPUTED_VALUE"""),"GEDUC")</f>
        <v>GEDUC</v>
      </c>
      <c r="G5" s="472"/>
      <c r="H5" s="472"/>
      <c r="I5" s="472"/>
      <c r="J5" s="472"/>
      <c r="K5" s="472"/>
      <c r="L5" s="472"/>
      <c r="M5" s="472"/>
      <c r="N5" s="472"/>
      <c r="O5" s="472"/>
      <c r="P5" s="472"/>
      <c r="Q5" s="472"/>
      <c r="R5" s="472"/>
      <c r="S5" s="472"/>
      <c r="T5" s="472"/>
      <c r="U5" s="472"/>
      <c r="V5" s="472"/>
      <c r="W5" s="472"/>
      <c r="X5" s="472"/>
      <c r="Y5" s="472"/>
      <c r="Z5" s="472"/>
      <c r="AA5" s="472"/>
    </row>
    <row r="6" outlineLevel="1">
      <c r="A6" s="484">
        <f>IFERROR(__xludf.DUMMYFUNCTION("""COMPUTED_VALUE"""),4.48715093339E11)</f>
        <v>448715093339</v>
      </c>
      <c r="B6" s="485" t="str">
        <f>IFERROR(__xludf.DUMMYFUNCTION("""COMPUTED_VALUE"""),"MARIA ALDENISA MOURA DE OLIVEIRA")</f>
        <v>MARIA ALDENISA MOURA DE OLIVEIRA</v>
      </c>
      <c r="C6" s="486">
        <f>IFERROR(__xludf.DUMMYFUNCTION("""COMPUTED_VALUE"""),6.0)</f>
        <v>6</v>
      </c>
      <c r="D6" s="487" t="str">
        <f>IFERROR(__xludf.DUMMYFUNCTION("""COMPUTED_VALUE"""),"SIM")</f>
        <v>SIM</v>
      </c>
      <c r="E6" s="486"/>
      <c r="F6" s="488" t="str">
        <f>IFERROR(__xludf.DUMMYFUNCTION("""COMPUTED_VALUE"""),"GEDUC")</f>
        <v>GEDUC</v>
      </c>
      <c r="G6" s="472"/>
      <c r="H6" s="472"/>
      <c r="I6" s="472"/>
      <c r="J6" s="472"/>
      <c r="K6" s="472"/>
      <c r="L6" s="472"/>
      <c r="M6" s="472"/>
      <c r="N6" s="472"/>
      <c r="O6" s="472"/>
      <c r="P6" s="472"/>
      <c r="Q6" s="472"/>
      <c r="R6" s="472"/>
      <c r="S6" s="472"/>
      <c r="T6" s="472"/>
      <c r="U6" s="472"/>
      <c r="V6" s="472"/>
      <c r="W6" s="472"/>
      <c r="X6" s="472"/>
      <c r="Y6" s="472"/>
      <c r="Z6" s="472"/>
      <c r="AA6" s="472"/>
    </row>
    <row r="7">
      <c r="A7" s="478" t="str">
        <f>IFERROR(__xludf.DUMMYFUNCTION("""COMPUTED_VALUE"""),"II - GRA - ATENÇÃO PRIMÁRIA À SAÚDE")</f>
        <v>II - GRA - ATENÇÃO PRIMÁRIA À SAÚDE</v>
      </c>
      <c r="B7" s="479"/>
      <c r="C7" s="479"/>
      <c r="D7" s="479"/>
      <c r="E7" s="479"/>
      <c r="F7" s="480"/>
      <c r="G7" s="472"/>
      <c r="H7" s="472"/>
      <c r="I7" s="472"/>
      <c r="J7" s="472"/>
      <c r="K7" s="472"/>
      <c r="L7" s="472"/>
      <c r="M7" s="472"/>
      <c r="N7" s="472"/>
      <c r="O7" s="472"/>
      <c r="P7" s="472"/>
      <c r="Q7" s="472"/>
      <c r="R7" s="472"/>
      <c r="S7" s="472"/>
      <c r="T7" s="472"/>
      <c r="U7" s="472"/>
      <c r="V7" s="472"/>
      <c r="W7" s="472"/>
      <c r="X7" s="472"/>
      <c r="Y7" s="472"/>
      <c r="Z7" s="472"/>
      <c r="AA7" s="472"/>
    </row>
    <row r="8" outlineLevel="1">
      <c r="A8" s="481" t="str">
        <f>IFERROR(__xludf.DUMMYFUNCTION("""COMPUTED_VALUE"""),"INSCRIÇÃO")</f>
        <v>INSCRIÇÃO</v>
      </c>
      <c r="B8" s="482" t="str">
        <f>IFERROR(__xludf.DUMMYFUNCTION("""COMPUTED_VALUE"""),"CANDIDATOS")</f>
        <v>CANDIDATOS</v>
      </c>
      <c r="C8" s="481" t="str">
        <f>IFERROR(__xludf.DUMMYFUNCTION("""COMPUTED_VALUE"""),"NF")</f>
        <v>NF</v>
      </c>
      <c r="D8" s="483" t="str">
        <f>IFERROR(__xludf.DUMMYFUNCTION("""COMPUTED_VALUE"""),"CONVOCADO(A)")</f>
        <v>CONVOCADO(A)</v>
      </c>
      <c r="E8" s="483" t="str">
        <f>IFERROR(__xludf.DUMMYFUNCTION("""COMPUTED_VALUE"""),"HOMOLOGADO(A)")</f>
        <v>HOMOLOGADO(A)</v>
      </c>
      <c r="F8" s="483" t="str">
        <f>IFERROR(__xludf.DUMMYFUNCTION("""COMPUTED_VALUE"""),"GERÊNCIA")</f>
        <v>GERÊNCIA</v>
      </c>
      <c r="G8" s="472"/>
      <c r="H8" s="472"/>
      <c r="I8" s="472"/>
      <c r="J8" s="472"/>
      <c r="K8" s="472"/>
      <c r="L8" s="472"/>
      <c r="M8" s="472"/>
      <c r="N8" s="472"/>
      <c r="O8" s="472"/>
      <c r="P8" s="472"/>
      <c r="Q8" s="472"/>
      <c r="R8" s="472"/>
      <c r="S8" s="472"/>
      <c r="T8" s="472"/>
      <c r="U8" s="472"/>
      <c r="V8" s="472"/>
      <c r="W8" s="472"/>
      <c r="X8" s="472"/>
      <c r="Y8" s="472"/>
      <c r="Z8" s="472"/>
      <c r="AA8" s="472"/>
    </row>
    <row r="9" outlineLevel="1">
      <c r="A9" s="484">
        <f>IFERROR(__xludf.DUMMYFUNCTION("""COMPUTED_VALUE"""),6.80430091677E11)</f>
        <v>680430091677</v>
      </c>
      <c r="B9" s="485" t="str">
        <f>IFERROR(__xludf.DUMMYFUNCTION("""COMPUTED_VALUE"""),"KARIZYA HOLANDA VERISSIMO RIBEIRO")</f>
        <v>KARIZYA HOLANDA VERISSIMO RIBEIRO</v>
      </c>
      <c r="C9" s="486">
        <f>IFERROR(__xludf.DUMMYFUNCTION("""COMPUTED_VALUE"""),7.5)</f>
        <v>7.5</v>
      </c>
      <c r="D9" s="487"/>
      <c r="E9" s="486"/>
      <c r="F9" s="488"/>
      <c r="G9" s="472"/>
      <c r="H9" s="472"/>
      <c r="I9" s="472"/>
      <c r="J9" s="472"/>
      <c r="K9" s="472"/>
      <c r="L9" s="472"/>
      <c r="M9" s="472"/>
      <c r="N9" s="472"/>
      <c r="O9" s="472"/>
      <c r="P9" s="472"/>
      <c r="Q9" s="472"/>
      <c r="R9" s="472"/>
      <c r="S9" s="472"/>
      <c r="T9" s="472"/>
      <c r="U9" s="472"/>
      <c r="V9" s="472"/>
      <c r="W9" s="472"/>
      <c r="X9" s="472"/>
      <c r="Y9" s="472"/>
      <c r="Z9" s="472"/>
      <c r="AA9" s="472"/>
    </row>
    <row r="10" outlineLevel="1">
      <c r="A10" s="484">
        <f>IFERROR(__xludf.DUMMYFUNCTION("""COMPUTED_VALUE"""),9.13730092271E11)</f>
        <v>913730092271</v>
      </c>
      <c r="B10" s="485" t="str">
        <f>IFERROR(__xludf.DUMMYFUNCTION("""COMPUTED_VALUE"""),"ANTONIA SUELEN DA SILVA ALEXANDRE")</f>
        <v>ANTONIA SUELEN DA SILVA ALEXANDRE</v>
      </c>
      <c r="C10" s="486">
        <f>IFERROR(__xludf.DUMMYFUNCTION("""COMPUTED_VALUE"""),7.0)</f>
        <v>7</v>
      </c>
      <c r="D10" s="487"/>
      <c r="E10" s="486"/>
      <c r="F10" s="488"/>
      <c r="G10" s="472"/>
      <c r="H10" s="472"/>
      <c r="I10" s="472"/>
      <c r="J10" s="472"/>
      <c r="K10" s="472"/>
      <c r="L10" s="472"/>
      <c r="M10" s="472"/>
      <c r="N10" s="472"/>
      <c r="O10" s="472"/>
      <c r="P10" s="472"/>
      <c r="Q10" s="472"/>
      <c r="R10" s="472"/>
      <c r="S10" s="472"/>
      <c r="T10" s="472"/>
      <c r="U10" s="472"/>
      <c r="V10" s="472"/>
      <c r="W10" s="472"/>
      <c r="X10" s="472"/>
      <c r="Y10" s="472"/>
      <c r="Z10" s="472"/>
      <c r="AA10" s="472"/>
    </row>
    <row r="11">
      <c r="A11" s="478" t="str">
        <f>IFERROR(__xludf.DUMMYFUNCTION("""COMPUTED_VALUE"""),"V - GRA - REGULAÇÃO EM SAÚDE")</f>
        <v>V - GRA - REGULAÇÃO EM SAÚDE</v>
      </c>
      <c r="B11" s="479"/>
      <c r="C11" s="479"/>
      <c r="D11" s="479"/>
      <c r="E11" s="479"/>
      <c r="F11" s="480"/>
      <c r="G11" s="472"/>
      <c r="H11" s="472"/>
      <c r="I11" s="472"/>
      <c r="J11" s="472"/>
      <c r="K11" s="472"/>
      <c r="L11" s="472"/>
      <c r="M11" s="472"/>
      <c r="N11" s="472"/>
      <c r="O11" s="472"/>
      <c r="P11" s="472"/>
      <c r="Q11" s="472"/>
      <c r="R11" s="472"/>
      <c r="S11" s="472"/>
      <c r="T11" s="472"/>
      <c r="U11" s="472"/>
      <c r="V11" s="472"/>
      <c r="W11" s="472"/>
      <c r="X11" s="472"/>
      <c r="Y11" s="472"/>
      <c r="Z11" s="472"/>
      <c r="AA11" s="472"/>
    </row>
    <row r="12" outlineLevel="1">
      <c r="A12" s="481" t="str">
        <f>IFERROR(__xludf.DUMMYFUNCTION("""COMPUTED_VALUE"""),"INSCRIÇÃO")</f>
        <v>INSCRIÇÃO</v>
      </c>
      <c r="B12" s="482" t="str">
        <f>IFERROR(__xludf.DUMMYFUNCTION("""COMPUTED_VALUE"""),"CANDIDATOS")</f>
        <v>CANDIDATOS</v>
      </c>
      <c r="C12" s="481" t="str">
        <f>IFERROR(__xludf.DUMMYFUNCTION("""COMPUTED_VALUE"""),"NF")</f>
        <v>NF</v>
      </c>
      <c r="D12" s="483" t="str">
        <f>IFERROR(__xludf.DUMMYFUNCTION("""COMPUTED_VALUE"""),"CONVOCADO(A)")</f>
        <v>CONVOCADO(A)</v>
      </c>
      <c r="E12" s="483" t="str">
        <f>IFERROR(__xludf.DUMMYFUNCTION("""COMPUTED_VALUE"""),"HOMOLOGADO(A)")</f>
        <v>HOMOLOGADO(A)</v>
      </c>
      <c r="F12" s="483" t="str">
        <f>IFERROR(__xludf.DUMMYFUNCTION("""COMPUTED_VALUE"""),"GERÊNCIA")</f>
        <v>GERÊNCIA</v>
      </c>
      <c r="G12" s="472"/>
      <c r="H12" s="472"/>
      <c r="I12" s="472"/>
      <c r="J12" s="472"/>
      <c r="K12" s="472"/>
      <c r="L12" s="472"/>
      <c r="M12" s="472"/>
      <c r="N12" s="472"/>
      <c r="O12" s="472"/>
      <c r="P12" s="472"/>
      <c r="Q12" s="472"/>
      <c r="R12" s="472"/>
      <c r="S12" s="472"/>
      <c r="T12" s="472"/>
      <c r="U12" s="472"/>
      <c r="V12" s="472"/>
      <c r="W12" s="472"/>
      <c r="X12" s="472"/>
      <c r="Y12" s="472"/>
      <c r="Z12" s="472"/>
      <c r="AA12" s="472"/>
    </row>
    <row r="13" outlineLevel="1">
      <c r="A13" s="484">
        <f>IFERROR(__xludf.DUMMYFUNCTION("""COMPUTED_VALUE"""),8.4293809305E11)</f>
        <v>842938093050</v>
      </c>
      <c r="B13" s="485" t="str">
        <f>IFERROR(__xludf.DUMMYFUNCTION("""COMPUTED_VALUE"""),"MARÍLIA DE ANDRADE GUEDES GIESTA")</f>
        <v>MARÍLIA DE ANDRADE GUEDES GIESTA</v>
      </c>
      <c r="C13" s="486">
        <f>IFERROR(__xludf.DUMMYFUNCTION("""COMPUTED_VALUE"""),6.0)</f>
        <v>6</v>
      </c>
      <c r="D13" s="487" t="str">
        <f>IFERROR(__xludf.DUMMYFUNCTION("""COMPUTED_VALUE"""),"SIM")</f>
        <v>SIM</v>
      </c>
      <c r="E13" s="486" t="str">
        <f>IFERROR(__xludf.DUMMYFUNCTION("""COMPUTED_VALUE"""),"SIM")</f>
        <v>SIM</v>
      </c>
      <c r="F13" s="488" t="str">
        <f>IFERROR(__xludf.DUMMYFUNCTION("""COMPUTED_VALUE"""),"GEDUC")</f>
        <v>GEDUC</v>
      </c>
      <c r="G13" s="472"/>
      <c r="H13" s="472"/>
      <c r="I13" s="472"/>
      <c r="J13" s="472"/>
      <c r="K13" s="472"/>
      <c r="L13" s="472"/>
      <c r="M13" s="472"/>
      <c r="N13" s="472"/>
      <c r="O13" s="472"/>
      <c r="P13" s="472"/>
      <c r="Q13" s="472"/>
      <c r="R13" s="472"/>
      <c r="S13" s="472"/>
      <c r="T13" s="472"/>
      <c r="U13" s="472"/>
      <c r="V13" s="472"/>
      <c r="W13" s="472"/>
      <c r="X13" s="472"/>
      <c r="Y13" s="472"/>
      <c r="Z13" s="472"/>
      <c r="AA13" s="472"/>
    </row>
    <row r="14">
      <c r="A14" s="478" t="str">
        <f>IFERROR(__xludf.DUMMYFUNCTION("""COMPUTED_VALUE"""),"VI - GRA - EDUCAÇÃO PERMANENTE EM SAÚDE")</f>
        <v>VI - GRA - EDUCAÇÃO PERMANENTE EM SAÚDE</v>
      </c>
      <c r="B14" s="479"/>
      <c r="C14" s="479"/>
      <c r="D14" s="479"/>
      <c r="E14" s="479"/>
      <c r="F14" s="480"/>
      <c r="G14" s="472"/>
      <c r="H14" s="472"/>
      <c r="I14" s="472"/>
      <c r="J14" s="472"/>
      <c r="K14" s="472"/>
      <c r="L14" s="472"/>
      <c r="M14" s="472"/>
      <c r="N14" s="472"/>
      <c r="O14" s="472"/>
      <c r="P14" s="472"/>
      <c r="Q14" s="472"/>
      <c r="R14" s="472"/>
      <c r="S14" s="472"/>
      <c r="T14" s="472"/>
      <c r="U14" s="472"/>
      <c r="V14" s="472"/>
      <c r="W14" s="472"/>
      <c r="X14" s="472"/>
      <c r="Y14" s="472"/>
      <c r="Z14" s="472"/>
      <c r="AA14" s="472"/>
    </row>
    <row r="15" outlineLevel="1">
      <c r="A15" s="481" t="str">
        <f>IFERROR(__xludf.DUMMYFUNCTION("""COMPUTED_VALUE"""),"INSCRIÇÃO")</f>
        <v>INSCRIÇÃO</v>
      </c>
      <c r="B15" s="482" t="str">
        <f>IFERROR(__xludf.DUMMYFUNCTION("""COMPUTED_VALUE"""),"CANDIDATOS")</f>
        <v>CANDIDATOS</v>
      </c>
      <c r="C15" s="481" t="str">
        <f>IFERROR(__xludf.DUMMYFUNCTION("""COMPUTED_VALUE"""),"NF")</f>
        <v>NF</v>
      </c>
      <c r="D15" s="483" t="str">
        <f>IFERROR(__xludf.DUMMYFUNCTION("""COMPUTED_VALUE"""),"CONVOCADO(A)")</f>
        <v>CONVOCADO(A)</v>
      </c>
      <c r="E15" s="483" t="str">
        <f>IFERROR(__xludf.DUMMYFUNCTION("""COMPUTED_VALUE"""),"HOMOLOGADO(A)")</f>
        <v>HOMOLOGADO(A)</v>
      </c>
      <c r="F15" s="483" t="str">
        <f>IFERROR(__xludf.DUMMYFUNCTION("""COMPUTED_VALUE"""),"GERÊNCIA")</f>
        <v>GERÊNCIA</v>
      </c>
      <c r="G15" s="472"/>
      <c r="H15" s="472"/>
      <c r="I15" s="472"/>
      <c r="J15" s="472"/>
      <c r="K15" s="472"/>
      <c r="L15" s="472"/>
      <c r="M15" s="472"/>
      <c r="N15" s="472"/>
      <c r="O15" s="472"/>
      <c r="P15" s="472"/>
      <c r="Q15" s="472"/>
      <c r="R15" s="472"/>
      <c r="S15" s="472"/>
      <c r="T15" s="472"/>
      <c r="U15" s="472"/>
      <c r="V15" s="472"/>
      <c r="W15" s="472"/>
      <c r="X15" s="472"/>
      <c r="Y15" s="472"/>
      <c r="Z15" s="472"/>
      <c r="AA15" s="472"/>
    </row>
    <row r="16" outlineLevel="1">
      <c r="A16" s="484">
        <f>IFERROR(__xludf.DUMMYFUNCTION("""COMPUTED_VALUE"""),9.13730092274E11)</f>
        <v>913730092274</v>
      </c>
      <c r="B16" s="485" t="str">
        <f>IFERROR(__xludf.DUMMYFUNCTION("""COMPUTED_VALUE"""),"ANTONIA SUELEN DA SILVA ALEXANDRE")</f>
        <v>ANTONIA SUELEN DA SILVA ALEXANDRE</v>
      </c>
      <c r="C16" s="486">
        <f>IFERROR(__xludf.DUMMYFUNCTION("""COMPUTED_VALUE"""),7.0)</f>
        <v>7</v>
      </c>
      <c r="D16" s="487"/>
      <c r="E16" s="486"/>
      <c r="F16" s="488"/>
      <c r="G16" s="472"/>
      <c r="H16" s="472"/>
      <c r="I16" s="472"/>
      <c r="J16" s="472"/>
      <c r="K16" s="472"/>
      <c r="L16" s="472"/>
      <c r="M16" s="472"/>
      <c r="N16" s="472"/>
      <c r="O16" s="472"/>
      <c r="P16" s="472"/>
      <c r="Q16" s="472"/>
      <c r="R16" s="472"/>
      <c r="S16" s="472"/>
      <c r="T16" s="472"/>
      <c r="U16" s="472"/>
      <c r="V16" s="472"/>
      <c r="W16" s="472"/>
      <c r="X16" s="472"/>
      <c r="Y16" s="472"/>
      <c r="Z16" s="472"/>
      <c r="AA16" s="472"/>
    </row>
    <row r="17" outlineLevel="1">
      <c r="A17" s="489">
        <f>IFERROR(__xludf.DUMMYFUNCTION("""COMPUTED_VALUE"""),2.98970093135E11)</f>
        <v>298970093135</v>
      </c>
      <c r="B17" s="490" t="str">
        <f>IFERROR(__xludf.DUMMYFUNCTION("""COMPUTED_VALUE"""),"ELISSANDRO DE SOUSA GOMES")</f>
        <v>ELISSANDRO DE SOUSA GOMES</v>
      </c>
      <c r="C17" s="491">
        <f>IFERROR(__xludf.DUMMYFUNCTION("""COMPUTED_VALUE"""),7.0)</f>
        <v>7</v>
      </c>
      <c r="D17" s="492"/>
      <c r="E17" s="493"/>
      <c r="F17" s="493"/>
      <c r="G17" s="472"/>
      <c r="H17" s="472"/>
      <c r="I17" s="472"/>
      <c r="J17" s="472"/>
      <c r="K17" s="472"/>
      <c r="L17" s="472"/>
      <c r="M17" s="472"/>
      <c r="N17" s="472"/>
      <c r="O17" s="472"/>
      <c r="P17" s="472"/>
      <c r="Q17" s="472"/>
      <c r="R17" s="472"/>
      <c r="S17" s="472"/>
      <c r="T17" s="472"/>
      <c r="U17" s="472"/>
      <c r="V17" s="472"/>
      <c r="W17" s="472"/>
      <c r="X17" s="472"/>
      <c r="Y17" s="472"/>
      <c r="Z17" s="472"/>
      <c r="AA17" s="472"/>
    </row>
    <row r="18">
      <c r="A18" s="472"/>
      <c r="B18" s="472"/>
      <c r="C18" s="472"/>
      <c r="D18" s="472"/>
      <c r="E18" s="472"/>
      <c r="F18" s="472"/>
      <c r="G18" s="472"/>
      <c r="H18" s="472"/>
      <c r="I18" s="472"/>
      <c r="J18" s="472"/>
      <c r="K18" s="472"/>
      <c r="L18" s="472"/>
      <c r="M18" s="472"/>
      <c r="N18" s="472"/>
      <c r="O18" s="472"/>
      <c r="P18" s="472"/>
      <c r="Q18" s="472"/>
      <c r="R18" s="472"/>
      <c r="S18" s="472"/>
      <c r="T18" s="472"/>
      <c r="U18" s="472"/>
      <c r="V18" s="472"/>
      <c r="W18" s="472"/>
      <c r="X18" s="472"/>
      <c r="Y18" s="472"/>
      <c r="Z18" s="472"/>
      <c r="AA18" s="472"/>
    </row>
    <row r="19">
      <c r="A19" s="475" t="str">
        <f>IFERROR(__xludf.DUMMYFUNCTION("IMPORTRANGE(""https://docs.google.com/spreadsheets/d/1bZfKD3fMqGkr4zlt8PWm8kvhnhcpEqpWdmEG9qrEuJk/edit?usp=sharing"",""ESPECIALIZAÇÃO!A2:F264"")"),"BOLSA DE PROFESSOR-VISITANTE - ESPECIALIZAÇÃO")</f>
        <v>BOLSA DE PROFESSOR-VISITANTE - ESPECIALIZAÇÃO</v>
      </c>
      <c r="B19" s="476"/>
      <c r="C19" s="476"/>
      <c r="D19" s="476"/>
      <c r="E19" s="476"/>
      <c r="F19" s="477"/>
      <c r="G19" s="472"/>
      <c r="H19" s="472"/>
      <c r="I19" s="472"/>
      <c r="J19" s="472"/>
      <c r="K19" s="472"/>
      <c r="L19" s="472"/>
      <c r="M19" s="472"/>
      <c r="N19" s="472"/>
      <c r="O19" s="472"/>
      <c r="P19" s="472"/>
      <c r="Q19" s="472"/>
      <c r="R19" s="472"/>
      <c r="S19" s="472"/>
      <c r="T19" s="472"/>
      <c r="U19" s="472"/>
      <c r="V19" s="472"/>
      <c r="W19" s="472"/>
      <c r="X19" s="472"/>
      <c r="Y19" s="472"/>
      <c r="Z19" s="472"/>
      <c r="AA19" s="472"/>
    </row>
    <row r="20">
      <c r="A20" s="478" t="str">
        <f>IFERROR(__xludf.DUMMYFUNCTION("""COMPUTED_VALUE"""),"I - ESP - VIGILÂNCIA EM SAÚDE")</f>
        <v>I - ESP - VIGILÂNCIA EM SAÚDE</v>
      </c>
      <c r="B20" s="479"/>
      <c r="C20" s="479"/>
      <c r="D20" s="479"/>
      <c r="E20" s="479"/>
      <c r="F20" s="480"/>
      <c r="G20" s="472"/>
      <c r="H20" s="472"/>
      <c r="I20" s="472"/>
      <c r="J20" s="472"/>
      <c r="K20" s="472"/>
      <c r="L20" s="472"/>
      <c r="M20" s="472"/>
      <c r="N20" s="472"/>
      <c r="O20" s="472"/>
      <c r="P20" s="472"/>
      <c r="Q20" s="472"/>
      <c r="R20" s="472"/>
      <c r="S20" s="472"/>
      <c r="T20" s="472"/>
      <c r="U20" s="472"/>
      <c r="V20" s="472"/>
      <c r="W20" s="472"/>
      <c r="X20" s="472"/>
      <c r="Y20" s="472"/>
      <c r="Z20" s="472"/>
      <c r="AA20" s="472"/>
    </row>
    <row r="21" outlineLevel="1">
      <c r="A21" s="481" t="str">
        <f>IFERROR(__xludf.DUMMYFUNCTION("""COMPUTED_VALUE"""),"INSCRIÇÃO")</f>
        <v>INSCRIÇÃO</v>
      </c>
      <c r="B21" s="482" t="str">
        <f>IFERROR(__xludf.DUMMYFUNCTION("""COMPUTED_VALUE"""),"CANDIDATOS")</f>
        <v>CANDIDATOS</v>
      </c>
      <c r="C21" s="481" t="str">
        <f>IFERROR(__xludf.DUMMYFUNCTION("""COMPUTED_VALUE"""),"NF")</f>
        <v>NF</v>
      </c>
      <c r="D21" s="483" t="str">
        <f>IFERROR(__xludf.DUMMYFUNCTION("""COMPUTED_VALUE"""),"CONVOCADO(A)")</f>
        <v>CONVOCADO(A)</v>
      </c>
      <c r="E21" s="483" t="str">
        <f>IFERROR(__xludf.DUMMYFUNCTION("""COMPUTED_VALUE"""),"HOMOLOGADO(A)")</f>
        <v>HOMOLOGADO(A)</v>
      </c>
      <c r="F21" s="483" t="str">
        <f>IFERROR(__xludf.DUMMYFUNCTION("""COMPUTED_VALUE"""),"GERÊNCIA")</f>
        <v>GERÊNCIA</v>
      </c>
      <c r="G21" s="472"/>
      <c r="H21" s="472"/>
      <c r="I21" s="472"/>
      <c r="J21" s="472"/>
      <c r="K21" s="472"/>
      <c r="L21" s="472"/>
      <c r="M21" s="472"/>
      <c r="N21" s="472"/>
      <c r="O21" s="472"/>
      <c r="P21" s="472"/>
      <c r="Q21" s="472"/>
      <c r="R21" s="472"/>
      <c r="S21" s="472"/>
      <c r="T21" s="472"/>
      <c r="U21" s="472"/>
      <c r="V21" s="472"/>
      <c r="W21" s="472"/>
      <c r="X21" s="472"/>
      <c r="Y21" s="472"/>
      <c r="Z21" s="472"/>
      <c r="AA21" s="472"/>
    </row>
    <row r="22" outlineLevel="1">
      <c r="A22" s="484">
        <f>IFERROR(__xludf.DUMMYFUNCTION("""COMPUTED_VALUE"""),2.53060089129E11)</f>
        <v>253060089129</v>
      </c>
      <c r="B22" s="485" t="str">
        <f>IFERROR(__xludf.DUMMYFUNCTION("""COMPUTED_VALUE"""),"LETICIA KELLY COSTA SILVA")</f>
        <v>LETICIA KELLY COSTA SILVA</v>
      </c>
      <c r="C22" s="486">
        <f>IFERROR(__xludf.DUMMYFUNCTION("""COMPUTED_VALUE"""),10.0)</f>
        <v>10</v>
      </c>
      <c r="D22" s="487" t="str">
        <f>IFERROR(__xludf.DUMMYFUNCTION("""COMPUTED_VALUE"""),"SIM")</f>
        <v>SIM</v>
      </c>
      <c r="E22" s="487" t="str">
        <f>IFERROR(__xludf.DUMMYFUNCTION("""COMPUTED_VALUE"""),"POSTERGOU")</f>
        <v>POSTERGOU</v>
      </c>
      <c r="F22" s="487" t="str">
        <f>IFERROR(__xludf.DUMMYFUNCTION("""COMPUTED_VALUE"""),"GEDUC")</f>
        <v>GEDUC</v>
      </c>
      <c r="G22" s="472"/>
      <c r="H22" s="472"/>
      <c r="I22" s="472"/>
      <c r="J22" s="472"/>
      <c r="K22" s="472"/>
      <c r="L22" s="472"/>
      <c r="M22" s="472"/>
      <c r="N22" s="472"/>
      <c r="O22" s="472"/>
      <c r="P22" s="472"/>
      <c r="Q22" s="472"/>
      <c r="R22" s="472"/>
      <c r="S22" s="472"/>
      <c r="T22" s="472"/>
      <c r="U22" s="472"/>
      <c r="V22" s="472"/>
      <c r="W22" s="472"/>
      <c r="X22" s="472"/>
      <c r="Y22" s="472"/>
      <c r="Z22" s="472"/>
      <c r="AA22" s="472"/>
    </row>
    <row r="23" outlineLevel="1">
      <c r="A23" s="484">
        <f>IFERROR(__xludf.DUMMYFUNCTION("""COMPUTED_VALUE"""),8.31169088648E11)</f>
        <v>831169088648</v>
      </c>
      <c r="B23" s="485" t="str">
        <f>IFERROR(__xludf.DUMMYFUNCTION("""COMPUTED_VALUE"""),"ANDREIA FARIAS EVANGELISTA")</f>
        <v>ANDREIA FARIAS EVANGELISTA</v>
      </c>
      <c r="C23" s="486">
        <f>IFERROR(__xludf.DUMMYFUNCTION("""COMPUTED_VALUE"""),9.0)</f>
        <v>9</v>
      </c>
      <c r="D23" s="487" t="str">
        <f>IFERROR(__xludf.DUMMYFUNCTION("""COMPUTED_VALUE"""),"SIM")</f>
        <v>SIM</v>
      </c>
      <c r="E23" s="486" t="str">
        <f>IFERROR(__xludf.DUMMYFUNCTION("""COMPUTED_VALUE"""),"SIM")</f>
        <v>SIM</v>
      </c>
      <c r="F23" s="486" t="str">
        <f>IFERROR(__xludf.DUMMYFUNCTION("""COMPUTED_VALUE"""),"GEDUC")</f>
        <v>GEDUC</v>
      </c>
      <c r="G23" s="472"/>
      <c r="H23" s="472"/>
      <c r="I23" s="472"/>
      <c r="J23" s="472"/>
      <c r="K23" s="472"/>
      <c r="L23" s="472"/>
      <c r="M23" s="472"/>
      <c r="N23" s="472"/>
      <c r="O23" s="472"/>
      <c r="P23" s="472"/>
      <c r="Q23" s="472"/>
      <c r="R23" s="472"/>
      <c r="S23" s="472"/>
      <c r="T23" s="472"/>
      <c r="U23" s="472"/>
      <c r="V23" s="472"/>
      <c r="W23" s="472"/>
      <c r="X23" s="472"/>
      <c r="Y23" s="472"/>
      <c r="Z23" s="472"/>
      <c r="AA23" s="472"/>
    </row>
    <row r="24" outlineLevel="1">
      <c r="A24" s="484">
        <f>IFERROR(__xludf.DUMMYFUNCTION("""COMPUTED_VALUE"""),8.29130092338E11)</f>
        <v>829130092338</v>
      </c>
      <c r="B24" s="485" t="str">
        <f>IFERROR(__xludf.DUMMYFUNCTION("""COMPUTED_VALUE"""),"ANNA KAROLINNE MORAIS E ARAUJO")</f>
        <v>ANNA KAROLINNE MORAIS E ARAUJO</v>
      </c>
      <c r="C24" s="486">
        <f>IFERROR(__xludf.DUMMYFUNCTION("""COMPUTED_VALUE"""),9.0)</f>
        <v>9</v>
      </c>
      <c r="D24" s="486" t="str">
        <f>IFERROR(__xludf.DUMMYFUNCTION("""COMPUTED_VALUE"""),"SIM")</f>
        <v>SIM</v>
      </c>
      <c r="E24" s="486" t="str">
        <f>IFERROR(__xludf.DUMMYFUNCTION("""COMPUTED_VALUE"""),"SIM")</f>
        <v>SIM</v>
      </c>
      <c r="F24" s="486" t="str">
        <f>IFERROR(__xludf.DUMMYFUNCTION("""COMPUTED_VALUE"""),"GEDUC")</f>
        <v>GEDUC</v>
      </c>
      <c r="G24" s="472"/>
      <c r="H24" s="472"/>
      <c r="I24" s="472"/>
      <c r="J24" s="472"/>
      <c r="K24" s="472"/>
      <c r="L24" s="472"/>
      <c r="M24" s="472"/>
      <c r="N24" s="472"/>
      <c r="O24" s="472"/>
      <c r="P24" s="472"/>
      <c r="Q24" s="472"/>
      <c r="R24" s="472"/>
      <c r="S24" s="472"/>
      <c r="T24" s="472"/>
      <c r="U24" s="472"/>
      <c r="V24" s="472"/>
      <c r="W24" s="472"/>
      <c r="X24" s="472"/>
      <c r="Y24" s="472"/>
      <c r="Z24" s="472"/>
      <c r="AA24" s="472"/>
    </row>
    <row r="25" outlineLevel="1">
      <c r="A25" s="484">
        <f>IFERROR(__xludf.DUMMYFUNCTION("""COMPUTED_VALUE"""),9.27386090218E11)</f>
        <v>927386090218</v>
      </c>
      <c r="B25" s="485" t="str">
        <f>IFERROR(__xludf.DUMMYFUNCTION("""COMPUTED_VALUE"""),"CARLA VASCONCELOS FREITAS")</f>
        <v>CARLA VASCONCELOS FREITAS</v>
      </c>
      <c r="C25" s="486">
        <f>IFERROR(__xludf.DUMMYFUNCTION("""COMPUTED_VALUE"""),8.0)</f>
        <v>8</v>
      </c>
      <c r="D25" s="486" t="str">
        <f>IFERROR(__xludf.DUMMYFUNCTION("""COMPUTED_VALUE"""),"SIM")</f>
        <v>SIM</v>
      </c>
      <c r="E25" s="486" t="str">
        <f>IFERROR(__xludf.DUMMYFUNCTION("""COMPUTED_VALUE"""),"POSTERGOU")</f>
        <v>POSTERGOU</v>
      </c>
      <c r="F25" s="486" t="str">
        <f>IFERROR(__xludf.DUMMYFUNCTION("""COMPUTED_VALUE"""),"GEDUC")</f>
        <v>GEDUC</v>
      </c>
      <c r="G25" s="472"/>
      <c r="H25" s="472"/>
      <c r="I25" s="472"/>
      <c r="J25" s="472"/>
      <c r="K25" s="472"/>
      <c r="L25" s="472"/>
      <c r="M25" s="472"/>
      <c r="N25" s="472"/>
      <c r="O25" s="472"/>
      <c r="P25" s="472"/>
      <c r="Q25" s="472"/>
      <c r="R25" s="472"/>
      <c r="S25" s="472"/>
      <c r="T25" s="472"/>
      <c r="U25" s="472"/>
      <c r="V25" s="472"/>
      <c r="W25" s="472"/>
      <c r="X25" s="472"/>
      <c r="Y25" s="472"/>
      <c r="Z25" s="472"/>
      <c r="AA25" s="472"/>
    </row>
    <row r="26" outlineLevel="1">
      <c r="A26" s="484">
        <f>IFERROR(__xludf.DUMMYFUNCTION("""COMPUTED_VALUE"""),7.52940090283E11)</f>
        <v>752940090283</v>
      </c>
      <c r="B26" s="485" t="str">
        <f>IFERROR(__xludf.DUMMYFUNCTION("""COMPUTED_VALUE"""),"ARMINDA EVANGELISTA DE MORAES GUEDES")</f>
        <v>ARMINDA EVANGELISTA DE MORAES GUEDES</v>
      </c>
      <c r="C26" s="486">
        <f>IFERROR(__xludf.DUMMYFUNCTION("""COMPUTED_VALUE"""),8.0)</f>
        <v>8</v>
      </c>
      <c r="D26" s="486"/>
      <c r="E26" s="486"/>
      <c r="F26" s="486"/>
      <c r="G26" s="472"/>
      <c r="H26" s="472"/>
      <c r="I26" s="472"/>
      <c r="J26" s="472"/>
      <c r="K26" s="472"/>
      <c r="L26" s="472"/>
      <c r="M26" s="472"/>
      <c r="N26" s="472"/>
      <c r="O26" s="472"/>
      <c r="P26" s="472"/>
      <c r="Q26" s="472"/>
      <c r="R26" s="472"/>
      <c r="S26" s="472"/>
      <c r="T26" s="472"/>
      <c r="U26" s="472"/>
      <c r="V26" s="472"/>
      <c r="W26" s="472"/>
      <c r="X26" s="472"/>
      <c r="Y26" s="472"/>
      <c r="Z26" s="472"/>
      <c r="AA26" s="472"/>
    </row>
    <row r="27" outlineLevel="1">
      <c r="A27" s="484">
        <f>IFERROR(__xludf.DUMMYFUNCTION("""COMPUTED_VALUE"""),8.2295009238E11)</f>
        <v>822950092380</v>
      </c>
      <c r="B27" s="485" t="str">
        <f>IFERROR(__xludf.DUMMYFUNCTION("""COMPUTED_VALUE"""),"MARIA VIVIANNE NASCIMENTO ALBUQUERQUE")</f>
        <v>MARIA VIVIANNE NASCIMENTO ALBUQUERQUE</v>
      </c>
      <c r="C27" s="486">
        <f>IFERROR(__xludf.DUMMYFUNCTION("""COMPUTED_VALUE"""),8.0)</f>
        <v>8</v>
      </c>
      <c r="D27" s="487"/>
      <c r="E27" s="486"/>
      <c r="F27" s="486"/>
      <c r="G27" s="472"/>
      <c r="H27" s="472"/>
      <c r="I27" s="472"/>
      <c r="J27" s="472"/>
      <c r="K27" s="472"/>
      <c r="L27" s="472"/>
      <c r="M27" s="472"/>
      <c r="N27" s="472"/>
      <c r="O27" s="472"/>
      <c r="P27" s="472"/>
      <c r="Q27" s="472"/>
      <c r="R27" s="472"/>
      <c r="S27" s="472"/>
      <c r="T27" s="472"/>
      <c r="U27" s="472"/>
      <c r="V27" s="472"/>
      <c r="W27" s="472"/>
      <c r="X27" s="472"/>
      <c r="Y27" s="472"/>
      <c r="Z27" s="472"/>
      <c r="AA27" s="472"/>
    </row>
    <row r="28" outlineLevel="1">
      <c r="A28" s="484">
        <f>IFERROR(__xludf.DUMMYFUNCTION("""COMPUTED_VALUE"""),1.3926009174E11)</f>
        <v>139260091740</v>
      </c>
      <c r="B28" s="485" t="str">
        <f>IFERROR(__xludf.DUMMYFUNCTION("""COMPUTED_VALUE"""),"ANDRESSA LIMA ALVES")</f>
        <v>ANDRESSA LIMA ALVES</v>
      </c>
      <c r="C28" s="486">
        <f>IFERROR(__xludf.DUMMYFUNCTION("""COMPUTED_VALUE"""),8.0)</f>
        <v>8</v>
      </c>
      <c r="D28" s="486"/>
      <c r="E28" s="486"/>
      <c r="F28" s="486"/>
      <c r="G28" s="472"/>
      <c r="H28" s="472"/>
      <c r="I28" s="472"/>
      <c r="J28" s="472"/>
      <c r="K28" s="472"/>
      <c r="L28" s="472"/>
      <c r="M28" s="472"/>
      <c r="N28" s="472"/>
      <c r="O28" s="472"/>
      <c r="P28" s="472"/>
      <c r="Q28" s="472"/>
      <c r="R28" s="472"/>
      <c r="S28" s="472"/>
      <c r="T28" s="472"/>
      <c r="U28" s="472"/>
      <c r="V28" s="472"/>
      <c r="W28" s="472"/>
      <c r="X28" s="472"/>
      <c r="Y28" s="472"/>
      <c r="Z28" s="472"/>
      <c r="AA28" s="472"/>
    </row>
    <row r="29" outlineLevel="1">
      <c r="A29" s="484">
        <f>IFERROR(__xludf.DUMMYFUNCTION("""COMPUTED_VALUE"""),8.66302091864E11)</f>
        <v>866302091864</v>
      </c>
      <c r="B29" s="485" t="str">
        <f>IFERROR(__xludf.DUMMYFUNCTION("""COMPUTED_VALUE"""),"MADALENA ISABEL COELHO BARROSO BEZERRA")</f>
        <v>MADALENA ISABEL COELHO BARROSO BEZERRA</v>
      </c>
      <c r="C29" s="486">
        <f>IFERROR(__xludf.DUMMYFUNCTION("""COMPUTED_VALUE"""),7.5)</f>
        <v>7.5</v>
      </c>
      <c r="D29" s="486"/>
      <c r="E29" s="486"/>
      <c r="F29" s="486"/>
      <c r="G29" s="472"/>
      <c r="H29" s="472"/>
      <c r="I29" s="472"/>
      <c r="J29" s="472"/>
      <c r="K29" s="472"/>
      <c r="L29" s="472"/>
      <c r="M29" s="472"/>
      <c r="N29" s="472"/>
      <c r="O29" s="472"/>
      <c r="P29" s="472"/>
      <c r="Q29" s="472"/>
      <c r="R29" s="472"/>
      <c r="S29" s="472"/>
      <c r="T29" s="472"/>
      <c r="U29" s="472"/>
      <c r="V29" s="472"/>
      <c r="W29" s="472"/>
      <c r="X29" s="472"/>
      <c r="Y29" s="472"/>
      <c r="Z29" s="472"/>
      <c r="AA29" s="472"/>
    </row>
    <row r="30" outlineLevel="1">
      <c r="A30" s="484">
        <f>IFERROR(__xludf.DUMMYFUNCTION("""COMPUTED_VALUE"""),9.95516088583E11)</f>
        <v>995516088583</v>
      </c>
      <c r="B30" s="485" t="str">
        <f>IFERROR(__xludf.DUMMYFUNCTION("""COMPUTED_VALUE"""),"TATIANA CISNE SOUZA")</f>
        <v>TATIANA CISNE SOUZA</v>
      </c>
      <c r="C30" s="486">
        <f>IFERROR(__xludf.DUMMYFUNCTION("""COMPUTED_VALUE"""),7.5)</f>
        <v>7.5</v>
      </c>
      <c r="D30" s="486"/>
      <c r="E30" s="486"/>
      <c r="F30" s="486"/>
      <c r="G30" s="472"/>
      <c r="H30" s="472"/>
      <c r="I30" s="472"/>
      <c r="J30" s="472"/>
      <c r="K30" s="472"/>
      <c r="L30" s="472"/>
      <c r="M30" s="472"/>
      <c r="N30" s="472"/>
      <c r="O30" s="472"/>
      <c r="P30" s="472"/>
      <c r="Q30" s="472"/>
      <c r="R30" s="472"/>
      <c r="S30" s="472"/>
      <c r="T30" s="472"/>
      <c r="U30" s="472"/>
      <c r="V30" s="472"/>
      <c r="W30" s="472"/>
      <c r="X30" s="472"/>
      <c r="Y30" s="472"/>
      <c r="Z30" s="472"/>
      <c r="AA30" s="472"/>
    </row>
    <row r="31" outlineLevel="1">
      <c r="A31" s="494">
        <f>IFERROR(__xludf.DUMMYFUNCTION("""COMPUTED_VALUE"""),1.2300093247E10)</f>
        <v>12300093247</v>
      </c>
      <c r="B31" s="485" t="str">
        <f>IFERROR(__xludf.DUMMYFUNCTION("""COMPUTED_VALUE"""),"MABELL KALLYNE MELO BESERRA")</f>
        <v>MABELL KALLYNE MELO BESERRA</v>
      </c>
      <c r="C31" s="486">
        <f>IFERROR(__xludf.DUMMYFUNCTION("""COMPUTED_VALUE"""),7.5)</f>
        <v>7.5</v>
      </c>
      <c r="D31" s="487"/>
      <c r="E31" s="486"/>
      <c r="F31" s="486"/>
      <c r="G31" s="472"/>
      <c r="H31" s="472"/>
      <c r="I31" s="472"/>
      <c r="J31" s="472"/>
      <c r="K31" s="472"/>
      <c r="L31" s="472"/>
      <c r="M31" s="472"/>
      <c r="N31" s="472"/>
      <c r="O31" s="472"/>
      <c r="P31" s="472"/>
      <c r="Q31" s="472"/>
      <c r="R31" s="472"/>
      <c r="S31" s="472"/>
      <c r="T31" s="472"/>
      <c r="U31" s="472"/>
      <c r="V31" s="472"/>
      <c r="W31" s="472"/>
      <c r="X31" s="472"/>
      <c r="Y31" s="472"/>
      <c r="Z31" s="472"/>
      <c r="AA31" s="472"/>
    </row>
    <row r="32" outlineLevel="1">
      <c r="A32" s="484">
        <f>IFERROR(__xludf.DUMMYFUNCTION("""COMPUTED_VALUE"""),8.84553090521E11)</f>
        <v>884553090521</v>
      </c>
      <c r="B32" s="485" t="str">
        <f>IFERROR(__xludf.DUMMYFUNCTION("""COMPUTED_VALUE"""),"FRANCILETE VIANA GOMES")</f>
        <v>FRANCILETE VIANA GOMES</v>
      </c>
      <c r="C32" s="486">
        <f>IFERROR(__xludf.DUMMYFUNCTION("""COMPUTED_VALUE"""),7.0)</f>
        <v>7</v>
      </c>
      <c r="D32" s="486"/>
      <c r="E32" s="486"/>
      <c r="F32" s="486"/>
      <c r="G32" s="472"/>
      <c r="H32" s="472"/>
      <c r="I32" s="472"/>
      <c r="J32" s="472"/>
      <c r="K32" s="472"/>
      <c r="L32" s="472"/>
      <c r="M32" s="472"/>
      <c r="N32" s="472"/>
      <c r="O32" s="472"/>
      <c r="P32" s="472"/>
      <c r="Q32" s="472"/>
      <c r="R32" s="472"/>
      <c r="S32" s="472"/>
      <c r="T32" s="472"/>
      <c r="U32" s="472"/>
      <c r="V32" s="472"/>
      <c r="W32" s="472"/>
      <c r="X32" s="472"/>
      <c r="Y32" s="472"/>
      <c r="Z32" s="472"/>
      <c r="AA32" s="472"/>
    </row>
    <row r="33" outlineLevel="1">
      <c r="A33" s="484">
        <f>IFERROR(__xludf.DUMMYFUNCTION("""COMPUTED_VALUE"""),7.55979093186E11)</f>
        <v>755979093186</v>
      </c>
      <c r="B33" s="485" t="str">
        <f>IFERROR(__xludf.DUMMYFUNCTION("""COMPUTED_VALUE"""),"RAQUEL MARTINS MORORÓ")</f>
        <v>RAQUEL MARTINS MORORÓ</v>
      </c>
      <c r="C33" s="486">
        <f>IFERROR(__xludf.DUMMYFUNCTION("""COMPUTED_VALUE"""),7.0)</f>
        <v>7</v>
      </c>
      <c r="D33" s="486"/>
      <c r="E33" s="486"/>
      <c r="F33" s="486"/>
      <c r="G33" s="472"/>
      <c r="H33" s="472"/>
      <c r="I33" s="472"/>
      <c r="J33" s="472"/>
      <c r="K33" s="472"/>
      <c r="L33" s="472"/>
      <c r="M33" s="472"/>
      <c r="N33" s="472"/>
      <c r="O33" s="472"/>
      <c r="P33" s="472"/>
      <c r="Q33" s="472"/>
      <c r="R33" s="472"/>
      <c r="S33" s="472"/>
      <c r="T33" s="472"/>
      <c r="U33" s="472"/>
      <c r="V33" s="472"/>
      <c r="W33" s="472"/>
      <c r="X33" s="472"/>
      <c r="Y33" s="472"/>
      <c r="Z33" s="472"/>
      <c r="AA33" s="472"/>
    </row>
    <row r="34" outlineLevel="1">
      <c r="A34" s="484">
        <f>IFERROR(__xludf.DUMMYFUNCTION("""COMPUTED_VALUE"""),8.11130092733E11)</f>
        <v>811130092733</v>
      </c>
      <c r="B34" s="485" t="str">
        <f>IFERROR(__xludf.DUMMYFUNCTION("""COMPUTED_VALUE"""),"CICERA LUANA DE LIMA TEIXEIRA")</f>
        <v>CICERA LUANA DE LIMA TEIXEIRA</v>
      </c>
      <c r="C34" s="486">
        <f>IFERROR(__xludf.DUMMYFUNCTION("""COMPUTED_VALUE"""),7.0)</f>
        <v>7</v>
      </c>
      <c r="D34" s="487"/>
      <c r="E34" s="486"/>
      <c r="F34" s="486"/>
      <c r="G34" s="472"/>
      <c r="H34" s="472"/>
      <c r="I34" s="472"/>
      <c r="J34" s="472"/>
      <c r="K34" s="472"/>
      <c r="L34" s="472"/>
      <c r="M34" s="472"/>
      <c r="N34" s="472"/>
      <c r="O34" s="472"/>
      <c r="P34" s="472"/>
      <c r="Q34" s="472"/>
      <c r="R34" s="472"/>
      <c r="S34" s="472"/>
      <c r="T34" s="472"/>
      <c r="U34" s="472"/>
      <c r="V34" s="472"/>
      <c r="W34" s="472"/>
      <c r="X34" s="472"/>
      <c r="Y34" s="472"/>
      <c r="Z34" s="472"/>
      <c r="AA34" s="472"/>
    </row>
    <row r="35" outlineLevel="1">
      <c r="A35" s="484">
        <f>IFERROR(__xludf.DUMMYFUNCTION("""COMPUTED_VALUE"""),7.02740088682E11)</f>
        <v>702740088682</v>
      </c>
      <c r="B35" s="485" t="str">
        <f>IFERROR(__xludf.DUMMYFUNCTION("""COMPUTED_VALUE"""),"SAMARA ASSUNÇÃO LIMA")</f>
        <v>SAMARA ASSUNÇÃO LIMA</v>
      </c>
      <c r="C35" s="486">
        <f>IFERROR(__xludf.DUMMYFUNCTION("""COMPUTED_VALUE"""),7.0)</f>
        <v>7</v>
      </c>
      <c r="D35" s="486"/>
      <c r="E35" s="486"/>
      <c r="F35" s="486"/>
      <c r="G35" s="472"/>
      <c r="H35" s="472"/>
      <c r="I35" s="472"/>
      <c r="J35" s="472"/>
      <c r="K35" s="472"/>
      <c r="L35" s="472"/>
      <c r="M35" s="472"/>
      <c r="N35" s="472"/>
      <c r="O35" s="472"/>
      <c r="P35" s="472"/>
      <c r="Q35" s="472"/>
      <c r="R35" s="472"/>
      <c r="S35" s="472"/>
      <c r="T35" s="472"/>
      <c r="U35" s="472"/>
      <c r="V35" s="472"/>
      <c r="W35" s="472"/>
      <c r="X35" s="472"/>
      <c r="Y35" s="472"/>
      <c r="Z35" s="472"/>
      <c r="AA35" s="472"/>
    </row>
    <row r="36" outlineLevel="1">
      <c r="A36" s="484">
        <f>IFERROR(__xludf.DUMMYFUNCTION("""COMPUTED_VALUE"""),8.03120091297E11)</f>
        <v>803120091297</v>
      </c>
      <c r="B36" s="485" t="str">
        <f>IFERROR(__xludf.DUMMYFUNCTION("""COMPUTED_VALUE"""),"FRANKLIN LUIS OLIVEIRA MARTINS")</f>
        <v>FRANKLIN LUIS OLIVEIRA MARTINS</v>
      </c>
      <c r="C36" s="486">
        <f>IFERROR(__xludf.DUMMYFUNCTION("""COMPUTED_VALUE"""),6.5)</f>
        <v>6.5</v>
      </c>
      <c r="D36" s="486"/>
      <c r="E36" s="486"/>
      <c r="F36" s="486"/>
      <c r="G36" s="472"/>
      <c r="H36" s="472"/>
      <c r="I36" s="472"/>
      <c r="J36" s="472"/>
      <c r="K36" s="472"/>
      <c r="L36" s="472"/>
      <c r="M36" s="472"/>
      <c r="N36" s="472"/>
      <c r="O36" s="472"/>
      <c r="P36" s="472"/>
      <c r="Q36" s="472"/>
      <c r="R36" s="472"/>
      <c r="S36" s="472"/>
      <c r="T36" s="472"/>
      <c r="U36" s="472"/>
      <c r="V36" s="472"/>
      <c r="W36" s="472"/>
      <c r="X36" s="472"/>
      <c r="Y36" s="472"/>
      <c r="Z36" s="472"/>
      <c r="AA36" s="472"/>
    </row>
    <row r="37" outlineLevel="1">
      <c r="A37" s="484">
        <f>IFERROR(__xludf.DUMMYFUNCTION("""COMPUTED_VALUE"""),1.72200090161E11)</f>
        <v>172200090161</v>
      </c>
      <c r="B37" s="485" t="str">
        <f>IFERROR(__xludf.DUMMYFUNCTION("""COMPUTED_VALUE"""),"MARIA VILANI DE MATOS")</f>
        <v>MARIA VILANI DE MATOS</v>
      </c>
      <c r="C37" s="486">
        <f>IFERROR(__xludf.DUMMYFUNCTION("""COMPUTED_VALUE"""),6.5)</f>
        <v>6.5</v>
      </c>
      <c r="D37" s="486"/>
      <c r="E37" s="486"/>
      <c r="F37" s="486"/>
      <c r="G37" s="472"/>
      <c r="H37" s="472"/>
      <c r="I37" s="472"/>
      <c r="J37" s="472"/>
      <c r="K37" s="472"/>
      <c r="L37" s="472"/>
      <c r="M37" s="472"/>
      <c r="N37" s="472"/>
      <c r="O37" s="472"/>
      <c r="P37" s="472"/>
      <c r="Q37" s="472"/>
      <c r="R37" s="472"/>
      <c r="S37" s="472"/>
      <c r="T37" s="472"/>
      <c r="U37" s="472"/>
      <c r="V37" s="472"/>
      <c r="W37" s="472"/>
      <c r="X37" s="472"/>
      <c r="Y37" s="472"/>
      <c r="Z37" s="472"/>
      <c r="AA37" s="472"/>
    </row>
    <row r="38" outlineLevel="1">
      <c r="A38" s="484">
        <f>IFERROR(__xludf.DUMMYFUNCTION("""COMPUTED_VALUE"""),9.80450093474E11)</f>
        <v>980450093474</v>
      </c>
      <c r="B38" s="485" t="str">
        <f>IFERROR(__xludf.DUMMYFUNCTION("""COMPUTED_VALUE"""),"NICOLE SILVA FRANÇA")</f>
        <v>NICOLE SILVA FRANÇA</v>
      </c>
      <c r="C38" s="486">
        <f>IFERROR(__xludf.DUMMYFUNCTION("""COMPUTED_VALUE"""),6.5)</f>
        <v>6.5</v>
      </c>
      <c r="D38" s="486"/>
      <c r="E38" s="486"/>
      <c r="F38" s="486"/>
      <c r="G38" s="472"/>
      <c r="H38" s="472"/>
      <c r="I38" s="472"/>
      <c r="J38" s="472"/>
      <c r="K38" s="472"/>
      <c r="L38" s="472"/>
      <c r="M38" s="472"/>
      <c r="N38" s="472"/>
      <c r="O38" s="472"/>
      <c r="P38" s="472"/>
      <c r="Q38" s="472"/>
      <c r="R38" s="472"/>
      <c r="S38" s="472"/>
      <c r="T38" s="472"/>
      <c r="U38" s="472"/>
      <c r="V38" s="472"/>
      <c r="W38" s="472"/>
      <c r="X38" s="472"/>
      <c r="Y38" s="472"/>
      <c r="Z38" s="472"/>
      <c r="AA38" s="472"/>
    </row>
    <row r="39" outlineLevel="1">
      <c r="A39" s="484">
        <f>IFERROR(__xludf.DUMMYFUNCTION("""COMPUTED_VALUE"""),5.88164093199E11)</f>
        <v>588164093199</v>
      </c>
      <c r="B39" s="485" t="str">
        <f>IFERROR(__xludf.DUMMYFUNCTION("""COMPUTED_VALUE"""),"CRISTIANO TAVARES BESSA")</f>
        <v>CRISTIANO TAVARES BESSA</v>
      </c>
      <c r="C39" s="486">
        <f>IFERROR(__xludf.DUMMYFUNCTION("""COMPUTED_VALUE"""),6.0)</f>
        <v>6</v>
      </c>
      <c r="D39" s="487"/>
      <c r="E39" s="486"/>
      <c r="F39" s="486"/>
      <c r="G39" s="472"/>
      <c r="H39" s="472"/>
      <c r="I39" s="472"/>
      <c r="J39" s="472"/>
      <c r="K39" s="472"/>
      <c r="L39" s="472"/>
      <c r="M39" s="472"/>
      <c r="N39" s="472"/>
      <c r="O39" s="472"/>
      <c r="P39" s="472"/>
      <c r="Q39" s="472"/>
      <c r="R39" s="472"/>
      <c r="S39" s="472"/>
      <c r="T39" s="472"/>
      <c r="U39" s="472"/>
      <c r="V39" s="472"/>
      <c r="W39" s="472"/>
      <c r="X39" s="472"/>
      <c r="Y39" s="472"/>
      <c r="Z39" s="472"/>
      <c r="AA39" s="472"/>
    </row>
    <row r="40" outlineLevel="1">
      <c r="A40" s="484">
        <f>IFERROR(__xludf.DUMMYFUNCTION("""COMPUTED_VALUE"""),6.7251109104E11)</f>
        <v>672511091040</v>
      </c>
      <c r="B40" s="485" t="str">
        <f>IFERROR(__xludf.DUMMYFUNCTION("""COMPUTED_VALUE"""),"LUCIANA CRISTINA DINIZ FERREIRA DE GODOY")</f>
        <v>LUCIANA CRISTINA DINIZ FERREIRA DE GODOY</v>
      </c>
      <c r="C40" s="486">
        <f>IFERROR(__xludf.DUMMYFUNCTION("""COMPUTED_VALUE"""),6.0)</f>
        <v>6</v>
      </c>
      <c r="D40" s="486"/>
      <c r="E40" s="486"/>
      <c r="F40" s="486"/>
      <c r="G40" s="472"/>
      <c r="H40" s="472"/>
      <c r="I40" s="472"/>
      <c r="J40" s="472"/>
      <c r="K40" s="472"/>
      <c r="L40" s="472"/>
      <c r="M40" s="472"/>
      <c r="N40" s="472"/>
      <c r="O40" s="472"/>
      <c r="P40" s="472"/>
      <c r="Q40" s="472"/>
      <c r="R40" s="472"/>
      <c r="S40" s="472"/>
      <c r="T40" s="472"/>
      <c r="U40" s="472"/>
      <c r="V40" s="472"/>
      <c r="W40" s="472"/>
      <c r="X40" s="472"/>
      <c r="Y40" s="472"/>
      <c r="Z40" s="472"/>
      <c r="AA40" s="472"/>
    </row>
    <row r="41" outlineLevel="1">
      <c r="A41" s="484">
        <f>IFERROR(__xludf.DUMMYFUNCTION("""COMPUTED_VALUE"""),4.81467089351E11)</f>
        <v>481467089351</v>
      </c>
      <c r="B41" s="485" t="str">
        <f>IFERROR(__xludf.DUMMYFUNCTION("""COMPUTED_VALUE"""),"SUZIANE FRANCO DE SOUSA MARTINS")</f>
        <v>SUZIANE FRANCO DE SOUSA MARTINS</v>
      </c>
      <c r="C41" s="486">
        <f>IFERROR(__xludf.DUMMYFUNCTION("""COMPUTED_VALUE"""),6.0)</f>
        <v>6</v>
      </c>
      <c r="D41" s="486"/>
      <c r="E41" s="486"/>
      <c r="F41" s="486"/>
      <c r="G41" s="472"/>
      <c r="H41" s="472"/>
      <c r="I41" s="472"/>
      <c r="J41" s="472"/>
      <c r="K41" s="472"/>
      <c r="L41" s="472"/>
      <c r="M41" s="472"/>
      <c r="N41" s="472"/>
      <c r="O41" s="472"/>
      <c r="P41" s="472"/>
      <c r="Q41" s="472"/>
      <c r="R41" s="472"/>
      <c r="S41" s="472"/>
      <c r="T41" s="472"/>
      <c r="U41" s="472"/>
      <c r="V41" s="472"/>
      <c r="W41" s="472"/>
      <c r="X41" s="472"/>
      <c r="Y41" s="472"/>
      <c r="Z41" s="472"/>
      <c r="AA41" s="472"/>
    </row>
    <row r="42" outlineLevel="1">
      <c r="A42" s="484">
        <f>IFERROR(__xludf.DUMMYFUNCTION("""COMPUTED_VALUE"""),3.48608090282E11)</f>
        <v>348608090282</v>
      </c>
      <c r="B42" s="485" t="str">
        <f>IFERROR(__xludf.DUMMYFUNCTION("""COMPUTED_VALUE"""),"ROBSON REURIS MAIA ANDRADE")</f>
        <v>ROBSON REURIS MAIA ANDRADE</v>
      </c>
      <c r="C42" s="486">
        <f>IFERROR(__xludf.DUMMYFUNCTION("""COMPUTED_VALUE"""),6.0)</f>
        <v>6</v>
      </c>
      <c r="D42" s="486"/>
      <c r="E42" s="486"/>
      <c r="F42" s="486"/>
      <c r="G42" s="472"/>
      <c r="H42" s="472"/>
      <c r="I42" s="472"/>
      <c r="J42" s="472"/>
      <c r="K42" s="472"/>
      <c r="L42" s="472"/>
      <c r="M42" s="472"/>
      <c r="N42" s="472"/>
      <c r="O42" s="472"/>
      <c r="P42" s="472"/>
      <c r="Q42" s="472"/>
      <c r="R42" s="472"/>
      <c r="S42" s="472"/>
      <c r="T42" s="472"/>
      <c r="U42" s="472"/>
      <c r="V42" s="472"/>
      <c r="W42" s="472"/>
      <c r="X42" s="472"/>
      <c r="Y42" s="472"/>
      <c r="Z42" s="472"/>
      <c r="AA42" s="472"/>
    </row>
    <row r="43" outlineLevel="1">
      <c r="A43" s="484">
        <f>IFERROR(__xludf.DUMMYFUNCTION("""COMPUTED_VALUE"""),6.33838089429E11)</f>
        <v>633838089429</v>
      </c>
      <c r="B43" s="485" t="str">
        <f>IFERROR(__xludf.DUMMYFUNCTION("""COMPUTED_VALUE"""),"ALEXANDRE SOUZA BARROS")</f>
        <v>ALEXANDRE SOUZA BARROS</v>
      </c>
      <c r="C43" s="486">
        <f>IFERROR(__xludf.DUMMYFUNCTION("""COMPUTED_VALUE"""),6.0)</f>
        <v>6</v>
      </c>
      <c r="D43" s="486"/>
      <c r="E43" s="486"/>
      <c r="F43" s="486"/>
      <c r="G43" s="472"/>
      <c r="H43" s="472"/>
      <c r="I43" s="472"/>
      <c r="J43" s="472"/>
      <c r="K43" s="472"/>
      <c r="L43" s="472"/>
      <c r="M43" s="472"/>
      <c r="N43" s="472"/>
      <c r="O43" s="472"/>
      <c r="P43" s="472"/>
      <c r="Q43" s="472"/>
      <c r="R43" s="472"/>
      <c r="S43" s="472"/>
      <c r="T43" s="472"/>
      <c r="U43" s="472"/>
      <c r="V43" s="472"/>
      <c r="W43" s="472"/>
      <c r="X43" s="472"/>
      <c r="Y43" s="472"/>
      <c r="Z43" s="472"/>
      <c r="AA43" s="472"/>
    </row>
    <row r="44" outlineLevel="1">
      <c r="A44" s="484">
        <f>IFERROR(__xludf.DUMMYFUNCTION("""COMPUTED_VALUE"""),5.44720088651E11)</f>
        <v>544720088651</v>
      </c>
      <c r="B44" s="485" t="str">
        <f>IFERROR(__xludf.DUMMYFUNCTION("""COMPUTED_VALUE"""),"BRUNA MAGDA MENDES DIAS")</f>
        <v>BRUNA MAGDA MENDES DIAS</v>
      </c>
      <c r="C44" s="486">
        <f>IFERROR(__xludf.DUMMYFUNCTION("""COMPUTED_VALUE"""),6.0)</f>
        <v>6</v>
      </c>
      <c r="D44" s="486"/>
      <c r="E44" s="486"/>
      <c r="F44" s="486"/>
      <c r="G44" s="472"/>
      <c r="H44" s="472"/>
      <c r="I44" s="472"/>
      <c r="J44" s="472"/>
      <c r="K44" s="472"/>
      <c r="L44" s="472"/>
      <c r="M44" s="472"/>
      <c r="N44" s="472"/>
      <c r="O44" s="472"/>
      <c r="P44" s="472"/>
      <c r="Q44" s="472"/>
      <c r="R44" s="472"/>
      <c r="S44" s="472"/>
      <c r="T44" s="472"/>
      <c r="U44" s="472"/>
      <c r="V44" s="472"/>
      <c r="W44" s="472"/>
      <c r="X44" s="472"/>
      <c r="Y44" s="472"/>
      <c r="Z44" s="472"/>
      <c r="AA44" s="472"/>
    </row>
    <row r="45" outlineLevel="1">
      <c r="A45" s="484">
        <f>IFERROR(__xludf.DUMMYFUNCTION("""COMPUTED_VALUE"""),4.70530091703E11)</f>
        <v>470530091703</v>
      </c>
      <c r="B45" s="485" t="str">
        <f>IFERROR(__xludf.DUMMYFUNCTION("""COMPUTED_VALUE"""),"GLAUBÊNIA GOMES DOS SANTOS")</f>
        <v>GLAUBÊNIA GOMES DOS SANTOS</v>
      </c>
      <c r="C45" s="486">
        <f>IFERROR(__xludf.DUMMYFUNCTION("""COMPUTED_VALUE"""),6.0)</f>
        <v>6</v>
      </c>
      <c r="D45" s="486"/>
      <c r="E45" s="486"/>
      <c r="F45" s="486"/>
      <c r="G45" s="472"/>
      <c r="H45" s="472"/>
      <c r="I45" s="472"/>
      <c r="J45" s="472"/>
      <c r="K45" s="472"/>
      <c r="L45" s="472"/>
      <c r="M45" s="472"/>
      <c r="N45" s="472"/>
      <c r="O45" s="472"/>
      <c r="P45" s="472"/>
      <c r="Q45" s="472"/>
      <c r="R45" s="472"/>
      <c r="S45" s="472"/>
      <c r="T45" s="472"/>
      <c r="U45" s="472"/>
      <c r="V45" s="472"/>
      <c r="W45" s="472"/>
      <c r="X45" s="472"/>
      <c r="Y45" s="472"/>
      <c r="Z45" s="472"/>
      <c r="AA45" s="472"/>
    </row>
    <row r="46" outlineLevel="1">
      <c r="A46" s="484">
        <f>IFERROR(__xludf.DUMMYFUNCTION("""COMPUTED_VALUE"""),4.42830093434E11)</f>
        <v>442830093434</v>
      </c>
      <c r="B46" s="485" t="str">
        <f>IFERROR(__xludf.DUMMYFUNCTION("""COMPUTED_VALUE"""),"ROTSEANA GONÇALVES BEZERRA FREITAS")</f>
        <v>ROTSEANA GONÇALVES BEZERRA FREITAS</v>
      </c>
      <c r="C46" s="486">
        <f>IFERROR(__xludf.DUMMYFUNCTION("""COMPUTED_VALUE"""),6.0)</f>
        <v>6</v>
      </c>
      <c r="D46" s="486"/>
      <c r="E46" s="486"/>
      <c r="F46" s="486"/>
      <c r="G46" s="472"/>
      <c r="H46" s="472"/>
      <c r="I46" s="472"/>
      <c r="J46" s="472"/>
      <c r="K46" s="472"/>
      <c r="L46" s="472"/>
      <c r="M46" s="472"/>
      <c r="N46" s="472"/>
      <c r="O46" s="472"/>
      <c r="P46" s="472"/>
      <c r="Q46" s="472"/>
      <c r="R46" s="472"/>
      <c r="S46" s="472"/>
      <c r="T46" s="472"/>
      <c r="U46" s="472"/>
      <c r="V46" s="472"/>
      <c r="W46" s="472"/>
      <c r="X46" s="472"/>
      <c r="Y46" s="472"/>
      <c r="Z46" s="472"/>
      <c r="AA46" s="472"/>
    </row>
    <row r="47" outlineLevel="1">
      <c r="A47" s="484">
        <f>IFERROR(__xludf.DUMMYFUNCTION("""COMPUTED_VALUE"""),7.61606093417E11)</f>
        <v>761606093417</v>
      </c>
      <c r="B47" s="485" t="str">
        <f>IFERROR(__xludf.DUMMYFUNCTION("""COMPUTED_VALUE"""),"MIKE DOUGLAS LOPES FERNANDES")</f>
        <v>MIKE DOUGLAS LOPES FERNANDES</v>
      </c>
      <c r="C47" s="486">
        <f>IFERROR(__xludf.DUMMYFUNCTION("""COMPUTED_VALUE"""),6.0)</f>
        <v>6</v>
      </c>
      <c r="D47" s="486"/>
      <c r="E47" s="486"/>
      <c r="F47" s="486"/>
      <c r="G47" s="472"/>
      <c r="H47" s="472"/>
      <c r="I47" s="472"/>
      <c r="J47" s="472"/>
      <c r="K47" s="472"/>
      <c r="L47" s="472"/>
      <c r="M47" s="472"/>
      <c r="N47" s="472"/>
      <c r="O47" s="472"/>
      <c r="P47" s="472"/>
      <c r="Q47" s="472"/>
      <c r="R47" s="472"/>
      <c r="S47" s="472"/>
      <c r="T47" s="472"/>
      <c r="U47" s="472"/>
      <c r="V47" s="472"/>
      <c r="W47" s="472"/>
      <c r="X47" s="472"/>
      <c r="Y47" s="472"/>
      <c r="Z47" s="472"/>
      <c r="AA47" s="472"/>
    </row>
    <row r="48">
      <c r="A48" s="478" t="str">
        <f>IFERROR(__xludf.DUMMYFUNCTION("""COMPUTED_VALUE"""),"II - ESP - ATENÇÃO PRIMÁRIA À SAÚDE")</f>
        <v>II - ESP - ATENÇÃO PRIMÁRIA À SAÚDE</v>
      </c>
      <c r="B48" s="479"/>
      <c r="C48" s="479"/>
      <c r="D48" s="479"/>
      <c r="E48" s="479"/>
      <c r="F48" s="480"/>
      <c r="G48" s="472"/>
      <c r="H48" s="472"/>
      <c r="I48" s="472"/>
      <c r="J48" s="472"/>
      <c r="K48" s="472"/>
      <c r="L48" s="472"/>
      <c r="M48" s="472"/>
      <c r="N48" s="472"/>
      <c r="O48" s="472"/>
      <c r="P48" s="472"/>
      <c r="Q48" s="472"/>
      <c r="R48" s="472"/>
      <c r="S48" s="472"/>
      <c r="T48" s="472"/>
      <c r="U48" s="472"/>
      <c r="V48" s="472"/>
      <c r="W48" s="472"/>
      <c r="X48" s="472"/>
      <c r="Y48" s="472"/>
      <c r="Z48" s="472"/>
      <c r="AA48" s="472"/>
    </row>
    <row r="49" outlineLevel="1">
      <c r="A49" s="481" t="str">
        <f>IFERROR(__xludf.DUMMYFUNCTION("""COMPUTED_VALUE"""),"INSCRIÇÃO")</f>
        <v>INSCRIÇÃO</v>
      </c>
      <c r="B49" s="482" t="str">
        <f>IFERROR(__xludf.DUMMYFUNCTION("""COMPUTED_VALUE"""),"CANDIDATOS")</f>
        <v>CANDIDATOS</v>
      </c>
      <c r="C49" s="481" t="str">
        <f>IFERROR(__xludf.DUMMYFUNCTION("""COMPUTED_VALUE"""),"NF")</f>
        <v>NF</v>
      </c>
      <c r="D49" s="483" t="str">
        <f>IFERROR(__xludf.DUMMYFUNCTION("""COMPUTED_VALUE"""),"CONVOCADO(A)")</f>
        <v>CONVOCADO(A)</v>
      </c>
      <c r="E49" s="483" t="str">
        <f>IFERROR(__xludf.DUMMYFUNCTION("""COMPUTED_VALUE"""),"HOMOLOGADO(A)")</f>
        <v>HOMOLOGADO(A)</v>
      </c>
      <c r="F49" s="483" t="str">
        <f>IFERROR(__xludf.DUMMYFUNCTION("""COMPUTED_VALUE"""),"GERÊNCIA")</f>
        <v>GERÊNCIA</v>
      </c>
      <c r="G49" s="472"/>
      <c r="H49" s="472"/>
      <c r="I49" s="472"/>
      <c r="J49" s="472"/>
      <c r="K49" s="472"/>
      <c r="L49" s="472"/>
      <c r="M49" s="472"/>
      <c r="N49" s="472"/>
      <c r="O49" s="472"/>
      <c r="P49" s="472"/>
      <c r="Q49" s="472"/>
      <c r="R49" s="472"/>
      <c r="S49" s="472"/>
      <c r="T49" s="472"/>
      <c r="U49" s="472"/>
      <c r="V49" s="472"/>
      <c r="W49" s="472"/>
      <c r="X49" s="472"/>
      <c r="Y49" s="472"/>
      <c r="Z49" s="472"/>
      <c r="AA49" s="472"/>
    </row>
    <row r="50" outlineLevel="1">
      <c r="A50" s="484">
        <f>IFERROR(__xludf.DUMMYFUNCTION("""COMPUTED_VALUE"""),9.9742008976E11)</f>
        <v>997420089760</v>
      </c>
      <c r="B50" s="485" t="str">
        <f>IFERROR(__xludf.DUMMYFUNCTION("""COMPUTED_VALUE"""),"CICERA TAVARES DE LUCENA")</f>
        <v>CICERA TAVARES DE LUCENA</v>
      </c>
      <c r="C50" s="486">
        <f>IFERROR(__xludf.DUMMYFUNCTION("""COMPUTED_VALUE"""),10.0)</f>
        <v>10</v>
      </c>
      <c r="D50" s="487"/>
      <c r="E50" s="486"/>
      <c r="F50" s="495"/>
      <c r="G50" s="472"/>
      <c r="H50" s="472"/>
      <c r="I50" s="472"/>
      <c r="J50" s="472"/>
      <c r="K50" s="472"/>
      <c r="L50" s="472"/>
      <c r="M50" s="472"/>
      <c r="N50" s="472"/>
      <c r="O50" s="472"/>
      <c r="P50" s="472"/>
      <c r="Q50" s="472"/>
      <c r="R50" s="472"/>
      <c r="S50" s="472"/>
      <c r="T50" s="472"/>
      <c r="U50" s="472"/>
      <c r="V50" s="472"/>
      <c r="W50" s="472"/>
      <c r="X50" s="472"/>
      <c r="Y50" s="472"/>
      <c r="Z50" s="472"/>
      <c r="AA50" s="472"/>
    </row>
    <row r="51" outlineLevel="1">
      <c r="A51" s="494">
        <f>IFERROR(__xludf.DUMMYFUNCTION("""COMPUTED_VALUE"""),6.5120092278E10)</f>
        <v>65120092278</v>
      </c>
      <c r="B51" s="485" t="str">
        <f>IFERROR(__xludf.DUMMYFUNCTION("""COMPUTED_VALUE"""),"CAMILA ALVES NOGUEIRA")</f>
        <v>CAMILA ALVES NOGUEIRA</v>
      </c>
      <c r="C51" s="486">
        <f>IFERROR(__xludf.DUMMYFUNCTION("""COMPUTED_VALUE"""),10.0)</f>
        <v>10</v>
      </c>
      <c r="D51" s="487"/>
      <c r="E51" s="486"/>
      <c r="F51" s="495"/>
      <c r="G51" s="472"/>
      <c r="H51" s="472"/>
      <c r="I51" s="472"/>
      <c r="J51" s="472"/>
      <c r="K51" s="472"/>
      <c r="L51" s="472"/>
      <c r="M51" s="472"/>
      <c r="N51" s="472"/>
      <c r="O51" s="472"/>
      <c r="P51" s="472"/>
      <c r="Q51" s="472"/>
      <c r="R51" s="472"/>
      <c r="S51" s="472"/>
      <c r="T51" s="472"/>
      <c r="U51" s="472"/>
      <c r="V51" s="472"/>
      <c r="W51" s="472"/>
      <c r="X51" s="472"/>
      <c r="Y51" s="472"/>
      <c r="Z51" s="472"/>
      <c r="AA51" s="472"/>
    </row>
    <row r="52" outlineLevel="1">
      <c r="A52" s="494">
        <f>IFERROR(__xludf.DUMMYFUNCTION("""COMPUTED_VALUE"""),9.3450089829E10)</f>
        <v>93450089829</v>
      </c>
      <c r="B52" s="485" t="str">
        <f>IFERROR(__xludf.DUMMYFUNCTION("""COMPUTED_VALUE"""),"NÉLCIO SOUZA SOARES SEGUNDO")</f>
        <v>NÉLCIO SOUZA SOARES SEGUNDO</v>
      </c>
      <c r="C52" s="486">
        <f>IFERROR(__xludf.DUMMYFUNCTION("""COMPUTED_VALUE"""),10.0)</f>
        <v>10</v>
      </c>
      <c r="D52" s="487"/>
      <c r="E52" s="486"/>
      <c r="F52" s="495"/>
      <c r="G52" s="472"/>
      <c r="H52" s="472"/>
      <c r="I52" s="472"/>
      <c r="J52" s="472"/>
      <c r="K52" s="472"/>
      <c r="L52" s="472"/>
      <c r="M52" s="472"/>
      <c r="N52" s="472"/>
      <c r="O52" s="472"/>
      <c r="P52" s="472"/>
      <c r="Q52" s="472"/>
      <c r="R52" s="472"/>
      <c r="S52" s="472"/>
      <c r="T52" s="472"/>
      <c r="U52" s="472"/>
      <c r="V52" s="472"/>
      <c r="W52" s="472"/>
      <c r="X52" s="472"/>
      <c r="Y52" s="472"/>
      <c r="Z52" s="472"/>
      <c r="AA52" s="472"/>
    </row>
    <row r="53" outlineLevel="1">
      <c r="A53" s="484">
        <f>IFERROR(__xludf.DUMMYFUNCTION("""COMPUTED_VALUE"""),1.89670089006E11)</f>
        <v>189670089006</v>
      </c>
      <c r="B53" s="485" t="str">
        <f>IFERROR(__xludf.DUMMYFUNCTION("""COMPUTED_VALUE"""),"MAIRA PEREIRA SAMPAIO MACÊDO")</f>
        <v>MAIRA PEREIRA SAMPAIO MACÊDO</v>
      </c>
      <c r="C53" s="486">
        <f>IFERROR(__xludf.DUMMYFUNCTION("""COMPUTED_VALUE"""),10.0)</f>
        <v>10</v>
      </c>
      <c r="D53" s="487"/>
      <c r="E53" s="486"/>
      <c r="F53" s="495"/>
      <c r="G53" s="472"/>
      <c r="H53" s="472"/>
      <c r="I53" s="472"/>
      <c r="J53" s="472"/>
      <c r="K53" s="472"/>
      <c r="L53" s="472"/>
      <c r="M53" s="472"/>
      <c r="N53" s="472"/>
      <c r="O53" s="472"/>
      <c r="P53" s="472"/>
      <c r="Q53" s="472"/>
      <c r="R53" s="472"/>
      <c r="S53" s="472"/>
      <c r="T53" s="472"/>
      <c r="U53" s="472"/>
      <c r="V53" s="472"/>
      <c r="W53" s="472"/>
      <c r="X53" s="472"/>
      <c r="Y53" s="472"/>
      <c r="Z53" s="472"/>
      <c r="AA53" s="472"/>
    </row>
    <row r="54" outlineLevel="1">
      <c r="A54" s="484">
        <f>IFERROR(__xludf.DUMMYFUNCTION("""COMPUTED_VALUE"""),4.54228092523E11)</f>
        <v>454228092523</v>
      </c>
      <c r="B54" s="485" t="str">
        <f>IFERROR(__xludf.DUMMYFUNCTION("""COMPUTED_VALUE"""),"PETRÚCYA FRAZÃO LIRA")</f>
        <v>PETRÚCYA FRAZÃO LIRA</v>
      </c>
      <c r="C54" s="486">
        <f>IFERROR(__xludf.DUMMYFUNCTION("""COMPUTED_VALUE"""),9.5)</f>
        <v>9.5</v>
      </c>
      <c r="D54" s="487"/>
      <c r="E54" s="486"/>
      <c r="F54" s="495"/>
      <c r="G54" s="472"/>
      <c r="H54" s="472"/>
      <c r="I54" s="472"/>
      <c r="J54" s="472"/>
      <c r="K54" s="472"/>
      <c r="L54" s="472"/>
      <c r="M54" s="472"/>
      <c r="N54" s="472"/>
      <c r="O54" s="472"/>
      <c r="P54" s="472"/>
      <c r="Q54" s="472"/>
      <c r="R54" s="472"/>
      <c r="S54" s="472"/>
      <c r="T54" s="472"/>
      <c r="U54" s="472"/>
      <c r="V54" s="472"/>
      <c r="W54" s="472"/>
      <c r="X54" s="472"/>
      <c r="Y54" s="472"/>
      <c r="Z54" s="472"/>
      <c r="AA54" s="472"/>
    </row>
    <row r="55" outlineLevel="1">
      <c r="A55" s="484">
        <f>IFERROR(__xludf.DUMMYFUNCTION("""COMPUTED_VALUE"""),9.74294092984E11)</f>
        <v>974294092984</v>
      </c>
      <c r="B55" s="485" t="str">
        <f>IFERROR(__xludf.DUMMYFUNCTION("""COMPUTED_VALUE"""),"NÚBIA DIAS COSTA CAETANO")</f>
        <v>NÚBIA DIAS COSTA CAETANO</v>
      </c>
      <c r="C55" s="486">
        <f>IFERROR(__xludf.DUMMYFUNCTION("""COMPUTED_VALUE"""),9.0)</f>
        <v>9</v>
      </c>
      <c r="D55" s="487"/>
      <c r="E55" s="486"/>
      <c r="F55" s="495"/>
      <c r="G55" s="472"/>
      <c r="H55" s="472"/>
      <c r="I55" s="472"/>
      <c r="J55" s="472"/>
      <c r="K55" s="472"/>
      <c r="L55" s="472"/>
      <c r="M55" s="472"/>
      <c r="N55" s="472"/>
      <c r="O55" s="472"/>
      <c r="P55" s="472"/>
      <c r="Q55" s="472"/>
      <c r="R55" s="472"/>
      <c r="S55" s="472"/>
      <c r="T55" s="472"/>
      <c r="U55" s="472"/>
      <c r="V55" s="472"/>
      <c r="W55" s="472"/>
      <c r="X55" s="472"/>
      <c r="Y55" s="472"/>
      <c r="Z55" s="472"/>
      <c r="AA55" s="472"/>
    </row>
    <row r="56" outlineLevel="1">
      <c r="A56" s="484">
        <f>IFERROR(__xludf.DUMMYFUNCTION("""COMPUTED_VALUE"""),8.47527093617E11)</f>
        <v>847527093617</v>
      </c>
      <c r="B56" s="485" t="str">
        <f>IFERROR(__xludf.DUMMYFUNCTION("""COMPUTED_VALUE"""),"ANDRÉA DO NASCIMENTO SERPA RODRIGUES")</f>
        <v>ANDRÉA DO NASCIMENTO SERPA RODRIGUES</v>
      </c>
      <c r="C56" s="486">
        <f>IFERROR(__xludf.DUMMYFUNCTION("""COMPUTED_VALUE"""),9.0)</f>
        <v>9</v>
      </c>
      <c r="D56" s="487"/>
      <c r="E56" s="486"/>
      <c r="F56" s="495"/>
      <c r="G56" s="472"/>
      <c r="H56" s="472"/>
      <c r="I56" s="472"/>
      <c r="J56" s="472"/>
      <c r="K56" s="472"/>
      <c r="L56" s="472"/>
      <c r="M56" s="472"/>
      <c r="N56" s="472"/>
      <c r="O56" s="472"/>
      <c r="P56" s="472"/>
      <c r="Q56" s="472"/>
      <c r="R56" s="472"/>
      <c r="S56" s="472"/>
      <c r="T56" s="472"/>
      <c r="U56" s="472"/>
      <c r="V56" s="472"/>
      <c r="W56" s="472"/>
      <c r="X56" s="472"/>
      <c r="Y56" s="472"/>
      <c r="Z56" s="472"/>
      <c r="AA56" s="472"/>
    </row>
    <row r="57" outlineLevel="1">
      <c r="A57" s="484">
        <f>IFERROR(__xludf.DUMMYFUNCTION("""COMPUTED_VALUE"""),6.07400092389E11)</f>
        <v>607400092389</v>
      </c>
      <c r="B57" s="485" t="str">
        <f>IFERROR(__xludf.DUMMYFUNCTION("""COMPUTED_VALUE"""),"MARIA SIMONIA GONÇALVES DE OLIVEIRA")</f>
        <v>MARIA SIMONIA GONÇALVES DE OLIVEIRA</v>
      </c>
      <c r="C57" s="486">
        <f>IFERROR(__xludf.DUMMYFUNCTION("""COMPUTED_VALUE"""),9.0)</f>
        <v>9</v>
      </c>
      <c r="D57" s="487"/>
      <c r="E57" s="486"/>
      <c r="F57" s="495"/>
      <c r="G57" s="472"/>
      <c r="H57" s="472"/>
      <c r="I57" s="472"/>
      <c r="J57" s="472"/>
      <c r="K57" s="472"/>
      <c r="L57" s="472"/>
      <c r="M57" s="472"/>
      <c r="N57" s="472"/>
      <c r="O57" s="472"/>
      <c r="P57" s="472"/>
      <c r="Q57" s="472"/>
      <c r="R57" s="472"/>
      <c r="S57" s="472"/>
      <c r="T57" s="472"/>
      <c r="U57" s="472"/>
      <c r="V57" s="472"/>
      <c r="W57" s="472"/>
      <c r="X57" s="472"/>
      <c r="Y57" s="472"/>
      <c r="Z57" s="472"/>
      <c r="AA57" s="472"/>
    </row>
    <row r="58" outlineLevel="1">
      <c r="A58" s="484">
        <f>IFERROR(__xludf.DUMMYFUNCTION("""COMPUTED_VALUE"""),4.3124009299E11)</f>
        <v>431240092990</v>
      </c>
      <c r="B58" s="485" t="str">
        <f>IFERROR(__xludf.DUMMYFUNCTION("""COMPUTED_VALUE"""),"EDNA MOTA LOIOLA")</f>
        <v>EDNA MOTA LOIOLA</v>
      </c>
      <c r="C58" s="486">
        <f>IFERROR(__xludf.DUMMYFUNCTION("""COMPUTED_VALUE"""),9.0)</f>
        <v>9</v>
      </c>
      <c r="D58" s="487"/>
      <c r="E58" s="486"/>
      <c r="F58" s="495"/>
      <c r="G58" s="472"/>
      <c r="H58" s="472"/>
      <c r="I58" s="472"/>
      <c r="J58" s="472"/>
      <c r="K58" s="472"/>
      <c r="L58" s="472"/>
      <c r="M58" s="472"/>
      <c r="N58" s="472"/>
      <c r="O58" s="472"/>
      <c r="P58" s="472"/>
      <c r="Q58" s="472"/>
      <c r="R58" s="472"/>
      <c r="S58" s="472"/>
      <c r="T58" s="472"/>
      <c r="U58" s="472"/>
      <c r="V58" s="472"/>
      <c r="W58" s="472"/>
      <c r="X58" s="472"/>
      <c r="Y58" s="472"/>
      <c r="Z58" s="472"/>
      <c r="AA58" s="472"/>
    </row>
    <row r="59" outlineLevel="1">
      <c r="A59" s="484">
        <f>IFERROR(__xludf.DUMMYFUNCTION("""COMPUTED_VALUE"""),8.41950092957E11)</f>
        <v>841950092957</v>
      </c>
      <c r="B59" s="485" t="str">
        <f>IFERROR(__xludf.DUMMYFUNCTION("""COMPUTED_VALUE"""),"ANDREZZA MARTINS DO NASCIMENTO")</f>
        <v>ANDREZZA MARTINS DO NASCIMENTO</v>
      </c>
      <c r="C59" s="486">
        <f>IFERROR(__xludf.DUMMYFUNCTION("""COMPUTED_VALUE"""),9.0)</f>
        <v>9</v>
      </c>
      <c r="D59" s="487"/>
      <c r="E59" s="486"/>
      <c r="F59" s="495"/>
      <c r="G59" s="472"/>
      <c r="H59" s="472"/>
      <c r="I59" s="472"/>
      <c r="J59" s="472"/>
      <c r="K59" s="472"/>
      <c r="L59" s="472"/>
      <c r="M59" s="472"/>
      <c r="N59" s="472"/>
      <c r="O59" s="472"/>
      <c r="P59" s="472"/>
      <c r="Q59" s="472"/>
      <c r="R59" s="472"/>
      <c r="S59" s="472"/>
      <c r="T59" s="472"/>
      <c r="U59" s="472"/>
      <c r="V59" s="472"/>
      <c r="W59" s="472"/>
      <c r="X59" s="472"/>
      <c r="Y59" s="472"/>
      <c r="Z59" s="472"/>
      <c r="AA59" s="472"/>
    </row>
    <row r="60" outlineLevel="1">
      <c r="A60" s="484">
        <f>IFERROR(__xludf.DUMMYFUNCTION("""COMPUTED_VALUE"""),5.43240093078E11)</f>
        <v>543240093078</v>
      </c>
      <c r="B60" s="485" t="str">
        <f>IFERROR(__xludf.DUMMYFUNCTION("""COMPUTED_VALUE"""),"JOAO PAULO MOREIRA DO PRADO")</f>
        <v>JOAO PAULO MOREIRA DO PRADO</v>
      </c>
      <c r="C60" s="486">
        <f>IFERROR(__xludf.DUMMYFUNCTION("""COMPUTED_VALUE"""),8.5)</f>
        <v>8.5</v>
      </c>
      <c r="D60" s="487"/>
      <c r="E60" s="486"/>
      <c r="F60" s="495"/>
      <c r="G60" s="472"/>
      <c r="H60" s="472"/>
      <c r="I60" s="472"/>
      <c r="J60" s="472"/>
      <c r="K60" s="472"/>
      <c r="L60" s="472"/>
      <c r="M60" s="472"/>
      <c r="N60" s="472"/>
      <c r="O60" s="472"/>
      <c r="P60" s="472"/>
      <c r="Q60" s="472"/>
      <c r="R60" s="472"/>
      <c r="S60" s="472"/>
      <c r="T60" s="472"/>
      <c r="U60" s="472"/>
      <c r="V60" s="472"/>
      <c r="W60" s="472"/>
      <c r="X60" s="472"/>
      <c r="Y60" s="472"/>
      <c r="Z60" s="472"/>
      <c r="AA60" s="472"/>
    </row>
    <row r="61" outlineLevel="1">
      <c r="A61" s="484">
        <f>IFERROR(__xludf.DUMMYFUNCTION("""COMPUTED_VALUE"""),7.89330093232E11)</f>
        <v>789330093232</v>
      </c>
      <c r="B61" s="485" t="str">
        <f>IFERROR(__xludf.DUMMYFUNCTION("""COMPUTED_VALUE"""),"SARAH ANNE SILVEIRA SAMPAIO")</f>
        <v>SARAH ANNE SILVEIRA SAMPAIO</v>
      </c>
      <c r="C61" s="486">
        <f>IFERROR(__xludf.DUMMYFUNCTION("""COMPUTED_VALUE"""),8.5)</f>
        <v>8.5</v>
      </c>
      <c r="D61" s="487"/>
      <c r="E61" s="486"/>
      <c r="F61" s="495"/>
      <c r="G61" s="472"/>
      <c r="H61" s="472"/>
      <c r="I61" s="472"/>
      <c r="J61" s="472"/>
      <c r="K61" s="472"/>
      <c r="L61" s="472"/>
      <c r="M61" s="472"/>
      <c r="N61" s="472"/>
      <c r="O61" s="472"/>
      <c r="P61" s="472"/>
      <c r="Q61" s="472"/>
      <c r="R61" s="472"/>
      <c r="S61" s="472"/>
      <c r="T61" s="472"/>
      <c r="U61" s="472"/>
      <c r="V61" s="472"/>
      <c r="W61" s="472"/>
      <c r="X61" s="472"/>
      <c r="Y61" s="472"/>
      <c r="Z61" s="472"/>
      <c r="AA61" s="472"/>
    </row>
    <row r="62" outlineLevel="1">
      <c r="A62" s="484">
        <f>IFERROR(__xludf.DUMMYFUNCTION("""COMPUTED_VALUE"""),6.39711093014E11)</f>
        <v>639711093014</v>
      </c>
      <c r="B62" s="485" t="str">
        <f>IFERROR(__xludf.DUMMYFUNCTION("""COMPUTED_VALUE"""),"FRANCISCA EMANUELA PAIVA DE ABREU")</f>
        <v>FRANCISCA EMANUELA PAIVA DE ABREU</v>
      </c>
      <c r="C62" s="486">
        <f>IFERROR(__xludf.DUMMYFUNCTION("""COMPUTED_VALUE"""),8.0)</f>
        <v>8</v>
      </c>
      <c r="D62" s="487"/>
      <c r="E62" s="486"/>
      <c r="F62" s="495"/>
      <c r="G62" s="472"/>
      <c r="H62" s="472"/>
      <c r="I62" s="472"/>
      <c r="J62" s="472"/>
      <c r="K62" s="472"/>
      <c r="L62" s="472"/>
      <c r="M62" s="472"/>
      <c r="N62" s="472"/>
      <c r="O62" s="472"/>
      <c r="P62" s="472"/>
      <c r="Q62" s="472"/>
      <c r="R62" s="472"/>
      <c r="S62" s="472"/>
      <c r="T62" s="472"/>
      <c r="U62" s="472"/>
      <c r="V62" s="472"/>
      <c r="W62" s="472"/>
      <c r="X62" s="472"/>
      <c r="Y62" s="472"/>
      <c r="Z62" s="472"/>
      <c r="AA62" s="472"/>
    </row>
    <row r="63" outlineLevel="1">
      <c r="A63" s="494">
        <f>IFERROR(__xludf.DUMMYFUNCTION("""COMPUTED_VALUE"""),3.6620091964E10)</f>
        <v>36620091964</v>
      </c>
      <c r="B63" s="485" t="str">
        <f>IFERROR(__xludf.DUMMYFUNCTION("""COMPUTED_VALUE"""),"WANESSA MARIA COSTA CAVALCANTE BRANDAO")</f>
        <v>WANESSA MARIA COSTA CAVALCANTE BRANDAO</v>
      </c>
      <c r="C63" s="486">
        <f>IFERROR(__xludf.DUMMYFUNCTION("""COMPUTED_VALUE"""),8.0)</f>
        <v>8</v>
      </c>
      <c r="D63" s="487"/>
      <c r="E63" s="486"/>
      <c r="F63" s="495"/>
      <c r="G63" s="472"/>
      <c r="H63" s="472"/>
      <c r="I63" s="472"/>
      <c r="J63" s="472"/>
      <c r="K63" s="472"/>
      <c r="L63" s="472"/>
      <c r="M63" s="472"/>
      <c r="N63" s="472"/>
      <c r="O63" s="472"/>
      <c r="P63" s="472"/>
      <c r="Q63" s="472"/>
      <c r="R63" s="472"/>
      <c r="S63" s="472"/>
      <c r="T63" s="472"/>
      <c r="U63" s="472"/>
      <c r="V63" s="472"/>
      <c r="W63" s="472"/>
      <c r="X63" s="472"/>
      <c r="Y63" s="472"/>
      <c r="Z63" s="472"/>
      <c r="AA63" s="472"/>
    </row>
    <row r="64" outlineLevel="1">
      <c r="A64" s="484">
        <f>IFERROR(__xludf.DUMMYFUNCTION("""COMPUTED_VALUE"""),4.2753009263E11)</f>
        <v>427530092630</v>
      </c>
      <c r="B64" s="485" t="str">
        <f>IFERROR(__xludf.DUMMYFUNCTION("""COMPUTED_VALUE"""),"BRUNA ARAUJO MADEIRA")</f>
        <v>BRUNA ARAUJO MADEIRA</v>
      </c>
      <c r="C64" s="486">
        <f>IFERROR(__xludf.DUMMYFUNCTION("""COMPUTED_VALUE"""),8.0)</f>
        <v>8</v>
      </c>
      <c r="D64" s="487"/>
      <c r="E64" s="486"/>
      <c r="F64" s="495"/>
      <c r="G64" s="472"/>
      <c r="H64" s="472"/>
      <c r="I64" s="472"/>
      <c r="J64" s="472"/>
      <c r="K64" s="472"/>
      <c r="L64" s="472"/>
      <c r="M64" s="472"/>
      <c r="N64" s="472"/>
      <c r="O64" s="472"/>
      <c r="P64" s="472"/>
      <c r="Q64" s="472"/>
      <c r="R64" s="472"/>
      <c r="S64" s="472"/>
      <c r="T64" s="472"/>
      <c r="U64" s="472"/>
      <c r="V64" s="472"/>
      <c r="W64" s="472"/>
      <c r="X64" s="472"/>
      <c r="Y64" s="472"/>
      <c r="Z64" s="472"/>
      <c r="AA64" s="472"/>
    </row>
    <row r="65" outlineLevel="1">
      <c r="A65" s="484">
        <f>IFERROR(__xludf.DUMMYFUNCTION("""COMPUTED_VALUE"""),2.21720088493E11)</f>
        <v>221720088493</v>
      </c>
      <c r="B65" s="485" t="str">
        <f>IFERROR(__xludf.DUMMYFUNCTION("""COMPUTED_VALUE"""),"MAISA LEITÃO DE QUEIROZ")</f>
        <v>MAISA LEITÃO DE QUEIROZ</v>
      </c>
      <c r="C65" s="486">
        <f>IFERROR(__xludf.DUMMYFUNCTION("""COMPUTED_VALUE"""),8.0)</f>
        <v>8</v>
      </c>
      <c r="D65" s="487"/>
      <c r="E65" s="486"/>
      <c r="F65" s="495"/>
      <c r="G65" s="472"/>
      <c r="H65" s="472"/>
      <c r="I65" s="472"/>
      <c r="J65" s="472"/>
      <c r="K65" s="472"/>
      <c r="L65" s="472"/>
      <c r="M65" s="472"/>
      <c r="N65" s="472"/>
      <c r="O65" s="472"/>
      <c r="P65" s="472"/>
      <c r="Q65" s="472"/>
      <c r="R65" s="472"/>
      <c r="S65" s="472"/>
      <c r="T65" s="472"/>
      <c r="U65" s="472"/>
      <c r="V65" s="472"/>
      <c r="W65" s="472"/>
      <c r="X65" s="472"/>
      <c r="Y65" s="472"/>
      <c r="Z65" s="472"/>
      <c r="AA65" s="472"/>
    </row>
    <row r="66" outlineLevel="1">
      <c r="A66" s="484">
        <f>IFERROR(__xludf.DUMMYFUNCTION("""COMPUTED_VALUE"""),9.84640090247E11)</f>
        <v>984640090247</v>
      </c>
      <c r="B66" s="485" t="str">
        <f>IFERROR(__xludf.DUMMYFUNCTION("""COMPUTED_VALUE"""),"ALINE JEANE COSTA SOUSA")</f>
        <v>ALINE JEANE COSTA SOUSA</v>
      </c>
      <c r="C66" s="486">
        <f>IFERROR(__xludf.DUMMYFUNCTION("""COMPUTED_VALUE"""),8.0)</f>
        <v>8</v>
      </c>
      <c r="D66" s="487"/>
      <c r="E66" s="486"/>
      <c r="F66" s="495"/>
      <c r="G66" s="472"/>
      <c r="H66" s="472"/>
      <c r="I66" s="472"/>
      <c r="J66" s="472"/>
      <c r="K66" s="472"/>
      <c r="L66" s="472"/>
      <c r="M66" s="472"/>
      <c r="N66" s="472"/>
      <c r="O66" s="472"/>
      <c r="P66" s="472"/>
      <c r="Q66" s="472"/>
      <c r="R66" s="472"/>
      <c r="S66" s="472"/>
      <c r="T66" s="472"/>
      <c r="U66" s="472"/>
      <c r="V66" s="472"/>
      <c r="W66" s="472"/>
      <c r="X66" s="472"/>
      <c r="Y66" s="472"/>
      <c r="Z66" s="472"/>
      <c r="AA66" s="472"/>
    </row>
    <row r="67" outlineLevel="1">
      <c r="A67" s="484">
        <f>IFERROR(__xludf.DUMMYFUNCTION("""COMPUTED_VALUE"""),4.62950092777E11)</f>
        <v>462950092777</v>
      </c>
      <c r="B67" s="485" t="str">
        <f>IFERROR(__xludf.DUMMYFUNCTION("""COMPUTED_VALUE"""),"DAIANA RODRIGUES CRUZ LIMA VITAL")</f>
        <v>DAIANA RODRIGUES CRUZ LIMA VITAL</v>
      </c>
      <c r="C67" s="486">
        <f>IFERROR(__xludf.DUMMYFUNCTION("""COMPUTED_VALUE"""),8.0)</f>
        <v>8</v>
      </c>
      <c r="D67" s="487"/>
      <c r="E67" s="486"/>
      <c r="F67" s="495"/>
      <c r="G67" s="472"/>
      <c r="H67" s="472"/>
      <c r="I67" s="472"/>
      <c r="J67" s="472"/>
      <c r="K67" s="472"/>
      <c r="L67" s="472"/>
      <c r="M67" s="472"/>
      <c r="N67" s="472"/>
      <c r="O67" s="472"/>
      <c r="P67" s="472"/>
      <c r="Q67" s="472"/>
      <c r="R67" s="472"/>
      <c r="S67" s="472"/>
      <c r="T67" s="472"/>
      <c r="U67" s="472"/>
      <c r="V67" s="472"/>
      <c r="W67" s="472"/>
      <c r="X67" s="472"/>
      <c r="Y67" s="472"/>
      <c r="Z67" s="472"/>
      <c r="AA67" s="472"/>
    </row>
    <row r="68" outlineLevel="1">
      <c r="A68" s="484">
        <f>IFERROR(__xludf.DUMMYFUNCTION("""COMPUTED_VALUE"""),9.65350090347E11)</f>
        <v>965350090347</v>
      </c>
      <c r="B68" s="485" t="str">
        <f>IFERROR(__xludf.DUMMYFUNCTION("""COMPUTED_VALUE"""),"FELIPE SALVIANO RAMOS")</f>
        <v>FELIPE SALVIANO RAMOS</v>
      </c>
      <c r="C68" s="486">
        <f>IFERROR(__xludf.DUMMYFUNCTION("""COMPUTED_VALUE"""),8.0)</f>
        <v>8</v>
      </c>
      <c r="D68" s="487"/>
      <c r="E68" s="486"/>
      <c r="F68" s="495"/>
      <c r="G68" s="472"/>
      <c r="H68" s="472"/>
      <c r="I68" s="472"/>
      <c r="J68" s="472"/>
      <c r="K68" s="472"/>
      <c r="L68" s="472"/>
      <c r="M68" s="472"/>
      <c r="N68" s="472"/>
      <c r="O68" s="472"/>
      <c r="P68" s="472"/>
      <c r="Q68" s="472"/>
      <c r="R68" s="472"/>
      <c r="S68" s="472"/>
      <c r="T68" s="472"/>
      <c r="U68" s="472"/>
      <c r="V68" s="472"/>
      <c r="W68" s="472"/>
      <c r="X68" s="472"/>
      <c r="Y68" s="472"/>
      <c r="Z68" s="472"/>
      <c r="AA68" s="472"/>
    </row>
    <row r="69" outlineLevel="1">
      <c r="A69" s="484">
        <f>IFERROR(__xludf.DUMMYFUNCTION("""COMPUTED_VALUE"""),2.2605009093E11)</f>
        <v>226050090930</v>
      </c>
      <c r="B69" s="485" t="str">
        <f>IFERROR(__xludf.DUMMYFUNCTION("""COMPUTED_VALUE"""),"ANA IRIS MOTA PONTE")</f>
        <v>ANA IRIS MOTA PONTE</v>
      </c>
      <c r="C69" s="486">
        <f>IFERROR(__xludf.DUMMYFUNCTION("""COMPUTED_VALUE"""),8.0)</f>
        <v>8</v>
      </c>
      <c r="D69" s="487"/>
      <c r="E69" s="486"/>
      <c r="F69" s="495"/>
      <c r="G69" s="472"/>
      <c r="H69" s="472"/>
      <c r="I69" s="472"/>
      <c r="J69" s="472"/>
      <c r="K69" s="472"/>
      <c r="L69" s="472"/>
      <c r="M69" s="472"/>
      <c r="N69" s="472"/>
      <c r="O69" s="472"/>
      <c r="P69" s="472"/>
      <c r="Q69" s="472"/>
      <c r="R69" s="472"/>
      <c r="S69" s="472"/>
      <c r="T69" s="472"/>
      <c r="U69" s="472"/>
      <c r="V69" s="472"/>
      <c r="W69" s="472"/>
      <c r="X69" s="472"/>
      <c r="Y69" s="472"/>
      <c r="Z69" s="472"/>
      <c r="AA69" s="472"/>
    </row>
    <row r="70" outlineLevel="1">
      <c r="A70" s="484">
        <f>IFERROR(__xludf.DUMMYFUNCTION("""COMPUTED_VALUE"""),7.61606093418E11)</f>
        <v>761606093418</v>
      </c>
      <c r="B70" s="485" t="str">
        <f>IFERROR(__xludf.DUMMYFUNCTION("""COMPUTED_VALUE"""),"MIKE DOUGLAS LOPES FERNANDES")</f>
        <v>MIKE DOUGLAS LOPES FERNANDES</v>
      </c>
      <c r="C70" s="486">
        <f>IFERROR(__xludf.DUMMYFUNCTION("""COMPUTED_VALUE"""),8.0)</f>
        <v>8</v>
      </c>
      <c r="D70" s="487"/>
      <c r="E70" s="486"/>
      <c r="F70" s="495"/>
      <c r="G70" s="472"/>
      <c r="H70" s="472"/>
      <c r="I70" s="472"/>
      <c r="J70" s="472"/>
      <c r="K70" s="472"/>
      <c r="L70" s="472"/>
      <c r="M70" s="472"/>
      <c r="N70" s="472"/>
      <c r="O70" s="472"/>
      <c r="P70" s="472"/>
      <c r="Q70" s="472"/>
      <c r="R70" s="472"/>
      <c r="S70" s="472"/>
      <c r="T70" s="472"/>
      <c r="U70" s="472"/>
      <c r="V70" s="472"/>
      <c r="W70" s="472"/>
      <c r="X70" s="472"/>
      <c r="Y70" s="472"/>
      <c r="Z70" s="472"/>
      <c r="AA70" s="472"/>
    </row>
    <row r="71" outlineLevel="1">
      <c r="A71" s="484">
        <f>IFERROR(__xludf.DUMMYFUNCTION("""COMPUTED_VALUE"""),2.53060089128E11)</f>
        <v>253060089128</v>
      </c>
      <c r="B71" s="485" t="str">
        <f>IFERROR(__xludf.DUMMYFUNCTION("""COMPUTED_VALUE"""),"LETICIA KELLY COSTA SILVA")</f>
        <v>LETICIA KELLY COSTA SILVA</v>
      </c>
      <c r="C71" s="486">
        <f>IFERROR(__xludf.DUMMYFUNCTION("""COMPUTED_VALUE"""),8.0)</f>
        <v>8</v>
      </c>
      <c r="D71" s="487"/>
      <c r="E71" s="486"/>
      <c r="F71" s="495"/>
      <c r="G71" s="472"/>
      <c r="H71" s="472"/>
      <c r="I71" s="472"/>
      <c r="J71" s="472"/>
      <c r="K71" s="472"/>
      <c r="L71" s="472"/>
      <c r="M71" s="472"/>
      <c r="N71" s="472"/>
      <c r="O71" s="472"/>
      <c r="P71" s="472"/>
      <c r="Q71" s="472"/>
      <c r="R71" s="472"/>
      <c r="S71" s="472"/>
      <c r="T71" s="472"/>
      <c r="U71" s="472"/>
      <c r="V71" s="472"/>
      <c r="W71" s="472"/>
      <c r="X71" s="472"/>
      <c r="Y71" s="472"/>
      <c r="Z71" s="472"/>
      <c r="AA71" s="472"/>
    </row>
    <row r="72" outlineLevel="1">
      <c r="A72" s="484">
        <f>IFERROR(__xludf.DUMMYFUNCTION("""COMPUTED_VALUE"""),9.50760090288E11)</f>
        <v>950760090288</v>
      </c>
      <c r="B72" s="485" t="str">
        <f>IFERROR(__xludf.DUMMYFUNCTION("""COMPUTED_VALUE"""),"JÉSSICA SOARES GADELHA DE BRITO")</f>
        <v>JÉSSICA SOARES GADELHA DE BRITO</v>
      </c>
      <c r="C72" s="486">
        <f>IFERROR(__xludf.DUMMYFUNCTION("""COMPUTED_VALUE"""),8.0)</f>
        <v>8</v>
      </c>
      <c r="D72" s="487"/>
      <c r="E72" s="486"/>
      <c r="F72" s="495"/>
      <c r="G72" s="472"/>
      <c r="H72" s="472"/>
      <c r="I72" s="472"/>
      <c r="J72" s="472"/>
      <c r="K72" s="472"/>
      <c r="L72" s="472"/>
      <c r="M72" s="472"/>
      <c r="N72" s="472"/>
      <c r="O72" s="472"/>
      <c r="P72" s="472"/>
      <c r="Q72" s="472"/>
      <c r="R72" s="472"/>
      <c r="S72" s="472"/>
      <c r="T72" s="472"/>
      <c r="U72" s="472"/>
      <c r="V72" s="472"/>
      <c r="W72" s="472"/>
      <c r="X72" s="472"/>
      <c r="Y72" s="472"/>
      <c r="Z72" s="472"/>
      <c r="AA72" s="472"/>
    </row>
    <row r="73" outlineLevel="1">
      <c r="A73" s="484">
        <f>IFERROR(__xludf.DUMMYFUNCTION("""COMPUTED_VALUE"""),3.75116088957E11)</f>
        <v>375116088957</v>
      </c>
      <c r="B73" s="485" t="str">
        <f>IFERROR(__xludf.DUMMYFUNCTION("""COMPUTED_VALUE"""),"FRANCISCO EDNANDO COELHO DE OLIVEIRA")</f>
        <v>FRANCISCO EDNANDO COELHO DE OLIVEIRA</v>
      </c>
      <c r="C73" s="486">
        <f>IFERROR(__xludf.DUMMYFUNCTION("""COMPUTED_VALUE"""),8.0)</f>
        <v>8</v>
      </c>
      <c r="D73" s="487"/>
      <c r="E73" s="486"/>
      <c r="F73" s="495"/>
      <c r="G73" s="472"/>
      <c r="H73" s="472"/>
      <c r="I73" s="472"/>
      <c r="J73" s="472"/>
      <c r="K73" s="472"/>
      <c r="L73" s="472"/>
      <c r="M73" s="472"/>
      <c r="N73" s="472"/>
      <c r="O73" s="472"/>
      <c r="P73" s="472"/>
      <c r="Q73" s="472"/>
      <c r="R73" s="472"/>
      <c r="S73" s="472"/>
      <c r="T73" s="472"/>
      <c r="U73" s="472"/>
      <c r="V73" s="472"/>
      <c r="W73" s="472"/>
      <c r="X73" s="472"/>
      <c r="Y73" s="472"/>
      <c r="Z73" s="472"/>
      <c r="AA73" s="472"/>
    </row>
    <row r="74" outlineLevel="1">
      <c r="A74" s="484">
        <f>IFERROR(__xludf.DUMMYFUNCTION("""COMPUTED_VALUE"""),2.55830091635E11)</f>
        <v>255830091635</v>
      </c>
      <c r="B74" s="485" t="str">
        <f>IFERROR(__xludf.DUMMYFUNCTION("""COMPUTED_VALUE"""),"PRISCILA DE FREITAS SOUSA")</f>
        <v>PRISCILA DE FREITAS SOUSA</v>
      </c>
      <c r="C74" s="486">
        <f>IFERROR(__xludf.DUMMYFUNCTION("""COMPUTED_VALUE"""),7.5)</f>
        <v>7.5</v>
      </c>
      <c r="D74" s="487"/>
      <c r="E74" s="486"/>
      <c r="F74" s="495"/>
      <c r="G74" s="472"/>
      <c r="H74" s="472"/>
      <c r="I74" s="472"/>
      <c r="J74" s="472"/>
      <c r="K74" s="472"/>
      <c r="L74" s="472"/>
      <c r="M74" s="472"/>
      <c r="N74" s="472"/>
      <c r="O74" s="472"/>
      <c r="P74" s="472"/>
      <c r="Q74" s="472"/>
      <c r="R74" s="472"/>
      <c r="S74" s="472"/>
      <c r="T74" s="472"/>
      <c r="U74" s="472"/>
      <c r="V74" s="472"/>
      <c r="W74" s="472"/>
      <c r="X74" s="472"/>
      <c r="Y74" s="472"/>
      <c r="Z74" s="472"/>
      <c r="AA74" s="472"/>
    </row>
    <row r="75" outlineLevel="1">
      <c r="A75" s="484">
        <f>IFERROR(__xludf.DUMMYFUNCTION("""COMPUTED_VALUE"""),5.82310088935E11)</f>
        <v>582310088935</v>
      </c>
      <c r="B75" s="485" t="str">
        <f>IFERROR(__xludf.DUMMYFUNCTION("""COMPUTED_VALUE"""),"MELISSA DE FARIAS ABREU")</f>
        <v>MELISSA DE FARIAS ABREU</v>
      </c>
      <c r="C75" s="486">
        <f>IFERROR(__xludf.DUMMYFUNCTION("""COMPUTED_VALUE"""),7.5)</f>
        <v>7.5</v>
      </c>
      <c r="D75" s="487"/>
      <c r="E75" s="486"/>
      <c r="F75" s="495"/>
      <c r="G75" s="472"/>
      <c r="H75" s="472"/>
      <c r="I75" s="472"/>
      <c r="J75" s="472"/>
      <c r="K75" s="472"/>
      <c r="L75" s="472"/>
      <c r="M75" s="472"/>
      <c r="N75" s="472"/>
      <c r="O75" s="472"/>
      <c r="P75" s="472"/>
      <c r="Q75" s="472"/>
      <c r="R75" s="472"/>
      <c r="S75" s="472"/>
      <c r="T75" s="472"/>
      <c r="U75" s="472"/>
      <c r="V75" s="472"/>
      <c r="W75" s="472"/>
      <c r="X75" s="472"/>
      <c r="Y75" s="472"/>
      <c r="Z75" s="472"/>
      <c r="AA75" s="472"/>
    </row>
    <row r="76" outlineLevel="1">
      <c r="A76" s="484">
        <f>IFERROR(__xludf.DUMMYFUNCTION("""COMPUTED_VALUE"""),2.14556091697E11)</f>
        <v>214556091697</v>
      </c>
      <c r="B76" s="485" t="str">
        <f>IFERROR(__xludf.DUMMYFUNCTION("""COMPUTED_VALUE"""),"RAISSA FERREIRA DE SOUSA")</f>
        <v>RAISSA FERREIRA DE SOUSA</v>
      </c>
      <c r="C76" s="486">
        <f>IFERROR(__xludf.DUMMYFUNCTION("""COMPUTED_VALUE"""),7.0)</f>
        <v>7</v>
      </c>
      <c r="D76" s="487"/>
      <c r="E76" s="486"/>
      <c r="F76" s="495"/>
      <c r="G76" s="472"/>
      <c r="H76" s="472"/>
      <c r="I76" s="472"/>
      <c r="J76" s="472"/>
      <c r="K76" s="472"/>
      <c r="L76" s="472"/>
      <c r="M76" s="472"/>
      <c r="N76" s="472"/>
      <c r="O76" s="472"/>
      <c r="P76" s="472"/>
      <c r="Q76" s="472"/>
      <c r="R76" s="472"/>
      <c r="S76" s="472"/>
      <c r="T76" s="472"/>
      <c r="U76" s="472"/>
      <c r="V76" s="472"/>
      <c r="W76" s="472"/>
      <c r="X76" s="472"/>
      <c r="Y76" s="472"/>
      <c r="Z76" s="472"/>
      <c r="AA76" s="472"/>
    </row>
    <row r="77" outlineLevel="1">
      <c r="A77" s="484">
        <f>IFERROR(__xludf.DUMMYFUNCTION("""COMPUTED_VALUE"""),7.02740088685E11)</f>
        <v>702740088685</v>
      </c>
      <c r="B77" s="485" t="str">
        <f>IFERROR(__xludf.DUMMYFUNCTION("""COMPUTED_VALUE"""),"SAMARA ASSUNÇÃO LIMA")</f>
        <v>SAMARA ASSUNÇÃO LIMA</v>
      </c>
      <c r="C77" s="486">
        <f>IFERROR(__xludf.DUMMYFUNCTION("""COMPUTED_VALUE"""),7.0)</f>
        <v>7</v>
      </c>
      <c r="D77" s="487"/>
      <c r="E77" s="486"/>
      <c r="F77" s="495"/>
      <c r="G77" s="472"/>
      <c r="H77" s="472"/>
      <c r="I77" s="472"/>
      <c r="J77" s="472"/>
      <c r="K77" s="472"/>
      <c r="L77" s="472"/>
      <c r="M77" s="472"/>
      <c r="N77" s="472"/>
      <c r="O77" s="472"/>
      <c r="P77" s="472"/>
      <c r="Q77" s="472"/>
      <c r="R77" s="472"/>
      <c r="S77" s="472"/>
      <c r="T77" s="472"/>
      <c r="U77" s="472"/>
      <c r="V77" s="472"/>
      <c r="W77" s="472"/>
      <c r="X77" s="472"/>
      <c r="Y77" s="472"/>
      <c r="Z77" s="472"/>
      <c r="AA77" s="472"/>
    </row>
    <row r="78" outlineLevel="1">
      <c r="A78" s="484">
        <f>IFERROR(__xludf.DUMMYFUNCTION("""COMPUTED_VALUE"""),3.64450090326E11)</f>
        <v>364450090326</v>
      </c>
      <c r="B78" s="485" t="str">
        <f>IFERROR(__xludf.DUMMYFUNCTION("""COMPUTED_VALUE"""),"FRANCISCO DIEGO FERNANDES DA SILVA")</f>
        <v>FRANCISCO DIEGO FERNANDES DA SILVA</v>
      </c>
      <c r="C78" s="486">
        <f>IFERROR(__xludf.DUMMYFUNCTION("""COMPUTED_VALUE"""),7.0)</f>
        <v>7</v>
      </c>
      <c r="D78" s="487"/>
      <c r="E78" s="486"/>
      <c r="F78" s="495"/>
      <c r="G78" s="472"/>
      <c r="H78" s="472"/>
      <c r="I78" s="472"/>
      <c r="J78" s="472"/>
      <c r="K78" s="472"/>
      <c r="L78" s="472"/>
      <c r="M78" s="472"/>
      <c r="N78" s="472"/>
      <c r="O78" s="472"/>
      <c r="P78" s="472"/>
      <c r="Q78" s="472"/>
      <c r="R78" s="472"/>
      <c r="S78" s="472"/>
      <c r="T78" s="472"/>
      <c r="U78" s="472"/>
      <c r="V78" s="472"/>
      <c r="W78" s="472"/>
      <c r="X78" s="472"/>
      <c r="Y78" s="472"/>
      <c r="Z78" s="472"/>
      <c r="AA78" s="472"/>
    </row>
    <row r="79" outlineLevel="1">
      <c r="A79" s="484">
        <f>IFERROR(__xludf.DUMMYFUNCTION("""COMPUTED_VALUE"""),9.20606089768E11)</f>
        <v>920606089768</v>
      </c>
      <c r="B79" s="485" t="str">
        <f>IFERROR(__xludf.DUMMYFUNCTION("""COMPUTED_VALUE"""),"FRANCISCO EUDES DOS SANTOS")</f>
        <v>FRANCISCO EUDES DOS SANTOS</v>
      </c>
      <c r="C79" s="486">
        <f>IFERROR(__xludf.DUMMYFUNCTION("""COMPUTED_VALUE"""),7.0)</f>
        <v>7</v>
      </c>
      <c r="D79" s="487"/>
      <c r="E79" s="486"/>
      <c r="F79" s="495"/>
      <c r="G79" s="472"/>
      <c r="H79" s="472"/>
      <c r="I79" s="472"/>
      <c r="J79" s="472"/>
      <c r="K79" s="472"/>
      <c r="L79" s="472"/>
      <c r="M79" s="472"/>
      <c r="N79" s="472"/>
      <c r="O79" s="472"/>
      <c r="P79" s="472"/>
      <c r="Q79" s="472"/>
      <c r="R79" s="472"/>
      <c r="S79" s="472"/>
      <c r="T79" s="472"/>
      <c r="U79" s="472"/>
      <c r="V79" s="472"/>
      <c r="W79" s="472"/>
      <c r="X79" s="472"/>
      <c r="Y79" s="472"/>
      <c r="Z79" s="472"/>
      <c r="AA79" s="472"/>
    </row>
    <row r="80" outlineLevel="1">
      <c r="A80" s="484">
        <f>IFERROR(__xludf.DUMMYFUNCTION("""COMPUTED_VALUE"""),9.85903092865E11)</f>
        <v>985903092865</v>
      </c>
      <c r="B80" s="485" t="str">
        <f>IFERROR(__xludf.DUMMYFUNCTION("""COMPUTED_VALUE"""),"LUZIA MARTINS PEREIRA")</f>
        <v>LUZIA MARTINS PEREIRA</v>
      </c>
      <c r="C80" s="486">
        <f>IFERROR(__xludf.DUMMYFUNCTION("""COMPUTED_VALUE"""),6.5)</f>
        <v>6.5</v>
      </c>
      <c r="D80" s="487"/>
      <c r="E80" s="486"/>
      <c r="F80" s="495"/>
      <c r="G80" s="472"/>
      <c r="H80" s="472"/>
      <c r="I80" s="472"/>
      <c r="J80" s="472"/>
      <c r="K80" s="472"/>
      <c r="L80" s="472"/>
      <c r="M80" s="472"/>
      <c r="N80" s="472"/>
      <c r="O80" s="472"/>
      <c r="P80" s="472"/>
      <c r="Q80" s="472"/>
      <c r="R80" s="472"/>
      <c r="S80" s="472"/>
      <c r="T80" s="472"/>
      <c r="U80" s="472"/>
      <c r="V80" s="472"/>
      <c r="W80" s="472"/>
      <c r="X80" s="472"/>
      <c r="Y80" s="472"/>
      <c r="Z80" s="472"/>
      <c r="AA80" s="472"/>
    </row>
    <row r="81" outlineLevel="1">
      <c r="A81" s="484">
        <f>IFERROR(__xludf.DUMMYFUNCTION("""COMPUTED_VALUE"""),3.37098091716E11)</f>
        <v>337098091716</v>
      </c>
      <c r="B81" s="485" t="str">
        <f>IFERROR(__xludf.DUMMYFUNCTION("""COMPUTED_VALUE"""),"MARCIA GOMES RUFINO")</f>
        <v>MARCIA GOMES RUFINO</v>
      </c>
      <c r="C81" s="486">
        <f>IFERROR(__xludf.DUMMYFUNCTION("""COMPUTED_VALUE"""),6.5)</f>
        <v>6.5</v>
      </c>
      <c r="D81" s="487"/>
      <c r="E81" s="486"/>
      <c r="F81" s="495"/>
      <c r="G81" s="472"/>
      <c r="H81" s="472"/>
      <c r="I81" s="472"/>
      <c r="J81" s="472"/>
      <c r="K81" s="472"/>
      <c r="L81" s="472"/>
      <c r="M81" s="472"/>
      <c r="N81" s="472"/>
      <c r="O81" s="472"/>
      <c r="P81" s="472"/>
      <c r="Q81" s="472"/>
      <c r="R81" s="472"/>
      <c r="S81" s="472"/>
      <c r="T81" s="472"/>
      <c r="U81" s="472"/>
      <c r="V81" s="472"/>
      <c r="W81" s="472"/>
      <c r="X81" s="472"/>
      <c r="Y81" s="472"/>
      <c r="Z81" s="472"/>
      <c r="AA81" s="472"/>
    </row>
    <row r="82" outlineLevel="1">
      <c r="A82" s="484">
        <f>IFERROR(__xludf.DUMMYFUNCTION("""COMPUTED_VALUE"""),7.62830093426E11)</f>
        <v>762830093426</v>
      </c>
      <c r="B82" s="485" t="str">
        <f>IFERROR(__xludf.DUMMYFUNCTION("""COMPUTED_VALUE"""),"RUTIELLY RODRIGUES DE LIMA ALMEIDA")</f>
        <v>RUTIELLY RODRIGUES DE LIMA ALMEIDA</v>
      </c>
      <c r="C82" s="486">
        <f>IFERROR(__xludf.DUMMYFUNCTION("""COMPUTED_VALUE"""),6.5)</f>
        <v>6.5</v>
      </c>
      <c r="D82" s="487"/>
      <c r="E82" s="486"/>
      <c r="F82" s="495"/>
      <c r="G82" s="472"/>
      <c r="H82" s="472"/>
      <c r="I82" s="472"/>
      <c r="J82" s="472"/>
      <c r="K82" s="472"/>
      <c r="L82" s="472"/>
      <c r="M82" s="472"/>
      <c r="N82" s="472"/>
      <c r="O82" s="472"/>
      <c r="P82" s="472"/>
      <c r="Q82" s="472"/>
      <c r="R82" s="472"/>
      <c r="S82" s="472"/>
      <c r="T82" s="472"/>
      <c r="U82" s="472"/>
      <c r="V82" s="472"/>
      <c r="W82" s="472"/>
      <c r="X82" s="472"/>
      <c r="Y82" s="472"/>
      <c r="Z82" s="472"/>
      <c r="AA82" s="472"/>
    </row>
    <row r="83" outlineLevel="1">
      <c r="A83" s="484">
        <f>IFERROR(__xludf.DUMMYFUNCTION("""COMPUTED_VALUE"""),9.99271093414E11)</f>
        <v>999271093414</v>
      </c>
      <c r="B83" s="485" t="str">
        <f>IFERROR(__xludf.DUMMYFUNCTION("""COMPUTED_VALUE"""),"FRANCISCA VERA FERREIRA DA SILVA")</f>
        <v>FRANCISCA VERA FERREIRA DA SILVA</v>
      </c>
      <c r="C83" s="486">
        <f>IFERROR(__xludf.DUMMYFUNCTION("""COMPUTED_VALUE"""),6.0)</f>
        <v>6</v>
      </c>
      <c r="D83" s="487"/>
      <c r="E83" s="486"/>
      <c r="F83" s="495"/>
      <c r="G83" s="472"/>
      <c r="H83" s="472"/>
      <c r="I83" s="472"/>
      <c r="J83" s="472"/>
      <c r="K83" s="472"/>
      <c r="L83" s="472"/>
      <c r="M83" s="472"/>
      <c r="N83" s="472"/>
      <c r="O83" s="472"/>
      <c r="P83" s="472"/>
      <c r="Q83" s="472"/>
      <c r="R83" s="472"/>
      <c r="S83" s="472"/>
      <c r="T83" s="472"/>
      <c r="U83" s="472"/>
      <c r="V83" s="472"/>
      <c r="W83" s="472"/>
      <c r="X83" s="472"/>
      <c r="Y83" s="472"/>
      <c r="Z83" s="472"/>
      <c r="AA83" s="472"/>
    </row>
    <row r="84" outlineLevel="1">
      <c r="A84" s="484">
        <f>IFERROR(__xludf.DUMMYFUNCTION("""COMPUTED_VALUE"""),4.69977092853E11)</f>
        <v>469977092853</v>
      </c>
      <c r="B84" s="485" t="str">
        <f>IFERROR(__xludf.DUMMYFUNCTION("""COMPUTED_VALUE"""),"ALANE DE SOUSA FERREIRA FREIRE")</f>
        <v>ALANE DE SOUSA FERREIRA FREIRE</v>
      </c>
      <c r="C84" s="486">
        <f>IFERROR(__xludf.DUMMYFUNCTION("""COMPUTED_VALUE"""),6.0)</f>
        <v>6</v>
      </c>
      <c r="D84" s="487"/>
      <c r="E84" s="486"/>
      <c r="F84" s="495"/>
      <c r="G84" s="472"/>
      <c r="H84" s="472"/>
      <c r="I84" s="472"/>
      <c r="J84" s="472"/>
      <c r="K84" s="472"/>
      <c r="L84" s="472"/>
      <c r="M84" s="472"/>
      <c r="N84" s="472"/>
      <c r="O84" s="472"/>
      <c r="P84" s="472"/>
      <c r="Q84" s="472"/>
      <c r="R84" s="472"/>
      <c r="S84" s="472"/>
      <c r="T84" s="472"/>
      <c r="U84" s="472"/>
      <c r="V84" s="472"/>
      <c r="W84" s="472"/>
      <c r="X84" s="472"/>
      <c r="Y84" s="472"/>
      <c r="Z84" s="472"/>
      <c r="AA84" s="472"/>
    </row>
    <row r="85" outlineLevel="1">
      <c r="A85" s="484">
        <f>IFERROR(__xludf.DUMMYFUNCTION("""COMPUTED_VALUE"""),8.9414809201E11)</f>
        <v>894148092010</v>
      </c>
      <c r="B85" s="485" t="str">
        <f>IFERROR(__xludf.DUMMYFUNCTION("""COMPUTED_VALUE"""),"SIMONE FIRMO DE MORAES ALMEIDA")</f>
        <v>SIMONE FIRMO DE MORAES ALMEIDA</v>
      </c>
      <c r="C85" s="486">
        <f>IFERROR(__xludf.DUMMYFUNCTION("""COMPUTED_VALUE"""),6.0)</f>
        <v>6</v>
      </c>
      <c r="D85" s="487"/>
      <c r="E85" s="486"/>
      <c r="F85" s="495"/>
      <c r="G85" s="472"/>
      <c r="H85" s="472"/>
      <c r="I85" s="472"/>
      <c r="J85" s="472"/>
      <c r="K85" s="472"/>
      <c r="L85" s="472"/>
      <c r="M85" s="472"/>
      <c r="N85" s="472"/>
      <c r="O85" s="472"/>
      <c r="P85" s="472"/>
      <c r="Q85" s="472"/>
      <c r="R85" s="472"/>
      <c r="S85" s="472"/>
      <c r="T85" s="472"/>
      <c r="U85" s="472"/>
      <c r="V85" s="472"/>
      <c r="W85" s="472"/>
      <c r="X85" s="472"/>
      <c r="Y85" s="472"/>
      <c r="Z85" s="472"/>
      <c r="AA85" s="472"/>
    </row>
    <row r="86" outlineLevel="1">
      <c r="A86" s="484">
        <f>IFERROR(__xludf.DUMMYFUNCTION("""COMPUTED_VALUE"""),7.55979093187E11)</f>
        <v>755979093187</v>
      </c>
      <c r="B86" s="485" t="str">
        <f>IFERROR(__xludf.DUMMYFUNCTION("""COMPUTED_VALUE"""),"RAQUEL MARTINS MORORÓ")</f>
        <v>RAQUEL MARTINS MORORÓ</v>
      </c>
      <c r="C86" s="486">
        <f>IFERROR(__xludf.DUMMYFUNCTION("""COMPUTED_VALUE"""),6.0)</f>
        <v>6</v>
      </c>
      <c r="D86" s="487"/>
      <c r="E86" s="486"/>
      <c r="F86" s="495"/>
      <c r="G86" s="472"/>
      <c r="H86" s="472"/>
      <c r="I86" s="472"/>
      <c r="J86" s="472"/>
      <c r="K86" s="472"/>
      <c r="L86" s="472"/>
      <c r="M86" s="472"/>
      <c r="N86" s="472"/>
      <c r="O86" s="472"/>
      <c r="P86" s="472"/>
      <c r="Q86" s="472"/>
      <c r="R86" s="472"/>
      <c r="S86" s="472"/>
      <c r="T86" s="472"/>
      <c r="U86" s="472"/>
      <c r="V86" s="472"/>
      <c r="W86" s="472"/>
      <c r="X86" s="472"/>
      <c r="Y86" s="472"/>
      <c r="Z86" s="472"/>
      <c r="AA86" s="472"/>
    </row>
    <row r="87" outlineLevel="1">
      <c r="A87" s="484">
        <f>IFERROR(__xludf.DUMMYFUNCTION("""COMPUTED_VALUE"""),7.28620091221E11)</f>
        <v>728620091221</v>
      </c>
      <c r="B87" s="485" t="str">
        <f>IFERROR(__xludf.DUMMYFUNCTION("""COMPUTED_VALUE"""),"MARIA JAQUIELE FURTADO GABRIEL")</f>
        <v>MARIA JAQUIELE FURTADO GABRIEL</v>
      </c>
      <c r="C87" s="486">
        <f>IFERROR(__xludf.DUMMYFUNCTION("""COMPUTED_VALUE"""),6.0)</f>
        <v>6</v>
      </c>
      <c r="D87" s="487"/>
      <c r="E87" s="486"/>
      <c r="F87" s="495"/>
      <c r="G87" s="472"/>
      <c r="H87" s="472"/>
      <c r="I87" s="472"/>
      <c r="J87" s="472"/>
      <c r="K87" s="472"/>
      <c r="L87" s="472"/>
      <c r="M87" s="472"/>
      <c r="N87" s="472"/>
      <c r="O87" s="472"/>
      <c r="P87" s="472"/>
      <c r="Q87" s="472"/>
      <c r="R87" s="472"/>
      <c r="S87" s="472"/>
      <c r="T87" s="472"/>
      <c r="U87" s="472"/>
      <c r="V87" s="472"/>
      <c r="W87" s="472"/>
      <c r="X87" s="472"/>
      <c r="Y87" s="472"/>
      <c r="Z87" s="472"/>
      <c r="AA87" s="472"/>
    </row>
    <row r="88" outlineLevel="1">
      <c r="A88" s="484">
        <f>IFERROR(__xludf.DUMMYFUNCTION("""COMPUTED_VALUE"""),7.71840093443E11)</f>
        <v>771840093443</v>
      </c>
      <c r="B88" s="485" t="str">
        <f>IFERROR(__xludf.DUMMYFUNCTION("""COMPUTED_VALUE"""),"TALITA ALCANTARA FONTENELE E SILVA")</f>
        <v>TALITA ALCANTARA FONTENELE E SILVA</v>
      </c>
      <c r="C88" s="486">
        <f>IFERROR(__xludf.DUMMYFUNCTION("""COMPUTED_VALUE"""),6.0)</f>
        <v>6</v>
      </c>
      <c r="D88" s="487"/>
      <c r="E88" s="486"/>
      <c r="F88" s="495"/>
      <c r="G88" s="472"/>
      <c r="H88" s="472"/>
      <c r="I88" s="472"/>
      <c r="J88" s="472"/>
      <c r="K88" s="472"/>
      <c r="L88" s="472"/>
      <c r="M88" s="472"/>
      <c r="N88" s="472"/>
      <c r="O88" s="472"/>
      <c r="P88" s="472"/>
      <c r="Q88" s="472"/>
      <c r="R88" s="472"/>
      <c r="S88" s="472"/>
      <c r="T88" s="472"/>
      <c r="U88" s="472"/>
      <c r="V88" s="472"/>
      <c r="W88" s="472"/>
      <c r="X88" s="472"/>
      <c r="Y88" s="472"/>
      <c r="Z88" s="472"/>
      <c r="AA88" s="472"/>
    </row>
    <row r="89" outlineLevel="1">
      <c r="A89" s="494">
        <f>IFERROR(__xludf.DUMMYFUNCTION("""COMPUTED_VALUE"""),9.7750089569E10)</f>
        <v>97750089569</v>
      </c>
      <c r="B89" s="485" t="str">
        <f>IFERROR(__xludf.DUMMYFUNCTION("""COMPUTED_VALUE"""),"PAULO HENRIQUE MACIEL DA SILVA")</f>
        <v>PAULO HENRIQUE MACIEL DA SILVA</v>
      </c>
      <c r="C89" s="486">
        <f>IFERROR(__xludf.DUMMYFUNCTION("""COMPUTED_VALUE"""),6.0)</f>
        <v>6</v>
      </c>
      <c r="D89" s="487"/>
      <c r="E89" s="486"/>
      <c r="F89" s="495"/>
      <c r="G89" s="472"/>
      <c r="H89" s="472"/>
      <c r="I89" s="472"/>
      <c r="J89" s="472"/>
      <c r="K89" s="472"/>
      <c r="L89" s="472"/>
      <c r="M89" s="472"/>
      <c r="N89" s="472"/>
      <c r="O89" s="472"/>
      <c r="P89" s="472"/>
      <c r="Q89" s="472"/>
      <c r="R89" s="472"/>
      <c r="S89" s="472"/>
      <c r="T89" s="472"/>
      <c r="U89" s="472"/>
      <c r="V89" s="472"/>
      <c r="W89" s="472"/>
      <c r="X89" s="472"/>
      <c r="Y89" s="472"/>
      <c r="Z89" s="472"/>
      <c r="AA89" s="472"/>
    </row>
    <row r="90" outlineLevel="1">
      <c r="A90" s="484">
        <f>IFERROR(__xludf.DUMMYFUNCTION("""COMPUTED_VALUE"""),5.22330091706E11)</f>
        <v>522330091706</v>
      </c>
      <c r="B90" s="485" t="str">
        <f>IFERROR(__xludf.DUMMYFUNCTION("""COMPUTED_VALUE"""),"LAÍS MARIA GERMANO CANUTO SALES")</f>
        <v>LAÍS MARIA GERMANO CANUTO SALES</v>
      </c>
      <c r="C90" s="486">
        <f>IFERROR(__xludf.DUMMYFUNCTION("""COMPUTED_VALUE"""),6.0)</f>
        <v>6</v>
      </c>
      <c r="D90" s="487"/>
      <c r="E90" s="486"/>
      <c r="F90" s="495"/>
      <c r="G90" s="472"/>
      <c r="H90" s="472"/>
      <c r="I90" s="472"/>
      <c r="J90" s="472"/>
      <c r="K90" s="472"/>
      <c r="L90" s="472"/>
      <c r="M90" s="472"/>
      <c r="N90" s="472"/>
      <c r="O90" s="472"/>
      <c r="P90" s="472"/>
      <c r="Q90" s="472"/>
      <c r="R90" s="472"/>
      <c r="S90" s="472"/>
      <c r="T90" s="472"/>
      <c r="U90" s="472"/>
      <c r="V90" s="472"/>
      <c r="W90" s="472"/>
      <c r="X90" s="472"/>
      <c r="Y90" s="472"/>
      <c r="Z90" s="472"/>
      <c r="AA90" s="472"/>
    </row>
    <row r="91">
      <c r="A91" s="478" t="str">
        <f>IFERROR(__xludf.DUMMYFUNCTION("""COMPUTED_VALUE"""),"III - ESP - ATENÇÃO SAÚDE MENTAL")</f>
        <v>III - ESP - ATENÇÃO SAÚDE MENTAL</v>
      </c>
      <c r="B91" s="479"/>
      <c r="C91" s="479"/>
      <c r="D91" s="479"/>
      <c r="E91" s="479"/>
      <c r="F91" s="480"/>
      <c r="G91" s="472"/>
      <c r="H91" s="472"/>
      <c r="I91" s="472"/>
      <c r="J91" s="472"/>
      <c r="K91" s="496"/>
      <c r="L91" s="472"/>
      <c r="M91" s="472"/>
      <c r="N91" s="472"/>
      <c r="O91" s="472"/>
      <c r="P91" s="472"/>
      <c r="Q91" s="472"/>
      <c r="R91" s="472"/>
      <c r="S91" s="472"/>
      <c r="T91" s="472"/>
      <c r="U91" s="472"/>
      <c r="V91" s="472"/>
      <c r="W91" s="472"/>
      <c r="X91" s="472"/>
      <c r="Y91" s="472"/>
      <c r="Z91" s="472"/>
      <c r="AA91" s="472"/>
    </row>
    <row r="92" outlineLevel="1">
      <c r="A92" s="481" t="str">
        <f>IFERROR(__xludf.DUMMYFUNCTION("""COMPUTED_VALUE"""),"INSCRIÇÃO")</f>
        <v>INSCRIÇÃO</v>
      </c>
      <c r="B92" s="482" t="str">
        <f>IFERROR(__xludf.DUMMYFUNCTION("""COMPUTED_VALUE"""),"CANDIDATOS")</f>
        <v>CANDIDATOS</v>
      </c>
      <c r="C92" s="481" t="str">
        <f>IFERROR(__xludf.DUMMYFUNCTION("""COMPUTED_VALUE"""),"NF")</f>
        <v>NF</v>
      </c>
      <c r="D92" s="483" t="str">
        <f>IFERROR(__xludf.DUMMYFUNCTION("""COMPUTED_VALUE"""),"CONVOCADO(A)")</f>
        <v>CONVOCADO(A)</v>
      </c>
      <c r="E92" s="483" t="str">
        <f>IFERROR(__xludf.DUMMYFUNCTION("""COMPUTED_VALUE"""),"HOMOLOGADO(A)")</f>
        <v>HOMOLOGADO(A)</v>
      </c>
      <c r="F92" s="483" t="str">
        <f>IFERROR(__xludf.DUMMYFUNCTION("""COMPUTED_VALUE"""),"GERÊNCIA")</f>
        <v>GERÊNCIA</v>
      </c>
      <c r="G92" s="472"/>
      <c r="H92" s="472"/>
      <c r="I92" s="472"/>
      <c r="J92" s="472"/>
      <c r="K92" s="472"/>
      <c r="L92" s="472"/>
      <c r="M92" s="472"/>
      <c r="N92" s="472"/>
      <c r="O92" s="472"/>
      <c r="P92" s="472"/>
      <c r="Q92" s="472"/>
      <c r="R92" s="472"/>
      <c r="S92" s="472"/>
      <c r="T92" s="472"/>
      <c r="U92" s="472"/>
      <c r="V92" s="472"/>
      <c r="W92" s="472"/>
      <c r="X92" s="472"/>
      <c r="Y92" s="472"/>
      <c r="Z92" s="472"/>
      <c r="AA92" s="472"/>
    </row>
    <row r="93" outlineLevel="1">
      <c r="A93" s="484">
        <f>IFERROR(__xludf.DUMMYFUNCTION("""COMPUTED_VALUE"""),9.63840090146E11)</f>
        <v>963840090146</v>
      </c>
      <c r="B93" s="485" t="str">
        <f>IFERROR(__xludf.DUMMYFUNCTION("""COMPUTED_VALUE"""),"DÉBORA ROCHA CARVALHO")</f>
        <v>DÉBORA ROCHA CARVALHO</v>
      </c>
      <c r="C93" s="486">
        <f>IFERROR(__xludf.DUMMYFUNCTION("""COMPUTED_VALUE"""),9.5)</f>
        <v>9.5</v>
      </c>
      <c r="D93" s="487" t="str">
        <f>IFERROR(__xludf.DUMMYFUNCTION("""COMPUTED_VALUE"""),"SIM")</f>
        <v>SIM</v>
      </c>
      <c r="E93" s="486" t="str">
        <f>IFERROR(__xludf.DUMMYFUNCTION("""COMPUTED_VALUE"""),"SIM")</f>
        <v>SIM</v>
      </c>
      <c r="F93" s="486" t="str">
        <f>IFERROR(__xludf.DUMMYFUNCTION("""COMPUTED_VALUE"""),"GEDUC")</f>
        <v>GEDUC</v>
      </c>
      <c r="G93" s="472"/>
      <c r="H93" s="472"/>
      <c r="I93" s="472"/>
      <c r="J93" s="472"/>
      <c r="K93" s="472"/>
      <c r="L93" s="472"/>
      <c r="M93" s="472"/>
      <c r="N93" s="472"/>
      <c r="O93" s="472"/>
      <c r="P93" s="472"/>
      <c r="Q93" s="472"/>
      <c r="R93" s="472"/>
      <c r="S93" s="472"/>
      <c r="T93" s="472"/>
      <c r="U93" s="472"/>
      <c r="V93" s="472"/>
      <c r="W93" s="472"/>
      <c r="X93" s="472"/>
      <c r="Y93" s="472"/>
      <c r="Z93" s="472"/>
      <c r="AA93" s="472"/>
    </row>
    <row r="94" outlineLevel="1">
      <c r="A94" s="484">
        <f>IFERROR(__xludf.DUMMYFUNCTION("""COMPUTED_VALUE"""),3.15164092177E11)</f>
        <v>315164092177</v>
      </c>
      <c r="B94" s="485" t="str">
        <f>IFERROR(__xludf.DUMMYFUNCTION("""COMPUTED_VALUE"""),"ANDRÉA FROTA SAMPAIO FIGUEIREDO")</f>
        <v>ANDRÉA FROTA SAMPAIO FIGUEIREDO</v>
      </c>
      <c r="C94" s="486">
        <f>IFERROR(__xludf.DUMMYFUNCTION("""COMPUTED_VALUE"""),9.0)</f>
        <v>9</v>
      </c>
      <c r="D94" s="487" t="str">
        <f>IFERROR(__xludf.DUMMYFUNCTION("""COMPUTED_VALUE"""),"SIM")</f>
        <v>SIM</v>
      </c>
      <c r="E94" s="486" t="str">
        <f>IFERROR(__xludf.DUMMYFUNCTION("""COMPUTED_VALUE"""),"SIM")</f>
        <v>SIM</v>
      </c>
      <c r="F94" s="486" t="str">
        <f>IFERROR(__xludf.DUMMYFUNCTION("""COMPUTED_VALUE"""),"GEDUC")</f>
        <v>GEDUC</v>
      </c>
      <c r="G94" s="472"/>
      <c r="H94" s="472"/>
      <c r="I94" s="472"/>
      <c r="J94" s="472"/>
      <c r="K94" s="472"/>
      <c r="L94" s="472"/>
      <c r="M94" s="472"/>
      <c r="N94" s="472"/>
      <c r="O94" s="472"/>
      <c r="P94" s="472"/>
      <c r="Q94" s="472"/>
      <c r="R94" s="472"/>
      <c r="S94" s="472"/>
      <c r="T94" s="472"/>
      <c r="U94" s="472"/>
      <c r="V94" s="472"/>
      <c r="W94" s="472"/>
      <c r="X94" s="472"/>
      <c r="Y94" s="472"/>
      <c r="Z94" s="472"/>
      <c r="AA94" s="472"/>
    </row>
    <row r="95" outlineLevel="1">
      <c r="A95" s="484">
        <f>IFERROR(__xludf.DUMMYFUNCTION("""COMPUTED_VALUE"""),5.22330091705E11)</f>
        <v>522330091705</v>
      </c>
      <c r="B95" s="485" t="str">
        <f>IFERROR(__xludf.DUMMYFUNCTION("""COMPUTED_VALUE"""),"LAÍS MARIA GERMANO CANUTO SALES")</f>
        <v>LAÍS MARIA GERMANO CANUTO SALES</v>
      </c>
      <c r="C95" s="486">
        <f>IFERROR(__xludf.DUMMYFUNCTION("""COMPUTED_VALUE"""),9.0)</f>
        <v>9</v>
      </c>
      <c r="D95" s="487" t="str">
        <f>IFERROR(__xludf.DUMMYFUNCTION("""COMPUTED_VALUE"""),"SIM")</f>
        <v>SIM</v>
      </c>
      <c r="E95" s="486" t="str">
        <f>IFERROR(__xludf.DUMMYFUNCTION("""COMPUTED_VALUE"""),"SIM")</f>
        <v>SIM</v>
      </c>
      <c r="F95" s="486" t="str">
        <f>IFERROR(__xludf.DUMMYFUNCTION("""COMPUTED_VALUE"""),"GEDUC")</f>
        <v>GEDUC</v>
      </c>
      <c r="G95" s="472"/>
      <c r="H95" s="472"/>
      <c r="I95" s="472"/>
      <c r="J95" s="472"/>
      <c r="K95" s="472"/>
      <c r="L95" s="472"/>
      <c r="M95" s="472"/>
      <c r="N95" s="472"/>
      <c r="O95" s="472"/>
      <c r="P95" s="472"/>
      <c r="Q95" s="472"/>
      <c r="R95" s="472"/>
      <c r="S95" s="472"/>
      <c r="T95" s="472"/>
      <c r="U95" s="472"/>
      <c r="V95" s="472"/>
      <c r="W95" s="472"/>
      <c r="X95" s="472"/>
      <c r="Y95" s="472"/>
      <c r="Z95" s="472"/>
      <c r="AA95" s="472"/>
    </row>
    <row r="96" outlineLevel="1">
      <c r="A96" s="494">
        <f>IFERROR(__xludf.DUMMYFUNCTION("""COMPUTED_VALUE"""),5.9643093093E10)</f>
        <v>59643093093</v>
      </c>
      <c r="B96" s="485" t="str">
        <f>IFERROR(__xludf.DUMMYFUNCTION("""COMPUTED_VALUE"""),"SYLVIA DE SOUSA E SILVA")</f>
        <v>SYLVIA DE SOUSA E SILVA</v>
      </c>
      <c r="C96" s="486">
        <f>IFERROR(__xludf.DUMMYFUNCTION("""COMPUTED_VALUE"""),8.0)</f>
        <v>8</v>
      </c>
      <c r="D96" s="487" t="str">
        <f>IFERROR(__xludf.DUMMYFUNCTION("""COMPUTED_VALUE"""),"SIM")</f>
        <v>SIM</v>
      </c>
      <c r="E96" s="486" t="str">
        <f>IFERROR(__xludf.DUMMYFUNCTION("""COMPUTED_VALUE"""),"SIM")</f>
        <v>SIM</v>
      </c>
      <c r="F96" s="486" t="str">
        <f>IFERROR(__xludf.DUMMYFUNCTION("""COMPUTED_VALUE"""),"GEDUC")</f>
        <v>GEDUC</v>
      </c>
      <c r="G96" s="472"/>
      <c r="H96" s="472"/>
      <c r="I96" s="472"/>
      <c r="J96" s="472"/>
      <c r="K96" s="472"/>
      <c r="L96" s="472"/>
      <c r="M96" s="472"/>
      <c r="N96" s="472"/>
      <c r="O96" s="472"/>
      <c r="P96" s="472"/>
      <c r="Q96" s="472"/>
      <c r="R96" s="472"/>
      <c r="S96" s="472"/>
      <c r="T96" s="472"/>
      <c r="U96" s="472"/>
      <c r="V96" s="472"/>
      <c r="W96" s="472"/>
      <c r="X96" s="472"/>
      <c r="Y96" s="472"/>
      <c r="Z96" s="472"/>
      <c r="AA96" s="472"/>
    </row>
    <row r="97" outlineLevel="1">
      <c r="A97" s="484">
        <f>IFERROR(__xludf.DUMMYFUNCTION("""COMPUTED_VALUE"""),9.74294092981E11)</f>
        <v>974294092981</v>
      </c>
      <c r="B97" s="485" t="str">
        <f>IFERROR(__xludf.DUMMYFUNCTION("""COMPUTED_VALUE"""),"NÚBIA DIAS COSTA CAETANO")</f>
        <v>NÚBIA DIAS COSTA CAETANO</v>
      </c>
      <c r="C97" s="486">
        <f>IFERROR(__xludf.DUMMYFUNCTION("""COMPUTED_VALUE"""),8.0)</f>
        <v>8</v>
      </c>
      <c r="D97" s="487" t="str">
        <f>IFERROR(__xludf.DUMMYFUNCTION("""COMPUTED_VALUE"""),"SIM")</f>
        <v>SIM</v>
      </c>
      <c r="E97" s="486" t="str">
        <f>IFERROR(__xludf.DUMMYFUNCTION("""COMPUTED_VALUE"""),"SIM")</f>
        <v>SIM</v>
      </c>
      <c r="F97" s="486" t="str">
        <f>IFERROR(__xludf.DUMMYFUNCTION("""COMPUTED_VALUE"""),"GEDUC")</f>
        <v>GEDUC</v>
      </c>
      <c r="G97" s="472"/>
      <c r="H97" s="472"/>
      <c r="I97" s="472"/>
      <c r="J97" s="472"/>
      <c r="K97" s="472"/>
      <c r="L97" s="472"/>
      <c r="M97" s="472"/>
      <c r="N97" s="472"/>
      <c r="O97" s="472"/>
      <c r="P97" s="472"/>
      <c r="Q97" s="472"/>
      <c r="R97" s="472"/>
      <c r="S97" s="472"/>
      <c r="T97" s="472"/>
      <c r="U97" s="472"/>
      <c r="V97" s="472"/>
      <c r="W97" s="472"/>
      <c r="X97" s="472"/>
      <c r="Y97" s="472"/>
      <c r="Z97" s="472"/>
      <c r="AA97" s="472"/>
    </row>
    <row r="98" outlineLevel="1">
      <c r="A98" s="484">
        <f>IFERROR(__xludf.DUMMYFUNCTION("""COMPUTED_VALUE"""),9.97420089758E11)</f>
        <v>997420089758</v>
      </c>
      <c r="B98" s="485" t="str">
        <f>IFERROR(__xludf.DUMMYFUNCTION("""COMPUTED_VALUE"""),"CICERA TAVARES DE LUCENA")</f>
        <v>CICERA TAVARES DE LUCENA</v>
      </c>
      <c r="C98" s="486">
        <f>IFERROR(__xludf.DUMMYFUNCTION("""COMPUTED_VALUE"""),8.0)</f>
        <v>8</v>
      </c>
      <c r="D98" s="487" t="str">
        <f>IFERROR(__xludf.DUMMYFUNCTION("""COMPUTED_VALUE"""),"SIM")</f>
        <v>SIM</v>
      </c>
      <c r="E98" s="486" t="str">
        <f>IFERROR(__xludf.DUMMYFUNCTION("""COMPUTED_VALUE"""),"NÃO")</f>
        <v>NÃO</v>
      </c>
      <c r="F98" s="486" t="str">
        <f>IFERROR(__xludf.DUMMYFUNCTION("""COMPUTED_VALUE"""),"GEDUC")</f>
        <v>GEDUC</v>
      </c>
      <c r="G98" s="472"/>
      <c r="H98" s="472"/>
      <c r="I98" s="472"/>
      <c r="J98" s="472"/>
      <c r="K98" s="472"/>
      <c r="L98" s="472"/>
      <c r="M98" s="472"/>
      <c r="N98" s="472"/>
      <c r="O98" s="472"/>
      <c r="P98" s="472"/>
      <c r="Q98" s="472"/>
      <c r="R98" s="472"/>
      <c r="S98" s="472"/>
      <c r="T98" s="472"/>
      <c r="U98" s="472"/>
      <c r="V98" s="472"/>
      <c r="W98" s="472"/>
      <c r="X98" s="472"/>
      <c r="Y98" s="472"/>
      <c r="Z98" s="472"/>
      <c r="AA98" s="472"/>
    </row>
    <row r="99" outlineLevel="1">
      <c r="A99" s="484">
        <f>IFERROR(__xludf.DUMMYFUNCTION("""COMPUTED_VALUE"""),9.65350090345E11)</f>
        <v>965350090345</v>
      </c>
      <c r="B99" s="485" t="str">
        <f>IFERROR(__xludf.DUMMYFUNCTION("""COMPUTED_VALUE"""),"FELIPE SALVIANO RAMOS")</f>
        <v>FELIPE SALVIANO RAMOS</v>
      </c>
      <c r="C99" s="486">
        <f>IFERROR(__xludf.DUMMYFUNCTION("""COMPUTED_VALUE"""),8.0)</f>
        <v>8</v>
      </c>
      <c r="D99" s="487" t="str">
        <f>IFERROR(__xludf.DUMMYFUNCTION("""COMPUTED_VALUE"""),"SIM")</f>
        <v>SIM</v>
      </c>
      <c r="E99" s="486" t="str">
        <f>IFERROR(__xludf.DUMMYFUNCTION("""COMPUTED_VALUE"""),"SIM")</f>
        <v>SIM</v>
      </c>
      <c r="F99" s="486" t="str">
        <f>IFERROR(__xludf.DUMMYFUNCTION("""COMPUTED_VALUE"""),"GEDUC")</f>
        <v>GEDUC</v>
      </c>
      <c r="G99" s="472"/>
      <c r="H99" s="472"/>
      <c r="I99" s="472"/>
      <c r="J99" s="472"/>
      <c r="K99" s="472"/>
      <c r="L99" s="472"/>
      <c r="M99" s="472"/>
      <c r="N99" s="472"/>
      <c r="O99" s="472"/>
      <c r="P99" s="472"/>
      <c r="Q99" s="472"/>
      <c r="R99" s="472"/>
      <c r="S99" s="472"/>
      <c r="T99" s="472"/>
      <c r="U99" s="472"/>
      <c r="V99" s="472"/>
      <c r="W99" s="472"/>
      <c r="X99" s="472"/>
      <c r="Y99" s="472"/>
      <c r="Z99" s="472"/>
      <c r="AA99" s="472"/>
    </row>
    <row r="100" outlineLevel="1">
      <c r="A100" s="494">
        <f>IFERROR(__xludf.DUMMYFUNCTION("""COMPUTED_VALUE"""),3.6620091963E10)</f>
        <v>36620091963</v>
      </c>
      <c r="B100" s="485" t="str">
        <f>IFERROR(__xludf.DUMMYFUNCTION("""COMPUTED_VALUE"""),"WANESSA MARIA COSTA CAVALCANTE BRANDAO")</f>
        <v>WANESSA MARIA COSTA CAVALCANTE BRANDAO</v>
      </c>
      <c r="C100" s="486">
        <f>IFERROR(__xludf.DUMMYFUNCTION("""COMPUTED_VALUE"""),7.5)</f>
        <v>7.5</v>
      </c>
      <c r="D100" s="487" t="str">
        <f>IFERROR(__xludf.DUMMYFUNCTION("""COMPUTED_VALUE"""),"SIM")</f>
        <v>SIM</v>
      </c>
      <c r="E100" s="486" t="str">
        <f>IFERROR(__xludf.DUMMYFUNCTION("""COMPUTED_VALUE"""),"SIM")</f>
        <v>SIM</v>
      </c>
      <c r="F100" s="486" t="str">
        <f>IFERROR(__xludf.DUMMYFUNCTION("""COMPUTED_VALUE"""),"GEDUC")</f>
        <v>GEDUC</v>
      </c>
      <c r="G100" s="472"/>
      <c r="H100" s="472"/>
      <c r="I100" s="472"/>
      <c r="J100" s="472"/>
      <c r="K100" s="472"/>
      <c r="L100" s="472"/>
      <c r="M100" s="472"/>
      <c r="N100" s="472"/>
      <c r="O100" s="472"/>
      <c r="P100" s="472"/>
      <c r="Q100" s="472"/>
      <c r="R100" s="472"/>
      <c r="S100" s="472"/>
      <c r="T100" s="472"/>
      <c r="U100" s="472"/>
      <c r="V100" s="472"/>
      <c r="W100" s="472"/>
      <c r="X100" s="472"/>
      <c r="Y100" s="472"/>
      <c r="Z100" s="472"/>
      <c r="AA100" s="472"/>
    </row>
    <row r="101" outlineLevel="1">
      <c r="A101" s="484">
        <f>IFERROR(__xludf.DUMMYFUNCTION("""COMPUTED_VALUE"""),5.06430091539E11)</f>
        <v>506430091539</v>
      </c>
      <c r="B101" s="485" t="str">
        <f>IFERROR(__xludf.DUMMYFUNCTION("""COMPUTED_VALUE"""),"MARIA JULIANA FIRMINO SIQUEIRA")</f>
        <v>MARIA JULIANA FIRMINO SIQUEIRA</v>
      </c>
      <c r="C101" s="486">
        <f>IFERROR(__xludf.DUMMYFUNCTION("""COMPUTED_VALUE"""),7.0)</f>
        <v>7</v>
      </c>
      <c r="D101" s="487" t="str">
        <f>IFERROR(__xludf.DUMMYFUNCTION("""COMPUTED_VALUE"""),"SIM")</f>
        <v>SIM</v>
      </c>
      <c r="E101" s="486" t="str">
        <f>IFERROR(__xludf.DUMMYFUNCTION("""COMPUTED_VALUE"""),"NÃO")</f>
        <v>NÃO</v>
      </c>
      <c r="F101" s="486" t="str">
        <f>IFERROR(__xludf.DUMMYFUNCTION("""COMPUTED_VALUE"""),"GEDUC")</f>
        <v>GEDUC</v>
      </c>
      <c r="G101" s="472"/>
      <c r="H101" s="472"/>
      <c r="I101" s="472"/>
      <c r="J101" s="472"/>
      <c r="K101" s="472"/>
      <c r="L101" s="472"/>
      <c r="M101" s="472"/>
      <c r="N101" s="472"/>
      <c r="O101" s="472"/>
      <c r="P101" s="472"/>
      <c r="Q101" s="472"/>
      <c r="R101" s="472"/>
      <c r="S101" s="472"/>
      <c r="T101" s="472"/>
      <c r="U101" s="472"/>
      <c r="V101" s="472"/>
      <c r="W101" s="472"/>
      <c r="X101" s="472"/>
      <c r="Y101" s="472"/>
      <c r="Z101" s="472"/>
      <c r="AA101" s="472"/>
    </row>
    <row r="102" outlineLevel="1">
      <c r="A102" s="484">
        <f>IFERROR(__xludf.DUMMYFUNCTION("""COMPUTED_VALUE"""),9.73840092664E11)</f>
        <v>973840092664</v>
      </c>
      <c r="B102" s="485" t="str">
        <f>IFERROR(__xludf.DUMMYFUNCTION("""COMPUTED_VALUE"""),"ISRAEL SILVA SAMPAIO GOMES")</f>
        <v>ISRAEL SILVA SAMPAIO GOMES</v>
      </c>
      <c r="C102" s="486">
        <f>IFERROR(__xludf.DUMMYFUNCTION("""COMPUTED_VALUE"""),7.0)</f>
        <v>7</v>
      </c>
      <c r="D102" s="487" t="str">
        <f>IFERROR(__xludf.DUMMYFUNCTION("""COMPUTED_VALUE"""),"SIM")</f>
        <v>SIM</v>
      </c>
      <c r="E102" s="486" t="str">
        <f>IFERROR(__xludf.DUMMYFUNCTION("""COMPUTED_VALUE"""),"SIM")</f>
        <v>SIM</v>
      </c>
      <c r="F102" s="486" t="str">
        <f>IFERROR(__xludf.DUMMYFUNCTION("""COMPUTED_VALUE"""),"GEDUC")</f>
        <v>GEDUC</v>
      </c>
      <c r="G102" s="472"/>
      <c r="H102" s="472"/>
      <c r="I102" s="472"/>
      <c r="J102" s="472"/>
      <c r="K102" s="472"/>
      <c r="L102" s="472"/>
      <c r="M102" s="472"/>
      <c r="N102" s="472"/>
      <c r="O102" s="472"/>
      <c r="P102" s="472"/>
      <c r="Q102" s="472"/>
      <c r="R102" s="472"/>
      <c r="S102" s="472"/>
      <c r="T102" s="472"/>
      <c r="U102" s="472"/>
      <c r="V102" s="472"/>
      <c r="W102" s="472"/>
      <c r="X102" s="472"/>
      <c r="Y102" s="472"/>
      <c r="Z102" s="472"/>
      <c r="AA102" s="472"/>
    </row>
    <row r="103" outlineLevel="1">
      <c r="A103" s="484">
        <f>IFERROR(__xludf.DUMMYFUNCTION("""COMPUTED_VALUE"""),7.51250089435E11)</f>
        <v>751250089435</v>
      </c>
      <c r="B103" s="485" t="str">
        <f>IFERROR(__xludf.DUMMYFUNCTION("""COMPUTED_VALUE"""),"JOÃO HENRIQUE CORDEIRO")</f>
        <v>JOÃO HENRIQUE CORDEIRO</v>
      </c>
      <c r="C103" s="486">
        <f>IFERROR(__xludf.DUMMYFUNCTION("""COMPUTED_VALUE"""),7.0)</f>
        <v>7</v>
      </c>
      <c r="D103" s="487" t="str">
        <f>IFERROR(__xludf.DUMMYFUNCTION("""COMPUTED_VALUE"""),"SIM")</f>
        <v>SIM</v>
      </c>
      <c r="E103" s="486" t="str">
        <f>IFERROR(__xludf.DUMMYFUNCTION("""COMPUTED_VALUE"""),"SIM")</f>
        <v>SIM</v>
      </c>
      <c r="F103" s="486" t="str">
        <f>IFERROR(__xludf.DUMMYFUNCTION("""COMPUTED_VALUE"""),"GEDUC")</f>
        <v>GEDUC</v>
      </c>
      <c r="G103" s="472"/>
      <c r="H103" s="472"/>
      <c r="I103" s="472"/>
      <c r="J103" s="472"/>
      <c r="K103" s="472"/>
      <c r="L103" s="472"/>
      <c r="M103" s="472"/>
      <c r="N103" s="472"/>
      <c r="O103" s="472"/>
      <c r="P103" s="472"/>
      <c r="Q103" s="472"/>
      <c r="R103" s="472"/>
      <c r="S103" s="472"/>
      <c r="T103" s="472"/>
      <c r="U103" s="472"/>
      <c r="V103" s="472"/>
      <c r="W103" s="472"/>
      <c r="X103" s="472"/>
      <c r="Y103" s="472"/>
      <c r="Z103" s="472"/>
      <c r="AA103" s="472"/>
    </row>
    <row r="104" outlineLevel="1">
      <c r="A104" s="484">
        <f>IFERROR(__xludf.DUMMYFUNCTION("""COMPUTED_VALUE"""),3.55840090012E11)</f>
        <v>355840090012</v>
      </c>
      <c r="B104" s="485" t="str">
        <f>IFERROR(__xludf.DUMMYFUNCTION("""COMPUTED_VALUE"""),"CLAUDIONE CAVALCANTE DE LIMA")</f>
        <v>CLAUDIONE CAVALCANTE DE LIMA</v>
      </c>
      <c r="C104" s="486">
        <f>IFERROR(__xludf.DUMMYFUNCTION("""COMPUTED_VALUE"""),6.5)</f>
        <v>6.5</v>
      </c>
      <c r="D104" s="487"/>
      <c r="E104" s="486"/>
      <c r="F104" s="486"/>
      <c r="G104" s="472"/>
      <c r="H104" s="472"/>
      <c r="I104" s="472"/>
      <c r="J104" s="472"/>
      <c r="K104" s="472"/>
      <c r="L104" s="472"/>
      <c r="M104" s="472"/>
      <c r="N104" s="472"/>
      <c r="O104" s="472"/>
      <c r="P104" s="472"/>
      <c r="Q104" s="472"/>
      <c r="R104" s="472"/>
      <c r="S104" s="472"/>
      <c r="T104" s="472"/>
      <c r="U104" s="472"/>
      <c r="V104" s="472"/>
      <c r="W104" s="472"/>
      <c r="X104" s="472"/>
      <c r="Y104" s="472"/>
      <c r="Z104" s="472"/>
      <c r="AA104" s="472"/>
    </row>
    <row r="105" outlineLevel="1">
      <c r="A105" s="484">
        <f>IFERROR(__xludf.DUMMYFUNCTION("""COMPUTED_VALUE"""),8.26815090051E11)</f>
        <v>826815090051</v>
      </c>
      <c r="B105" s="485" t="str">
        <f>IFERROR(__xludf.DUMMYFUNCTION("""COMPUTED_VALUE"""),"ERIKA MARQUES NOBRE")</f>
        <v>ERIKA MARQUES NOBRE</v>
      </c>
      <c r="C105" s="486">
        <f>IFERROR(__xludf.DUMMYFUNCTION("""COMPUTED_VALUE"""),6.0)</f>
        <v>6</v>
      </c>
      <c r="D105" s="487"/>
      <c r="E105" s="486"/>
      <c r="F105" s="486"/>
      <c r="G105" s="472"/>
      <c r="H105" s="472"/>
      <c r="I105" s="472"/>
      <c r="J105" s="472"/>
      <c r="K105" s="472"/>
      <c r="L105" s="472"/>
      <c r="M105" s="472"/>
      <c r="N105" s="472"/>
      <c r="O105" s="472"/>
      <c r="P105" s="472"/>
      <c r="Q105" s="472"/>
      <c r="R105" s="472"/>
      <c r="S105" s="472"/>
      <c r="T105" s="472"/>
      <c r="U105" s="472"/>
      <c r="V105" s="472"/>
      <c r="W105" s="472"/>
      <c r="X105" s="472"/>
      <c r="Y105" s="472"/>
      <c r="Z105" s="472"/>
      <c r="AA105" s="472"/>
    </row>
    <row r="106" outlineLevel="1">
      <c r="A106" s="484">
        <f>IFERROR(__xludf.DUMMYFUNCTION("""COMPUTED_VALUE"""),2.55830091636E11)</f>
        <v>255830091636</v>
      </c>
      <c r="B106" s="485" t="str">
        <f>IFERROR(__xludf.DUMMYFUNCTION("""COMPUTED_VALUE"""),"PRISCILA DE FREITAS SOUSA")</f>
        <v>PRISCILA DE FREITAS SOUSA</v>
      </c>
      <c r="C106" s="486">
        <f>IFERROR(__xludf.DUMMYFUNCTION("""COMPUTED_VALUE"""),6.0)</f>
        <v>6</v>
      </c>
      <c r="D106" s="487"/>
      <c r="E106" s="486"/>
      <c r="F106" s="486"/>
      <c r="G106" s="472"/>
      <c r="H106" s="472"/>
      <c r="I106" s="472"/>
      <c r="J106" s="472"/>
      <c r="K106" s="472"/>
      <c r="L106" s="472"/>
      <c r="M106" s="472"/>
      <c r="N106" s="472"/>
      <c r="O106" s="472"/>
      <c r="P106" s="472"/>
      <c r="Q106" s="472"/>
      <c r="R106" s="472"/>
      <c r="S106" s="472"/>
      <c r="T106" s="472"/>
      <c r="U106" s="472"/>
      <c r="V106" s="472"/>
      <c r="W106" s="472"/>
      <c r="X106" s="472"/>
      <c r="Y106" s="472"/>
      <c r="Z106" s="472"/>
      <c r="AA106" s="472"/>
    </row>
    <row r="107" outlineLevel="1">
      <c r="A107" s="494">
        <f>IFERROR(__xludf.DUMMYFUNCTION("""COMPUTED_VALUE"""),5.7640089549E10)</f>
        <v>57640089549</v>
      </c>
      <c r="B107" s="485" t="str">
        <f>IFERROR(__xludf.DUMMYFUNCTION("""COMPUTED_VALUE"""),"CICERA BRENA CALIXTO SOUSA BORGES")</f>
        <v>CICERA BRENA CALIXTO SOUSA BORGES</v>
      </c>
      <c r="C107" s="486">
        <f>IFERROR(__xludf.DUMMYFUNCTION("""COMPUTED_VALUE"""),6.0)</f>
        <v>6</v>
      </c>
      <c r="D107" s="487"/>
      <c r="E107" s="486"/>
      <c r="F107" s="486"/>
      <c r="G107" s="472"/>
      <c r="H107" s="472"/>
      <c r="I107" s="472"/>
      <c r="J107" s="472"/>
      <c r="K107" s="472"/>
      <c r="L107" s="472"/>
      <c r="M107" s="472"/>
      <c r="N107" s="472"/>
      <c r="O107" s="472"/>
      <c r="P107" s="472"/>
      <c r="Q107" s="472"/>
      <c r="R107" s="472"/>
      <c r="S107" s="472"/>
      <c r="T107" s="472"/>
      <c r="U107" s="472"/>
      <c r="V107" s="472"/>
      <c r="W107" s="472"/>
      <c r="X107" s="472"/>
      <c r="Y107" s="472"/>
      <c r="Z107" s="472"/>
      <c r="AA107" s="472"/>
    </row>
    <row r="108" outlineLevel="1">
      <c r="A108" s="484">
        <f>IFERROR(__xludf.DUMMYFUNCTION("""COMPUTED_VALUE"""),6.45560092152E11)</f>
        <v>645560092152</v>
      </c>
      <c r="B108" s="485" t="str">
        <f>IFERROR(__xludf.DUMMYFUNCTION("""COMPUTED_VALUE"""),"GLADYS PONTES ANDRADE COSTA")</f>
        <v>GLADYS PONTES ANDRADE COSTA</v>
      </c>
      <c r="C108" s="486">
        <f>IFERROR(__xludf.DUMMYFUNCTION("""COMPUTED_VALUE"""),6.0)</f>
        <v>6</v>
      </c>
      <c r="D108" s="487"/>
      <c r="E108" s="486"/>
      <c r="F108" s="486"/>
      <c r="G108" s="472"/>
      <c r="H108" s="472"/>
      <c r="I108" s="472"/>
      <c r="J108" s="472"/>
      <c r="K108" s="472"/>
      <c r="L108" s="472"/>
      <c r="M108" s="472"/>
      <c r="N108" s="472"/>
      <c r="O108" s="472"/>
      <c r="P108" s="472"/>
      <c r="Q108" s="472"/>
      <c r="R108" s="472"/>
      <c r="S108" s="472"/>
      <c r="T108" s="472"/>
      <c r="U108" s="472"/>
      <c r="V108" s="472"/>
      <c r="W108" s="472"/>
      <c r="X108" s="472"/>
      <c r="Y108" s="472"/>
      <c r="Z108" s="472"/>
      <c r="AA108" s="472"/>
    </row>
    <row r="109" outlineLevel="1">
      <c r="A109" s="484">
        <f>IFERROR(__xludf.DUMMYFUNCTION("""COMPUTED_VALUE"""),6.08940089126E11)</f>
        <v>608940089126</v>
      </c>
      <c r="B109" s="485" t="str">
        <f>IFERROR(__xludf.DUMMYFUNCTION("""COMPUTED_VALUE"""),"MAYARA DE OLIVEIRA FERREIRA")</f>
        <v>MAYARA DE OLIVEIRA FERREIRA</v>
      </c>
      <c r="C109" s="486">
        <f>IFERROR(__xludf.DUMMYFUNCTION("""COMPUTED_VALUE"""),6.0)</f>
        <v>6</v>
      </c>
      <c r="D109" s="487"/>
      <c r="E109" s="486"/>
      <c r="F109" s="486"/>
      <c r="G109" s="472"/>
      <c r="H109" s="472"/>
      <c r="I109" s="472"/>
      <c r="J109" s="472"/>
      <c r="K109" s="472"/>
      <c r="L109" s="472"/>
      <c r="M109" s="472"/>
      <c r="N109" s="472"/>
      <c r="O109" s="472"/>
      <c r="P109" s="472"/>
      <c r="Q109" s="472"/>
      <c r="R109" s="472"/>
      <c r="S109" s="472"/>
      <c r="T109" s="472"/>
      <c r="U109" s="472"/>
      <c r="V109" s="472"/>
      <c r="W109" s="472"/>
      <c r="X109" s="472"/>
      <c r="Y109" s="472"/>
      <c r="Z109" s="472"/>
      <c r="AA109" s="472"/>
    </row>
    <row r="110">
      <c r="A110" s="478" t="str">
        <f>IFERROR(__xludf.DUMMYFUNCTION("""COMPUTED_VALUE"""),"IV - ESP - GESTÃO EM SAÚDE")</f>
        <v>IV - ESP - GESTÃO EM SAÚDE</v>
      </c>
      <c r="B110" s="479"/>
      <c r="C110" s="479"/>
      <c r="D110" s="479"/>
      <c r="E110" s="479"/>
      <c r="F110" s="480"/>
      <c r="G110" s="472"/>
      <c r="H110" s="472"/>
      <c r="I110" s="472"/>
      <c r="J110" s="472"/>
      <c r="K110" s="472"/>
      <c r="L110" s="472"/>
      <c r="M110" s="472"/>
      <c r="N110" s="472"/>
      <c r="O110" s="472"/>
      <c r="P110" s="472"/>
      <c r="Q110" s="472"/>
      <c r="R110" s="472"/>
      <c r="S110" s="472"/>
      <c r="T110" s="472"/>
      <c r="U110" s="472"/>
      <c r="V110" s="472"/>
      <c r="W110" s="472"/>
      <c r="X110" s="472"/>
      <c r="Y110" s="472"/>
      <c r="Z110" s="472"/>
      <c r="AA110" s="472"/>
    </row>
    <row r="111" outlineLevel="1">
      <c r="A111" s="482" t="str">
        <f>IFERROR(__xludf.DUMMYFUNCTION("""COMPUTED_VALUE"""),"INSCRIÇÃO")</f>
        <v>INSCRIÇÃO</v>
      </c>
      <c r="B111" s="482" t="str">
        <f>IFERROR(__xludf.DUMMYFUNCTION("""COMPUTED_VALUE"""),"CANDIDATOS")</f>
        <v>CANDIDATOS</v>
      </c>
      <c r="C111" s="481" t="str">
        <f>IFERROR(__xludf.DUMMYFUNCTION("""COMPUTED_VALUE"""),"NF")</f>
        <v>NF</v>
      </c>
      <c r="D111" s="483" t="str">
        <f>IFERROR(__xludf.DUMMYFUNCTION("""COMPUTED_VALUE"""),"CONVOCADO(A)")</f>
        <v>CONVOCADO(A)</v>
      </c>
      <c r="E111" s="483" t="str">
        <f>IFERROR(__xludf.DUMMYFUNCTION("""COMPUTED_VALUE"""),"HOMOLOGADO(A)")</f>
        <v>HOMOLOGADO(A)</v>
      </c>
      <c r="F111" s="483" t="str">
        <f>IFERROR(__xludf.DUMMYFUNCTION("""COMPUTED_VALUE"""),"GERÊNCIA")</f>
        <v>GERÊNCIA</v>
      </c>
      <c r="G111" s="472"/>
      <c r="H111" s="472"/>
      <c r="I111" s="472"/>
      <c r="J111" s="472"/>
      <c r="K111" s="472"/>
      <c r="L111" s="472"/>
      <c r="M111" s="472"/>
      <c r="N111" s="472"/>
      <c r="O111" s="472"/>
      <c r="P111" s="472"/>
      <c r="Q111" s="472"/>
      <c r="R111" s="472"/>
      <c r="S111" s="472"/>
      <c r="T111" s="472"/>
      <c r="U111" s="472"/>
      <c r="V111" s="472"/>
      <c r="W111" s="472"/>
      <c r="X111" s="472"/>
      <c r="Y111" s="472"/>
      <c r="Z111" s="472"/>
      <c r="AA111" s="472"/>
    </row>
    <row r="112" outlineLevel="1">
      <c r="A112" s="484">
        <f>IFERROR(__xludf.DUMMYFUNCTION("""COMPUTED_VALUE"""),8.01809089576E11)</f>
        <v>801809089576</v>
      </c>
      <c r="B112" s="485" t="str">
        <f>IFERROR(__xludf.DUMMYFUNCTION("""COMPUTED_VALUE"""),"JAQUELINE DE SOUSA DANTAS")</f>
        <v>JAQUELINE DE SOUSA DANTAS</v>
      </c>
      <c r="C112" s="486">
        <f>IFERROR(__xludf.DUMMYFUNCTION("""COMPUTED_VALUE"""),10.0)</f>
        <v>10</v>
      </c>
      <c r="D112" s="487" t="str">
        <f>IFERROR(__xludf.DUMMYFUNCTION("""COMPUTED_VALUE"""),"SIM")</f>
        <v>SIM</v>
      </c>
      <c r="E112" s="486" t="str">
        <f>IFERROR(__xludf.DUMMYFUNCTION("""COMPUTED_VALUE"""),"SIM")</f>
        <v>SIM</v>
      </c>
      <c r="F112" s="495" t="str">
        <f>IFERROR(__xludf.DUMMYFUNCTION("""COMPUTED_VALUE"""),"GEPRO")</f>
        <v>GEPRO</v>
      </c>
      <c r="G112" s="472"/>
      <c r="H112" s="472"/>
      <c r="I112" s="472"/>
      <c r="J112" s="472"/>
      <c r="K112" s="472"/>
      <c r="L112" s="472"/>
      <c r="M112" s="472"/>
      <c r="N112" s="472"/>
      <c r="O112" s="472"/>
      <c r="P112" s="472"/>
      <c r="Q112" s="472"/>
      <c r="R112" s="472"/>
      <c r="S112" s="472"/>
      <c r="T112" s="472"/>
      <c r="U112" s="472"/>
      <c r="V112" s="472"/>
      <c r="W112" s="472"/>
      <c r="X112" s="472"/>
      <c r="Y112" s="472"/>
      <c r="Z112" s="472"/>
      <c r="AA112" s="472"/>
    </row>
    <row r="113" outlineLevel="1">
      <c r="A113" s="484">
        <f>IFERROR(__xludf.DUMMYFUNCTION("""COMPUTED_VALUE"""),4.54228092524E11)</f>
        <v>454228092524</v>
      </c>
      <c r="B113" s="485" t="str">
        <f>IFERROR(__xludf.DUMMYFUNCTION("""COMPUTED_VALUE"""),"PETRÚCYA FRAZÃO LIRA")</f>
        <v>PETRÚCYA FRAZÃO LIRA</v>
      </c>
      <c r="C113" s="486">
        <f>IFERROR(__xludf.DUMMYFUNCTION("""COMPUTED_VALUE"""),9.5)</f>
        <v>9.5</v>
      </c>
      <c r="D113" s="487" t="str">
        <f>IFERROR(__xludf.DUMMYFUNCTION("""COMPUTED_VALUE"""),"SIM")</f>
        <v>SIM</v>
      </c>
      <c r="E113" s="486" t="str">
        <f>IFERROR(__xludf.DUMMYFUNCTION("""COMPUTED_VALUE"""),"SIM")</f>
        <v>SIM</v>
      </c>
      <c r="F113" s="495" t="str">
        <f>IFERROR(__xludf.DUMMYFUNCTION("""COMPUTED_VALUE"""),"GEPRO")</f>
        <v>GEPRO</v>
      </c>
      <c r="G113" s="472"/>
      <c r="H113" s="472"/>
      <c r="I113" s="472"/>
      <c r="J113" s="472"/>
      <c r="K113" s="472"/>
      <c r="L113" s="472"/>
      <c r="M113" s="472"/>
      <c r="N113" s="472"/>
      <c r="O113" s="472"/>
      <c r="P113" s="472"/>
      <c r="Q113" s="472"/>
      <c r="R113" s="472"/>
      <c r="S113" s="472"/>
      <c r="T113" s="472"/>
      <c r="U113" s="472"/>
      <c r="V113" s="472"/>
      <c r="W113" s="472"/>
      <c r="X113" s="472"/>
      <c r="Y113" s="472"/>
      <c r="Z113" s="472"/>
      <c r="AA113" s="472"/>
    </row>
    <row r="114" outlineLevel="1">
      <c r="A114" s="484">
        <f>IFERROR(__xludf.DUMMYFUNCTION("""COMPUTED_VALUE"""),9.74294092982E11)</f>
        <v>974294092982</v>
      </c>
      <c r="B114" s="485" t="str">
        <f>IFERROR(__xludf.DUMMYFUNCTION("""COMPUTED_VALUE"""),"NÚBIA DIAS COSTA CAETANO")</f>
        <v>NÚBIA DIAS COSTA CAETANO</v>
      </c>
      <c r="C114" s="486">
        <f>IFERROR(__xludf.DUMMYFUNCTION("""COMPUTED_VALUE"""),9.0)</f>
        <v>9</v>
      </c>
      <c r="D114" s="487" t="str">
        <f>IFERROR(__xludf.DUMMYFUNCTION("""COMPUTED_VALUE"""),"SIM")</f>
        <v>SIM</v>
      </c>
      <c r="E114" s="486" t="str">
        <f>IFERROR(__xludf.DUMMYFUNCTION("""COMPUTED_VALUE"""),"SIM")</f>
        <v>SIM</v>
      </c>
      <c r="F114" s="495" t="str">
        <f>IFERROR(__xludf.DUMMYFUNCTION("""COMPUTED_VALUE"""),"GEPRO")</f>
        <v>GEPRO</v>
      </c>
      <c r="G114" s="472"/>
      <c r="H114" s="472"/>
      <c r="I114" s="472"/>
      <c r="J114" s="472"/>
      <c r="K114" s="472"/>
      <c r="L114" s="472"/>
      <c r="M114" s="472"/>
      <c r="N114" s="472"/>
      <c r="O114" s="472"/>
      <c r="P114" s="472"/>
      <c r="Q114" s="472"/>
      <c r="R114" s="472"/>
      <c r="S114" s="472"/>
      <c r="T114" s="472"/>
      <c r="U114" s="472"/>
      <c r="V114" s="472"/>
      <c r="W114" s="472"/>
      <c r="X114" s="472"/>
      <c r="Y114" s="472"/>
      <c r="Z114" s="472"/>
      <c r="AA114" s="472"/>
    </row>
    <row r="115" outlineLevel="1">
      <c r="A115" s="484">
        <f>IFERROR(__xludf.DUMMYFUNCTION("""COMPUTED_VALUE"""),8.47527093616E11)</f>
        <v>847527093616</v>
      </c>
      <c r="B115" s="485" t="str">
        <f>IFERROR(__xludf.DUMMYFUNCTION("""COMPUTED_VALUE"""),"ANDRÉA DO NASCIMENTO SERPA RODRIGUES")</f>
        <v>ANDRÉA DO NASCIMENTO SERPA RODRIGUES</v>
      </c>
      <c r="C115" s="486">
        <f>IFERROR(__xludf.DUMMYFUNCTION("""COMPUTED_VALUE"""),9.0)</f>
        <v>9</v>
      </c>
      <c r="D115" s="487" t="str">
        <f>IFERROR(__xludf.DUMMYFUNCTION("""COMPUTED_VALUE"""),"SIM")</f>
        <v>SIM</v>
      </c>
      <c r="E115" s="486" t="str">
        <f>IFERROR(__xludf.DUMMYFUNCTION("""COMPUTED_VALUE"""),"SIM")</f>
        <v>SIM</v>
      </c>
      <c r="F115" s="495" t="str">
        <f>IFERROR(__xludf.DUMMYFUNCTION("""COMPUTED_VALUE"""),"GEPRO")</f>
        <v>GEPRO</v>
      </c>
      <c r="G115" s="472"/>
      <c r="H115" s="472"/>
      <c r="I115" s="472"/>
      <c r="J115" s="472"/>
      <c r="K115" s="472"/>
      <c r="L115" s="472"/>
      <c r="M115" s="472"/>
      <c r="N115" s="472"/>
      <c r="O115" s="472"/>
      <c r="P115" s="472"/>
      <c r="Q115" s="472"/>
      <c r="R115" s="472"/>
      <c r="S115" s="472"/>
      <c r="T115" s="472"/>
      <c r="U115" s="472"/>
      <c r="V115" s="472"/>
      <c r="W115" s="472"/>
      <c r="X115" s="472"/>
      <c r="Y115" s="472"/>
      <c r="Z115" s="472"/>
      <c r="AA115" s="472"/>
    </row>
    <row r="116" outlineLevel="1">
      <c r="A116" s="484">
        <f>IFERROR(__xludf.DUMMYFUNCTION("""COMPUTED_VALUE"""),2.53060089127E11)</f>
        <v>253060089127</v>
      </c>
      <c r="B116" s="485" t="str">
        <f>IFERROR(__xludf.DUMMYFUNCTION("""COMPUTED_VALUE"""),"LETICIA KELLY COSTA SILVA")</f>
        <v>LETICIA KELLY COSTA SILVA</v>
      </c>
      <c r="C116" s="486">
        <f>IFERROR(__xludf.DUMMYFUNCTION("""COMPUTED_VALUE"""),9.0)</f>
        <v>9</v>
      </c>
      <c r="D116" s="487"/>
      <c r="E116" s="486"/>
      <c r="F116" s="495"/>
      <c r="G116" s="472"/>
      <c r="H116" s="472"/>
      <c r="I116" s="472"/>
      <c r="J116" s="472"/>
      <c r="K116" s="472"/>
      <c r="L116" s="472"/>
      <c r="M116" s="472"/>
      <c r="N116" s="472"/>
      <c r="O116" s="472"/>
      <c r="P116" s="472"/>
      <c r="Q116" s="472"/>
      <c r="R116" s="472"/>
      <c r="S116" s="472"/>
      <c r="T116" s="472"/>
      <c r="U116" s="472"/>
      <c r="V116" s="472"/>
      <c r="W116" s="472"/>
      <c r="X116" s="472"/>
      <c r="Y116" s="472"/>
      <c r="Z116" s="472"/>
      <c r="AA116" s="472"/>
    </row>
    <row r="117" outlineLevel="1">
      <c r="A117" s="484">
        <f>IFERROR(__xludf.DUMMYFUNCTION("""COMPUTED_VALUE"""),1.95650091974E11)</f>
        <v>195650091974</v>
      </c>
      <c r="B117" s="485" t="str">
        <f>IFERROR(__xludf.DUMMYFUNCTION("""COMPUTED_VALUE"""),"EVELINE MICHELLE LIMA DA SILVA")</f>
        <v>EVELINE MICHELLE LIMA DA SILVA</v>
      </c>
      <c r="C117" s="486">
        <f>IFERROR(__xludf.DUMMYFUNCTION("""COMPUTED_VALUE"""),8.5)</f>
        <v>8.5</v>
      </c>
      <c r="D117" s="487"/>
      <c r="E117" s="486"/>
      <c r="F117" s="495"/>
      <c r="G117" s="472"/>
      <c r="H117" s="472"/>
      <c r="I117" s="472"/>
      <c r="J117" s="472"/>
      <c r="K117" s="472"/>
      <c r="L117" s="472"/>
      <c r="M117" s="472"/>
      <c r="N117" s="472"/>
      <c r="O117" s="472"/>
      <c r="P117" s="472"/>
      <c r="Q117" s="472"/>
      <c r="R117" s="472"/>
      <c r="S117" s="472"/>
      <c r="T117" s="472"/>
      <c r="U117" s="472"/>
      <c r="V117" s="472"/>
      <c r="W117" s="472"/>
      <c r="X117" s="472"/>
      <c r="Y117" s="472"/>
      <c r="Z117" s="472"/>
      <c r="AA117" s="472"/>
    </row>
    <row r="118" outlineLevel="1">
      <c r="A118" s="484">
        <f>IFERROR(__xludf.DUMMYFUNCTION("""COMPUTED_VALUE"""),9.00348093682E11)</f>
        <v>900348093682</v>
      </c>
      <c r="B118" s="485" t="str">
        <f>IFERROR(__xludf.DUMMYFUNCTION("""COMPUTED_VALUE"""),"ÉRIKA ALMEIDA CHAVES")</f>
        <v>ÉRIKA ALMEIDA CHAVES</v>
      </c>
      <c r="C118" s="486">
        <f>IFERROR(__xludf.DUMMYFUNCTION("""COMPUTED_VALUE"""),8.0)</f>
        <v>8</v>
      </c>
      <c r="D118" s="487"/>
      <c r="E118" s="486"/>
      <c r="F118" s="495"/>
      <c r="G118" s="472"/>
      <c r="H118" s="472"/>
      <c r="I118" s="472"/>
      <c r="J118" s="472"/>
      <c r="K118" s="472"/>
      <c r="L118" s="472"/>
      <c r="M118" s="472"/>
      <c r="N118" s="472"/>
      <c r="O118" s="472"/>
      <c r="P118" s="472"/>
      <c r="Q118" s="472"/>
      <c r="R118" s="472"/>
      <c r="S118" s="472"/>
      <c r="T118" s="472"/>
      <c r="U118" s="472"/>
      <c r="V118" s="472"/>
      <c r="W118" s="472"/>
      <c r="X118" s="472"/>
      <c r="Y118" s="472"/>
      <c r="Z118" s="472"/>
      <c r="AA118" s="472"/>
    </row>
    <row r="119" outlineLevel="1">
      <c r="A119" s="484">
        <f>IFERROR(__xludf.DUMMYFUNCTION("""COMPUTED_VALUE"""),4.47638093614E11)</f>
        <v>447638093614</v>
      </c>
      <c r="B119" s="485" t="str">
        <f>IFERROR(__xludf.DUMMYFUNCTION("""COMPUTED_VALUE"""),"EVELINE MACHADO DE AGUIAR BARBOSA")</f>
        <v>EVELINE MACHADO DE AGUIAR BARBOSA</v>
      </c>
      <c r="C119" s="486">
        <f>IFERROR(__xludf.DUMMYFUNCTION("""COMPUTED_VALUE"""),8.0)</f>
        <v>8</v>
      </c>
      <c r="D119" s="487"/>
      <c r="E119" s="486"/>
      <c r="F119" s="495"/>
      <c r="G119" s="472"/>
      <c r="H119" s="472"/>
      <c r="I119" s="472"/>
      <c r="J119" s="472"/>
      <c r="K119" s="472"/>
      <c r="L119" s="472"/>
      <c r="M119" s="472"/>
      <c r="N119" s="472"/>
      <c r="O119" s="472"/>
      <c r="P119" s="472"/>
      <c r="Q119" s="472"/>
      <c r="R119" s="472"/>
      <c r="S119" s="472"/>
      <c r="T119" s="472"/>
      <c r="U119" s="472"/>
      <c r="V119" s="472"/>
      <c r="W119" s="472"/>
      <c r="X119" s="472"/>
      <c r="Y119" s="472"/>
      <c r="Z119" s="472"/>
      <c r="AA119" s="472"/>
    </row>
    <row r="120" outlineLevel="1">
      <c r="A120" s="494">
        <f>IFERROR(__xludf.DUMMYFUNCTION("""COMPUTED_VALUE"""),4.630089513E9)</f>
        <v>4630089513</v>
      </c>
      <c r="B120" s="485" t="str">
        <f>IFERROR(__xludf.DUMMYFUNCTION("""COMPUTED_VALUE"""),"TICIANE FREIRE GOMES")</f>
        <v>TICIANE FREIRE GOMES</v>
      </c>
      <c r="C120" s="486">
        <f>IFERROR(__xludf.DUMMYFUNCTION("""COMPUTED_VALUE"""),8.0)</f>
        <v>8</v>
      </c>
      <c r="D120" s="487"/>
      <c r="E120" s="486"/>
      <c r="F120" s="495"/>
      <c r="G120" s="472"/>
      <c r="H120" s="472"/>
      <c r="I120" s="472"/>
      <c r="J120" s="472"/>
      <c r="K120" s="472"/>
      <c r="L120" s="472"/>
      <c r="M120" s="472"/>
      <c r="N120" s="472"/>
      <c r="O120" s="472"/>
      <c r="P120" s="472"/>
      <c r="Q120" s="472"/>
      <c r="R120" s="472"/>
      <c r="S120" s="472"/>
      <c r="T120" s="472"/>
      <c r="U120" s="472"/>
      <c r="V120" s="472"/>
      <c r="W120" s="472"/>
      <c r="X120" s="472"/>
      <c r="Y120" s="472"/>
      <c r="Z120" s="472"/>
      <c r="AA120" s="472"/>
    </row>
    <row r="121" outlineLevel="1">
      <c r="A121" s="484">
        <f>IFERROR(__xludf.DUMMYFUNCTION("""COMPUTED_VALUE"""),7.21530088775E11)</f>
        <v>721530088775</v>
      </c>
      <c r="B121" s="485" t="str">
        <f>IFERROR(__xludf.DUMMYFUNCTION("""COMPUTED_VALUE"""),"MIRLENE SOUZA SANTOS SOARES")</f>
        <v>MIRLENE SOUZA SANTOS SOARES</v>
      </c>
      <c r="C121" s="486">
        <f>IFERROR(__xludf.DUMMYFUNCTION("""COMPUTED_VALUE"""),8.0)</f>
        <v>8</v>
      </c>
      <c r="D121" s="487"/>
      <c r="E121" s="486"/>
      <c r="F121" s="495"/>
      <c r="G121" s="472"/>
      <c r="H121" s="472"/>
      <c r="I121" s="472"/>
      <c r="J121" s="472"/>
      <c r="K121" s="472"/>
      <c r="L121" s="472"/>
      <c r="M121" s="472"/>
      <c r="N121" s="472"/>
      <c r="O121" s="472"/>
      <c r="P121" s="472"/>
      <c r="Q121" s="472"/>
      <c r="R121" s="472"/>
      <c r="S121" s="472"/>
      <c r="T121" s="472"/>
      <c r="U121" s="472"/>
      <c r="V121" s="472"/>
      <c r="W121" s="472"/>
      <c r="X121" s="472"/>
      <c r="Y121" s="472"/>
      <c r="Z121" s="472"/>
      <c r="AA121" s="472"/>
    </row>
    <row r="122" outlineLevel="1">
      <c r="A122" s="484">
        <f>IFERROR(__xludf.DUMMYFUNCTION("""COMPUTED_VALUE"""),9.65350090348E11)</f>
        <v>965350090348</v>
      </c>
      <c r="B122" s="485" t="str">
        <f>IFERROR(__xludf.DUMMYFUNCTION("""COMPUTED_VALUE"""),"FELIPE SALVIANO RAMOS")</f>
        <v>FELIPE SALVIANO RAMOS</v>
      </c>
      <c r="C122" s="486">
        <f>IFERROR(__xludf.DUMMYFUNCTION("""COMPUTED_VALUE"""),8.0)</f>
        <v>8</v>
      </c>
      <c r="D122" s="487"/>
      <c r="E122" s="486"/>
      <c r="F122" s="495"/>
      <c r="G122" s="472"/>
      <c r="H122" s="472"/>
      <c r="I122" s="472"/>
      <c r="J122" s="472"/>
      <c r="K122" s="472"/>
      <c r="L122" s="472"/>
      <c r="M122" s="472"/>
      <c r="N122" s="472"/>
      <c r="O122" s="472"/>
      <c r="P122" s="472"/>
      <c r="Q122" s="472"/>
      <c r="R122" s="472"/>
      <c r="S122" s="472"/>
      <c r="T122" s="472"/>
      <c r="U122" s="472"/>
      <c r="V122" s="472"/>
      <c r="W122" s="472"/>
      <c r="X122" s="472"/>
      <c r="Y122" s="472"/>
      <c r="Z122" s="472"/>
      <c r="AA122" s="472"/>
    </row>
    <row r="123" outlineLevel="1">
      <c r="A123" s="484">
        <f>IFERROR(__xludf.DUMMYFUNCTION("""COMPUTED_VALUE"""),4.9466009055E11)</f>
        <v>494660090550</v>
      </c>
      <c r="B123" s="485" t="str">
        <f>IFERROR(__xludf.DUMMYFUNCTION("""COMPUTED_VALUE"""),"SAULO BARRETO CUNHA DOS SANTOS")</f>
        <v>SAULO BARRETO CUNHA DOS SANTOS</v>
      </c>
      <c r="C123" s="486">
        <f>IFERROR(__xludf.DUMMYFUNCTION("""COMPUTED_VALUE"""),8.0)</f>
        <v>8</v>
      </c>
      <c r="D123" s="487"/>
      <c r="E123" s="486"/>
      <c r="F123" s="495"/>
      <c r="G123" s="472"/>
      <c r="H123" s="472"/>
      <c r="I123" s="472"/>
      <c r="J123" s="472"/>
      <c r="K123" s="472"/>
      <c r="L123" s="472"/>
      <c r="M123" s="472"/>
      <c r="N123" s="472"/>
      <c r="O123" s="472"/>
      <c r="P123" s="472"/>
      <c r="Q123" s="472"/>
      <c r="R123" s="472"/>
      <c r="S123" s="472"/>
      <c r="T123" s="472"/>
      <c r="U123" s="472"/>
      <c r="V123" s="472"/>
      <c r="W123" s="472"/>
      <c r="X123" s="472"/>
      <c r="Y123" s="472"/>
      <c r="Z123" s="472"/>
      <c r="AA123" s="472"/>
    </row>
    <row r="124" outlineLevel="1">
      <c r="A124" s="494">
        <f>IFERROR(__xludf.DUMMYFUNCTION("""COMPUTED_VALUE"""),3.862009363E10)</f>
        <v>38620093630</v>
      </c>
      <c r="B124" s="485" t="str">
        <f>IFERROR(__xludf.DUMMYFUNCTION("""COMPUTED_VALUE"""),"ALINE ALVES MESQUITA")</f>
        <v>ALINE ALVES MESQUITA</v>
      </c>
      <c r="C124" s="486">
        <f>IFERROR(__xludf.DUMMYFUNCTION("""COMPUTED_VALUE"""),7.5)</f>
        <v>7.5</v>
      </c>
      <c r="D124" s="487"/>
      <c r="E124" s="486"/>
      <c r="F124" s="495"/>
      <c r="G124" s="472"/>
      <c r="H124" s="472"/>
      <c r="I124" s="472"/>
      <c r="J124" s="472"/>
      <c r="K124" s="472"/>
      <c r="L124" s="472"/>
      <c r="M124" s="472"/>
      <c r="N124" s="472"/>
      <c r="O124" s="472"/>
      <c r="P124" s="472"/>
      <c r="Q124" s="472"/>
      <c r="R124" s="472"/>
      <c r="S124" s="472"/>
      <c r="T124" s="472"/>
      <c r="U124" s="472"/>
      <c r="V124" s="472"/>
      <c r="W124" s="472"/>
      <c r="X124" s="472"/>
      <c r="Y124" s="472"/>
      <c r="Z124" s="472"/>
      <c r="AA124" s="472"/>
    </row>
    <row r="125" outlineLevel="1">
      <c r="A125" s="484">
        <f>IFERROR(__xludf.DUMMYFUNCTION("""COMPUTED_VALUE"""),5.43240093082E11)</f>
        <v>543240093082</v>
      </c>
      <c r="B125" s="485" t="str">
        <f>IFERROR(__xludf.DUMMYFUNCTION("""COMPUTED_VALUE"""),"JOAO PAULO MOREIRA DO PRADO")</f>
        <v>JOAO PAULO MOREIRA DO PRADO</v>
      </c>
      <c r="C125" s="486">
        <f>IFERROR(__xludf.DUMMYFUNCTION("""COMPUTED_VALUE"""),7.5)</f>
        <v>7.5</v>
      </c>
      <c r="D125" s="487"/>
      <c r="E125" s="486"/>
      <c r="F125" s="495"/>
      <c r="G125" s="472"/>
      <c r="H125" s="472"/>
      <c r="I125" s="472"/>
      <c r="J125" s="472"/>
      <c r="K125" s="472"/>
      <c r="L125" s="472"/>
      <c r="M125" s="472"/>
      <c r="N125" s="472"/>
      <c r="O125" s="472"/>
      <c r="P125" s="472"/>
      <c r="Q125" s="472"/>
      <c r="R125" s="472"/>
      <c r="S125" s="472"/>
      <c r="T125" s="472"/>
      <c r="U125" s="472"/>
      <c r="V125" s="472"/>
      <c r="W125" s="472"/>
      <c r="X125" s="472"/>
      <c r="Y125" s="472"/>
      <c r="Z125" s="472"/>
      <c r="AA125" s="472"/>
    </row>
    <row r="126" outlineLevel="1">
      <c r="A126" s="484">
        <f>IFERROR(__xludf.DUMMYFUNCTION("""COMPUTED_VALUE"""),6.89330088927E11)</f>
        <v>689330088927</v>
      </c>
      <c r="B126" s="485" t="str">
        <f>IFERROR(__xludf.DUMMYFUNCTION("""COMPUTED_VALUE"""),"GONZAGA SALES DA SILVA FILHO")</f>
        <v>GONZAGA SALES DA SILVA FILHO</v>
      </c>
      <c r="C126" s="486">
        <f>IFERROR(__xludf.DUMMYFUNCTION("""COMPUTED_VALUE"""),7.5)</f>
        <v>7.5</v>
      </c>
      <c r="D126" s="487"/>
      <c r="E126" s="486"/>
      <c r="F126" s="495"/>
      <c r="G126" s="472"/>
      <c r="H126" s="472"/>
      <c r="I126" s="472"/>
      <c r="J126" s="472"/>
      <c r="K126" s="472"/>
      <c r="L126" s="472"/>
      <c r="M126" s="472"/>
      <c r="N126" s="472"/>
      <c r="O126" s="472"/>
      <c r="P126" s="472"/>
      <c r="Q126" s="472"/>
      <c r="R126" s="472"/>
      <c r="S126" s="472"/>
      <c r="T126" s="472"/>
      <c r="U126" s="472"/>
      <c r="V126" s="472"/>
      <c r="W126" s="472"/>
      <c r="X126" s="472"/>
      <c r="Y126" s="472"/>
      <c r="Z126" s="472"/>
      <c r="AA126" s="472"/>
    </row>
    <row r="127" outlineLevel="1">
      <c r="A127" s="484">
        <f>IFERROR(__xludf.DUMMYFUNCTION("""COMPUTED_VALUE"""),9.97420089759E11)</f>
        <v>997420089759</v>
      </c>
      <c r="B127" s="485" t="str">
        <f>IFERROR(__xludf.DUMMYFUNCTION("""COMPUTED_VALUE"""),"CICERA TAVARES DE LUCENA")</f>
        <v>CICERA TAVARES DE LUCENA</v>
      </c>
      <c r="C127" s="486">
        <f>IFERROR(__xludf.DUMMYFUNCTION("""COMPUTED_VALUE"""),7.0)</f>
        <v>7</v>
      </c>
      <c r="D127" s="487"/>
      <c r="E127" s="486"/>
      <c r="F127" s="495"/>
      <c r="G127" s="472"/>
      <c r="H127" s="472"/>
      <c r="I127" s="472"/>
      <c r="J127" s="472"/>
      <c r="K127" s="472"/>
      <c r="L127" s="472"/>
      <c r="M127" s="472"/>
      <c r="N127" s="472"/>
      <c r="O127" s="472"/>
      <c r="P127" s="472"/>
      <c r="Q127" s="472"/>
      <c r="R127" s="472"/>
      <c r="S127" s="472"/>
      <c r="T127" s="472"/>
      <c r="U127" s="472"/>
      <c r="V127" s="472"/>
      <c r="W127" s="472"/>
      <c r="X127" s="472"/>
      <c r="Y127" s="472"/>
      <c r="Z127" s="472"/>
      <c r="AA127" s="472"/>
    </row>
    <row r="128" outlineLevel="1">
      <c r="A128" s="494">
        <f>IFERROR(__xludf.DUMMYFUNCTION("""COMPUTED_VALUE"""),9.3450089831E10)</f>
        <v>93450089831</v>
      </c>
      <c r="B128" s="485" t="str">
        <f>IFERROR(__xludf.DUMMYFUNCTION("""COMPUTED_VALUE"""),"NÉLCIO SOUZA SOARES SEGUNDO")</f>
        <v>NÉLCIO SOUZA SOARES SEGUNDO</v>
      </c>
      <c r="C128" s="486">
        <f>IFERROR(__xludf.DUMMYFUNCTION("""COMPUTED_VALUE"""),7.0)</f>
        <v>7</v>
      </c>
      <c r="D128" s="487"/>
      <c r="E128" s="486"/>
      <c r="F128" s="495"/>
      <c r="G128" s="472"/>
      <c r="H128" s="472"/>
      <c r="I128" s="472"/>
      <c r="J128" s="472"/>
      <c r="K128" s="472"/>
      <c r="L128" s="472"/>
      <c r="M128" s="472"/>
      <c r="N128" s="472"/>
      <c r="O128" s="472"/>
      <c r="P128" s="472"/>
      <c r="Q128" s="472"/>
      <c r="R128" s="472"/>
      <c r="S128" s="472"/>
      <c r="T128" s="472"/>
      <c r="U128" s="472"/>
      <c r="V128" s="472"/>
      <c r="W128" s="472"/>
      <c r="X128" s="472"/>
      <c r="Y128" s="472"/>
      <c r="Z128" s="472"/>
      <c r="AA128" s="472"/>
    </row>
    <row r="129" outlineLevel="1">
      <c r="A129" s="484">
        <f>IFERROR(__xludf.DUMMYFUNCTION("""COMPUTED_VALUE"""),5.82310088931E11)</f>
        <v>582310088931</v>
      </c>
      <c r="B129" s="485" t="str">
        <f>IFERROR(__xludf.DUMMYFUNCTION("""COMPUTED_VALUE"""),"MELISSA DE FARIAS ABREU")</f>
        <v>MELISSA DE FARIAS ABREU</v>
      </c>
      <c r="C129" s="486">
        <f>IFERROR(__xludf.DUMMYFUNCTION("""COMPUTED_VALUE"""),7.0)</f>
        <v>7</v>
      </c>
      <c r="D129" s="487"/>
      <c r="E129" s="486"/>
      <c r="F129" s="495"/>
      <c r="G129" s="472"/>
      <c r="H129" s="472"/>
      <c r="I129" s="472"/>
      <c r="J129" s="472"/>
      <c r="K129" s="472"/>
      <c r="L129" s="472"/>
      <c r="M129" s="472"/>
      <c r="N129" s="472"/>
      <c r="O129" s="472"/>
      <c r="P129" s="472"/>
      <c r="Q129" s="472"/>
      <c r="R129" s="472"/>
      <c r="S129" s="472"/>
      <c r="T129" s="472"/>
      <c r="U129" s="472"/>
      <c r="V129" s="472"/>
      <c r="W129" s="472"/>
      <c r="X129" s="472"/>
      <c r="Y129" s="472"/>
      <c r="Z129" s="472"/>
      <c r="AA129" s="472"/>
    </row>
    <row r="130" outlineLevel="1">
      <c r="A130" s="484">
        <f>IFERROR(__xludf.DUMMYFUNCTION("""COMPUTED_VALUE"""),3.24627092054E11)</f>
        <v>324627092054</v>
      </c>
      <c r="B130" s="485" t="str">
        <f>IFERROR(__xludf.DUMMYFUNCTION("""COMPUTED_VALUE"""),"LEILA MAKELLY LIMA ANGELIM")</f>
        <v>LEILA MAKELLY LIMA ANGELIM</v>
      </c>
      <c r="C130" s="486">
        <f>IFERROR(__xludf.DUMMYFUNCTION("""COMPUTED_VALUE"""),6.0)</f>
        <v>6</v>
      </c>
      <c r="D130" s="487"/>
      <c r="E130" s="486"/>
      <c r="F130" s="495"/>
      <c r="G130" s="472"/>
      <c r="H130" s="472"/>
      <c r="I130" s="472"/>
      <c r="J130" s="472"/>
      <c r="K130" s="472"/>
      <c r="L130" s="472"/>
      <c r="M130" s="472"/>
      <c r="N130" s="472"/>
      <c r="O130" s="472"/>
      <c r="P130" s="472"/>
      <c r="Q130" s="472"/>
      <c r="R130" s="472"/>
      <c r="S130" s="472"/>
      <c r="T130" s="472"/>
      <c r="U130" s="472"/>
      <c r="V130" s="472"/>
      <c r="W130" s="472"/>
      <c r="X130" s="472"/>
      <c r="Y130" s="472"/>
      <c r="Z130" s="472"/>
      <c r="AA130" s="472"/>
    </row>
    <row r="131" outlineLevel="1">
      <c r="A131" s="484">
        <f>IFERROR(__xludf.DUMMYFUNCTION("""COMPUTED_VALUE"""),8.94148092007E11)</f>
        <v>894148092007</v>
      </c>
      <c r="B131" s="485" t="str">
        <f>IFERROR(__xludf.DUMMYFUNCTION("""COMPUTED_VALUE"""),"SIMONE FIRMO DE MORAES ALMEIDA")</f>
        <v>SIMONE FIRMO DE MORAES ALMEIDA</v>
      </c>
      <c r="C131" s="486">
        <f>IFERROR(__xludf.DUMMYFUNCTION("""COMPUTED_VALUE"""),6.0)</f>
        <v>6</v>
      </c>
      <c r="D131" s="487"/>
      <c r="E131" s="486"/>
      <c r="F131" s="495"/>
      <c r="G131" s="472"/>
      <c r="H131" s="472"/>
      <c r="I131" s="472"/>
      <c r="J131" s="472"/>
      <c r="K131" s="472"/>
      <c r="L131" s="472"/>
      <c r="M131" s="472"/>
      <c r="N131" s="472"/>
      <c r="O131" s="472"/>
      <c r="P131" s="472"/>
      <c r="Q131" s="472"/>
      <c r="R131" s="472"/>
      <c r="S131" s="472"/>
      <c r="T131" s="472"/>
      <c r="U131" s="472"/>
      <c r="V131" s="472"/>
      <c r="W131" s="472"/>
      <c r="X131" s="472"/>
      <c r="Y131" s="472"/>
      <c r="Z131" s="472"/>
      <c r="AA131" s="472"/>
    </row>
    <row r="132" outlineLevel="1">
      <c r="A132" s="484">
        <f>IFERROR(__xludf.DUMMYFUNCTION("""COMPUTED_VALUE"""),9.49620091209E11)</f>
        <v>949620091209</v>
      </c>
      <c r="B132" s="485" t="str">
        <f>IFERROR(__xludf.DUMMYFUNCTION("""COMPUTED_VALUE"""),"SILMÁRIA COSTA SANTOS SOEIRO")</f>
        <v>SILMÁRIA COSTA SANTOS SOEIRO</v>
      </c>
      <c r="C132" s="486">
        <f>IFERROR(__xludf.DUMMYFUNCTION("""COMPUTED_VALUE"""),6.0)</f>
        <v>6</v>
      </c>
      <c r="D132" s="487"/>
      <c r="E132" s="486"/>
      <c r="F132" s="495"/>
      <c r="G132" s="472"/>
      <c r="H132" s="472"/>
      <c r="I132" s="472"/>
      <c r="J132" s="472"/>
      <c r="K132" s="472"/>
      <c r="L132" s="472"/>
      <c r="M132" s="472"/>
      <c r="N132" s="472"/>
      <c r="O132" s="472"/>
      <c r="P132" s="472"/>
      <c r="Q132" s="472"/>
      <c r="R132" s="472"/>
      <c r="S132" s="472"/>
      <c r="T132" s="472"/>
      <c r="U132" s="472"/>
      <c r="V132" s="472"/>
      <c r="W132" s="472"/>
      <c r="X132" s="472"/>
      <c r="Y132" s="472"/>
      <c r="Z132" s="472"/>
      <c r="AA132" s="472"/>
    </row>
    <row r="133" outlineLevel="1">
      <c r="A133" s="484">
        <f>IFERROR(__xludf.DUMMYFUNCTION("""COMPUTED_VALUE"""),7.28620091222E11)</f>
        <v>728620091222</v>
      </c>
      <c r="B133" s="485" t="str">
        <f>IFERROR(__xludf.DUMMYFUNCTION("""COMPUTED_VALUE"""),"MARIA JAQUIELE FURTADO GABRIEL")</f>
        <v>MARIA JAQUIELE FURTADO GABRIEL</v>
      </c>
      <c r="C133" s="486">
        <f>IFERROR(__xludf.DUMMYFUNCTION("""COMPUTED_VALUE"""),6.0)</f>
        <v>6</v>
      </c>
      <c r="D133" s="487"/>
      <c r="E133" s="486"/>
      <c r="F133" s="495"/>
      <c r="G133" s="472"/>
      <c r="H133" s="472"/>
      <c r="I133" s="472"/>
      <c r="J133" s="472"/>
      <c r="K133" s="472"/>
      <c r="L133" s="472"/>
      <c r="M133" s="472"/>
      <c r="N133" s="472"/>
      <c r="O133" s="472"/>
      <c r="P133" s="472"/>
      <c r="Q133" s="472"/>
      <c r="R133" s="472"/>
      <c r="S133" s="472"/>
      <c r="T133" s="472"/>
      <c r="U133" s="472"/>
      <c r="V133" s="472"/>
      <c r="W133" s="472"/>
      <c r="X133" s="472"/>
      <c r="Y133" s="472"/>
      <c r="Z133" s="472"/>
      <c r="AA133" s="472"/>
    </row>
    <row r="134" outlineLevel="1">
      <c r="A134" s="484">
        <f>IFERROR(__xludf.DUMMYFUNCTION("""COMPUTED_VALUE"""),9.83620093675E11)</f>
        <v>983620093675</v>
      </c>
      <c r="B134" s="485" t="str">
        <f>IFERROR(__xludf.DUMMYFUNCTION("""COMPUTED_VALUE"""),"FRANCISCA MARIA RANIELLE ALBUQUERQUE BECO")</f>
        <v>FRANCISCA MARIA RANIELLE ALBUQUERQUE BECO</v>
      </c>
      <c r="C134" s="486">
        <f>IFERROR(__xludf.DUMMYFUNCTION("""COMPUTED_VALUE"""),6.0)</f>
        <v>6</v>
      </c>
      <c r="D134" s="487"/>
      <c r="E134" s="486"/>
      <c r="F134" s="495"/>
      <c r="G134" s="472"/>
      <c r="H134" s="472"/>
      <c r="I134" s="472"/>
      <c r="J134" s="472"/>
      <c r="K134" s="472"/>
      <c r="L134" s="472"/>
      <c r="M134" s="472"/>
      <c r="N134" s="472"/>
      <c r="O134" s="472"/>
      <c r="P134" s="472"/>
      <c r="Q134" s="472"/>
      <c r="R134" s="472"/>
      <c r="S134" s="472"/>
      <c r="T134" s="472"/>
      <c r="U134" s="472"/>
      <c r="V134" s="472"/>
      <c r="W134" s="472"/>
      <c r="X134" s="472"/>
      <c r="Y134" s="472"/>
      <c r="Z134" s="472"/>
      <c r="AA134" s="472"/>
    </row>
    <row r="135" outlineLevel="1">
      <c r="A135" s="484">
        <f>IFERROR(__xludf.DUMMYFUNCTION("""COMPUTED_VALUE"""),7.71840093444E11)</f>
        <v>771840093444</v>
      </c>
      <c r="B135" s="485" t="str">
        <f>IFERROR(__xludf.DUMMYFUNCTION("""COMPUTED_VALUE"""),"TALITA ALCANTARA FONTENELE E SILVA")</f>
        <v>TALITA ALCANTARA FONTENELE E SILVA</v>
      </c>
      <c r="C135" s="486">
        <f>IFERROR(__xludf.DUMMYFUNCTION("""COMPUTED_VALUE"""),6.0)</f>
        <v>6</v>
      </c>
      <c r="D135" s="487"/>
      <c r="E135" s="486"/>
      <c r="F135" s="495"/>
      <c r="G135" s="472"/>
      <c r="H135" s="472"/>
      <c r="I135" s="472"/>
      <c r="J135" s="472"/>
      <c r="K135" s="472"/>
      <c r="L135" s="472"/>
      <c r="M135" s="472"/>
      <c r="N135" s="472"/>
      <c r="O135" s="472"/>
      <c r="P135" s="472"/>
      <c r="Q135" s="472"/>
      <c r="R135" s="472"/>
      <c r="S135" s="472"/>
      <c r="T135" s="472"/>
      <c r="U135" s="472"/>
      <c r="V135" s="472"/>
      <c r="W135" s="472"/>
      <c r="X135" s="472"/>
      <c r="Y135" s="472"/>
      <c r="Z135" s="472"/>
      <c r="AA135" s="472"/>
    </row>
    <row r="136" outlineLevel="1">
      <c r="A136" s="494">
        <f>IFERROR(__xludf.DUMMYFUNCTION("""COMPUTED_VALUE"""),8.3540088837E10)</f>
        <v>83540088837</v>
      </c>
      <c r="B136" s="485" t="str">
        <f>IFERROR(__xludf.DUMMYFUNCTION("""COMPUTED_VALUE"""),"DEBORAH CRISTINA SILVA QUEIROZ ALVES")</f>
        <v>DEBORAH CRISTINA SILVA QUEIROZ ALVES</v>
      </c>
      <c r="C136" s="486">
        <f>IFERROR(__xludf.DUMMYFUNCTION("""COMPUTED_VALUE"""),6.0)</f>
        <v>6</v>
      </c>
      <c r="D136" s="487"/>
      <c r="E136" s="486"/>
      <c r="F136" s="495"/>
      <c r="G136" s="472"/>
      <c r="H136" s="472"/>
      <c r="I136" s="472"/>
      <c r="J136" s="472"/>
      <c r="K136" s="472"/>
      <c r="L136" s="472"/>
      <c r="M136" s="472"/>
      <c r="N136" s="472"/>
      <c r="O136" s="472"/>
      <c r="P136" s="472"/>
      <c r="Q136" s="472"/>
      <c r="R136" s="472"/>
      <c r="S136" s="472"/>
      <c r="T136" s="472"/>
      <c r="U136" s="472"/>
      <c r="V136" s="472"/>
      <c r="W136" s="472"/>
      <c r="X136" s="472"/>
      <c r="Y136" s="472"/>
      <c r="Z136" s="472"/>
      <c r="AA136" s="472"/>
    </row>
    <row r="137" outlineLevel="1">
      <c r="A137" s="484">
        <f>IFERROR(__xludf.DUMMYFUNCTION("""COMPUTED_VALUE"""),7.02740088683E11)</f>
        <v>702740088683</v>
      </c>
      <c r="B137" s="485" t="str">
        <f>IFERROR(__xludf.DUMMYFUNCTION("""COMPUTED_VALUE"""),"SAMARA ASSUNÇÃO LIMA")</f>
        <v>SAMARA ASSUNÇÃO LIMA</v>
      </c>
      <c r="C137" s="486">
        <f>IFERROR(__xludf.DUMMYFUNCTION("""COMPUTED_VALUE"""),6.0)</f>
        <v>6</v>
      </c>
      <c r="D137" s="487"/>
      <c r="E137" s="486"/>
      <c r="F137" s="495"/>
      <c r="G137" s="472"/>
      <c r="H137" s="472"/>
      <c r="I137" s="472"/>
      <c r="J137" s="472"/>
      <c r="K137" s="472"/>
      <c r="L137" s="472"/>
      <c r="M137" s="472"/>
      <c r="N137" s="472"/>
      <c r="O137" s="472"/>
      <c r="P137" s="472"/>
      <c r="Q137" s="472"/>
      <c r="R137" s="472"/>
      <c r="S137" s="472"/>
      <c r="T137" s="472"/>
      <c r="U137" s="472"/>
      <c r="V137" s="472"/>
      <c r="W137" s="472"/>
      <c r="X137" s="472"/>
      <c r="Y137" s="472"/>
      <c r="Z137" s="472"/>
      <c r="AA137" s="472"/>
    </row>
    <row r="138">
      <c r="A138" s="478" t="str">
        <f>IFERROR(__xludf.DUMMYFUNCTION("""COMPUTED_VALUE"""),"V - ESP - REGULAÇÃO EM SAÚDE")</f>
        <v>V - ESP - REGULAÇÃO EM SAÚDE</v>
      </c>
      <c r="B138" s="479"/>
      <c r="C138" s="479"/>
      <c r="D138" s="479"/>
      <c r="E138" s="479"/>
      <c r="F138" s="480"/>
      <c r="G138" s="472"/>
      <c r="H138" s="472"/>
      <c r="I138" s="472"/>
      <c r="J138" s="472"/>
      <c r="K138" s="472"/>
      <c r="L138" s="472"/>
      <c r="M138" s="472"/>
      <c r="N138" s="472"/>
      <c r="O138" s="472"/>
      <c r="P138" s="472"/>
      <c r="Q138" s="472"/>
      <c r="R138" s="472"/>
      <c r="S138" s="472"/>
      <c r="T138" s="472"/>
      <c r="U138" s="472"/>
      <c r="V138" s="472"/>
      <c r="W138" s="472"/>
      <c r="X138" s="472"/>
      <c r="Y138" s="472"/>
      <c r="Z138" s="472"/>
      <c r="AA138" s="472"/>
    </row>
    <row r="139" outlineLevel="1">
      <c r="A139" s="481" t="str">
        <f>IFERROR(__xludf.DUMMYFUNCTION("""COMPUTED_VALUE"""),"INSCRIÇÃO")</f>
        <v>INSCRIÇÃO</v>
      </c>
      <c r="B139" s="482" t="str">
        <f>IFERROR(__xludf.DUMMYFUNCTION("""COMPUTED_VALUE"""),"CANDIDATOS")</f>
        <v>CANDIDATOS</v>
      </c>
      <c r="C139" s="481" t="str">
        <f>IFERROR(__xludf.DUMMYFUNCTION("""COMPUTED_VALUE"""),"NF")</f>
        <v>NF</v>
      </c>
      <c r="D139" s="483" t="str">
        <f>IFERROR(__xludf.DUMMYFUNCTION("""COMPUTED_VALUE"""),"CONVOCADO(A)")</f>
        <v>CONVOCADO(A)</v>
      </c>
      <c r="E139" s="483" t="str">
        <f>IFERROR(__xludf.DUMMYFUNCTION("""COMPUTED_VALUE"""),"HOMOLOGADO(A)")</f>
        <v>HOMOLOGADO(A)</v>
      </c>
      <c r="F139" s="483" t="str">
        <f>IFERROR(__xludf.DUMMYFUNCTION("""COMPUTED_VALUE"""),"GERÊNCIA")</f>
        <v>GERÊNCIA</v>
      </c>
      <c r="G139" s="472"/>
      <c r="H139" s="472"/>
      <c r="I139" s="472"/>
      <c r="J139" s="472"/>
      <c r="K139" s="472"/>
      <c r="L139" s="472"/>
      <c r="M139" s="472"/>
      <c r="N139" s="472"/>
      <c r="O139" s="472"/>
      <c r="P139" s="472"/>
      <c r="Q139" s="472"/>
      <c r="R139" s="472"/>
      <c r="S139" s="472"/>
      <c r="T139" s="472"/>
      <c r="U139" s="472"/>
      <c r="V139" s="472"/>
      <c r="W139" s="472"/>
      <c r="X139" s="472"/>
      <c r="Y139" s="472"/>
      <c r="Z139" s="472"/>
      <c r="AA139" s="472"/>
    </row>
    <row r="140" outlineLevel="1">
      <c r="A140" s="494">
        <f>IFERROR(__xludf.DUMMYFUNCTION("""COMPUTED_VALUE"""),9.3450089832E10)</f>
        <v>93450089832</v>
      </c>
      <c r="B140" s="485" t="str">
        <f>IFERROR(__xludf.DUMMYFUNCTION("""COMPUTED_VALUE"""),"NÉLCIO SOUZA SOARES SEGUNDO")</f>
        <v>NÉLCIO SOUZA SOARES SEGUNDO</v>
      </c>
      <c r="C140" s="486">
        <f>IFERROR(__xludf.DUMMYFUNCTION("""COMPUTED_VALUE"""),9.0)</f>
        <v>9</v>
      </c>
      <c r="D140" s="487"/>
      <c r="E140" s="486"/>
      <c r="F140" s="495"/>
      <c r="G140" s="472"/>
      <c r="H140" s="472"/>
      <c r="I140" s="472"/>
      <c r="J140" s="472"/>
      <c r="K140" s="472"/>
      <c r="L140" s="472"/>
      <c r="M140" s="472"/>
      <c r="N140" s="472"/>
      <c r="O140" s="472"/>
      <c r="P140" s="472"/>
      <c r="Q140" s="472"/>
      <c r="R140" s="472"/>
      <c r="S140" s="472"/>
      <c r="T140" s="472"/>
      <c r="U140" s="472"/>
      <c r="V140" s="472"/>
      <c r="W140" s="472"/>
      <c r="X140" s="472"/>
      <c r="Y140" s="472"/>
      <c r="Z140" s="472"/>
      <c r="AA140" s="472"/>
    </row>
    <row r="141" outlineLevel="1">
      <c r="A141" s="484">
        <f>IFERROR(__xludf.DUMMYFUNCTION("""COMPUTED_VALUE"""),7.21530088776E11)</f>
        <v>721530088776</v>
      </c>
      <c r="B141" s="485" t="str">
        <f>IFERROR(__xludf.DUMMYFUNCTION("""COMPUTED_VALUE"""),"MIRLENE SOUZA SANTOS SOARES")</f>
        <v>MIRLENE SOUZA SANTOS SOARES</v>
      </c>
      <c r="C141" s="486">
        <f>IFERROR(__xludf.DUMMYFUNCTION("""COMPUTED_VALUE"""),7.0)</f>
        <v>7</v>
      </c>
      <c r="D141" s="487"/>
      <c r="E141" s="486"/>
      <c r="F141" s="495"/>
      <c r="G141" s="472"/>
      <c r="H141" s="472"/>
      <c r="I141" s="472"/>
      <c r="J141" s="472"/>
      <c r="K141" s="472"/>
      <c r="L141" s="472"/>
      <c r="M141" s="472"/>
      <c r="N141" s="472"/>
      <c r="O141" s="472"/>
      <c r="P141" s="472"/>
      <c r="Q141" s="472"/>
      <c r="R141" s="472"/>
      <c r="S141" s="472"/>
      <c r="T141" s="472"/>
      <c r="U141" s="472"/>
      <c r="V141" s="472"/>
      <c r="W141" s="472"/>
      <c r="X141" s="472"/>
      <c r="Y141" s="472"/>
      <c r="Z141" s="472"/>
      <c r="AA141" s="472"/>
    </row>
    <row r="142" outlineLevel="1">
      <c r="A142" s="494">
        <f>IFERROR(__xludf.DUMMYFUNCTION("""COMPUTED_VALUE"""),8.3540088833E10)</f>
        <v>83540088833</v>
      </c>
      <c r="B142" s="485" t="str">
        <f>IFERROR(__xludf.DUMMYFUNCTION("""COMPUTED_VALUE"""),"DEBORAH CRISTINA SILVA QUEIROZ ALVES")</f>
        <v>DEBORAH CRISTINA SILVA QUEIROZ ALVES</v>
      </c>
      <c r="C142" s="486">
        <f>IFERROR(__xludf.DUMMYFUNCTION("""COMPUTED_VALUE"""),6.0)</f>
        <v>6</v>
      </c>
      <c r="D142" s="487"/>
      <c r="E142" s="486"/>
      <c r="F142" s="495"/>
      <c r="G142" s="472"/>
      <c r="H142" s="472"/>
      <c r="I142" s="472"/>
      <c r="J142" s="472"/>
      <c r="K142" s="472"/>
      <c r="L142" s="472"/>
      <c r="M142" s="472"/>
      <c r="N142" s="472"/>
      <c r="O142" s="472"/>
      <c r="P142" s="472"/>
      <c r="Q142" s="472"/>
      <c r="R142" s="472"/>
      <c r="S142" s="472"/>
      <c r="T142" s="472"/>
      <c r="U142" s="472"/>
      <c r="V142" s="472"/>
      <c r="W142" s="472"/>
      <c r="X142" s="472"/>
      <c r="Y142" s="472"/>
      <c r="Z142" s="472"/>
      <c r="AA142" s="472"/>
    </row>
    <row r="143">
      <c r="A143" s="478" t="str">
        <f>IFERROR(__xludf.DUMMYFUNCTION("""COMPUTED_VALUE"""),"VI - ESP - EDUCAÇÃO PERMANENTE EM SAÚDE")</f>
        <v>VI - ESP - EDUCAÇÃO PERMANENTE EM SAÚDE</v>
      </c>
      <c r="B143" s="479"/>
      <c r="C143" s="479"/>
      <c r="D143" s="479"/>
      <c r="E143" s="479"/>
      <c r="F143" s="480"/>
      <c r="G143" s="472"/>
      <c r="H143" s="472"/>
      <c r="I143" s="472"/>
      <c r="J143" s="472"/>
      <c r="K143" s="472"/>
      <c r="L143" s="472"/>
      <c r="M143" s="472"/>
      <c r="N143" s="472"/>
      <c r="O143" s="472"/>
      <c r="P143" s="472"/>
      <c r="Q143" s="472"/>
      <c r="R143" s="472"/>
      <c r="S143" s="472"/>
      <c r="T143" s="472"/>
      <c r="U143" s="472"/>
      <c r="V143" s="472"/>
      <c r="W143" s="472"/>
      <c r="X143" s="472"/>
      <c r="Y143" s="472"/>
      <c r="Z143" s="472"/>
      <c r="AA143" s="472"/>
    </row>
    <row r="144" outlineLevel="1">
      <c r="A144" s="481" t="str">
        <f>IFERROR(__xludf.DUMMYFUNCTION("""COMPUTED_VALUE"""),"INSCRIÇÃO")</f>
        <v>INSCRIÇÃO</v>
      </c>
      <c r="B144" s="482" t="str">
        <f>IFERROR(__xludf.DUMMYFUNCTION("""COMPUTED_VALUE"""),"CANDIDATOS")</f>
        <v>CANDIDATOS</v>
      </c>
      <c r="C144" s="481" t="str">
        <f>IFERROR(__xludf.DUMMYFUNCTION("""COMPUTED_VALUE"""),"NF")</f>
        <v>NF</v>
      </c>
      <c r="D144" s="483" t="str">
        <f>IFERROR(__xludf.DUMMYFUNCTION("""COMPUTED_VALUE"""),"CONVOCADO(A)")</f>
        <v>CONVOCADO(A)</v>
      </c>
      <c r="E144" s="483" t="str">
        <f>IFERROR(__xludf.DUMMYFUNCTION("""COMPUTED_VALUE"""),"HOMOLOGADO(A)")</f>
        <v>HOMOLOGADO(A)</v>
      </c>
      <c r="F144" s="483" t="str">
        <f>IFERROR(__xludf.DUMMYFUNCTION("""COMPUTED_VALUE"""),"GERÊNCIA")</f>
        <v>GERÊNCIA</v>
      </c>
      <c r="G144" s="472"/>
      <c r="H144" s="472"/>
      <c r="I144" s="472"/>
      <c r="J144" s="472"/>
      <c r="K144" s="472"/>
      <c r="L144" s="472"/>
      <c r="M144" s="472"/>
      <c r="N144" s="472"/>
      <c r="O144" s="472"/>
      <c r="P144" s="472"/>
      <c r="Q144" s="472"/>
      <c r="R144" s="472"/>
      <c r="S144" s="472"/>
      <c r="T144" s="472"/>
      <c r="U144" s="472"/>
      <c r="V144" s="472"/>
      <c r="W144" s="472"/>
      <c r="X144" s="472"/>
      <c r="Y144" s="472"/>
      <c r="Z144" s="472"/>
      <c r="AA144" s="472"/>
    </row>
    <row r="145" outlineLevel="1">
      <c r="A145" s="484">
        <f>IFERROR(__xludf.DUMMYFUNCTION("""COMPUTED_VALUE"""),1.31460091179E11)</f>
        <v>131460091179</v>
      </c>
      <c r="B145" s="485" t="str">
        <f>IFERROR(__xludf.DUMMYFUNCTION("""COMPUTED_VALUE"""),"MANUELLA PAULA COSTA DA NOBREGA LINS TRINDADE")</f>
        <v>MANUELLA PAULA COSTA DA NOBREGA LINS TRINDADE</v>
      </c>
      <c r="C145" s="486">
        <f>IFERROR(__xludf.DUMMYFUNCTION("""COMPUTED_VALUE"""),10.0)</f>
        <v>10</v>
      </c>
      <c r="D145" s="487"/>
      <c r="E145" s="486"/>
      <c r="F145" s="495"/>
      <c r="G145" s="472"/>
      <c r="H145" s="472"/>
      <c r="I145" s="472"/>
      <c r="J145" s="472"/>
      <c r="K145" s="472"/>
      <c r="L145" s="472"/>
      <c r="M145" s="472"/>
      <c r="N145" s="472"/>
      <c r="O145" s="472"/>
      <c r="P145" s="472"/>
      <c r="Q145" s="472"/>
      <c r="R145" s="472"/>
      <c r="S145" s="472"/>
      <c r="T145" s="472"/>
      <c r="U145" s="472"/>
      <c r="V145" s="472"/>
      <c r="W145" s="472"/>
      <c r="X145" s="472"/>
      <c r="Y145" s="472"/>
      <c r="Z145" s="472"/>
      <c r="AA145" s="472"/>
    </row>
    <row r="146" outlineLevel="1">
      <c r="A146" s="494">
        <f>IFERROR(__xludf.DUMMYFUNCTION("""COMPUTED_VALUE"""),9.3450089833E10)</f>
        <v>93450089833</v>
      </c>
      <c r="B146" s="485" t="str">
        <f>IFERROR(__xludf.DUMMYFUNCTION("""COMPUTED_VALUE"""),"NÉLCIO SOUZA SOARES SEGUNDO")</f>
        <v>NÉLCIO SOUZA SOARES SEGUNDO</v>
      </c>
      <c r="C146" s="486">
        <f>IFERROR(__xludf.DUMMYFUNCTION("""COMPUTED_VALUE"""),10.0)</f>
        <v>10</v>
      </c>
      <c r="D146" s="487"/>
      <c r="E146" s="486"/>
      <c r="F146" s="495"/>
      <c r="G146" s="472"/>
      <c r="H146" s="472"/>
      <c r="I146" s="472"/>
      <c r="J146" s="472"/>
      <c r="K146" s="472"/>
      <c r="L146" s="472"/>
      <c r="M146" s="472"/>
      <c r="N146" s="472"/>
      <c r="O146" s="472"/>
      <c r="P146" s="472"/>
      <c r="Q146" s="472"/>
      <c r="R146" s="472"/>
      <c r="S146" s="472"/>
      <c r="T146" s="472"/>
      <c r="U146" s="472"/>
      <c r="V146" s="472"/>
      <c r="W146" s="472"/>
      <c r="X146" s="472"/>
      <c r="Y146" s="472"/>
      <c r="Z146" s="472"/>
      <c r="AA146" s="472"/>
    </row>
    <row r="147" outlineLevel="1">
      <c r="A147" s="484">
        <f>IFERROR(__xludf.DUMMYFUNCTION("""COMPUTED_VALUE"""),2.53060089131E11)</f>
        <v>253060089131</v>
      </c>
      <c r="B147" s="485" t="str">
        <f>IFERROR(__xludf.DUMMYFUNCTION("""COMPUTED_VALUE"""),"LETICIA KELLY COSTA SILVA")</f>
        <v>LETICIA KELLY COSTA SILVA</v>
      </c>
      <c r="C147" s="486">
        <f>IFERROR(__xludf.DUMMYFUNCTION("""COMPUTED_VALUE"""),10.0)</f>
        <v>10</v>
      </c>
      <c r="D147" s="487"/>
      <c r="E147" s="486"/>
      <c r="F147" s="495"/>
      <c r="G147" s="472"/>
      <c r="H147" s="472"/>
      <c r="I147" s="472"/>
      <c r="J147" s="472"/>
      <c r="K147" s="472"/>
      <c r="L147" s="472"/>
      <c r="M147" s="472"/>
      <c r="N147" s="472"/>
      <c r="O147" s="472"/>
      <c r="P147" s="472"/>
      <c r="Q147" s="472"/>
      <c r="R147" s="472"/>
      <c r="S147" s="472"/>
      <c r="T147" s="472"/>
      <c r="U147" s="472"/>
      <c r="V147" s="472"/>
      <c r="W147" s="472"/>
      <c r="X147" s="472"/>
      <c r="Y147" s="472"/>
      <c r="Z147" s="472"/>
      <c r="AA147" s="472"/>
    </row>
    <row r="148" outlineLevel="1">
      <c r="A148" s="484">
        <f>IFERROR(__xludf.DUMMYFUNCTION("""COMPUTED_VALUE"""),4.94660090551E11)</f>
        <v>494660090551</v>
      </c>
      <c r="B148" s="485" t="str">
        <f>IFERROR(__xludf.DUMMYFUNCTION("""COMPUTED_VALUE"""),"SAULO BARRETO CUNHA DOS SANTOS")</f>
        <v>SAULO BARRETO CUNHA DOS SANTOS</v>
      </c>
      <c r="C148" s="486">
        <f>IFERROR(__xludf.DUMMYFUNCTION("""COMPUTED_VALUE"""),10.0)</f>
        <v>10</v>
      </c>
      <c r="D148" s="487"/>
      <c r="E148" s="486"/>
      <c r="F148" s="495"/>
      <c r="G148" s="472"/>
      <c r="H148" s="472"/>
      <c r="I148" s="472"/>
      <c r="J148" s="472"/>
      <c r="K148" s="472"/>
      <c r="L148" s="472"/>
      <c r="M148" s="472"/>
      <c r="N148" s="472"/>
      <c r="O148" s="472"/>
      <c r="P148" s="472"/>
      <c r="Q148" s="472"/>
      <c r="R148" s="472"/>
      <c r="S148" s="472"/>
      <c r="T148" s="472"/>
      <c r="U148" s="472"/>
      <c r="V148" s="472"/>
      <c r="W148" s="472"/>
      <c r="X148" s="472"/>
      <c r="Y148" s="472"/>
      <c r="Z148" s="472"/>
      <c r="AA148" s="472"/>
    </row>
    <row r="149" outlineLevel="1">
      <c r="A149" s="484">
        <f>IFERROR(__xludf.DUMMYFUNCTION("""COMPUTED_VALUE"""),4.54228092525E11)</f>
        <v>454228092525</v>
      </c>
      <c r="B149" s="485" t="str">
        <f>IFERROR(__xludf.DUMMYFUNCTION("""COMPUTED_VALUE"""),"PETRÚCYA FRAZÃO LIRA")</f>
        <v>PETRÚCYA FRAZÃO LIRA</v>
      </c>
      <c r="C149" s="486">
        <f>IFERROR(__xludf.DUMMYFUNCTION("""COMPUTED_VALUE"""),9.5)</f>
        <v>9.5</v>
      </c>
      <c r="D149" s="487"/>
      <c r="E149" s="486"/>
      <c r="F149" s="495"/>
      <c r="G149" s="472"/>
      <c r="H149" s="472"/>
      <c r="I149" s="472"/>
      <c r="J149" s="472"/>
      <c r="K149" s="472"/>
      <c r="L149" s="472"/>
      <c r="M149" s="472"/>
      <c r="N149" s="472"/>
      <c r="O149" s="472"/>
      <c r="P149" s="472"/>
      <c r="Q149" s="472"/>
      <c r="R149" s="472"/>
      <c r="S149" s="472"/>
      <c r="T149" s="472"/>
      <c r="U149" s="472"/>
      <c r="V149" s="472"/>
      <c r="W149" s="472"/>
      <c r="X149" s="472"/>
      <c r="Y149" s="472"/>
      <c r="Z149" s="472"/>
      <c r="AA149" s="472"/>
    </row>
    <row r="150" outlineLevel="1">
      <c r="A150" s="484">
        <f>IFERROR(__xludf.DUMMYFUNCTION("""COMPUTED_VALUE"""),8.47527093618E11)</f>
        <v>847527093618</v>
      </c>
      <c r="B150" s="485" t="str">
        <f>IFERROR(__xludf.DUMMYFUNCTION("""COMPUTED_VALUE"""),"ANDRÉA DO NASCIMENTO SERPA RODRIGUES")</f>
        <v>ANDRÉA DO NASCIMENTO SERPA RODRIGUES</v>
      </c>
      <c r="C150" s="486">
        <f>IFERROR(__xludf.DUMMYFUNCTION("""COMPUTED_VALUE"""),9.0)</f>
        <v>9</v>
      </c>
      <c r="D150" s="487"/>
      <c r="E150" s="486"/>
      <c r="F150" s="495"/>
      <c r="G150" s="472"/>
      <c r="H150" s="472"/>
      <c r="I150" s="472"/>
      <c r="J150" s="472"/>
      <c r="K150" s="472"/>
      <c r="L150" s="472"/>
      <c r="M150" s="472"/>
      <c r="N150" s="472"/>
      <c r="O150" s="472"/>
      <c r="P150" s="472"/>
      <c r="Q150" s="472"/>
      <c r="R150" s="472"/>
      <c r="S150" s="472"/>
      <c r="T150" s="472"/>
      <c r="U150" s="472"/>
      <c r="V150" s="472"/>
      <c r="W150" s="472"/>
      <c r="X150" s="472"/>
      <c r="Y150" s="472"/>
      <c r="Z150" s="472"/>
      <c r="AA150" s="472"/>
    </row>
    <row r="151" outlineLevel="1">
      <c r="A151" s="484">
        <f>IFERROR(__xludf.DUMMYFUNCTION("""COMPUTED_VALUE"""),9.97420089761E11)</f>
        <v>997420089761</v>
      </c>
      <c r="B151" s="485" t="str">
        <f>IFERROR(__xludf.DUMMYFUNCTION("""COMPUTED_VALUE"""),"CICERA TAVARES DE LUCENA")</f>
        <v>CICERA TAVARES DE LUCENA</v>
      </c>
      <c r="C151" s="486">
        <f>IFERROR(__xludf.DUMMYFUNCTION("""COMPUTED_VALUE"""),9.0)</f>
        <v>9</v>
      </c>
      <c r="D151" s="487"/>
      <c r="E151" s="486"/>
      <c r="F151" s="495"/>
      <c r="G151" s="472"/>
      <c r="H151" s="472"/>
      <c r="I151" s="472"/>
      <c r="J151" s="472"/>
      <c r="K151" s="472"/>
      <c r="L151" s="472"/>
      <c r="M151" s="472"/>
      <c r="N151" s="472"/>
      <c r="O151" s="472"/>
      <c r="P151" s="472"/>
      <c r="Q151" s="472"/>
      <c r="R151" s="472"/>
      <c r="S151" s="472"/>
      <c r="T151" s="472"/>
      <c r="U151" s="472"/>
      <c r="V151" s="472"/>
      <c r="W151" s="472"/>
      <c r="X151" s="472"/>
      <c r="Y151" s="472"/>
      <c r="Z151" s="472"/>
      <c r="AA151" s="472"/>
    </row>
    <row r="152" outlineLevel="1">
      <c r="A152" s="484">
        <f>IFERROR(__xludf.DUMMYFUNCTION("""COMPUTED_VALUE"""),8.22950092378E11)</f>
        <v>822950092378</v>
      </c>
      <c r="B152" s="485" t="str">
        <f>IFERROR(__xludf.DUMMYFUNCTION("""COMPUTED_VALUE"""),"MARIA VIVIANNE NASCIMENTO ALBUQUERQUE")</f>
        <v>MARIA VIVIANNE NASCIMENTO ALBUQUERQUE</v>
      </c>
      <c r="C152" s="486">
        <f>IFERROR(__xludf.DUMMYFUNCTION("""COMPUTED_VALUE"""),9.0)</f>
        <v>9</v>
      </c>
      <c r="D152" s="487"/>
      <c r="E152" s="486"/>
      <c r="F152" s="495"/>
      <c r="G152" s="472"/>
      <c r="H152" s="472"/>
      <c r="I152" s="472"/>
      <c r="J152" s="472"/>
      <c r="K152" s="472"/>
      <c r="L152" s="472"/>
      <c r="M152" s="472"/>
      <c r="N152" s="472"/>
      <c r="O152" s="472"/>
      <c r="P152" s="472"/>
      <c r="Q152" s="472"/>
      <c r="R152" s="472"/>
      <c r="S152" s="472"/>
      <c r="T152" s="472"/>
      <c r="U152" s="472"/>
      <c r="V152" s="472"/>
      <c r="W152" s="472"/>
      <c r="X152" s="472"/>
      <c r="Y152" s="472"/>
      <c r="Z152" s="472"/>
      <c r="AA152" s="472"/>
    </row>
    <row r="153" outlineLevel="1">
      <c r="A153" s="484">
        <f>IFERROR(__xludf.DUMMYFUNCTION("""COMPUTED_VALUE"""),9.06656088998E11)</f>
        <v>906656088998</v>
      </c>
      <c r="B153" s="485" t="str">
        <f>IFERROR(__xludf.DUMMYFUNCTION("""COMPUTED_VALUE"""),"LUCIANA LUCENA LIMA")</f>
        <v>LUCIANA LUCENA LIMA</v>
      </c>
      <c r="C153" s="486">
        <f>IFERROR(__xludf.DUMMYFUNCTION("""COMPUTED_VALUE"""),8.5)</f>
        <v>8.5</v>
      </c>
      <c r="D153" s="487"/>
      <c r="E153" s="486"/>
      <c r="F153" s="495"/>
      <c r="G153" s="472"/>
      <c r="H153" s="472"/>
      <c r="I153" s="472"/>
      <c r="J153" s="472"/>
      <c r="K153" s="472"/>
      <c r="L153" s="472"/>
      <c r="M153" s="472"/>
      <c r="N153" s="472"/>
      <c r="O153" s="472"/>
      <c r="P153" s="472"/>
      <c r="Q153" s="472"/>
      <c r="R153" s="472"/>
      <c r="S153" s="472"/>
      <c r="T153" s="472"/>
      <c r="U153" s="472"/>
      <c r="V153" s="472"/>
      <c r="W153" s="472"/>
      <c r="X153" s="472"/>
      <c r="Y153" s="472"/>
      <c r="Z153" s="472"/>
      <c r="AA153" s="472"/>
    </row>
    <row r="154" outlineLevel="1">
      <c r="A154" s="484">
        <f>IFERROR(__xludf.DUMMYFUNCTION("""COMPUTED_VALUE"""),5.29199089384E11)</f>
        <v>529199089384</v>
      </c>
      <c r="B154" s="485" t="str">
        <f>IFERROR(__xludf.DUMMYFUNCTION("""COMPUTED_VALUE"""),"MÁRCIA ANDRADE DOS SANTOS")</f>
        <v>MÁRCIA ANDRADE DOS SANTOS</v>
      </c>
      <c r="C154" s="486">
        <f>IFERROR(__xludf.DUMMYFUNCTION("""COMPUTED_VALUE"""),8.5)</f>
        <v>8.5</v>
      </c>
      <c r="D154" s="487"/>
      <c r="E154" s="486"/>
      <c r="F154" s="495"/>
      <c r="G154" s="472"/>
      <c r="H154" s="472"/>
      <c r="I154" s="472"/>
      <c r="J154" s="472"/>
      <c r="K154" s="472"/>
      <c r="L154" s="472"/>
      <c r="M154" s="472"/>
      <c r="N154" s="472"/>
      <c r="O154" s="472"/>
      <c r="P154" s="472"/>
      <c r="Q154" s="472"/>
      <c r="R154" s="472"/>
      <c r="S154" s="472"/>
      <c r="T154" s="472"/>
      <c r="U154" s="472"/>
      <c r="V154" s="472"/>
      <c r="W154" s="472"/>
      <c r="X154" s="472"/>
      <c r="Y154" s="472"/>
      <c r="Z154" s="472"/>
      <c r="AA154" s="472"/>
    </row>
    <row r="155" outlineLevel="1">
      <c r="A155" s="484">
        <f>IFERROR(__xludf.DUMMYFUNCTION("""COMPUTED_VALUE"""),7.89330093233E11)</f>
        <v>789330093233</v>
      </c>
      <c r="B155" s="485" t="str">
        <f>IFERROR(__xludf.DUMMYFUNCTION("""COMPUTED_VALUE"""),"SARAH ANNE SILVEIRA SAMPAIO")</f>
        <v>SARAH ANNE SILVEIRA SAMPAIO</v>
      </c>
      <c r="C155" s="486">
        <f>IFERROR(__xludf.DUMMYFUNCTION("""COMPUTED_VALUE"""),8.5)</f>
        <v>8.5</v>
      </c>
      <c r="D155" s="487"/>
      <c r="E155" s="486"/>
      <c r="F155" s="495"/>
      <c r="G155" s="472"/>
      <c r="H155" s="472"/>
      <c r="I155" s="472"/>
      <c r="J155" s="472"/>
      <c r="K155" s="472"/>
      <c r="L155" s="472"/>
      <c r="M155" s="472"/>
      <c r="N155" s="472"/>
      <c r="O155" s="472"/>
      <c r="P155" s="472"/>
      <c r="Q155" s="472"/>
      <c r="R155" s="472"/>
      <c r="S155" s="472"/>
      <c r="T155" s="472"/>
      <c r="U155" s="472"/>
      <c r="V155" s="472"/>
      <c r="W155" s="472"/>
      <c r="X155" s="472"/>
      <c r="Y155" s="472"/>
      <c r="Z155" s="472"/>
      <c r="AA155" s="472"/>
    </row>
    <row r="156" outlineLevel="1">
      <c r="A156" s="494">
        <f>IFERROR(__xludf.DUMMYFUNCTION("""COMPUTED_VALUE"""),5.9643093097E10)</f>
        <v>59643093097</v>
      </c>
      <c r="B156" s="485" t="str">
        <f>IFERROR(__xludf.DUMMYFUNCTION("""COMPUTED_VALUE"""),"SYLVIA DE SOUSA E SILVA")</f>
        <v>SYLVIA DE SOUSA E SILVA</v>
      </c>
      <c r="C156" s="486">
        <f>IFERROR(__xludf.DUMMYFUNCTION("""COMPUTED_VALUE"""),8.0)</f>
        <v>8</v>
      </c>
      <c r="D156" s="487"/>
      <c r="E156" s="486"/>
      <c r="F156" s="495"/>
      <c r="G156" s="472"/>
      <c r="H156" s="472"/>
      <c r="I156" s="472"/>
      <c r="J156" s="472"/>
      <c r="K156" s="472"/>
      <c r="L156" s="472"/>
      <c r="M156" s="472"/>
      <c r="N156" s="472"/>
      <c r="O156" s="472"/>
      <c r="P156" s="472"/>
      <c r="Q156" s="472"/>
      <c r="R156" s="472"/>
      <c r="S156" s="472"/>
      <c r="T156" s="472"/>
      <c r="U156" s="472"/>
      <c r="V156" s="472"/>
      <c r="W156" s="472"/>
      <c r="X156" s="472"/>
      <c r="Y156" s="472"/>
      <c r="Z156" s="472"/>
      <c r="AA156" s="472"/>
    </row>
    <row r="157" outlineLevel="1">
      <c r="A157" s="484">
        <f>IFERROR(__xludf.DUMMYFUNCTION("""COMPUTED_VALUE"""),9.99900093062E11)</f>
        <v>999900093062</v>
      </c>
      <c r="B157" s="485" t="str">
        <f>IFERROR(__xludf.DUMMYFUNCTION("""COMPUTED_VALUE"""),"LIVIA ALVES DE SOUZA")</f>
        <v>LIVIA ALVES DE SOUZA</v>
      </c>
      <c r="C157" s="486">
        <f>IFERROR(__xludf.DUMMYFUNCTION("""COMPUTED_VALUE"""),8.0)</f>
        <v>8</v>
      </c>
      <c r="D157" s="487"/>
      <c r="E157" s="486"/>
      <c r="F157" s="495"/>
      <c r="G157" s="472"/>
      <c r="H157" s="472"/>
      <c r="I157" s="472"/>
      <c r="J157" s="472"/>
      <c r="K157" s="472"/>
      <c r="L157" s="472"/>
      <c r="M157" s="472"/>
      <c r="N157" s="472"/>
      <c r="O157" s="472"/>
      <c r="P157" s="472"/>
      <c r="Q157" s="472"/>
      <c r="R157" s="472"/>
      <c r="S157" s="472"/>
      <c r="T157" s="472"/>
      <c r="U157" s="472"/>
      <c r="V157" s="472"/>
      <c r="W157" s="472"/>
      <c r="X157" s="472"/>
      <c r="Y157" s="472"/>
      <c r="Z157" s="472"/>
      <c r="AA157" s="472"/>
    </row>
    <row r="158" outlineLevel="1">
      <c r="A158" s="494">
        <f>IFERROR(__xludf.DUMMYFUNCTION("""COMPUTED_VALUE"""),9.6620092787E10)</f>
        <v>96620092787</v>
      </c>
      <c r="B158" s="485" t="str">
        <f>IFERROR(__xludf.DUMMYFUNCTION("""COMPUTED_VALUE"""),"SÁVYA ALBUQUERQUE BARROS")</f>
        <v>SÁVYA ALBUQUERQUE BARROS</v>
      </c>
      <c r="C158" s="486">
        <f>IFERROR(__xludf.DUMMYFUNCTION("""COMPUTED_VALUE"""),8.0)</f>
        <v>8</v>
      </c>
      <c r="D158" s="487"/>
      <c r="E158" s="486"/>
      <c r="F158" s="495"/>
      <c r="G158" s="472"/>
      <c r="H158" s="472"/>
      <c r="I158" s="472"/>
      <c r="J158" s="472"/>
      <c r="K158" s="472"/>
      <c r="L158" s="472"/>
      <c r="M158" s="472"/>
      <c r="N158" s="472"/>
      <c r="O158" s="472"/>
      <c r="P158" s="472"/>
      <c r="Q158" s="472"/>
      <c r="R158" s="472"/>
      <c r="S158" s="472"/>
      <c r="T158" s="472"/>
      <c r="U158" s="472"/>
      <c r="V158" s="472"/>
      <c r="W158" s="472"/>
      <c r="X158" s="472"/>
      <c r="Y158" s="472"/>
      <c r="Z158" s="472"/>
      <c r="AA158" s="472"/>
    </row>
    <row r="159" outlineLevel="1">
      <c r="A159" s="494">
        <f>IFERROR(__xludf.DUMMYFUNCTION("""COMPUTED_VALUE"""),4.630089514E9)</f>
        <v>4630089514</v>
      </c>
      <c r="B159" s="485" t="str">
        <f>IFERROR(__xludf.DUMMYFUNCTION("""COMPUTED_VALUE"""),"TICIANE FREIRE GOMES")</f>
        <v>TICIANE FREIRE GOMES</v>
      </c>
      <c r="C159" s="486">
        <f>IFERROR(__xludf.DUMMYFUNCTION("""COMPUTED_VALUE"""),8.0)</f>
        <v>8</v>
      </c>
      <c r="D159" s="487"/>
      <c r="E159" s="486"/>
      <c r="F159" s="495"/>
      <c r="G159" s="472"/>
      <c r="H159" s="472"/>
      <c r="I159" s="472"/>
      <c r="J159" s="472"/>
      <c r="K159" s="472"/>
      <c r="L159" s="472"/>
      <c r="M159" s="472"/>
      <c r="N159" s="472"/>
      <c r="O159" s="472"/>
      <c r="P159" s="472"/>
      <c r="Q159" s="472"/>
      <c r="R159" s="472"/>
      <c r="S159" s="472"/>
      <c r="T159" s="472"/>
      <c r="U159" s="472"/>
      <c r="V159" s="472"/>
      <c r="W159" s="472"/>
      <c r="X159" s="472"/>
      <c r="Y159" s="472"/>
      <c r="Z159" s="472"/>
      <c r="AA159" s="472"/>
    </row>
    <row r="160" outlineLevel="1">
      <c r="A160" s="484">
        <f>IFERROR(__xludf.DUMMYFUNCTION("""COMPUTED_VALUE"""),7.21530088777E11)</f>
        <v>721530088777</v>
      </c>
      <c r="B160" s="485" t="str">
        <f>IFERROR(__xludf.DUMMYFUNCTION("""COMPUTED_VALUE"""),"MIRLENE SOUZA SANTOS SOARES")</f>
        <v>MIRLENE SOUZA SANTOS SOARES</v>
      </c>
      <c r="C160" s="486">
        <f>IFERROR(__xludf.DUMMYFUNCTION("""COMPUTED_VALUE"""),8.0)</f>
        <v>8</v>
      </c>
      <c r="D160" s="487"/>
      <c r="E160" s="486"/>
      <c r="F160" s="495"/>
      <c r="G160" s="472"/>
      <c r="H160" s="472"/>
      <c r="I160" s="472"/>
      <c r="J160" s="472"/>
      <c r="K160" s="472"/>
      <c r="L160" s="472"/>
      <c r="M160" s="472"/>
      <c r="N160" s="472"/>
      <c r="O160" s="472"/>
      <c r="P160" s="472"/>
      <c r="Q160" s="472"/>
      <c r="R160" s="472"/>
      <c r="S160" s="472"/>
      <c r="T160" s="472"/>
      <c r="U160" s="472"/>
      <c r="V160" s="472"/>
      <c r="W160" s="472"/>
      <c r="X160" s="472"/>
      <c r="Y160" s="472"/>
      <c r="Z160" s="472"/>
      <c r="AA160" s="472"/>
    </row>
    <row r="161" outlineLevel="1">
      <c r="A161" s="484">
        <f>IFERROR(__xludf.DUMMYFUNCTION("""COMPUTED_VALUE"""),9.63840090147E11)</f>
        <v>963840090147</v>
      </c>
      <c r="B161" s="485" t="str">
        <f>IFERROR(__xludf.DUMMYFUNCTION("""COMPUTED_VALUE"""),"DÉBORA ROCHA CARVALHO")</f>
        <v>DÉBORA ROCHA CARVALHO</v>
      </c>
      <c r="C161" s="486">
        <f>IFERROR(__xludf.DUMMYFUNCTION("""COMPUTED_VALUE"""),8.0)</f>
        <v>8</v>
      </c>
      <c r="D161" s="487"/>
      <c r="E161" s="486"/>
      <c r="F161" s="495"/>
      <c r="G161" s="472"/>
      <c r="H161" s="472"/>
      <c r="I161" s="472"/>
      <c r="J161" s="472"/>
      <c r="K161" s="472"/>
      <c r="L161" s="472"/>
      <c r="M161" s="472"/>
      <c r="N161" s="472"/>
      <c r="O161" s="472"/>
      <c r="P161" s="472"/>
      <c r="Q161" s="472"/>
      <c r="R161" s="472"/>
      <c r="S161" s="472"/>
      <c r="T161" s="472"/>
      <c r="U161" s="472"/>
      <c r="V161" s="472"/>
      <c r="W161" s="472"/>
      <c r="X161" s="472"/>
      <c r="Y161" s="472"/>
      <c r="Z161" s="472"/>
      <c r="AA161" s="472"/>
    </row>
    <row r="162" outlineLevel="1">
      <c r="A162" s="484">
        <f>IFERROR(__xludf.DUMMYFUNCTION("""COMPUTED_VALUE"""),7.21050088922E11)</f>
        <v>721050088922</v>
      </c>
      <c r="B162" s="485" t="str">
        <f>IFERROR(__xludf.DUMMYFUNCTION("""COMPUTED_VALUE"""),"TAUANE CAVALCANTE DINIZ")</f>
        <v>TAUANE CAVALCANTE DINIZ</v>
      </c>
      <c r="C162" s="486">
        <f>IFERROR(__xludf.DUMMYFUNCTION("""COMPUTED_VALUE"""),8.0)</f>
        <v>8</v>
      </c>
      <c r="D162" s="487"/>
      <c r="E162" s="486"/>
      <c r="F162" s="495"/>
      <c r="G162" s="472"/>
      <c r="H162" s="472"/>
      <c r="I162" s="472"/>
      <c r="J162" s="472"/>
      <c r="K162" s="472"/>
      <c r="L162" s="472"/>
      <c r="M162" s="472"/>
      <c r="N162" s="472"/>
      <c r="O162" s="472"/>
      <c r="P162" s="472"/>
      <c r="Q162" s="472"/>
      <c r="R162" s="472"/>
      <c r="S162" s="472"/>
      <c r="T162" s="472"/>
      <c r="U162" s="472"/>
      <c r="V162" s="472"/>
      <c r="W162" s="472"/>
      <c r="X162" s="472"/>
      <c r="Y162" s="472"/>
      <c r="Z162" s="472"/>
      <c r="AA162" s="472"/>
    </row>
    <row r="163" outlineLevel="1">
      <c r="A163" s="484">
        <f>IFERROR(__xludf.DUMMYFUNCTION("""COMPUTED_VALUE"""),8.25451093032E11)</f>
        <v>825451093032</v>
      </c>
      <c r="B163" s="485" t="str">
        <f>IFERROR(__xludf.DUMMYFUNCTION("""COMPUTED_VALUE"""),"GABRIEL PERDIGÃO WALCHER")</f>
        <v>GABRIEL PERDIGÃO WALCHER</v>
      </c>
      <c r="C163" s="486">
        <f>IFERROR(__xludf.DUMMYFUNCTION("""COMPUTED_VALUE"""),8.0)</f>
        <v>8</v>
      </c>
      <c r="D163" s="487"/>
      <c r="E163" s="486"/>
      <c r="F163" s="495"/>
      <c r="G163" s="472"/>
      <c r="H163" s="472"/>
      <c r="I163" s="472"/>
      <c r="J163" s="472"/>
      <c r="K163" s="472"/>
      <c r="L163" s="472"/>
      <c r="M163" s="472"/>
      <c r="N163" s="472"/>
      <c r="O163" s="472"/>
      <c r="P163" s="472"/>
      <c r="Q163" s="472"/>
      <c r="R163" s="472"/>
      <c r="S163" s="472"/>
      <c r="T163" s="472"/>
      <c r="U163" s="472"/>
      <c r="V163" s="472"/>
      <c r="W163" s="472"/>
      <c r="X163" s="472"/>
      <c r="Y163" s="472"/>
      <c r="Z163" s="472"/>
      <c r="AA163" s="472"/>
    </row>
    <row r="164" outlineLevel="1">
      <c r="A164" s="484">
        <f>IFERROR(__xludf.DUMMYFUNCTION("""COMPUTED_VALUE"""),6.11860092809E11)</f>
        <v>611860092809</v>
      </c>
      <c r="B164" s="485" t="str">
        <f>IFERROR(__xludf.DUMMYFUNCTION("""COMPUTED_VALUE"""),"SAMARA MOREIRA BRINGEL")</f>
        <v>SAMARA MOREIRA BRINGEL</v>
      </c>
      <c r="C164" s="486">
        <f>IFERROR(__xludf.DUMMYFUNCTION("""COMPUTED_VALUE"""),8.0)</f>
        <v>8</v>
      </c>
      <c r="D164" s="487"/>
      <c r="E164" s="486"/>
      <c r="F164" s="495"/>
      <c r="G164" s="472"/>
      <c r="H164" s="472"/>
      <c r="I164" s="472"/>
      <c r="J164" s="472"/>
      <c r="K164" s="472"/>
      <c r="L164" s="472"/>
      <c r="M164" s="472"/>
      <c r="N164" s="472"/>
      <c r="O164" s="472"/>
      <c r="P164" s="472"/>
      <c r="Q164" s="472"/>
      <c r="R164" s="472"/>
      <c r="S164" s="472"/>
      <c r="T164" s="472"/>
      <c r="U164" s="472"/>
      <c r="V164" s="472"/>
      <c r="W164" s="472"/>
      <c r="X164" s="472"/>
      <c r="Y164" s="472"/>
      <c r="Z164" s="472"/>
      <c r="AA164" s="472"/>
    </row>
    <row r="165" outlineLevel="1">
      <c r="A165" s="484">
        <f>IFERROR(__xludf.DUMMYFUNCTION("""COMPUTED_VALUE"""),3.55840090014E11)</f>
        <v>355840090014</v>
      </c>
      <c r="B165" s="485" t="str">
        <f>IFERROR(__xludf.DUMMYFUNCTION("""COMPUTED_VALUE"""),"CLAUDIONE CAVALCANTE DE LIMA")</f>
        <v>CLAUDIONE CAVALCANTE DE LIMA</v>
      </c>
      <c r="C165" s="486">
        <f>IFERROR(__xludf.DUMMYFUNCTION("""COMPUTED_VALUE"""),7.5)</f>
        <v>7.5</v>
      </c>
      <c r="D165" s="487"/>
      <c r="E165" s="486"/>
      <c r="F165" s="495"/>
      <c r="G165" s="472"/>
      <c r="H165" s="472"/>
      <c r="I165" s="472"/>
      <c r="J165" s="472"/>
      <c r="K165" s="472"/>
      <c r="L165" s="472"/>
      <c r="M165" s="472"/>
      <c r="N165" s="472"/>
      <c r="O165" s="472"/>
      <c r="P165" s="472"/>
      <c r="Q165" s="472"/>
      <c r="R165" s="472"/>
      <c r="S165" s="472"/>
      <c r="T165" s="472"/>
      <c r="U165" s="472"/>
      <c r="V165" s="472"/>
      <c r="W165" s="472"/>
      <c r="X165" s="472"/>
      <c r="Y165" s="472"/>
      <c r="Z165" s="472"/>
      <c r="AA165" s="472"/>
    </row>
    <row r="166" outlineLevel="1">
      <c r="A166" s="484">
        <f>IFERROR(__xludf.DUMMYFUNCTION("""COMPUTED_VALUE"""),9.65527092988E11)</f>
        <v>965527092988</v>
      </c>
      <c r="B166" s="485" t="str">
        <f>IFERROR(__xludf.DUMMYFUNCTION("""COMPUTED_VALUE"""),"JEAN CARLOS FACUNDO FERREIRA")</f>
        <v>JEAN CARLOS FACUNDO FERREIRA</v>
      </c>
      <c r="C166" s="486">
        <f>IFERROR(__xludf.DUMMYFUNCTION("""COMPUTED_VALUE"""),7.0)</f>
        <v>7</v>
      </c>
      <c r="D166" s="487"/>
      <c r="E166" s="486"/>
      <c r="F166" s="495"/>
      <c r="G166" s="472"/>
      <c r="H166" s="472"/>
      <c r="I166" s="472"/>
      <c r="J166" s="472"/>
      <c r="K166" s="472"/>
      <c r="L166" s="472"/>
      <c r="M166" s="472"/>
      <c r="N166" s="472"/>
      <c r="O166" s="472"/>
      <c r="P166" s="472"/>
      <c r="Q166" s="472"/>
      <c r="R166" s="472"/>
      <c r="S166" s="472"/>
      <c r="T166" s="472"/>
      <c r="U166" s="472"/>
      <c r="V166" s="472"/>
      <c r="W166" s="472"/>
      <c r="X166" s="472"/>
      <c r="Y166" s="472"/>
      <c r="Z166" s="472"/>
      <c r="AA166" s="472"/>
    </row>
    <row r="167" outlineLevel="1">
      <c r="A167" s="484">
        <f>IFERROR(__xludf.DUMMYFUNCTION("""COMPUTED_VALUE"""),3.13456093279E11)</f>
        <v>313456093279</v>
      </c>
      <c r="B167" s="485" t="str">
        <f>IFERROR(__xludf.DUMMYFUNCTION("""COMPUTED_VALUE"""),"FRANCISCO ISMAEL DA SILVA FROTA")</f>
        <v>FRANCISCO ISMAEL DA SILVA FROTA</v>
      </c>
      <c r="C167" s="486">
        <f>IFERROR(__xludf.DUMMYFUNCTION("""COMPUTED_VALUE"""),7.0)</f>
        <v>7</v>
      </c>
      <c r="D167" s="487"/>
      <c r="E167" s="486"/>
      <c r="F167" s="495"/>
      <c r="G167" s="472"/>
      <c r="H167" s="472"/>
      <c r="I167" s="472"/>
      <c r="J167" s="472"/>
      <c r="K167" s="472"/>
      <c r="L167" s="472"/>
      <c r="M167" s="472"/>
      <c r="N167" s="472"/>
      <c r="O167" s="472"/>
      <c r="P167" s="472"/>
      <c r="Q167" s="472"/>
      <c r="R167" s="472"/>
      <c r="S167" s="472"/>
      <c r="T167" s="472"/>
      <c r="U167" s="472"/>
      <c r="V167" s="472"/>
      <c r="W167" s="472"/>
      <c r="X167" s="472"/>
      <c r="Y167" s="472"/>
      <c r="Z167" s="472"/>
      <c r="AA167" s="472"/>
    </row>
    <row r="168" outlineLevel="1">
      <c r="A168" s="484">
        <f>IFERROR(__xludf.DUMMYFUNCTION("""COMPUTED_VALUE"""),8.64840088926E11)</f>
        <v>864840088926</v>
      </c>
      <c r="B168" s="485" t="str">
        <f>IFERROR(__xludf.DUMMYFUNCTION("""COMPUTED_VALUE"""),"DANIELLY CUSTÓDIO CAVALCANTE DINIZ")</f>
        <v>DANIELLY CUSTÓDIO CAVALCANTE DINIZ</v>
      </c>
      <c r="C168" s="486">
        <f>IFERROR(__xludf.DUMMYFUNCTION("""COMPUTED_VALUE"""),7.0)</f>
        <v>7</v>
      </c>
      <c r="D168" s="487"/>
      <c r="E168" s="486"/>
      <c r="F168" s="495"/>
      <c r="G168" s="472"/>
      <c r="H168" s="472"/>
      <c r="I168" s="472"/>
      <c r="J168" s="472"/>
      <c r="K168" s="472"/>
      <c r="L168" s="472"/>
      <c r="M168" s="472"/>
      <c r="N168" s="472"/>
      <c r="O168" s="472"/>
      <c r="P168" s="472"/>
      <c r="Q168" s="472"/>
      <c r="R168" s="472"/>
      <c r="S168" s="472"/>
      <c r="T168" s="472"/>
      <c r="U168" s="472"/>
      <c r="V168" s="472"/>
      <c r="W168" s="472"/>
      <c r="X168" s="472"/>
      <c r="Y168" s="472"/>
      <c r="Z168" s="472"/>
      <c r="AA168" s="472"/>
    </row>
    <row r="169" outlineLevel="1">
      <c r="A169" s="484">
        <f>IFERROR(__xludf.DUMMYFUNCTION("""COMPUTED_VALUE"""),7.51250089436E11)</f>
        <v>751250089436</v>
      </c>
      <c r="B169" s="485" t="str">
        <f>IFERROR(__xludf.DUMMYFUNCTION("""COMPUTED_VALUE"""),"JOÃO HENRIQUE CORDEIRO")</f>
        <v>JOÃO HENRIQUE CORDEIRO</v>
      </c>
      <c r="C169" s="486">
        <f>IFERROR(__xludf.DUMMYFUNCTION("""COMPUTED_VALUE"""),7.0)</f>
        <v>7</v>
      </c>
      <c r="D169" s="487"/>
      <c r="E169" s="486"/>
      <c r="F169" s="495"/>
      <c r="G169" s="472"/>
      <c r="H169" s="472"/>
      <c r="I169" s="472"/>
      <c r="J169" s="472"/>
      <c r="K169" s="472"/>
      <c r="L169" s="472"/>
      <c r="M169" s="472"/>
      <c r="N169" s="472"/>
      <c r="O169" s="472"/>
      <c r="P169" s="472"/>
      <c r="Q169" s="472"/>
      <c r="R169" s="472"/>
      <c r="S169" s="472"/>
      <c r="T169" s="472"/>
      <c r="U169" s="472"/>
      <c r="V169" s="472"/>
      <c r="W169" s="472"/>
      <c r="X169" s="472"/>
      <c r="Y169" s="472"/>
      <c r="Z169" s="472"/>
      <c r="AA169" s="472"/>
    </row>
    <row r="170" outlineLevel="1">
      <c r="A170" s="484">
        <f>IFERROR(__xludf.DUMMYFUNCTION("""COMPUTED_VALUE"""),5.25650092867E11)</f>
        <v>525650092867</v>
      </c>
      <c r="B170" s="485" t="str">
        <f>IFERROR(__xludf.DUMMYFUNCTION("""COMPUTED_VALUE"""),"JOSÉ GLEDSON COSTA SILVA")</f>
        <v>JOSÉ GLEDSON COSTA SILVA</v>
      </c>
      <c r="C170" s="486">
        <f>IFERROR(__xludf.DUMMYFUNCTION("""COMPUTED_VALUE"""),7.0)</f>
        <v>7</v>
      </c>
      <c r="D170" s="487"/>
      <c r="E170" s="486"/>
      <c r="F170" s="495"/>
      <c r="G170" s="472"/>
      <c r="H170" s="472"/>
      <c r="I170" s="472"/>
      <c r="J170" s="472"/>
      <c r="K170" s="472"/>
      <c r="L170" s="472"/>
      <c r="M170" s="472"/>
      <c r="N170" s="472"/>
      <c r="O170" s="472"/>
      <c r="P170" s="472"/>
      <c r="Q170" s="472"/>
      <c r="R170" s="472"/>
      <c r="S170" s="472"/>
      <c r="T170" s="472"/>
      <c r="U170" s="472"/>
      <c r="V170" s="472"/>
      <c r="W170" s="472"/>
      <c r="X170" s="472"/>
      <c r="Y170" s="472"/>
      <c r="Z170" s="472"/>
      <c r="AA170" s="472"/>
    </row>
    <row r="171" outlineLevel="1">
      <c r="A171" s="484">
        <f>IFERROR(__xludf.DUMMYFUNCTION("""COMPUTED_VALUE"""),8.84553090523E11)</f>
        <v>884553090523</v>
      </c>
      <c r="B171" s="485" t="str">
        <f>IFERROR(__xludf.DUMMYFUNCTION("""COMPUTED_VALUE"""),"FRANCILETE VIANA GOMES")</f>
        <v>FRANCILETE VIANA GOMES</v>
      </c>
      <c r="C171" s="486">
        <f>IFERROR(__xludf.DUMMYFUNCTION("""COMPUTED_VALUE"""),6.0)</f>
        <v>6</v>
      </c>
      <c r="D171" s="487"/>
      <c r="E171" s="486"/>
      <c r="F171" s="495"/>
      <c r="G171" s="472"/>
      <c r="H171" s="472"/>
      <c r="I171" s="472"/>
      <c r="J171" s="472"/>
      <c r="K171" s="472"/>
      <c r="L171" s="472"/>
      <c r="M171" s="472"/>
      <c r="N171" s="472"/>
      <c r="O171" s="472"/>
      <c r="P171" s="472"/>
      <c r="Q171" s="472"/>
      <c r="R171" s="472"/>
      <c r="S171" s="472"/>
      <c r="T171" s="472"/>
      <c r="U171" s="472"/>
      <c r="V171" s="472"/>
      <c r="W171" s="472"/>
      <c r="X171" s="472"/>
      <c r="Y171" s="472"/>
      <c r="Z171" s="472"/>
      <c r="AA171" s="472"/>
    </row>
    <row r="172" outlineLevel="1">
      <c r="A172" s="484">
        <f>IFERROR(__xludf.DUMMYFUNCTION("""COMPUTED_VALUE"""),6.72511091042E11)</f>
        <v>672511091042</v>
      </c>
      <c r="B172" s="485" t="str">
        <f>IFERROR(__xludf.DUMMYFUNCTION("""COMPUTED_VALUE"""),"LUCIANA CRISTINA DINIZ FERREIRA DE GODOY")</f>
        <v>LUCIANA CRISTINA DINIZ FERREIRA DE GODOY</v>
      </c>
      <c r="C172" s="486">
        <f>IFERROR(__xludf.DUMMYFUNCTION("""COMPUTED_VALUE"""),6.0)</f>
        <v>6</v>
      </c>
      <c r="D172" s="487"/>
      <c r="E172" s="486"/>
      <c r="F172" s="495"/>
      <c r="G172" s="472"/>
      <c r="H172" s="472"/>
      <c r="I172" s="472"/>
      <c r="J172" s="472"/>
      <c r="K172" s="472"/>
      <c r="L172" s="472"/>
      <c r="M172" s="472"/>
      <c r="N172" s="472"/>
      <c r="O172" s="472"/>
      <c r="P172" s="472"/>
      <c r="Q172" s="472"/>
      <c r="R172" s="472"/>
      <c r="S172" s="472"/>
      <c r="T172" s="472"/>
      <c r="U172" s="472"/>
      <c r="V172" s="472"/>
      <c r="W172" s="472"/>
      <c r="X172" s="472"/>
      <c r="Y172" s="472"/>
      <c r="Z172" s="472"/>
      <c r="AA172" s="472"/>
    </row>
    <row r="173" outlineLevel="1">
      <c r="A173" s="484">
        <f>IFERROR(__xludf.DUMMYFUNCTION("""COMPUTED_VALUE"""),8.4974809017E11)</f>
        <v>849748090170</v>
      </c>
      <c r="B173" s="485" t="str">
        <f>IFERROR(__xludf.DUMMYFUNCTION("""COMPUTED_VALUE"""),"FERNANDA MARIA TEOFILO CAMPOS")</f>
        <v>FERNANDA MARIA TEOFILO CAMPOS</v>
      </c>
      <c r="C173" s="486">
        <f>IFERROR(__xludf.DUMMYFUNCTION("""COMPUTED_VALUE"""),6.0)</f>
        <v>6</v>
      </c>
      <c r="D173" s="487"/>
      <c r="E173" s="486"/>
      <c r="F173" s="495"/>
      <c r="G173" s="472"/>
      <c r="H173" s="472"/>
      <c r="I173" s="472"/>
      <c r="J173" s="472"/>
      <c r="K173" s="472"/>
      <c r="L173" s="472"/>
      <c r="M173" s="472"/>
      <c r="N173" s="472"/>
      <c r="O173" s="472"/>
      <c r="P173" s="472"/>
      <c r="Q173" s="472"/>
      <c r="R173" s="472"/>
      <c r="S173" s="472"/>
      <c r="T173" s="472"/>
      <c r="U173" s="472"/>
      <c r="V173" s="472"/>
      <c r="W173" s="472"/>
      <c r="X173" s="472"/>
      <c r="Y173" s="472"/>
      <c r="Z173" s="472"/>
      <c r="AA173" s="472"/>
    </row>
    <row r="174" outlineLevel="1">
      <c r="A174" s="484">
        <f>IFERROR(__xludf.DUMMYFUNCTION("""COMPUTED_VALUE"""),7.28620091224E11)</f>
        <v>728620091224</v>
      </c>
      <c r="B174" s="485" t="str">
        <f>IFERROR(__xludf.DUMMYFUNCTION("""COMPUTED_VALUE"""),"MARIA JAQUIELE FURTADO GABRIEL")</f>
        <v>MARIA JAQUIELE FURTADO GABRIEL</v>
      </c>
      <c r="C174" s="486">
        <f>IFERROR(__xludf.DUMMYFUNCTION("""COMPUTED_VALUE"""),6.0)</f>
        <v>6</v>
      </c>
      <c r="D174" s="487"/>
      <c r="E174" s="486"/>
      <c r="F174" s="495"/>
      <c r="G174" s="472"/>
      <c r="H174" s="472"/>
      <c r="I174" s="472"/>
      <c r="J174" s="472"/>
      <c r="K174" s="472"/>
      <c r="L174" s="472"/>
      <c r="M174" s="472"/>
      <c r="N174" s="472"/>
      <c r="O174" s="472"/>
      <c r="P174" s="472"/>
      <c r="Q174" s="472"/>
      <c r="R174" s="472"/>
      <c r="S174" s="472"/>
      <c r="T174" s="472"/>
      <c r="U174" s="472"/>
      <c r="V174" s="472"/>
      <c r="W174" s="472"/>
      <c r="X174" s="472"/>
      <c r="Y174" s="472"/>
      <c r="Z174" s="472"/>
      <c r="AA174" s="472"/>
    </row>
    <row r="175" outlineLevel="1">
      <c r="A175" s="484">
        <f>IFERROR(__xludf.DUMMYFUNCTION("""COMPUTED_VALUE"""),7.71840093445E11)</f>
        <v>771840093445</v>
      </c>
      <c r="B175" s="485" t="str">
        <f>IFERROR(__xludf.DUMMYFUNCTION("""COMPUTED_VALUE"""),"TALITA ALCANTARA FONTENELE E SILVA")</f>
        <v>TALITA ALCANTARA FONTENELE E SILVA</v>
      </c>
      <c r="C175" s="486">
        <f>IFERROR(__xludf.DUMMYFUNCTION("""COMPUTED_VALUE"""),6.0)</f>
        <v>6</v>
      </c>
      <c r="D175" s="487"/>
      <c r="E175" s="486"/>
      <c r="F175" s="495"/>
      <c r="G175" s="472"/>
      <c r="H175" s="472"/>
      <c r="I175" s="472"/>
      <c r="J175" s="472"/>
      <c r="K175" s="472"/>
      <c r="L175" s="472"/>
      <c r="M175" s="472"/>
      <c r="N175" s="472"/>
      <c r="O175" s="472"/>
      <c r="P175" s="472"/>
      <c r="Q175" s="472"/>
      <c r="R175" s="472"/>
      <c r="S175" s="472"/>
      <c r="T175" s="472"/>
      <c r="U175" s="472"/>
      <c r="V175" s="472"/>
      <c r="W175" s="472"/>
      <c r="X175" s="472"/>
      <c r="Y175" s="472"/>
      <c r="Z175" s="472"/>
      <c r="AA175" s="472"/>
    </row>
    <row r="176" outlineLevel="1">
      <c r="A176" s="484">
        <f>IFERROR(__xludf.DUMMYFUNCTION("""COMPUTED_VALUE"""),7.02740088684E11)</f>
        <v>702740088684</v>
      </c>
      <c r="B176" s="485" t="str">
        <f>IFERROR(__xludf.DUMMYFUNCTION("""COMPUTED_VALUE"""),"SAMARA ASSUNÇÃO LIMA")</f>
        <v>SAMARA ASSUNÇÃO LIMA</v>
      </c>
      <c r="C176" s="486">
        <f>IFERROR(__xludf.DUMMYFUNCTION("""COMPUTED_VALUE"""),6.0)</f>
        <v>6</v>
      </c>
      <c r="D176" s="487"/>
      <c r="E176" s="486"/>
      <c r="F176" s="495"/>
      <c r="G176" s="472"/>
      <c r="H176" s="472"/>
      <c r="I176" s="472"/>
      <c r="J176" s="472"/>
      <c r="K176" s="472"/>
      <c r="L176" s="472"/>
      <c r="M176" s="472"/>
      <c r="N176" s="472"/>
      <c r="O176" s="472"/>
      <c r="P176" s="472"/>
      <c r="Q176" s="472"/>
      <c r="R176" s="472"/>
      <c r="S176" s="472"/>
      <c r="T176" s="472"/>
      <c r="U176" s="472"/>
      <c r="V176" s="472"/>
      <c r="W176" s="472"/>
      <c r="X176" s="472"/>
      <c r="Y176" s="472"/>
      <c r="Z176" s="472"/>
      <c r="AA176" s="472"/>
    </row>
    <row r="177" outlineLevel="1">
      <c r="A177" s="494">
        <f>IFERROR(__xludf.DUMMYFUNCTION("""COMPUTED_VALUE"""),7.3740090948E10)</f>
        <v>73740090948</v>
      </c>
      <c r="B177" s="485" t="str">
        <f>IFERROR(__xludf.DUMMYFUNCTION("""COMPUTED_VALUE"""),"FRANCISCA MORAES DA SILVA")</f>
        <v>FRANCISCA MORAES DA SILVA</v>
      </c>
      <c r="C177" s="486">
        <f>IFERROR(__xludf.DUMMYFUNCTION("""COMPUTED_VALUE"""),6.0)</f>
        <v>6</v>
      </c>
      <c r="D177" s="487"/>
      <c r="E177" s="486"/>
      <c r="F177" s="495"/>
      <c r="G177" s="472"/>
      <c r="H177" s="472"/>
      <c r="I177" s="472"/>
      <c r="J177" s="472"/>
      <c r="K177" s="472"/>
      <c r="L177" s="472"/>
      <c r="M177" s="472"/>
      <c r="N177" s="472"/>
      <c r="O177" s="472"/>
      <c r="P177" s="472"/>
      <c r="Q177" s="472"/>
      <c r="R177" s="472"/>
      <c r="S177" s="472"/>
      <c r="T177" s="472"/>
      <c r="U177" s="472"/>
      <c r="V177" s="472"/>
      <c r="W177" s="472"/>
      <c r="X177" s="472"/>
      <c r="Y177" s="472"/>
      <c r="Z177" s="472"/>
      <c r="AA177" s="472"/>
    </row>
    <row r="178" outlineLevel="1">
      <c r="A178" s="484">
        <f>IFERROR(__xludf.DUMMYFUNCTION("""COMPUTED_VALUE"""),4.89993089626E11)</f>
        <v>489993089626</v>
      </c>
      <c r="B178" s="485" t="str">
        <f>IFERROR(__xludf.DUMMYFUNCTION("""COMPUTED_VALUE"""),"DAVID EDERSON MOREIRA DO NASCIMENTO")</f>
        <v>DAVID EDERSON MOREIRA DO NASCIMENTO</v>
      </c>
      <c r="C178" s="486">
        <f>IFERROR(__xludf.DUMMYFUNCTION("""COMPUTED_VALUE"""),6.0)</f>
        <v>6</v>
      </c>
      <c r="D178" s="487"/>
      <c r="E178" s="486"/>
      <c r="F178" s="495"/>
      <c r="G178" s="472"/>
      <c r="H178" s="472"/>
      <c r="I178" s="472"/>
      <c r="J178" s="472"/>
      <c r="K178" s="472"/>
      <c r="L178" s="472"/>
      <c r="M178" s="472"/>
      <c r="N178" s="472"/>
      <c r="O178" s="472"/>
      <c r="P178" s="472"/>
      <c r="Q178" s="472"/>
      <c r="R178" s="472"/>
      <c r="S178" s="472"/>
      <c r="T178" s="472"/>
      <c r="U178" s="472"/>
      <c r="V178" s="472"/>
      <c r="W178" s="472"/>
      <c r="X178" s="472"/>
      <c r="Y178" s="472"/>
      <c r="Z178" s="472"/>
      <c r="AA178" s="472"/>
    </row>
    <row r="179">
      <c r="A179" s="478" t="str">
        <f>IFERROR(__xludf.DUMMYFUNCTION("""COMPUTED_VALUE"""),"VII - ESP - VIOLÊNCIA COM ÊNFASE EM INFÂNCIA E ADOLESCÊNCIA")</f>
        <v>VII - ESP - VIOLÊNCIA COM ÊNFASE EM INFÂNCIA E ADOLESCÊNCIA</v>
      </c>
      <c r="B179" s="479"/>
      <c r="C179" s="479"/>
      <c r="D179" s="479"/>
      <c r="E179" s="479"/>
      <c r="F179" s="480"/>
      <c r="G179" s="472"/>
      <c r="H179" s="472"/>
      <c r="I179" s="472"/>
      <c r="J179" s="472"/>
      <c r="K179" s="472"/>
      <c r="L179" s="472"/>
      <c r="M179" s="472"/>
      <c r="N179" s="472"/>
      <c r="O179" s="472"/>
      <c r="P179" s="472"/>
      <c r="Q179" s="472"/>
      <c r="R179" s="472"/>
      <c r="S179" s="472"/>
      <c r="T179" s="472"/>
      <c r="U179" s="472"/>
      <c r="V179" s="472"/>
      <c r="W179" s="472"/>
      <c r="X179" s="472"/>
      <c r="Y179" s="472"/>
      <c r="Z179" s="472"/>
      <c r="AA179" s="472"/>
    </row>
    <row r="180" outlineLevel="1">
      <c r="A180" s="481" t="str">
        <f>IFERROR(__xludf.DUMMYFUNCTION("""COMPUTED_VALUE"""),"INSCRIÇÃO")</f>
        <v>INSCRIÇÃO</v>
      </c>
      <c r="B180" s="482" t="str">
        <f>IFERROR(__xludf.DUMMYFUNCTION("""COMPUTED_VALUE"""),"CANDIDATOS")</f>
        <v>CANDIDATOS</v>
      </c>
      <c r="C180" s="481" t="str">
        <f>IFERROR(__xludf.DUMMYFUNCTION("""COMPUTED_VALUE"""),"NF")</f>
        <v>NF</v>
      </c>
      <c r="D180" s="483" t="str">
        <f>IFERROR(__xludf.DUMMYFUNCTION("""COMPUTED_VALUE"""),"CONVOCADO(A)")</f>
        <v>CONVOCADO(A)</v>
      </c>
      <c r="E180" s="483" t="str">
        <f>IFERROR(__xludf.DUMMYFUNCTION("""COMPUTED_VALUE"""),"HOMOLOGADO(A)")</f>
        <v>HOMOLOGADO(A)</v>
      </c>
      <c r="F180" s="483" t="str">
        <f>IFERROR(__xludf.DUMMYFUNCTION("""COMPUTED_VALUE"""),"GERÊNCIA")</f>
        <v>GERÊNCIA</v>
      </c>
      <c r="G180" s="472"/>
      <c r="H180" s="472"/>
      <c r="I180" s="472"/>
      <c r="J180" s="472"/>
      <c r="K180" s="472"/>
      <c r="L180" s="472"/>
      <c r="M180" s="472"/>
      <c r="N180" s="472"/>
      <c r="O180" s="472"/>
      <c r="P180" s="472"/>
      <c r="Q180" s="472"/>
      <c r="R180" s="472"/>
      <c r="S180" s="472"/>
      <c r="T180" s="472"/>
      <c r="U180" s="472"/>
      <c r="V180" s="472"/>
      <c r="W180" s="472"/>
      <c r="X180" s="472"/>
      <c r="Y180" s="472"/>
      <c r="Z180" s="472"/>
      <c r="AA180" s="472"/>
    </row>
    <row r="181" outlineLevel="1">
      <c r="A181" s="484">
        <f>IFERROR(__xludf.DUMMYFUNCTION("""COMPUTED_VALUE"""),4.89993089629E11)</f>
        <v>489993089629</v>
      </c>
      <c r="B181" s="485" t="str">
        <f>IFERROR(__xludf.DUMMYFUNCTION("""COMPUTED_VALUE"""),"DAVID EDERSON MOREIRA DO NASCIMENTO")</f>
        <v>DAVID EDERSON MOREIRA DO NASCIMENTO</v>
      </c>
      <c r="C181" s="486">
        <f>IFERROR(__xludf.DUMMYFUNCTION("""COMPUTED_VALUE"""),10.0)</f>
        <v>10</v>
      </c>
      <c r="D181" s="487"/>
      <c r="E181" s="486"/>
      <c r="F181" s="495"/>
      <c r="G181" s="472"/>
      <c r="H181" s="472"/>
      <c r="I181" s="472"/>
      <c r="J181" s="472"/>
      <c r="K181" s="472"/>
      <c r="L181" s="472"/>
      <c r="M181" s="472"/>
      <c r="N181" s="472"/>
      <c r="O181" s="472"/>
      <c r="P181" s="472"/>
      <c r="Q181" s="472"/>
      <c r="R181" s="472"/>
      <c r="S181" s="472"/>
      <c r="T181" s="472"/>
      <c r="U181" s="472"/>
      <c r="V181" s="472"/>
      <c r="W181" s="472"/>
      <c r="X181" s="472"/>
      <c r="Y181" s="472"/>
      <c r="Z181" s="472"/>
      <c r="AA181" s="472"/>
    </row>
    <row r="182" outlineLevel="1">
      <c r="A182" s="484">
        <f>IFERROR(__xludf.DUMMYFUNCTION("""COMPUTED_VALUE"""),5.92207090957E11)</f>
        <v>592207090957</v>
      </c>
      <c r="B182" s="485" t="str">
        <f>IFERROR(__xludf.DUMMYFUNCTION("""COMPUTED_VALUE"""),"ALEXSANDRA BRAGA FARIAS")</f>
        <v>ALEXSANDRA BRAGA FARIAS</v>
      </c>
      <c r="C182" s="486">
        <f>IFERROR(__xludf.DUMMYFUNCTION("""COMPUTED_VALUE"""),8.5)</f>
        <v>8.5</v>
      </c>
      <c r="D182" s="487"/>
      <c r="E182" s="486"/>
      <c r="F182" s="495"/>
      <c r="G182" s="472"/>
      <c r="H182" s="472"/>
      <c r="I182" s="472"/>
      <c r="J182" s="472"/>
      <c r="K182" s="472"/>
      <c r="L182" s="472"/>
      <c r="M182" s="472"/>
      <c r="N182" s="472"/>
      <c r="O182" s="472"/>
      <c r="P182" s="472"/>
      <c r="Q182" s="472"/>
      <c r="R182" s="472"/>
      <c r="S182" s="472"/>
      <c r="T182" s="472"/>
      <c r="U182" s="472"/>
      <c r="V182" s="472"/>
      <c r="W182" s="472"/>
      <c r="X182" s="472"/>
      <c r="Y182" s="472"/>
      <c r="Z182" s="472"/>
      <c r="AA182" s="472"/>
    </row>
    <row r="183" outlineLevel="1">
      <c r="A183" s="484">
        <f>IFERROR(__xludf.DUMMYFUNCTION("""COMPUTED_VALUE"""),5.44010091822E11)</f>
        <v>544010091822</v>
      </c>
      <c r="B183" s="485" t="str">
        <f>IFERROR(__xludf.DUMMYFUNCTION("""COMPUTED_VALUE"""),"JAQUELINE BRITO SILVA")</f>
        <v>JAQUELINE BRITO SILVA</v>
      </c>
      <c r="C183" s="486">
        <f>IFERROR(__xludf.DUMMYFUNCTION("""COMPUTED_VALUE"""),8.5)</f>
        <v>8.5</v>
      </c>
      <c r="D183" s="487"/>
      <c r="E183" s="486"/>
      <c r="F183" s="495"/>
      <c r="G183" s="472"/>
      <c r="H183" s="472"/>
      <c r="I183" s="472"/>
      <c r="J183" s="472"/>
      <c r="K183" s="472"/>
      <c r="L183" s="472"/>
      <c r="M183" s="472"/>
      <c r="N183" s="472"/>
      <c r="O183" s="472"/>
      <c r="P183" s="472"/>
      <c r="Q183" s="472"/>
      <c r="R183" s="472"/>
      <c r="S183" s="472"/>
      <c r="T183" s="472"/>
      <c r="U183" s="472"/>
      <c r="V183" s="472"/>
      <c r="W183" s="472"/>
      <c r="X183" s="472"/>
      <c r="Y183" s="472"/>
      <c r="Z183" s="472"/>
      <c r="AA183" s="472"/>
    </row>
    <row r="184" outlineLevel="1">
      <c r="A184" s="484">
        <f>IFERROR(__xludf.DUMMYFUNCTION("""COMPUTED_VALUE"""),9.65350090349E11)</f>
        <v>965350090349</v>
      </c>
      <c r="B184" s="485" t="str">
        <f>IFERROR(__xludf.DUMMYFUNCTION("""COMPUTED_VALUE"""),"FELIPE SALVIANO RAMOS")</f>
        <v>FELIPE SALVIANO RAMOS</v>
      </c>
      <c r="C184" s="486">
        <f>IFERROR(__xludf.DUMMYFUNCTION("""COMPUTED_VALUE"""),8.0)</f>
        <v>8</v>
      </c>
      <c r="D184" s="487"/>
      <c r="E184" s="486"/>
      <c r="F184" s="495"/>
      <c r="G184" s="472"/>
      <c r="H184" s="472"/>
      <c r="I184" s="472"/>
      <c r="J184" s="472"/>
      <c r="K184" s="472"/>
      <c r="L184" s="472"/>
      <c r="M184" s="472"/>
      <c r="N184" s="472"/>
      <c r="O184" s="472"/>
      <c r="P184" s="472"/>
      <c r="Q184" s="472"/>
      <c r="R184" s="472"/>
      <c r="S184" s="472"/>
      <c r="T184" s="472"/>
      <c r="U184" s="472"/>
      <c r="V184" s="472"/>
      <c r="W184" s="472"/>
      <c r="X184" s="472"/>
      <c r="Y184" s="472"/>
      <c r="Z184" s="472"/>
      <c r="AA184" s="472"/>
    </row>
    <row r="185" outlineLevel="1">
      <c r="A185" s="494">
        <f>IFERROR(__xludf.DUMMYFUNCTION("""COMPUTED_VALUE"""),9.775008957E10)</f>
        <v>97750089570</v>
      </c>
      <c r="B185" s="485" t="str">
        <f>IFERROR(__xludf.DUMMYFUNCTION("""COMPUTED_VALUE"""),"PAULO HENRIQUE MACIEL DA SILVA")</f>
        <v>PAULO HENRIQUE MACIEL DA SILVA</v>
      </c>
      <c r="C185" s="486">
        <f>IFERROR(__xludf.DUMMYFUNCTION("""COMPUTED_VALUE"""),7.0)</f>
        <v>7</v>
      </c>
      <c r="D185" s="487"/>
      <c r="E185" s="486"/>
      <c r="F185" s="495"/>
      <c r="G185" s="472"/>
      <c r="H185" s="472"/>
      <c r="I185" s="472"/>
      <c r="J185" s="472"/>
      <c r="K185" s="472"/>
      <c r="L185" s="472"/>
      <c r="M185" s="472"/>
      <c r="N185" s="472"/>
      <c r="O185" s="472"/>
      <c r="P185" s="472"/>
      <c r="Q185" s="472"/>
      <c r="R185" s="472"/>
      <c r="S185" s="472"/>
      <c r="T185" s="472"/>
      <c r="U185" s="472"/>
      <c r="V185" s="472"/>
      <c r="W185" s="472"/>
      <c r="X185" s="472"/>
      <c r="Y185" s="472"/>
      <c r="Z185" s="472"/>
      <c r="AA185" s="472"/>
    </row>
    <row r="186" outlineLevel="1">
      <c r="A186" s="494">
        <f>IFERROR(__xludf.DUMMYFUNCTION("""COMPUTED_VALUE"""),3.6620091965E10)</f>
        <v>36620091965</v>
      </c>
      <c r="B186" s="485" t="str">
        <f>IFERROR(__xludf.DUMMYFUNCTION("""COMPUTED_VALUE"""),"WANESSA MARIA COSTA CAVALCANTE BRANDAO")</f>
        <v>WANESSA MARIA COSTA CAVALCANTE BRANDAO</v>
      </c>
      <c r="C186" s="486">
        <f>IFERROR(__xludf.DUMMYFUNCTION("""COMPUTED_VALUE"""),6.5)</f>
        <v>6.5</v>
      </c>
      <c r="D186" s="487"/>
      <c r="E186" s="486"/>
      <c r="F186" s="495"/>
      <c r="G186" s="472"/>
      <c r="H186" s="472"/>
      <c r="I186" s="472"/>
      <c r="J186" s="472"/>
      <c r="K186" s="472"/>
      <c r="L186" s="472"/>
      <c r="M186" s="472"/>
      <c r="N186" s="472"/>
      <c r="O186" s="472"/>
      <c r="P186" s="472"/>
      <c r="Q186" s="472"/>
      <c r="R186" s="472"/>
      <c r="S186" s="472"/>
      <c r="T186" s="472"/>
      <c r="U186" s="472"/>
      <c r="V186" s="472"/>
      <c r="W186" s="472"/>
      <c r="X186" s="472"/>
      <c r="Y186" s="472"/>
      <c r="Z186" s="472"/>
      <c r="AA186" s="472"/>
    </row>
    <row r="187">
      <c r="A187" s="478" t="str">
        <f>IFERROR(__xludf.DUMMYFUNCTION("""COMPUTED_VALUE"""),"VIII - ESP - TRANSTORNO DO ESPECTRO AUTISTA (TEA)")</f>
        <v>VIII - ESP - TRANSTORNO DO ESPECTRO AUTISTA (TEA)</v>
      </c>
      <c r="B187" s="479"/>
      <c r="C187" s="479"/>
      <c r="D187" s="479"/>
      <c r="E187" s="479"/>
      <c r="F187" s="480"/>
      <c r="G187" s="472"/>
      <c r="H187" s="472"/>
      <c r="I187" s="472"/>
      <c r="J187" s="472"/>
      <c r="K187" s="472"/>
      <c r="L187" s="472"/>
      <c r="M187" s="472"/>
      <c r="N187" s="472"/>
      <c r="O187" s="472"/>
      <c r="P187" s="472"/>
      <c r="Q187" s="472"/>
      <c r="R187" s="472"/>
      <c r="S187" s="472"/>
      <c r="T187" s="472"/>
      <c r="U187" s="472"/>
      <c r="V187" s="472"/>
      <c r="W187" s="472"/>
      <c r="X187" s="472"/>
      <c r="Y187" s="472"/>
      <c r="Z187" s="472"/>
      <c r="AA187" s="472"/>
    </row>
    <row r="188" outlineLevel="1">
      <c r="A188" s="481" t="str">
        <f>IFERROR(__xludf.DUMMYFUNCTION("""COMPUTED_VALUE"""),"INSCRIÇÃO")</f>
        <v>INSCRIÇÃO</v>
      </c>
      <c r="B188" s="482" t="str">
        <f>IFERROR(__xludf.DUMMYFUNCTION("""COMPUTED_VALUE"""),"CANDIDATOS")</f>
        <v>CANDIDATOS</v>
      </c>
      <c r="C188" s="481" t="str">
        <f>IFERROR(__xludf.DUMMYFUNCTION("""COMPUTED_VALUE"""),"NF")</f>
        <v>NF</v>
      </c>
      <c r="D188" s="483" t="str">
        <f>IFERROR(__xludf.DUMMYFUNCTION("""COMPUTED_VALUE"""),"CONVOCADO(A)")</f>
        <v>CONVOCADO(A)</v>
      </c>
      <c r="E188" s="483" t="str">
        <f>IFERROR(__xludf.DUMMYFUNCTION("""COMPUTED_VALUE"""),"HOMOLOGADO(A)")</f>
        <v>HOMOLOGADO(A)</v>
      </c>
      <c r="F188" s="483" t="str">
        <f>IFERROR(__xludf.DUMMYFUNCTION("""COMPUTED_VALUE"""),"GERÊNCIA")</f>
        <v>GERÊNCIA</v>
      </c>
      <c r="G188" s="472"/>
      <c r="H188" s="472"/>
      <c r="I188" s="472"/>
      <c r="J188" s="472"/>
      <c r="K188" s="472"/>
      <c r="L188" s="472"/>
      <c r="M188" s="472"/>
      <c r="N188" s="472"/>
      <c r="O188" s="472"/>
      <c r="P188" s="472"/>
      <c r="Q188" s="472"/>
      <c r="R188" s="472"/>
      <c r="S188" s="472"/>
      <c r="T188" s="472"/>
      <c r="U188" s="472"/>
      <c r="V188" s="472"/>
      <c r="W188" s="472"/>
      <c r="X188" s="472"/>
      <c r="Y188" s="472"/>
      <c r="Z188" s="472"/>
      <c r="AA188" s="472"/>
    </row>
    <row r="189" outlineLevel="1">
      <c r="A189" s="484">
        <f>IFERROR(__xludf.DUMMYFUNCTION("""COMPUTED_VALUE"""),7.71630089501E11)</f>
        <v>771630089501</v>
      </c>
      <c r="B189" s="485" t="str">
        <f>IFERROR(__xludf.DUMMYFUNCTION("""COMPUTED_VALUE"""),"ALINE ARAÚJO ALVES")</f>
        <v>ALINE ARAÚJO ALVES</v>
      </c>
      <c r="C189" s="486">
        <f>IFERROR(__xludf.DUMMYFUNCTION("""COMPUTED_VALUE"""),7.0)</f>
        <v>7</v>
      </c>
      <c r="D189" s="487" t="str">
        <f>IFERROR(__xludf.DUMMYFUNCTION("""COMPUTED_VALUE"""),"SIM")</f>
        <v>SIM</v>
      </c>
      <c r="E189" s="486" t="str">
        <f>IFERROR(__xludf.DUMMYFUNCTION("""COMPUTED_VALUE"""),"SIM")</f>
        <v>SIM</v>
      </c>
      <c r="F189" s="495" t="str">
        <f>IFERROR(__xludf.DUMMYFUNCTION("""COMPUTED_VALUE"""),"GEPRO")</f>
        <v>GEPRO</v>
      </c>
      <c r="G189" s="472"/>
      <c r="H189" s="472"/>
      <c r="I189" s="472"/>
      <c r="J189" s="472"/>
      <c r="K189" s="472"/>
      <c r="L189" s="472"/>
      <c r="M189" s="472"/>
      <c r="N189" s="472"/>
      <c r="O189" s="472"/>
      <c r="P189" s="472"/>
      <c r="Q189" s="472"/>
      <c r="R189" s="472"/>
      <c r="S189" s="472"/>
      <c r="T189" s="472"/>
      <c r="U189" s="472"/>
      <c r="V189" s="472"/>
      <c r="W189" s="472"/>
      <c r="X189" s="472"/>
      <c r="Y189" s="472"/>
      <c r="Z189" s="472"/>
      <c r="AA189" s="472"/>
    </row>
    <row r="190" outlineLevel="1">
      <c r="A190" s="484">
        <f>IFERROR(__xludf.DUMMYFUNCTION("""COMPUTED_VALUE"""),8.26815090055E11)</f>
        <v>826815090055</v>
      </c>
      <c r="B190" s="485" t="str">
        <f>IFERROR(__xludf.DUMMYFUNCTION("""COMPUTED_VALUE"""),"ERIKA MARQUES NOBRE")</f>
        <v>ERIKA MARQUES NOBRE</v>
      </c>
      <c r="C190" s="486">
        <f>IFERROR(__xludf.DUMMYFUNCTION("""COMPUTED_VALUE"""),6.0)</f>
        <v>6</v>
      </c>
      <c r="D190" s="487" t="str">
        <f>IFERROR(__xludf.DUMMYFUNCTION("""COMPUTED_VALUE"""),"SIM")</f>
        <v>SIM</v>
      </c>
      <c r="E190" s="486" t="str">
        <f>IFERROR(__xludf.DUMMYFUNCTION("""COMPUTED_VALUE"""),"SIM")</f>
        <v>SIM</v>
      </c>
      <c r="F190" s="495" t="str">
        <f>IFERROR(__xludf.DUMMYFUNCTION("""COMPUTED_VALUE"""),"GEPRO")</f>
        <v>GEPRO</v>
      </c>
      <c r="G190" s="472"/>
      <c r="H190" s="472"/>
      <c r="I190" s="472"/>
      <c r="J190" s="472"/>
      <c r="K190" s="472"/>
      <c r="L190" s="472"/>
      <c r="M190" s="472"/>
      <c r="N190" s="472"/>
      <c r="O190" s="472"/>
      <c r="P190" s="472"/>
      <c r="Q190" s="472"/>
      <c r="R190" s="472"/>
      <c r="S190" s="472"/>
      <c r="T190" s="472"/>
      <c r="U190" s="472"/>
      <c r="V190" s="472"/>
      <c r="W190" s="472"/>
      <c r="X190" s="472"/>
      <c r="Y190" s="472"/>
      <c r="Z190" s="472"/>
      <c r="AA190" s="472"/>
    </row>
    <row r="191" outlineLevel="1">
      <c r="A191" s="494">
        <f>IFERROR(__xludf.DUMMYFUNCTION("""COMPUTED_VALUE"""),5.764008955E10)</f>
        <v>57640089550</v>
      </c>
      <c r="B191" s="485" t="str">
        <f>IFERROR(__xludf.DUMMYFUNCTION("""COMPUTED_VALUE"""),"CICERA BRENA CALIXTO SOUSA BORGES")</f>
        <v>CICERA BRENA CALIXTO SOUSA BORGES</v>
      </c>
      <c r="C191" s="486">
        <f>IFERROR(__xludf.DUMMYFUNCTION("""COMPUTED_VALUE"""),6.0)</f>
        <v>6</v>
      </c>
      <c r="D191" s="487"/>
      <c r="E191" s="486"/>
      <c r="F191" s="495"/>
      <c r="G191" s="472"/>
      <c r="H191" s="472"/>
      <c r="I191" s="472"/>
      <c r="J191" s="472"/>
      <c r="K191" s="472"/>
      <c r="L191" s="472"/>
      <c r="M191" s="472"/>
      <c r="N191" s="472"/>
      <c r="O191" s="472"/>
      <c r="P191" s="472"/>
      <c r="Q191" s="472"/>
      <c r="R191" s="472"/>
      <c r="S191" s="472"/>
      <c r="T191" s="472"/>
      <c r="U191" s="472"/>
      <c r="V191" s="472"/>
      <c r="W191" s="472"/>
      <c r="X191" s="472"/>
      <c r="Y191" s="472"/>
      <c r="Z191" s="472"/>
      <c r="AA191" s="472"/>
    </row>
    <row r="192" outlineLevel="1">
      <c r="A192" s="484">
        <f>IFERROR(__xludf.DUMMYFUNCTION("""COMPUTED_VALUE"""),8.2545109303E11)</f>
        <v>825451093030</v>
      </c>
      <c r="B192" s="485" t="str">
        <f>IFERROR(__xludf.DUMMYFUNCTION("""COMPUTED_VALUE"""),"GABRIEL PERDIGÃO WALCHER")</f>
        <v>GABRIEL PERDIGÃO WALCHER</v>
      </c>
      <c r="C192" s="486">
        <f>IFERROR(__xludf.DUMMYFUNCTION("""COMPUTED_VALUE"""),6.0)</f>
        <v>6</v>
      </c>
      <c r="D192" s="487"/>
      <c r="E192" s="486"/>
      <c r="F192" s="495"/>
      <c r="G192" s="472"/>
      <c r="H192" s="472"/>
      <c r="I192" s="472"/>
      <c r="J192" s="472"/>
      <c r="K192" s="472"/>
      <c r="L192" s="472"/>
      <c r="M192" s="472"/>
      <c r="N192" s="472"/>
      <c r="O192" s="472"/>
      <c r="P192" s="472"/>
      <c r="Q192" s="472"/>
      <c r="R192" s="472"/>
      <c r="S192" s="472"/>
      <c r="T192" s="472"/>
      <c r="U192" s="472"/>
      <c r="V192" s="472"/>
      <c r="W192" s="472"/>
      <c r="X192" s="472"/>
      <c r="Y192" s="472"/>
      <c r="Z192" s="472"/>
      <c r="AA192" s="472"/>
    </row>
    <row r="193">
      <c r="A193" s="478" t="str">
        <f>IFERROR(__xludf.DUMMYFUNCTION("""COMPUTED_VALUE"""),"IX - ESP - URGÊNCIAS E EMERGÊNCIAS")</f>
        <v>IX - ESP - URGÊNCIAS E EMERGÊNCIAS</v>
      </c>
      <c r="B193" s="479"/>
      <c r="C193" s="479"/>
      <c r="D193" s="479"/>
      <c r="E193" s="479"/>
      <c r="F193" s="480"/>
      <c r="G193" s="472"/>
      <c r="H193" s="472"/>
      <c r="I193" s="472"/>
      <c r="J193" s="472"/>
      <c r="K193" s="472"/>
      <c r="L193" s="472"/>
      <c r="M193" s="472"/>
      <c r="N193" s="472"/>
      <c r="O193" s="472"/>
      <c r="P193" s="472"/>
      <c r="Q193" s="472"/>
      <c r="R193" s="472"/>
      <c r="S193" s="472"/>
      <c r="T193" s="472"/>
      <c r="U193" s="472"/>
      <c r="V193" s="472"/>
      <c r="W193" s="472"/>
      <c r="X193" s="472"/>
      <c r="Y193" s="472"/>
      <c r="Z193" s="472"/>
      <c r="AA193" s="472"/>
    </row>
    <row r="194" outlineLevel="1">
      <c r="A194" s="481" t="str">
        <f>IFERROR(__xludf.DUMMYFUNCTION("""COMPUTED_VALUE"""),"INSCRIÇÃO")</f>
        <v>INSCRIÇÃO</v>
      </c>
      <c r="B194" s="482" t="str">
        <f>IFERROR(__xludf.DUMMYFUNCTION("""COMPUTED_VALUE"""),"CANDIDATOS")</f>
        <v>CANDIDATOS</v>
      </c>
      <c r="C194" s="481" t="str">
        <f>IFERROR(__xludf.DUMMYFUNCTION("""COMPUTED_VALUE"""),"NF")</f>
        <v>NF</v>
      </c>
      <c r="D194" s="483" t="str">
        <f>IFERROR(__xludf.DUMMYFUNCTION("""COMPUTED_VALUE"""),"CONVOCADO(A)")</f>
        <v>CONVOCADO(A)</v>
      </c>
      <c r="E194" s="483" t="str">
        <f>IFERROR(__xludf.DUMMYFUNCTION("""COMPUTED_VALUE"""),"HOMOLOGADO(A)")</f>
        <v>HOMOLOGADO(A)</v>
      </c>
      <c r="F194" s="483" t="str">
        <f>IFERROR(__xludf.DUMMYFUNCTION("""COMPUTED_VALUE"""),"GERÊNCIA")</f>
        <v>GERÊNCIA</v>
      </c>
      <c r="G194" s="472"/>
      <c r="H194" s="472"/>
      <c r="I194" s="472"/>
      <c r="J194" s="472"/>
      <c r="K194" s="472"/>
      <c r="L194" s="472"/>
      <c r="M194" s="472"/>
      <c r="N194" s="472"/>
      <c r="O194" s="472"/>
      <c r="P194" s="472"/>
      <c r="Q194" s="472"/>
      <c r="R194" s="472"/>
      <c r="S194" s="472"/>
      <c r="T194" s="472"/>
      <c r="U194" s="472"/>
      <c r="V194" s="472"/>
      <c r="W194" s="472"/>
      <c r="X194" s="472"/>
      <c r="Y194" s="472"/>
      <c r="Z194" s="472"/>
      <c r="AA194" s="472"/>
    </row>
    <row r="195" outlineLevel="1">
      <c r="A195" s="494">
        <f>IFERROR(__xludf.DUMMYFUNCTION("""COMPUTED_VALUE"""),7.0750090113E10)</f>
        <v>70750090113</v>
      </c>
      <c r="B195" s="485" t="str">
        <f>IFERROR(__xludf.DUMMYFUNCTION("""COMPUTED_VALUE"""),"CARLOS HENRIQUE DO NASCIMENTO MORAIS")</f>
        <v>CARLOS HENRIQUE DO NASCIMENTO MORAIS</v>
      </c>
      <c r="C195" s="486">
        <f>IFERROR(__xludf.DUMMYFUNCTION("""COMPUTED_VALUE"""),10.0)</f>
        <v>10</v>
      </c>
      <c r="D195" s="487" t="str">
        <f>IFERROR(__xludf.DUMMYFUNCTION("""COMPUTED_VALUE"""),"SIM")</f>
        <v>SIM</v>
      </c>
      <c r="E195" s="486" t="str">
        <f>IFERROR(__xludf.DUMMYFUNCTION("""COMPUTED_VALUE"""),"SIM")</f>
        <v>SIM</v>
      </c>
      <c r="F195" s="486" t="str">
        <f>IFERROR(__xludf.DUMMYFUNCTION("""COMPUTED_VALUE"""),"GEDUC")</f>
        <v>GEDUC</v>
      </c>
      <c r="G195" s="472"/>
      <c r="H195" s="472"/>
      <c r="I195" s="472"/>
      <c r="J195" s="472"/>
      <c r="K195" s="472"/>
      <c r="L195" s="472"/>
      <c r="M195" s="472"/>
      <c r="N195" s="472"/>
      <c r="O195" s="472"/>
      <c r="P195" s="472"/>
      <c r="Q195" s="472"/>
      <c r="R195" s="472"/>
      <c r="S195" s="472"/>
      <c r="T195" s="472"/>
      <c r="U195" s="472"/>
      <c r="V195" s="472"/>
      <c r="W195" s="472"/>
      <c r="X195" s="472"/>
      <c r="Y195" s="472"/>
      <c r="Z195" s="472"/>
      <c r="AA195" s="472"/>
    </row>
    <row r="196" outlineLevel="1">
      <c r="A196" s="484">
        <f>IFERROR(__xludf.DUMMYFUNCTION("""COMPUTED_VALUE"""),4.89993089627E11)</f>
        <v>489993089627</v>
      </c>
      <c r="B196" s="485" t="str">
        <f>IFERROR(__xludf.DUMMYFUNCTION("""COMPUTED_VALUE"""),"DAVID EDERSON MOREIRA DO NASCIMENTO")</f>
        <v>DAVID EDERSON MOREIRA DO NASCIMENTO</v>
      </c>
      <c r="C196" s="486">
        <f>IFERROR(__xludf.DUMMYFUNCTION("""COMPUTED_VALUE"""),9.5)</f>
        <v>9.5</v>
      </c>
      <c r="D196" s="487" t="str">
        <f>IFERROR(__xludf.DUMMYFUNCTION("""COMPUTED_VALUE"""),"SIM")</f>
        <v>SIM</v>
      </c>
      <c r="E196" s="486" t="str">
        <f>IFERROR(__xludf.DUMMYFUNCTION("""COMPUTED_VALUE"""),"NÃO")</f>
        <v>NÃO</v>
      </c>
      <c r="F196" s="486" t="str">
        <f>IFERROR(__xludf.DUMMYFUNCTION("""COMPUTED_VALUE"""),"GEDUC")</f>
        <v>GEDUC</v>
      </c>
      <c r="G196" s="472"/>
      <c r="H196" s="472"/>
      <c r="I196" s="472"/>
      <c r="J196" s="472"/>
      <c r="K196" s="472"/>
      <c r="L196" s="472"/>
      <c r="M196" s="472"/>
      <c r="N196" s="472"/>
      <c r="O196" s="472"/>
      <c r="P196" s="472"/>
      <c r="Q196" s="472"/>
      <c r="R196" s="472"/>
      <c r="S196" s="472"/>
      <c r="T196" s="472"/>
      <c r="U196" s="472"/>
      <c r="V196" s="472"/>
      <c r="W196" s="472"/>
      <c r="X196" s="472"/>
      <c r="Y196" s="472"/>
      <c r="Z196" s="472"/>
      <c r="AA196" s="472"/>
    </row>
    <row r="197" outlineLevel="1">
      <c r="A197" s="494">
        <f>IFERROR(__xludf.DUMMYFUNCTION("""COMPUTED_VALUE"""),1.4306089115E10)</f>
        <v>14306089115</v>
      </c>
      <c r="B197" s="485" t="str">
        <f>IFERROR(__xludf.DUMMYFUNCTION("""COMPUTED_VALUE"""),"VANESSA VIEIRA DE SOUSA")</f>
        <v>VANESSA VIEIRA DE SOUSA</v>
      </c>
      <c r="C197" s="486">
        <f>IFERROR(__xludf.DUMMYFUNCTION("""COMPUTED_VALUE"""),8.5)</f>
        <v>8.5</v>
      </c>
      <c r="D197" s="487" t="str">
        <f>IFERROR(__xludf.DUMMYFUNCTION("""COMPUTED_VALUE"""),"SIM")</f>
        <v>SIM</v>
      </c>
      <c r="E197" s="486" t="str">
        <f>IFERROR(__xludf.DUMMYFUNCTION("""COMPUTED_VALUE"""),"SIM")</f>
        <v>SIM</v>
      </c>
      <c r="F197" s="486" t="str">
        <f>IFERROR(__xludf.DUMMYFUNCTION("""COMPUTED_VALUE"""),"GEDUC")</f>
        <v>GEDUC</v>
      </c>
      <c r="G197" s="472"/>
      <c r="H197" s="472"/>
      <c r="I197" s="472"/>
      <c r="J197" s="472"/>
      <c r="K197" s="472"/>
      <c r="L197" s="472"/>
      <c r="M197" s="472"/>
      <c r="N197" s="472"/>
      <c r="O197" s="472"/>
      <c r="P197" s="472"/>
      <c r="Q197" s="472"/>
      <c r="R197" s="472"/>
      <c r="S197" s="472"/>
      <c r="T197" s="472"/>
      <c r="U197" s="472"/>
      <c r="V197" s="472"/>
      <c r="W197" s="472"/>
      <c r="X197" s="472"/>
      <c r="Y197" s="472"/>
      <c r="Z197" s="472"/>
      <c r="AA197" s="472"/>
    </row>
    <row r="198" outlineLevel="1">
      <c r="A198" s="484">
        <f>IFERROR(__xludf.DUMMYFUNCTION("""COMPUTED_VALUE"""),9.83620093674E11)</f>
        <v>983620093674</v>
      </c>
      <c r="B198" s="485" t="str">
        <f>IFERROR(__xludf.DUMMYFUNCTION("""COMPUTED_VALUE"""),"FRANCISCA MARIA RANIELLE ALBUQUERQUE BECO")</f>
        <v>FRANCISCA MARIA RANIELLE ALBUQUERQUE BECO</v>
      </c>
      <c r="C198" s="486">
        <f>IFERROR(__xludf.DUMMYFUNCTION("""COMPUTED_VALUE"""),8.0)</f>
        <v>8</v>
      </c>
      <c r="D198" s="487" t="str">
        <f>IFERROR(__xludf.DUMMYFUNCTION("""COMPUTED_VALUE"""),"SIM")</f>
        <v>SIM</v>
      </c>
      <c r="E198" s="486" t="str">
        <f>IFERROR(__xludf.DUMMYFUNCTION("""COMPUTED_VALUE"""),"NÃO")</f>
        <v>NÃO</v>
      </c>
      <c r="F198" s="486" t="str">
        <f>IFERROR(__xludf.DUMMYFUNCTION("""COMPUTED_VALUE"""),"GEDUC")</f>
        <v>GEDUC</v>
      </c>
      <c r="G198" s="472"/>
      <c r="H198" s="472"/>
      <c r="I198" s="472"/>
      <c r="J198" s="472"/>
      <c r="K198" s="472"/>
      <c r="L198" s="472"/>
      <c r="M198" s="472"/>
      <c r="N198" s="472"/>
      <c r="O198" s="472"/>
      <c r="P198" s="472"/>
      <c r="Q198" s="472"/>
      <c r="R198" s="472"/>
      <c r="S198" s="472"/>
      <c r="T198" s="472"/>
      <c r="U198" s="472"/>
      <c r="V198" s="472"/>
      <c r="W198" s="472"/>
      <c r="X198" s="472"/>
      <c r="Y198" s="472"/>
      <c r="Z198" s="472"/>
      <c r="AA198" s="472"/>
    </row>
    <row r="199" outlineLevel="1">
      <c r="A199" s="484">
        <f>IFERROR(__xludf.DUMMYFUNCTION("""COMPUTED_VALUE"""),1.95650091973E11)</f>
        <v>195650091973</v>
      </c>
      <c r="B199" s="485" t="str">
        <f>IFERROR(__xludf.DUMMYFUNCTION("""COMPUTED_VALUE"""),"EVELINE MICHELLE LIMA DA SILVA")</f>
        <v>EVELINE MICHELLE LIMA DA SILVA</v>
      </c>
      <c r="C199" s="486">
        <f>IFERROR(__xludf.DUMMYFUNCTION("""COMPUTED_VALUE"""),8.0)</f>
        <v>8</v>
      </c>
      <c r="D199" s="487" t="str">
        <f>IFERROR(__xludf.DUMMYFUNCTION("""COMPUTED_VALUE"""),"SIM")</f>
        <v>SIM</v>
      </c>
      <c r="E199" s="486" t="str">
        <f>IFERROR(__xludf.DUMMYFUNCTION("""COMPUTED_VALUE"""),"NÃO")</f>
        <v>NÃO</v>
      </c>
      <c r="F199" s="486" t="str">
        <f>IFERROR(__xludf.DUMMYFUNCTION("""COMPUTED_VALUE"""),"GEDUC")</f>
        <v>GEDUC</v>
      </c>
      <c r="G199" s="472"/>
      <c r="H199" s="472"/>
      <c r="I199" s="472"/>
      <c r="J199" s="472"/>
      <c r="K199" s="472"/>
      <c r="L199" s="472"/>
      <c r="M199" s="472"/>
      <c r="N199" s="472"/>
      <c r="O199" s="472"/>
      <c r="P199" s="472"/>
      <c r="Q199" s="472"/>
      <c r="R199" s="472"/>
      <c r="S199" s="472"/>
      <c r="T199" s="472"/>
      <c r="U199" s="472"/>
      <c r="V199" s="472"/>
      <c r="W199" s="472"/>
      <c r="X199" s="472"/>
      <c r="Y199" s="472"/>
      <c r="Z199" s="472"/>
      <c r="AA199" s="472"/>
    </row>
    <row r="200" outlineLevel="1">
      <c r="A200" s="484">
        <f>IFERROR(__xludf.DUMMYFUNCTION("""COMPUTED_VALUE"""),5.84240092561E11)</f>
        <v>584240092561</v>
      </c>
      <c r="B200" s="485" t="str">
        <f>IFERROR(__xludf.DUMMYFUNCTION("""COMPUTED_VALUE"""),"ANTONIA CIDIANE PEREIRA BEZERRA")</f>
        <v>ANTONIA CIDIANE PEREIRA BEZERRA</v>
      </c>
      <c r="C200" s="486">
        <f>IFERROR(__xludf.DUMMYFUNCTION("""COMPUTED_VALUE"""),7.5)</f>
        <v>7.5</v>
      </c>
      <c r="D200" s="487" t="str">
        <f>IFERROR(__xludf.DUMMYFUNCTION("""COMPUTED_VALUE"""),"SIM")</f>
        <v>SIM</v>
      </c>
      <c r="E200" s="486" t="str">
        <f>IFERROR(__xludf.DUMMYFUNCTION("""COMPUTED_VALUE"""),"NÃO")</f>
        <v>NÃO</v>
      </c>
      <c r="F200" s="486" t="str">
        <f>IFERROR(__xludf.DUMMYFUNCTION("""COMPUTED_VALUE"""),"GEDUC")</f>
        <v>GEDUC</v>
      </c>
      <c r="G200" s="472"/>
      <c r="H200" s="472"/>
      <c r="I200" s="472"/>
      <c r="J200" s="472"/>
      <c r="K200" s="472"/>
      <c r="L200" s="472"/>
      <c r="M200" s="472"/>
      <c r="N200" s="472"/>
      <c r="O200" s="472"/>
      <c r="P200" s="472"/>
      <c r="Q200" s="472"/>
      <c r="R200" s="472"/>
      <c r="S200" s="472"/>
      <c r="T200" s="472"/>
      <c r="U200" s="472"/>
      <c r="V200" s="472"/>
      <c r="W200" s="472"/>
      <c r="X200" s="472"/>
      <c r="Y200" s="472"/>
      <c r="Z200" s="472"/>
      <c r="AA200" s="472"/>
    </row>
    <row r="201" outlineLevel="1">
      <c r="A201" s="484">
        <f>IFERROR(__xludf.DUMMYFUNCTION("""COMPUTED_VALUE"""),9.65527092989E11)</f>
        <v>965527092989</v>
      </c>
      <c r="B201" s="485" t="str">
        <f>IFERROR(__xludf.DUMMYFUNCTION("""COMPUTED_VALUE"""),"JEAN CARLOS FACUNDO FERREIRA")</f>
        <v>JEAN CARLOS FACUNDO FERREIRA</v>
      </c>
      <c r="C201" s="486">
        <f>IFERROR(__xludf.DUMMYFUNCTION("""COMPUTED_VALUE"""),7.0)</f>
        <v>7</v>
      </c>
      <c r="D201" s="487" t="str">
        <f>IFERROR(__xludf.DUMMYFUNCTION("""COMPUTED_VALUE"""),"SIM")</f>
        <v>SIM</v>
      </c>
      <c r="E201" s="486" t="str">
        <f>IFERROR(__xludf.DUMMYFUNCTION("""COMPUTED_VALUE"""),"SIM")</f>
        <v>SIM</v>
      </c>
      <c r="F201" s="486" t="str">
        <f>IFERROR(__xludf.DUMMYFUNCTION("""COMPUTED_VALUE"""),"GEDUC")</f>
        <v>GEDUC</v>
      </c>
      <c r="G201" s="472"/>
      <c r="H201" s="472"/>
      <c r="I201" s="472"/>
      <c r="J201" s="472"/>
      <c r="K201" s="472"/>
      <c r="L201" s="472"/>
      <c r="M201" s="472"/>
      <c r="N201" s="472"/>
      <c r="O201" s="472"/>
      <c r="P201" s="472"/>
      <c r="Q201" s="472"/>
      <c r="R201" s="472"/>
      <c r="S201" s="472"/>
      <c r="T201" s="472"/>
      <c r="U201" s="472"/>
      <c r="V201" s="472"/>
      <c r="W201" s="472"/>
      <c r="X201" s="472"/>
      <c r="Y201" s="472"/>
      <c r="Z201" s="472"/>
      <c r="AA201" s="472"/>
    </row>
    <row r="202" outlineLevel="1">
      <c r="A202" s="494">
        <f>IFERROR(__xludf.DUMMYFUNCTION("""COMPUTED_VALUE"""),3.8620093629E10)</f>
        <v>38620093629</v>
      </c>
      <c r="B202" s="485" t="str">
        <f>IFERROR(__xludf.DUMMYFUNCTION("""COMPUTED_VALUE"""),"ALINE ALVES MESQUITA")</f>
        <v>ALINE ALVES MESQUITA</v>
      </c>
      <c r="C202" s="486">
        <f>IFERROR(__xludf.DUMMYFUNCTION("""COMPUTED_VALUE"""),7.0)</f>
        <v>7</v>
      </c>
      <c r="D202" s="487" t="str">
        <f>IFERROR(__xludf.DUMMYFUNCTION("""COMPUTED_VALUE"""),"SIM")</f>
        <v>SIM</v>
      </c>
      <c r="E202" s="486" t="str">
        <f>IFERROR(__xludf.DUMMYFUNCTION("""COMPUTED_VALUE"""),"NÃO")</f>
        <v>NÃO</v>
      </c>
      <c r="F202" s="486" t="str">
        <f>IFERROR(__xludf.DUMMYFUNCTION("""COMPUTED_VALUE"""),"GEDUC")</f>
        <v>GEDUC</v>
      </c>
      <c r="G202" s="472"/>
      <c r="H202" s="472"/>
      <c r="I202" s="472"/>
      <c r="J202" s="472"/>
      <c r="K202" s="472"/>
      <c r="L202" s="472"/>
      <c r="M202" s="472"/>
      <c r="N202" s="472"/>
      <c r="O202" s="472"/>
      <c r="P202" s="472"/>
      <c r="Q202" s="472"/>
      <c r="R202" s="472"/>
      <c r="S202" s="472"/>
      <c r="T202" s="472"/>
      <c r="U202" s="472"/>
      <c r="V202" s="472"/>
      <c r="W202" s="472"/>
      <c r="X202" s="472"/>
      <c r="Y202" s="472"/>
      <c r="Z202" s="472"/>
      <c r="AA202" s="472"/>
    </row>
    <row r="203" outlineLevel="1">
      <c r="A203" s="484">
        <f>IFERROR(__xludf.DUMMYFUNCTION("""COMPUTED_VALUE"""),9.73840092665E11)</f>
        <v>973840092665</v>
      </c>
      <c r="B203" s="485" t="str">
        <f>IFERROR(__xludf.DUMMYFUNCTION("""COMPUTED_VALUE"""),"ISRAEL SILVA SAMPAIO GOMES")</f>
        <v>ISRAEL SILVA SAMPAIO GOMES</v>
      </c>
      <c r="C203" s="486">
        <f>IFERROR(__xludf.DUMMYFUNCTION("""COMPUTED_VALUE"""),7.0)</f>
        <v>7</v>
      </c>
      <c r="D203" s="487" t="str">
        <f>IFERROR(__xludf.DUMMYFUNCTION("""COMPUTED_VALUE"""),"SIM")</f>
        <v>SIM</v>
      </c>
      <c r="E203" s="486" t="str">
        <f>IFERROR(__xludf.DUMMYFUNCTION("""COMPUTED_VALUE"""),"NÃO")</f>
        <v>NÃO</v>
      </c>
      <c r="F203" s="486" t="str">
        <f>IFERROR(__xludf.DUMMYFUNCTION("""COMPUTED_VALUE"""),"GEDUC")</f>
        <v>GEDUC</v>
      </c>
      <c r="G203" s="472"/>
      <c r="H203" s="472"/>
      <c r="I203" s="472"/>
      <c r="J203" s="472"/>
      <c r="K203" s="472"/>
      <c r="L203" s="472"/>
      <c r="M203" s="472"/>
      <c r="N203" s="472"/>
      <c r="O203" s="472"/>
      <c r="P203" s="472"/>
      <c r="Q203" s="472"/>
      <c r="R203" s="472"/>
      <c r="S203" s="472"/>
      <c r="T203" s="472"/>
      <c r="U203" s="472"/>
      <c r="V203" s="472"/>
      <c r="W203" s="472"/>
      <c r="X203" s="472"/>
      <c r="Y203" s="472"/>
      <c r="Z203" s="472"/>
      <c r="AA203" s="472"/>
    </row>
    <row r="204" outlineLevel="1">
      <c r="A204" s="484">
        <f>IFERROR(__xludf.DUMMYFUNCTION("""COMPUTED_VALUE"""),5.7996809321E11)</f>
        <v>579968093210</v>
      </c>
      <c r="B204" s="485" t="str">
        <f>IFERROR(__xludf.DUMMYFUNCTION("""COMPUTED_VALUE"""),"JOÃO MARCOS NUNES GADELHA")</f>
        <v>JOÃO MARCOS NUNES GADELHA</v>
      </c>
      <c r="C204" s="486">
        <f>IFERROR(__xludf.DUMMYFUNCTION("""COMPUTED_VALUE"""),6.0)</f>
        <v>6</v>
      </c>
      <c r="D204" s="487" t="str">
        <f>IFERROR(__xludf.DUMMYFUNCTION("""COMPUTED_VALUE"""),"SIM")</f>
        <v>SIM</v>
      </c>
      <c r="E204" s="486" t="str">
        <f>IFERROR(__xludf.DUMMYFUNCTION("""COMPUTED_VALUE"""),"SIM")</f>
        <v>SIM</v>
      </c>
      <c r="F204" s="486" t="str">
        <f>IFERROR(__xludf.DUMMYFUNCTION("""COMPUTED_VALUE"""),"GEDUC")</f>
        <v>GEDUC</v>
      </c>
      <c r="G204" s="472"/>
      <c r="H204" s="472"/>
      <c r="I204" s="472"/>
      <c r="J204" s="472"/>
      <c r="K204" s="472"/>
      <c r="L204" s="472"/>
      <c r="M204" s="472"/>
      <c r="N204" s="472"/>
      <c r="O204" s="472"/>
      <c r="P204" s="472"/>
      <c r="Q204" s="472"/>
      <c r="R204" s="472"/>
      <c r="S204" s="472"/>
      <c r="T204" s="472"/>
      <c r="U204" s="472"/>
      <c r="V204" s="472"/>
      <c r="W204" s="472"/>
      <c r="X204" s="472"/>
      <c r="Y204" s="472"/>
      <c r="Z204" s="472"/>
      <c r="AA204" s="472"/>
    </row>
    <row r="205" outlineLevel="1">
      <c r="A205" s="484">
        <f>IFERROR(__xludf.DUMMYFUNCTION("""COMPUTED_VALUE"""),3.1345609328E11)</f>
        <v>313456093280</v>
      </c>
      <c r="B205" s="485" t="str">
        <f>IFERROR(__xludf.DUMMYFUNCTION("""COMPUTED_VALUE"""),"FRANCISCO ISMAEL DA SILVA FROTA")</f>
        <v>FRANCISCO ISMAEL DA SILVA FROTA</v>
      </c>
      <c r="C205" s="486">
        <f>IFERROR(__xludf.DUMMYFUNCTION("""COMPUTED_VALUE"""),6.0)</f>
        <v>6</v>
      </c>
      <c r="D205" s="487"/>
      <c r="E205" s="486"/>
      <c r="F205" s="486"/>
      <c r="G205" s="472"/>
      <c r="H205" s="472"/>
      <c r="I205" s="472"/>
      <c r="J205" s="472"/>
      <c r="K205" s="472"/>
      <c r="L205" s="472"/>
      <c r="M205" s="472"/>
      <c r="N205" s="472"/>
      <c r="O205" s="472"/>
      <c r="P205" s="472"/>
      <c r="Q205" s="472"/>
      <c r="R205" s="472"/>
      <c r="S205" s="472"/>
      <c r="T205" s="472"/>
      <c r="U205" s="472"/>
      <c r="V205" s="472"/>
      <c r="W205" s="472"/>
      <c r="X205" s="472"/>
      <c r="Y205" s="472"/>
      <c r="Z205" s="472"/>
      <c r="AA205" s="472"/>
    </row>
    <row r="206" outlineLevel="1">
      <c r="A206" s="494">
        <f>IFERROR(__xludf.DUMMYFUNCTION("""COMPUTED_VALUE"""),5.8230092602E10)</f>
        <v>58230092602</v>
      </c>
      <c r="B206" s="485" t="str">
        <f>IFERROR(__xludf.DUMMYFUNCTION("""COMPUTED_VALUE"""),"EDSON JUVENAL DA SILVA NETO")</f>
        <v>EDSON JUVENAL DA SILVA NETO</v>
      </c>
      <c r="C206" s="486">
        <f>IFERROR(__xludf.DUMMYFUNCTION("""COMPUTED_VALUE"""),6.0)</f>
        <v>6</v>
      </c>
      <c r="D206" s="487"/>
      <c r="E206" s="486"/>
      <c r="F206" s="486"/>
      <c r="G206" s="472"/>
      <c r="H206" s="472"/>
      <c r="I206" s="472"/>
      <c r="J206" s="472"/>
      <c r="K206" s="472"/>
      <c r="L206" s="472"/>
      <c r="M206" s="472"/>
      <c r="N206" s="472"/>
      <c r="O206" s="472"/>
      <c r="P206" s="472"/>
      <c r="Q206" s="472"/>
      <c r="R206" s="472"/>
      <c r="S206" s="472"/>
      <c r="T206" s="472"/>
      <c r="U206" s="472"/>
      <c r="V206" s="472"/>
      <c r="W206" s="472"/>
      <c r="X206" s="472"/>
      <c r="Y206" s="472"/>
      <c r="Z206" s="472"/>
      <c r="AA206" s="472"/>
    </row>
    <row r="207" outlineLevel="1">
      <c r="A207" s="484">
        <f>IFERROR(__xludf.DUMMYFUNCTION("""COMPUTED_VALUE"""),4.07630091761E11)</f>
        <v>407630091761</v>
      </c>
      <c r="B207" s="485" t="str">
        <f>IFERROR(__xludf.DUMMYFUNCTION("""COMPUTED_VALUE"""),"ANTONIO HERBETTY ARCANJO MARTINS OLIVEIRA")</f>
        <v>ANTONIO HERBETTY ARCANJO MARTINS OLIVEIRA</v>
      </c>
      <c r="C207" s="486">
        <f>IFERROR(__xludf.DUMMYFUNCTION("""COMPUTED_VALUE"""),6.0)</f>
        <v>6</v>
      </c>
      <c r="D207" s="487"/>
      <c r="E207" s="486"/>
      <c r="F207" s="486"/>
      <c r="G207" s="472"/>
      <c r="H207" s="472"/>
      <c r="I207" s="472"/>
      <c r="J207" s="472"/>
      <c r="K207" s="472"/>
      <c r="L207" s="472"/>
      <c r="M207" s="472"/>
      <c r="N207" s="472"/>
      <c r="O207" s="472"/>
      <c r="P207" s="472"/>
      <c r="Q207" s="472"/>
      <c r="R207" s="472"/>
      <c r="S207" s="472"/>
      <c r="T207" s="472"/>
      <c r="U207" s="472"/>
      <c r="V207" s="472"/>
      <c r="W207" s="472"/>
      <c r="X207" s="472"/>
      <c r="Y207" s="472"/>
      <c r="Z207" s="472"/>
      <c r="AA207" s="472"/>
    </row>
    <row r="208" outlineLevel="1">
      <c r="A208" s="484">
        <f>IFERROR(__xludf.DUMMYFUNCTION("""COMPUTED_VALUE"""),2.5306008913E11)</f>
        <v>253060089130</v>
      </c>
      <c r="B208" s="485" t="str">
        <f>IFERROR(__xludf.DUMMYFUNCTION("""COMPUTED_VALUE"""),"LETICIA KELLY COSTA SILVA")</f>
        <v>LETICIA KELLY COSTA SILVA</v>
      </c>
      <c r="C208" s="486">
        <f>IFERROR(__xludf.DUMMYFUNCTION("""COMPUTED_VALUE"""),6.0)</f>
        <v>6</v>
      </c>
      <c r="D208" s="487"/>
      <c r="E208" s="486"/>
      <c r="F208" s="486"/>
      <c r="G208" s="472"/>
      <c r="H208" s="472"/>
      <c r="I208" s="472"/>
      <c r="J208" s="472"/>
      <c r="K208" s="472"/>
      <c r="L208" s="472"/>
      <c r="M208" s="472"/>
      <c r="N208" s="472"/>
      <c r="O208" s="472"/>
      <c r="P208" s="472"/>
      <c r="Q208" s="472"/>
      <c r="R208" s="472"/>
      <c r="S208" s="472"/>
      <c r="T208" s="472"/>
      <c r="U208" s="472"/>
      <c r="V208" s="472"/>
      <c r="W208" s="472"/>
      <c r="X208" s="472"/>
      <c r="Y208" s="472"/>
      <c r="Z208" s="472"/>
      <c r="AA208" s="472"/>
    </row>
    <row r="209">
      <c r="A209" s="478" t="str">
        <f>IFERROR(__xludf.DUMMYFUNCTION("""COMPUTED_VALUE"""),"X - ESP - TRANSPLANTES")</f>
        <v>X - ESP - TRANSPLANTES</v>
      </c>
      <c r="B209" s="479"/>
      <c r="C209" s="479"/>
      <c r="D209" s="479"/>
      <c r="E209" s="479"/>
      <c r="F209" s="480"/>
      <c r="G209" s="472"/>
      <c r="H209" s="472"/>
      <c r="I209" s="472"/>
      <c r="J209" s="472"/>
      <c r="K209" s="472"/>
      <c r="L209" s="472"/>
      <c r="M209" s="472"/>
      <c r="N209" s="472"/>
      <c r="O209" s="472"/>
      <c r="P209" s="472"/>
      <c r="Q209" s="472"/>
      <c r="R209" s="472"/>
      <c r="S209" s="472"/>
      <c r="T209" s="472"/>
      <c r="U209" s="472"/>
      <c r="V209" s="472"/>
      <c r="W209" s="472"/>
      <c r="X209" s="472"/>
      <c r="Y209" s="472"/>
      <c r="Z209" s="472"/>
      <c r="AA209" s="472"/>
    </row>
    <row r="210" outlineLevel="1">
      <c r="A210" s="481" t="str">
        <f>IFERROR(__xludf.DUMMYFUNCTION("""COMPUTED_VALUE"""),"INSCRIÇÃO")</f>
        <v>INSCRIÇÃO</v>
      </c>
      <c r="B210" s="482" t="str">
        <f>IFERROR(__xludf.DUMMYFUNCTION("""COMPUTED_VALUE"""),"CANDIDATOS")</f>
        <v>CANDIDATOS</v>
      </c>
      <c r="C210" s="481" t="str">
        <f>IFERROR(__xludf.DUMMYFUNCTION("""COMPUTED_VALUE"""),"NF")</f>
        <v>NF</v>
      </c>
      <c r="D210" s="483" t="str">
        <f>IFERROR(__xludf.DUMMYFUNCTION("""COMPUTED_VALUE"""),"CONVOCADO(A)")</f>
        <v>CONVOCADO(A)</v>
      </c>
      <c r="E210" s="483" t="str">
        <f>IFERROR(__xludf.DUMMYFUNCTION("""COMPUTED_VALUE"""),"HOMOLOGADO(A)")</f>
        <v>HOMOLOGADO(A)</v>
      </c>
      <c r="F210" s="483" t="str">
        <f>IFERROR(__xludf.DUMMYFUNCTION("""COMPUTED_VALUE"""),"GERÊNCIA")</f>
        <v>GERÊNCIA</v>
      </c>
      <c r="G210" s="472"/>
      <c r="H210" s="472"/>
      <c r="I210" s="472"/>
      <c r="J210" s="472"/>
      <c r="K210" s="472"/>
      <c r="L210" s="472"/>
      <c r="M210" s="472"/>
      <c r="N210" s="472"/>
      <c r="O210" s="472"/>
      <c r="P210" s="472"/>
      <c r="Q210" s="472"/>
      <c r="R210" s="472"/>
      <c r="S210" s="472"/>
      <c r="T210" s="472"/>
      <c r="U210" s="472"/>
      <c r="V210" s="472"/>
      <c r="W210" s="472"/>
      <c r="X210" s="472"/>
      <c r="Y210" s="472"/>
      <c r="Z210" s="472"/>
      <c r="AA210" s="472"/>
    </row>
    <row r="211" outlineLevel="1">
      <c r="A211" s="484">
        <f>IFERROR(__xludf.DUMMYFUNCTION("""COMPUTED_VALUE"""),1.31460091176E11)</f>
        <v>131460091176</v>
      </c>
      <c r="B211" s="485" t="str">
        <f>IFERROR(__xludf.DUMMYFUNCTION("""COMPUTED_VALUE"""),"MANUELLA PAULA COSTA DA NOBREGA LINS TRINDADE")</f>
        <v>MANUELLA PAULA COSTA DA NOBREGA LINS TRINDADE</v>
      </c>
      <c r="C211" s="486">
        <f>IFERROR(__xludf.DUMMYFUNCTION("""COMPUTED_VALUE"""),10.0)</f>
        <v>10</v>
      </c>
      <c r="D211" s="487" t="str">
        <f>IFERROR(__xludf.DUMMYFUNCTION("""COMPUTED_VALUE"""),"SIM")</f>
        <v>SIM</v>
      </c>
      <c r="E211" s="486" t="str">
        <f>IFERROR(__xludf.DUMMYFUNCTION("""COMPUTED_VALUE"""),"SIM")</f>
        <v>SIM</v>
      </c>
      <c r="F211" s="495" t="str">
        <f>IFERROR(__xludf.DUMMYFUNCTION("""COMPUTED_VALUE"""),"GEDUC")</f>
        <v>GEDUC</v>
      </c>
      <c r="G211" s="472"/>
      <c r="H211" s="472"/>
      <c r="I211" s="472"/>
      <c r="J211" s="472"/>
      <c r="K211" s="472"/>
      <c r="L211" s="472"/>
      <c r="M211" s="472"/>
      <c r="N211" s="472"/>
      <c r="O211" s="472"/>
      <c r="P211" s="472"/>
      <c r="Q211" s="472"/>
      <c r="R211" s="472"/>
      <c r="S211" s="472"/>
      <c r="T211" s="472"/>
      <c r="U211" s="472"/>
      <c r="V211" s="472"/>
      <c r="W211" s="472"/>
      <c r="X211" s="472"/>
      <c r="Y211" s="472"/>
      <c r="Z211" s="472"/>
      <c r="AA211" s="472"/>
    </row>
    <row r="212" outlineLevel="1">
      <c r="A212" s="484">
        <f>IFERROR(__xludf.DUMMYFUNCTION("""COMPUTED_VALUE"""),5.14606093063E11)</f>
        <v>514606093063</v>
      </c>
      <c r="B212" s="485" t="str">
        <f>IFERROR(__xludf.DUMMYFUNCTION("""COMPUTED_VALUE"""),"BRENDA DA SILVA BERNARDINO")</f>
        <v>BRENDA DA SILVA BERNARDINO</v>
      </c>
      <c r="C212" s="486">
        <f>IFERROR(__xludf.DUMMYFUNCTION("""COMPUTED_VALUE"""),10.0)</f>
        <v>10</v>
      </c>
      <c r="D212" s="487" t="str">
        <f>IFERROR(__xludf.DUMMYFUNCTION("""COMPUTED_VALUE"""),"SIM")</f>
        <v>SIM</v>
      </c>
      <c r="E212" s="486" t="str">
        <f>IFERROR(__xludf.DUMMYFUNCTION("""COMPUTED_VALUE"""),"SIM")</f>
        <v>SIM</v>
      </c>
      <c r="F212" s="495" t="str">
        <f>IFERROR(__xludf.DUMMYFUNCTION("""COMPUTED_VALUE"""),"GEDUC")</f>
        <v>GEDUC</v>
      </c>
      <c r="G212" s="472"/>
      <c r="H212" s="472"/>
      <c r="I212" s="472"/>
      <c r="J212" s="472"/>
      <c r="K212" s="472"/>
      <c r="L212" s="472"/>
      <c r="M212" s="472"/>
      <c r="N212" s="472"/>
      <c r="O212" s="472"/>
      <c r="P212" s="472"/>
      <c r="Q212" s="472"/>
      <c r="R212" s="472"/>
      <c r="S212" s="472"/>
      <c r="T212" s="472"/>
      <c r="U212" s="472"/>
      <c r="V212" s="472"/>
      <c r="W212" s="472"/>
      <c r="X212" s="472"/>
      <c r="Y212" s="472"/>
      <c r="Z212" s="472"/>
      <c r="AA212" s="472"/>
    </row>
    <row r="213" outlineLevel="1">
      <c r="A213" s="484">
        <f>IFERROR(__xludf.DUMMYFUNCTION("""COMPUTED_VALUE"""),9.78262092555E11)</f>
        <v>978262092555</v>
      </c>
      <c r="B213" s="485" t="str">
        <f>IFERROR(__xludf.DUMMYFUNCTION("""COMPUTED_VALUE"""),"ROSANGELA GASPAR CAVALCANTE")</f>
        <v>ROSANGELA GASPAR CAVALCANTE</v>
      </c>
      <c r="C213" s="486">
        <f>IFERROR(__xludf.DUMMYFUNCTION("""COMPUTED_VALUE"""),7.0)</f>
        <v>7</v>
      </c>
      <c r="D213" s="487" t="str">
        <f>IFERROR(__xludf.DUMMYFUNCTION("""COMPUTED_VALUE"""),"SIM")</f>
        <v>SIM</v>
      </c>
      <c r="E213" s="486" t="str">
        <f>IFERROR(__xludf.DUMMYFUNCTION("""COMPUTED_VALUE"""),"SIM")</f>
        <v>SIM</v>
      </c>
      <c r="F213" s="495" t="str">
        <f>IFERROR(__xludf.DUMMYFUNCTION("""COMPUTED_VALUE"""),"GEDUC")</f>
        <v>GEDUC</v>
      </c>
      <c r="G213" s="472"/>
      <c r="H213" s="472"/>
      <c r="I213" s="472"/>
      <c r="J213" s="472"/>
      <c r="K213" s="472"/>
      <c r="L213" s="472"/>
      <c r="M213" s="472"/>
      <c r="N213" s="472"/>
      <c r="O213" s="472"/>
      <c r="P213" s="472"/>
      <c r="Q213" s="472"/>
      <c r="R213" s="472"/>
      <c r="S213" s="472"/>
      <c r="T213" s="472"/>
      <c r="U213" s="472"/>
      <c r="V213" s="472"/>
      <c r="W213" s="472"/>
      <c r="X213" s="472"/>
      <c r="Y213" s="472"/>
      <c r="Z213" s="472"/>
      <c r="AA213" s="472"/>
    </row>
    <row r="214" outlineLevel="1">
      <c r="A214" s="484">
        <f>IFERROR(__xludf.DUMMYFUNCTION("""COMPUTED_VALUE"""),1.93147091276E11)</f>
        <v>193147091276</v>
      </c>
      <c r="B214" s="485" t="str">
        <f>IFERROR(__xludf.DUMMYFUNCTION("""COMPUTED_VALUE"""),"LÚCIO KILDARE E SILVA LIMA")</f>
        <v>LÚCIO KILDARE E SILVA LIMA</v>
      </c>
      <c r="C214" s="486">
        <f>IFERROR(__xludf.DUMMYFUNCTION("""COMPUTED_VALUE"""),7.0)</f>
        <v>7</v>
      </c>
      <c r="D214" s="487" t="str">
        <f>IFERROR(__xludf.DUMMYFUNCTION("""COMPUTED_VALUE"""),"SIM")</f>
        <v>SIM</v>
      </c>
      <c r="E214" s="486" t="str">
        <f>IFERROR(__xludf.DUMMYFUNCTION("""COMPUTED_VALUE"""),"SIM")</f>
        <v>SIM</v>
      </c>
      <c r="F214" s="495" t="str">
        <f>IFERROR(__xludf.DUMMYFUNCTION("""COMPUTED_VALUE"""),"GEDUC")</f>
        <v>GEDUC</v>
      </c>
      <c r="G214" s="472"/>
      <c r="H214" s="472"/>
      <c r="I214" s="472"/>
      <c r="J214" s="472"/>
      <c r="K214" s="472"/>
      <c r="L214" s="472"/>
      <c r="M214" s="472"/>
      <c r="N214" s="472"/>
      <c r="O214" s="472"/>
      <c r="P214" s="472"/>
      <c r="Q214" s="472"/>
      <c r="R214" s="472"/>
      <c r="S214" s="472"/>
      <c r="T214" s="472"/>
      <c r="U214" s="472"/>
      <c r="V214" s="472"/>
      <c r="W214" s="472"/>
      <c r="X214" s="472"/>
      <c r="Y214" s="472"/>
      <c r="Z214" s="472"/>
      <c r="AA214" s="472"/>
    </row>
    <row r="215">
      <c r="A215" s="478" t="str">
        <f>IFERROR(__xludf.DUMMYFUNCTION("""COMPUTED_VALUE"""),"XI - ESP - MATERNO-INFANTIL")</f>
        <v>XI - ESP - MATERNO-INFANTIL</v>
      </c>
      <c r="B215" s="479"/>
      <c r="C215" s="479"/>
      <c r="D215" s="479"/>
      <c r="E215" s="479"/>
      <c r="F215" s="480"/>
      <c r="G215" s="472"/>
      <c r="H215" s="472"/>
      <c r="I215" s="472"/>
      <c r="J215" s="472"/>
      <c r="K215" s="472"/>
      <c r="L215" s="472"/>
      <c r="M215" s="472"/>
      <c r="N215" s="472"/>
      <c r="O215" s="472"/>
      <c r="P215" s="472"/>
      <c r="Q215" s="472"/>
      <c r="R215" s="472"/>
      <c r="S215" s="472"/>
      <c r="T215" s="472"/>
      <c r="U215" s="472"/>
      <c r="V215" s="472"/>
      <c r="W215" s="472"/>
      <c r="X215" s="472"/>
      <c r="Y215" s="472"/>
      <c r="Z215" s="472"/>
      <c r="AA215" s="472"/>
    </row>
    <row r="216" outlineLevel="1">
      <c r="A216" s="481" t="str">
        <f>IFERROR(__xludf.DUMMYFUNCTION("""COMPUTED_VALUE"""),"INSCRIÇÃO")</f>
        <v>INSCRIÇÃO</v>
      </c>
      <c r="B216" s="482" t="str">
        <f>IFERROR(__xludf.DUMMYFUNCTION("""COMPUTED_VALUE"""),"CANDIDATOS")</f>
        <v>CANDIDATOS</v>
      </c>
      <c r="C216" s="481" t="str">
        <f>IFERROR(__xludf.DUMMYFUNCTION("""COMPUTED_VALUE"""),"NF")</f>
        <v>NF</v>
      </c>
      <c r="D216" s="483" t="str">
        <f>IFERROR(__xludf.DUMMYFUNCTION("""COMPUTED_VALUE"""),"CONVOCADO(A)")</f>
        <v>CONVOCADO(A)</v>
      </c>
      <c r="E216" s="483" t="str">
        <f>IFERROR(__xludf.DUMMYFUNCTION("""COMPUTED_VALUE"""),"HOMOLOGADO(A)")</f>
        <v>HOMOLOGADO(A)</v>
      </c>
      <c r="F216" s="483" t="str">
        <f>IFERROR(__xludf.DUMMYFUNCTION("""COMPUTED_VALUE"""),"GERÊNCIA")</f>
        <v>GERÊNCIA</v>
      </c>
      <c r="G216" s="472"/>
      <c r="H216" s="472"/>
      <c r="I216" s="472"/>
      <c r="J216" s="472"/>
      <c r="K216" s="472"/>
      <c r="L216" s="472"/>
      <c r="M216" s="472"/>
      <c r="N216" s="472"/>
      <c r="O216" s="472"/>
      <c r="P216" s="472"/>
      <c r="Q216" s="472"/>
      <c r="R216" s="472"/>
      <c r="S216" s="472"/>
      <c r="T216" s="472"/>
      <c r="U216" s="472"/>
      <c r="V216" s="472"/>
      <c r="W216" s="472"/>
      <c r="X216" s="472"/>
      <c r="Y216" s="472"/>
      <c r="Z216" s="472"/>
      <c r="AA216" s="472"/>
    </row>
    <row r="217" outlineLevel="1">
      <c r="A217" s="494">
        <f>IFERROR(__xludf.DUMMYFUNCTION("""COMPUTED_VALUE"""),5.7640089551E10)</f>
        <v>57640089551</v>
      </c>
      <c r="B217" s="485" t="str">
        <f>IFERROR(__xludf.DUMMYFUNCTION("""COMPUTED_VALUE"""),"CICERA BRENA CALIXTO SOUSA BORGES")</f>
        <v>CICERA BRENA CALIXTO SOUSA BORGES</v>
      </c>
      <c r="C217" s="486">
        <f>IFERROR(__xludf.DUMMYFUNCTION("""COMPUTED_VALUE"""),10.0)</f>
        <v>10</v>
      </c>
      <c r="D217" s="487"/>
      <c r="E217" s="486"/>
      <c r="F217" s="495"/>
      <c r="G217" s="472"/>
      <c r="H217" s="472"/>
      <c r="I217" s="472"/>
      <c r="J217" s="472"/>
      <c r="K217" s="472"/>
      <c r="L217" s="472"/>
      <c r="M217" s="472"/>
      <c r="N217" s="472"/>
      <c r="O217" s="472"/>
      <c r="P217" s="472"/>
      <c r="Q217" s="472"/>
      <c r="R217" s="472"/>
      <c r="S217" s="472"/>
      <c r="T217" s="472"/>
      <c r="U217" s="472"/>
      <c r="V217" s="472"/>
      <c r="W217" s="472"/>
      <c r="X217" s="472"/>
      <c r="Y217" s="472"/>
      <c r="Z217" s="472"/>
      <c r="AA217" s="472"/>
    </row>
    <row r="218" outlineLevel="1">
      <c r="A218" s="484">
        <f>IFERROR(__xludf.DUMMYFUNCTION("""COMPUTED_VALUE"""),4.89993089628E11)</f>
        <v>489993089628</v>
      </c>
      <c r="B218" s="485" t="str">
        <f>IFERROR(__xludf.DUMMYFUNCTION("""COMPUTED_VALUE"""),"DAVID EDERSON MOREIRA DO NASCIMENTO")</f>
        <v>DAVID EDERSON MOREIRA DO NASCIMENTO</v>
      </c>
      <c r="C218" s="486">
        <f>IFERROR(__xludf.DUMMYFUNCTION("""COMPUTED_VALUE"""),10.0)</f>
        <v>10</v>
      </c>
      <c r="D218" s="487"/>
      <c r="E218" s="486"/>
      <c r="F218" s="495"/>
      <c r="G218" s="472"/>
      <c r="H218" s="472"/>
      <c r="I218" s="472"/>
      <c r="J218" s="472"/>
      <c r="K218" s="472"/>
      <c r="L218" s="472"/>
      <c r="M218" s="472"/>
      <c r="N218" s="472"/>
      <c r="O218" s="472"/>
      <c r="P218" s="472"/>
      <c r="Q218" s="472"/>
      <c r="R218" s="472"/>
      <c r="S218" s="472"/>
      <c r="T218" s="472"/>
      <c r="U218" s="472"/>
      <c r="V218" s="472"/>
      <c r="W218" s="472"/>
      <c r="X218" s="472"/>
      <c r="Y218" s="472"/>
      <c r="Z218" s="472"/>
      <c r="AA218" s="472"/>
    </row>
    <row r="219" outlineLevel="1">
      <c r="A219" s="484">
        <f>IFERROR(__xludf.DUMMYFUNCTION("""COMPUTED_VALUE"""),8.42950090568E11)</f>
        <v>842950090568</v>
      </c>
      <c r="B219" s="485" t="str">
        <f>IFERROR(__xludf.DUMMYFUNCTION("""COMPUTED_VALUE"""),"ANA CAROLYNNE FERREIRA LOPES")</f>
        <v>ANA CAROLYNNE FERREIRA LOPES</v>
      </c>
      <c r="C219" s="486">
        <f>IFERROR(__xludf.DUMMYFUNCTION("""COMPUTED_VALUE"""),9.0)</f>
        <v>9</v>
      </c>
      <c r="D219" s="487"/>
      <c r="E219" s="486"/>
      <c r="F219" s="495"/>
      <c r="G219" s="472"/>
      <c r="H219" s="472"/>
      <c r="I219" s="472"/>
      <c r="J219" s="472"/>
      <c r="K219" s="472"/>
      <c r="L219" s="472"/>
      <c r="M219" s="472"/>
      <c r="N219" s="472"/>
      <c r="O219" s="472"/>
      <c r="P219" s="472"/>
      <c r="Q219" s="472"/>
      <c r="R219" s="472"/>
      <c r="S219" s="472"/>
      <c r="T219" s="472"/>
      <c r="U219" s="472"/>
      <c r="V219" s="472"/>
      <c r="W219" s="472"/>
      <c r="X219" s="472"/>
      <c r="Y219" s="472"/>
      <c r="Z219" s="472"/>
      <c r="AA219" s="472"/>
    </row>
    <row r="220" outlineLevel="1">
      <c r="A220" s="484">
        <f>IFERROR(__xludf.DUMMYFUNCTION("""COMPUTED_VALUE"""),7.71630089499E11)</f>
        <v>771630089499</v>
      </c>
      <c r="B220" s="485" t="str">
        <f>IFERROR(__xludf.DUMMYFUNCTION("""COMPUTED_VALUE"""),"ALINE ARAÚJO ALVES")</f>
        <v>ALINE ARAÚJO ALVES</v>
      </c>
      <c r="C220" s="486">
        <f>IFERROR(__xludf.DUMMYFUNCTION("""COMPUTED_VALUE"""),8.0)</f>
        <v>8</v>
      </c>
      <c r="D220" s="487"/>
      <c r="E220" s="486"/>
      <c r="F220" s="495"/>
      <c r="G220" s="472"/>
      <c r="H220" s="472"/>
      <c r="I220" s="472"/>
      <c r="J220" s="472"/>
      <c r="K220" s="472"/>
      <c r="L220" s="472"/>
      <c r="M220" s="472"/>
      <c r="N220" s="472"/>
      <c r="O220" s="472"/>
      <c r="P220" s="472"/>
      <c r="Q220" s="472"/>
      <c r="R220" s="472"/>
      <c r="S220" s="472"/>
      <c r="T220" s="472"/>
      <c r="U220" s="472"/>
      <c r="V220" s="472"/>
      <c r="W220" s="472"/>
      <c r="X220" s="472"/>
      <c r="Y220" s="472"/>
      <c r="Z220" s="472"/>
      <c r="AA220" s="472"/>
    </row>
    <row r="221" outlineLevel="1">
      <c r="A221" s="484">
        <f>IFERROR(__xludf.DUMMYFUNCTION("""COMPUTED_VALUE"""),4.62950092774E11)</f>
        <v>462950092774</v>
      </c>
      <c r="B221" s="485" t="str">
        <f>IFERROR(__xludf.DUMMYFUNCTION("""COMPUTED_VALUE"""),"DAIANA RODRIGUES CRUZ LIMA VITAL")</f>
        <v>DAIANA RODRIGUES CRUZ LIMA VITAL</v>
      </c>
      <c r="C221" s="486">
        <f>IFERROR(__xludf.DUMMYFUNCTION("""COMPUTED_VALUE"""),8.0)</f>
        <v>8</v>
      </c>
      <c r="D221" s="487"/>
      <c r="E221" s="486"/>
      <c r="F221" s="495"/>
      <c r="G221" s="472"/>
      <c r="H221" s="472"/>
      <c r="I221" s="472"/>
      <c r="J221" s="472"/>
      <c r="K221" s="472"/>
      <c r="L221" s="472"/>
      <c r="M221" s="472"/>
      <c r="N221" s="472"/>
      <c r="O221" s="472"/>
      <c r="P221" s="472"/>
      <c r="Q221" s="472"/>
      <c r="R221" s="472"/>
      <c r="S221" s="472"/>
      <c r="T221" s="472"/>
      <c r="U221" s="472"/>
      <c r="V221" s="472"/>
      <c r="W221" s="472"/>
      <c r="X221" s="472"/>
      <c r="Y221" s="472"/>
      <c r="Z221" s="472"/>
      <c r="AA221" s="472"/>
    </row>
    <row r="222" outlineLevel="1">
      <c r="A222" s="484">
        <f>IFERROR(__xludf.DUMMYFUNCTION("""COMPUTED_VALUE"""),6.92360091878E11)</f>
        <v>692360091878</v>
      </c>
      <c r="B222" s="485" t="str">
        <f>IFERROR(__xludf.DUMMYFUNCTION("""COMPUTED_VALUE"""),"REBECA FURTADO FERNANDES")</f>
        <v>REBECA FURTADO FERNANDES</v>
      </c>
      <c r="C222" s="486">
        <f>IFERROR(__xludf.DUMMYFUNCTION("""COMPUTED_VALUE"""),8.0)</f>
        <v>8</v>
      </c>
      <c r="D222" s="487"/>
      <c r="E222" s="486"/>
      <c r="F222" s="495"/>
      <c r="G222" s="472"/>
      <c r="H222" s="472"/>
      <c r="I222" s="472"/>
      <c r="J222" s="472"/>
      <c r="K222" s="472"/>
      <c r="L222" s="472"/>
      <c r="M222" s="472"/>
      <c r="N222" s="472"/>
      <c r="O222" s="472"/>
      <c r="P222" s="472"/>
      <c r="Q222" s="472"/>
      <c r="R222" s="472"/>
      <c r="S222" s="472"/>
      <c r="T222" s="472"/>
      <c r="U222" s="472"/>
      <c r="V222" s="472"/>
      <c r="W222" s="472"/>
      <c r="X222" s="472"/>
      <c r="Y222" s="472"/>
      <c r="Z222" s="472"/>
      <c r="AA222" s="472"/>
    </row>
    <row r="223">
      <c r="A223" s="478" t="str">
        <f>IFERROR(__xludf.DUMMYFUNCTION("""COMPUTED_VALUE"""),"XII - ESP - CARDIOVASCULAR")</f>
        <v>XII - ESP - CARDIOVASCULAR</v>
      </c>
      <c r="B223" s="479"/>
      <c r="C223" s="479"/>
      <c r="D223" s="479"/>
      <c r="E223" s="479"/>
      <c r="F223" s="480"/>
      <c r="G223" s="472"/>
      <c r="H223" s="472"/>
      <c r="I223" s="472"/>
      <c r="J223" s="472"/>
      <c r="K223" s="472"/>
      <c r="L223" s="472"/>
      <c r="M223" s="472"/>
      <c r="N223" s="472"/>
      <c r="O223" s="472"/>
      <c r="P223" s="472"/>
      <c r="Q223" s="472"/>
      <c r="R223" s="472"/>
      <c r="S223" s="472"/>
      <c r="T223" s="472"/>
      <c r="U223" s="472"/>
      <c r="V223" s="472"/>
      <c r="W223" s="472"/>
      <c r="X223" s="472"/>
      <c r="Y223" s="472"/>
      <c r="Z223" s="472"/>
      <c r="AA223" s="472"/>
    </row>
    <row r="224" outlineLevel="1">
      <c r="A224" s="481" t="str">
        <f>IFERROR(__xludf.DUMMYFUNCTION("""COMPUTED_VALUE"""),"INSCRIÇÃO")</f>
        <v>INSCRIÇÃO</v>
      </c>
      <c r="B224" s="482" t="str">
        <f>IFERROR(__xludf.DUMMYFUNCTION("""COMPUTED_VALUE"""),"CANDIDATOS")</f>
        <v>CANDIDATOS</v>
      </c>
      <c r="C224" s="481" t="str">
        <f>IFERROR(__xludf.DUMMYFUNCTION("""COMPUTED_VALUE"""),"NF")</f>
        <v>NF</v>
      </c>
      <c r="D224" s="483" t="str">
        <f>IFERROR(__xludf.DUMMYFUNCTION("""COMPUTED_VALUE"""),"CONVOCADO(A)")</f>
        <v>CONVOCADO(A)</v>
      </c>
      <c r="E224" s="483" t="str">
        <f>IFERROR(__xludf.DUMMYFUNCTION("""COMPUTED_VALUE"""),"HOMOLOGADO(A)")</f>
        <v>HOMOLOGADO(A)</v>
      </c>
      <c r="F224" s="483" t="str">
        <f>IFERROR(__xludf.DUMMYFUNCTION("""COMPUTED_VALUE"""),"GERÊNCIA")</f>
        <v>GERÊNCIA</v>
      </c>
      <c r="G224" s="472"/>
      <c r="H224" s="472"/>
      <c r="I224" s="472"/>
      <c r="J224" s="472"/>
      <c r="K224" s="472"/>
      <c r="L224" s="472"/>
      <c r="M224" s="472"/>
      <c r="N224" s="472"/>
      <c r="O224" s="472"/>
      <c r="P224" s="472"/>
      <c r="Q224" s="472"/>
      <c r="R224" s="472"/>
      <c r="S224" s="472"/>
      <c r="T224" s="472"/>
      <c r="U224" s="472"/>
      <c r="V224" s="472"/>
      <c r="W224" s="472"/>
      <c r="X224" s="472"/>
      <c r="Y224" s="472"/>
      <c r="Z224" s="472"/>
      <c r="AA224" s="472"/>
    </row>
    <row r="225" outlineLevel="1">
      <c r="A225" s="494">
        <f>IFERROR(__xludf.DUMMYFUNCTION("""COMPUTED_VALUE"""),7.0750090114E10)</f>
        <v>70750090114</v>
      </c>
      <c r="B225" s="485" t="str">
        <f>IFERROR(__xludf.DUMMYFUNCTION("""COMPUTED_VALUE"""),"CARLOS HENRIQUE DO NASCIMENTO MORAIS")</f>
        <v>CARLOS HENRIQUE DO NASCIMENTO MORAIS</v>
      </c>
      <c r="C225" s="486">
        <f>IFERROR(__xludf.DUMMYFUNCTION("""COMPUTED_VALUE"""),10.0)</f>
        <v>10</v>
      </c>
      <c r="D225" s="487"/>
      <c r="E225" s="486"/>
      <c r="F225" s="495"/>
      <c r="G225" s="472"/>
      <c r="H225" s="472"/>
      <c r="I225" s="472"/>
      <c r="J225" s="472"/>
      <c r="K225" s="472"/>
      <c r="L225" s="472"/>
      <c r="M225" s="472"/>
      <c r="N225" s="472"/>
      <c r="O225" s="472"/>
      <c r="P225" s="472"/>
      <c r="Q225" s="472"/>
      <c r="R225" s="472"/>
      <c r="S225" s="472"/>
      <c r="T225" s="472"/>
      <c r="U225" s="472"/>
      <c r="V225" s="472"/>
      <c r="W225" s="472"/>
      <c r="X225" s="472"/>
      <c r="Y225" s="472"/>
      <c r="Z225" s="472"/>
      <c r="AA225" s="472"/>
    </row>
    <row r="226" outlineLevel="1">
      <c r="A226" s="484">
        <f>IFERROR(__xludf.DUMMYFUNCTION("""COMPUTED_VALUE"""),9.06656088996E11)</f>
        <v>906656088996</v>
      </c>
      <c r="B226" s="485" t="str">
        <f>IFERROR(__xludf.DUMMYFUNCTION("""COMPUTED_VALUE"""),"LUCIANA LUCENA LIMA")</f>
        <v>LUCIANA LUCENA LIMA</v>
      </c>
      <c r="C226" s="486">
        <f>IFERROR(__xludf.DUMMYFUNCTION("""COMPUTED_VALUE"""),6.5)</f>
        <v>6.5</v>
      </c>
      <c r="D226" s="487"/>
      <c r="E226" s="486"/>
      <c r="F226" s="495"/>
      <c r="G226" s="472"/>
      <c r="H226" s="472"/>
      <c r="I226" s="472"/>
      <c r="J226" s="472"/>
      <c r="K226" s="472"/>
      <c r="L226" s="472"/>
      <c r="M226" s="472"/>
      <c r="N226" s="472"/>
      <c r="O226" s="472"/>
      <c r="P226" s="472"/>
      <c r="Q226" s="472"/>
      <c r="R226" s="472"/>
      <c r="S226" s="472"/>
      <c r="T226" s="472"/>
      <c r="U226" s="472"/>
      <c r="V226" s="472"/>
      <c r="W226" s="472"/>
      <c r="X226" s="472"/>
      <c r="Y226" s="472"/>
      <c r="Z226" s="472"/>
      <c r="AA226" s="472"/>
    </row>
    <row r="227" outlineLevel="1">
      <c r="A227" s="484">
        <f>IFERROR(__xludf.DUMMYFUNCTION("""COMPUTED_VALUE"""),7.20360092022E11)</f>
        <v>720360092022</v>
      </c>
      <c r="B227" s="485" t="str">
        <f>IFERROR(__xludf.DUMMYFUNCTION("""COMPUTED_VALUE"""),"MARCONI PEREIRA BRANDÃO")</f>
        <v>MARCONI PEREIRA BRANDÃO</v>
      </c>
      <c r="C227" s="486">
        <f>IFERROR(__xludf.DUMMYFUNCTION("""COMPUTED_VALUE"""),6.5)</f>
        <v>6.5</v>
      </c>
      <c r="D227" s="487"/>
      <c r="E227" s="486"/>
      <c r="F227" s="495"/>
      <c r="G227" s="472"/>
      <c r="H227" s="472"/>
      <c r="I227" s="472"/>
      <c r="J227" s="472"/>
      <c r="K227" s="472"/>
      <c r="L227" s="472"/>
      <c r="M227" s="472"/>
      <c r="N227" s="472"/>
      <c r="O227" s="472"/>
      <c r="P227" s="472"/>
      <c r="Q227" s="472"/>
      <c r="R227" s="472"/>
      <c r="S227" s="472"/>
      <c r="T227" s="472"/>
      <c r="U227" s="472"/>
      <c r="V227" s="472"/>
      <c r="W227" s="472"/>
      <c r="X227" s="472"/>
      <c r="Y227" s="472"/>
      <c r="Z227" s="472"/>
      <c r="AA227" s="472"/>
    </row>
    <row r="228" outlineLevel="1">
      <c r="A228" s="494">
        <f>IFERROR(__xludf.DUMMYFUNCTION("""COMPUTED_VALUE"""),9.6620092785E10)</f>
        <v>96620092785</v>
      </c>
      <c r="B228" s="485" t="str">
        <f>IFERROR(__xludf.DUMMYFUNCTION("""COMPUTED_VALUE"""),"SÁVYA ALBUQUERQUE BARROS")</f>
        <v>SÁVYA ALBUQUERQUE BARROS</v>
      </c>
      <c r="C228" s="486">
        <f>IFERROR(__xludf.DUMMYFUNCTION("""COMPUTED_VALUE"""),6.0)</f>
        <v>6</v>
      </c>
      <c r="D228" s="487"/>
      <c r="E228" s="486"/>
      <c r="F228" s="495"/>
      <c r="G228" s="472"/>
      <c r="H228" s="472"/>
      <c r="I228" s="472"/>
      <c r="J228" s="472"/>
      <c r="K228" s="472"/>
      <c r="L228" s="472"/>
      <c r="M228" s="472"/>
      <c r="N228" s="472"/>
      <c r="O228" s="472"/>
      <c r="P228" s="472"/>
      <c r="Q228" s="472"/>
      <c r="R228" s="472"/>
      <c r="S228" s="472"/>
      <c r="T228" s="472"/>
      <c r="U228" s="472"/>
      <c r="V228" s="472"/>
      <c r="W228" s="472"/>
      <c r="X228" s="472"/>
      <c r="Y228" s="472"/>
      <c r="Z228" s="472"/>
      <c r="AA228" s="472"/>
    </row>
    <row r="229" outlineLevel="1">
      <c r="A229" s="484">
        <f>IFERROR(__xludf.DUMMYFUNCTION("""COMPUTED_VALUE"""),5.43240093083E11)</f>
        <v>543240093083</v>
      </c>
      <c r="B229" s="485" t="str">
        <f>IFERROR(__xludf.DUMMYFUNCTION("""COMPUTED_VALUE"""),"JOAO PAULO MOREIRA DO PRADO")</f>
        <v>JOAO PAULO MOREIRA DO PRADO</v>
      </c>
      <c r="C229" s="486">
        <f>IFERROR(__xludf.DUMMYFUNCTION("""COMPUTED_VALUE"""),6.0)</f>
        <v>6</v>
      </c>
      <c r="D229" s="487"/>
      <c r="E229" s="486"/>
      <c r="F229" s="495"/>
      <c r="G229" s="472"/>
      <c r="H229" s="472"/>
      <c r="I229" s="472"/>
      <c r="J229" s="472"/>
      <c r="K229" s="472"/>
      <c r="L229" s="472"/>
      <c r="M229" s="472"/>
      <c r="N229" s="472"/>
      <c r="O229" s="472"/>
      <c r="P229" s="472"/>
      <c r="Q229" s="472"/>
      <c r="R229" s="472"/>
      <c r="S229" s="472"/>
      <c r="T229" s="472"/>
      <c r="U229" s="472"/>
      <c r="V229" s="472"/>
      <c r="W229" s="472"/>
      <c r="X229" s="472"/>
      <c r="Y229" s="472"/>
      <c r="Z229" s="472"/>
      <c r="AA229" s="472"/>
    </row>
    <row r="230">
      <c r="A230" s="478" t="str">
        <f>IFERROR(__xludf.DUMMYFUNCTION("""COMPUTED_VALUE"""),"XIII - ESP - DIABETES")</f>
        <v>XIII - ESP - DIABETES</v>
      </c>
      <c r="B230" s="479"/>
      <c r="C230" s="479"/>
      <c r="D230" s="479"/>
      <c r="E230" s="479"/>
      <c r="F230" s="480"/>
      <c r="G230" s="472"/>
      <c r="H230" s="472"/>
      <c r="I230" s="472"/>
      <c r="J230" s="472"/>
      <c r="K230" s="472"/>
      <c r="L230" s="472"/>
      <c r="M230" s="472"/>
      <c r="N230" s="472"/>
      <c r="O230" s="472"/>
      <c r="P230" s="472"/>
      <c r="Q230" s="472"/>
      <c r="R230" s="472"/>
      <c r="S230" s="472"/>
      <c r="T230" s="472"/>
      <c r="U230" s="472"/>
      <c r="V230" s="472"/>
      <c r="W230" s="472"/>
      <c r="X230" s="472"/>
      <c r="Y230" s="472"/>
      <c r="Z230" s="472"/>
      <c r="AA230" s="472"/>
    </row>
    <row r="231" outlineLevel="1">
      <c r="A231" s="481" t="str">
        <f>IFERROR(__xludf.DUMMYFUNCTION("""COMPUTED_VALUE"""),"INSCRIÇÃO")</f>
        <v>INSCRIÇÃO</v>
      </c>
      <c r="B231" s="482" t="str">
        <f>IFERROR(__xludf.DUMMYFUNCTION("""COMPUTED_VALUE"""),"CANDIDATOS")</f>
        <v>CANDIDATOS</v>
      </c>
      <c r="C231" s="481" t="str">
        <f>IFERROR(__xludf.DUMMYFUNCTION("""COMPUTED_VALUE"""),"NF")</f>
        <v>NF</v>
      </c>
      <c r="D231" s="483" t="str">
        <f>IFERROR(__xludf.DUMMYFUNCTION("""COMPUTED_VALUE"""),"CONVOCADO(A)")</f>
        <v>CONVOCADO(A)</v>
      </c>
      <c r="E231" s="483" t="str">
        <f>IFERROR(__xludf.DUMMYFUNCTION("""COMPUTED_VALUE"""),"HOMOLOGADO(A)")</f>
        <v>HOMOLOGADO(A)</v>
      </c>
      <c r="F231" s="483" t="str">
        <f>IFERROR(__xludf.DUMMYFUNCTION("""COMPUTED_VALUE"""),"GERÊNCIA")</f>
        <v>GERÊNCIA</v>
      </c>
      <c r="G231" s="472"/>
      <c r="H231" s="472"/>
      <c r="I231" s="472"/>
      <c r="J231" s="472"/>
      <c r="K231" s="472"/>
      <c r="L231" s="472"/>
      <c r="M231" s="472"/>
      <c r="N231" s="472"/>
      <c r="O231" s="472"/>
      <c r="P231" s="472"/>
      <c r="Q231" s="472"/>
      <c r="R231" s="472"/>
      <c r="S231" s="472"/>
      <c r="T231" s="472"/>
      <c r="U231" s="472"/>
      <c r="V231" s="472"/>
      <c r="W231" s="472"/>
      <c r="X231" s="472"/>
      <c r="Y231" s="472"/>
      <c r="Z231" s="472"/>
      <c r="AA231" s="472"/>
    </row>
    <row r="232" outlineLevel="1">
      <c r="A232" s="484">
        <f>IFERROR(__xludf.DUMMYFUNCTION("""COMPUTED_VALUE"""),4.54228092526E11)</f>
        <v>454228092526</v>
      </c>
      <c r="B232" s="485" t="str">
        <f>IFERROR(__xludf.DUMMYFUNCTION("""COMPUTED_VALUE"""),"PETRÚCYA FRAZÃO LIRA")</f>
        <v>PETRÚCYA FRAZÃO LIRA</v>
      </c>
      <c r="C232" s="486">
        <f>IFERROR(__xludf.DUMMYFUNCTION("""COMPUTED_VALUE"""),9.0)</f>
        <v>9</v>
      </c>
      <c r="D232" s="487"/>
      <c r="E232" s="486"/>
      <c r="F232" s="495"/>
      <c r="G232" s="472"/>
      <c r="H232" s="472"/>
      <c r="I232" s="472"/>
      <c r="J232" s="472"/>
      <c r="K232" s="472"/>
      <c r="L232" s="472"/>
      <c r="M232" s="472"/>
      <c r="N232" s="472"/>
      <c r="O232" s="472"/>
      <c r="P232" s="472"/>
      <c r="Q232" s="472"/>
      <c r="R232" s="472"/>
      <c r="S232" s="472"/>
      <c r="T232" s="472"/>
      <c r="U232" s="472"/>
      <c r="V232" s="472"/>
      <c r="W232" s="472"/>
      <c r="X232" s="472"/>
      <c r="Y232" s="472"/>
      <c r="Z232" s="472"/>
      <c r="AA232" s="472"/>
    </row>
    <row r="233" outlineLevel="1">
      <c r="A233" s="484">
        <f>IFERROR(__xludf.DUMMYFUNCTION("""COMPUTED_VALUE"""),5.43240093084E11)</f>
        <v>543240093084</v>
      </c>
      <c r="B233" s="485" t="str">
        <f>IFERROR(__xludf.DUMMYFUNCTION("""COMPUTED_VALUE"""),"JOAO PAULO MOREIRA DO PRADO")</f>
        <v>JOAO PAULO MOREIRA DO PRADO</v>
      </c>
      <c r="C233" s="486">
        <f>IFERROR(__xludf.DUMMYFUNCTION("""COMPUTED_VALUE"""),8.0)</f>
        <v>8</v>
      </c>
      <c r="D233" s="487"/>
      <c r="E233" s="486"/>
      <c r="F233" s="495"/>
      <c r="G233" s="472"/>
      <c r="H233" s="472"/>
      <c r="I233" s="472"/>
      <c r="J233" s="472"/>
      <c r="K233" s="472"/>
      <c r="L233" s="472"/>
      <c r="M233" s="472"/>
      <c r="N233" s="472"/>
      <c r="O233" s="472"/>
      <c r="P233" s="472"/>
      <c r="Q233" s="472"/>
      <c r="R233" s="472"/>
      <c r="S233" s="472"/>
      <c r="T233" s="472"/>
      <c r="U233" s="472"/>
      <c r="V233" s="472"/>
      <c r="W233" s="472"/>
      <c r="X233" s="472"/>
      <c r="Y233" s="472"/>
      <c r="Z233" s="472"/>
      <c r="AA233" s="472"/>
    </row>
    <row r="234" outlineLevel="1">
      <c r="A234" s="484">
        <f>IFERROR(__xludf.DUMMYFUNCTION("""COMPUTED_VALUE"""),5.765400897E11)</f>
        <v>576540089700</v>
      </c>
      <c r="B234" s="485" t="str">
        <f>IFERROR(__xludf.DUMMYFUNCTION("""COMPUTED_VALUE"""),"RODOLFO DOUGLAS FERNANDES SOUSA")</f>
        <v>RODOLFO DOUGLAS FERNANDES SOUSA</v>
      </c>
      <c r="C234" s="486">
        <f>IFERROR(__xludf.DUMMYFUNCTION("""COMPUTED_VALUE"""),7.5)</f>
        <v>7.5</v>
      </c>
      <c r="D234" s="487"/>
      <c r="E234" s="486"/>
      <c r="F234" s="495"/>
      <c r="G234" s="472"/>
      <c r="H234" s="472"/>
      <c r="I234" s="472"/>
      <c r="J234" s="472"/>
      <c r="K234" s="472"/>
      <c r="L234" s="472"/>
      <c r="M234" s="472"/>
      <c r="N234" s="472"/>
      <c r="O234" s="472"/>
      <c r="P234" s="472"/>
      <c r="Q234" s="472"/>
      <c r="R234" s="472"/>
      <c r="S234" s="472"/>
      <c r="T234" s="472"/>
      <c r="U234" s="472"/>
      <c r="V234" s="472"/>
      <c r="W234" s="472"/>
      <c r="X234" s="472"/>
      <c r="Y234" s="472"/>
      <c r="Z234" s="472"/>
      <c r="AA234" s="472"/>
    </row>
    <row r="235" outlineLevel="1">
      <c r="A235" s="484">
        <f>IFERROR(__xludf.DUMMYFUNCTION("""COMPUTED_VALUE"""),7.02740088686E11)</f>
        <v>702740088686</v>
      </c>
      <c r="B235" s="485" t="str">
        <f>IFERROR(__xludf.DUMMYFUNCTION("""COMPUTED_VALUE"""),"SAMARA ASSUNÇÃO LIMA")</f>
        <v>SAMARA ASSUNÇÃO LIMA</v>
      </c>
      <c r="C235" s="486">
        <f>IFERROR(__xludf.DUMMYFUNCTION("""COMPUTED_VALUE"""),7.0)</f>
        <v>7</v>
      </c>
      <c r="D235" s="487"/>
      <c r="E235" s="486"/>
      <c r="F235" s="495"/>
      <c r="G235" s="472"/>
      <c r="H235" s="472"/>
      <c r="I235" s="472"/>
      <c r="J235" s="472"/>
      <c r="K235" s="472"/>
      <c r="L235" s="472"/>
      <c r="M235" s="472"/>
      <c r="N235" s="472"/>
      <c r="O235" s="472"/>
      <c r="P235" s="472"/>
      <c r="Q235" s="472"/>
      <c r="R235" s="472"/>
      <c r="S235" s="472"/>
      <c r="T235" s="472"/>
      <c r="U235" s="472"/>
      <c r="V235" s="472"/>
      <c r="W235" s="472"/>
      <c r="X235" s="472"/>
      <c r="Y235" s="472"/>
      <c r="Z235" s="472"/>
      <c r="AA235" s="472"/>
    </row>
    <row r="236" outlineLevel="1">
      <c r="A236" s="494">
        <f>IFERROR(__xludf.DUMMYFUNCTION("""COMPUTED_VALUE"""),9.6620092788E10)</f>
        <v>96620092788</v>
      </c>
      <c r="B236" s="485" t="str">
        <f>IFERROR(__xludf.DUMMYFUNCTION("""COMPUTED_VALUE"""),"SÁVYA ALBUQUERQUE BARROS")</f>
        <v>SÁVYA ALBUQUERQUE BARROS</v>
      </c>
      <c r="C236" s="486">
        <f>IFERROR(__xludf.DUMMYFUNCTION("""COMPUTED_VALUE"""),6.5)</f>
        <v>6.5</v>
      </c>
      <c r="D236" s="487"/>
      <c r="E236" s="486"/>
      <c r="F236" s="495"/>
      <c r="G236" s="472"/>
      <c r="H236" s="472"/>
      <c r="I236" s="472"/>
      <c r="J236" s="472"/>
      <c r="K236" s="472"/>
      <c r="L236" s="472"/>
      <c r="M236" s="472"/>
      <c r="N236" s="472"/>
      <c r="O236" s="472"/>
      <c r="P236" s="472"/>
      <c r="Q236" s="472"/>
      <c r="R236" s="472"/>
      <c r="S236" s="472"/>
      <c r="T236" s="472"/>
      <c r="U236" s="472"/>
      <c r="V236" s="472"/>
      <c r="W236" s="472"/>
      <c r="X236" s="472"/>
      <c r="Y236" s="472"/>
      <c r="Z236" s="472"/>
      <c r="AA236" s="472"/>
    </row>
    <row r="237" outlineLevel="1">
      <c r="A237" s="484">
        <f>IFERROR(__xludf.DUMMYFUNCTION("""COMPUTED_VALUE"""),7.62830093427E11)</f>
        <v>762830093427</v>
      </c>
      <c r="B237" s="485" t="str">
        <f>IFERROR(__xludf.DUMMYFUNCTION("""COMPUTED_VALUE"""),"RUTIELLY RODRIGUES DE LIMA ALMEIDA")</f>
        <v>RUTIELLY RODRIGUES DE LIMA ALMEIDA</v>
      </c>
      <c r="C237" s="486">
        <f>IFERROR(__xludf.DUMMYFUNCTION("""COMPUTED_VALUE"""),6.5)</f>
        <v>6.5</v>
      </c>
      <c r="D237" s="487"/>
      <c r="E237" s="486"/>
      <c r="F237" s="495"/>
      <c r="G237" s="472"/>
      <c r="H237" s="472"/>
      <c r="I237" s="472"/>
      <c r="J237" s="472"/>
      <c r="K237" s="472"/>
      <c r="L237" s="472"/>
      <c r="M237" s="472"/>
      <c r="N237" s="472"/>
      <c r="O237" s="472"/>
      <c r="P237" s="472"/>
      <c r="Q237" s="472"/>
      <c r="R237" s="472"/>
      <c r="S237" s="472"/>
      <c r="T237" s="472"/>
      <c r="U237" s="472"/>
      <c r="V237" s="472"/>
      <c r="W237" s="472"/>
      <c r="X237" s="472"/>
      <c r="Y237" s="472"/>
      <c r="Z237" s="472"/>
      <c r="AA237" s="472"/>
    </row>
    <row r="238" outlineLevel="1">
      <c r="A238" s="484">
        <f>IFERROR(__xludf.DUMMYFUNCTION("""COMPUTED_VALUE"""),7.32750090008E11)</f>
        <v>732750090008</v>
      </c>
      <c r="B238" s="485" t="str">
        <f>IFERROR(__xludf.DUMMYFUNCTION("""COMPUTED_VALUE"""),"RENATA JATAÍ SILVA")</f>
        <v>RENATA JATAÍ SILVA</v>
      </c>
      <c r="C238" s="486">
        <f>IFERROR(__xludf.DUMMYFUNCTION("""COMPUTED_VALUE"""),6.0)</f>
        <v>6</v>
      </c>
      <c r="D238" s="487"/>
      <c r="E238" s="486"/>
      <c r="F238" s="495"/>
      <c r="G238" s="472"/>
      <c r="H238" s="472"/>
      <c r="I238" s="472"/>
      <c r="J238" s="472"/>
      <c r="K238" s="472"/>
      <c r="L238" s="472"/>
      <c r="M238" s="472"/>
      <c r="N238" s="472"/>
      <c r="O238" s="472"/>
      <c r="P238" s="472"/>
      <c r="Q238" s="472"/>
      <c r="R238" s="472"/>
      <c r="S238" s="472"/>
      <c r="T238" s="472"/>
      <c r="U238" s="472"/>
      <c r="V238" s="472"/>
      <c r="W238" s="472"/>
      <c r="X238" s="472"/>
      <c r="Y238" s="472"/>
      <c r="Z238" s="472"/>
      <c r="AA238" s="472"/>
    </row>
    <row r="239">
      <c r="A239" s="478" t="str">
        <f>IFERROR(__xludf.DUMMYFUNCTION("""COMPUTED_VALUE"""),"XIV - ESP - ONCOLOGIA")</f>
        <v>XIV - ESP - ONCOLOGIA</v>
      </c>
      <c r="B239" s="479"/>
      <c r="C239" s="479"/>
      <c r="D239" s="479"/>
      <c r="E239" s="479"/>
      <c r="F239" s="480"/>
      <c r="G239" s="472"/>
      <c r="H239" s="472"/>
      <c r="I239" s="472"/>
      <c r="J239" s="472"/>
      <c r="K239" s="472"/>
      <c r="L239" s="472"/>
      <c r="M239" s="472"/>
      <c r="N239" s="472"/>
      <c r="O239" s="472"/>
      <c r="P239" s="472"/>
      <c r="Q239" s="472"/>
      <c r="R239" s="472"/>
      <c r="S239" s="472"/>
      <c r="T239" s="472"/>
      <c r="U239" s="472"/>
      <c r="V239" s="472"/>
      <c r="W239" s="472"/>
      <c r="X239" s="472"/>
      <c r="Y239" s="472"/>
      <c r="Z239" s="472"/>
      <c r="AA239" s="472"/>
    </row>
    <row r="240" outlineLevel="1">
      <c r="A240" s="481" t="str">
        <f>IFERROR(__xludf.DUMMYFUNCTION("""COMPUTED_VALUE"""),"INSCRIÇÃO")</f>
        <v>INSCRIÇÃO</v>
      </c>
      <c r="B240" s="482" t="str">
        <f>IFERROR(__xludf.DUMMYFUNCTION("""COMPUTED_VALUE"""),"CANDIDATOS")</f>
        <v>CANDIDATOS</v>
      </c>
      <c r="C240" s="481" t="str">
        <f>IFERROR(__xludf.DUMMYFUNCTION("""COMPUTED_VALUE"""),"NF")</f>
        <v>NF</v>
      </c>
      <c r="D240" s="483" t="str">
        <f>IFERROR(__xludf.DUMMYFUNCTION("""COMPUTED_VALUE"""),"CONVOCADO(A)")</f>
        <v>CONVOCADO(A)</v>
      </c>
      <c r="E240" s="483" t="str">
        <f>IFERROR(__xludf.DUMMYFUNCTION("""COMPUTED_VALUE"""),"HOMOLOGADO(A)")</f>
        <v>HOMOLOGADO(A)</v>
      </c>
      <c r="F240" s="483" t="str">
        <f>IFERROR(__xludf.DUMMYFUNCTION("""COMPUTED_VALUE"""),"GERÊNCIA")</f>
        <v>GERÊNCIA</v>
      </c>
      <c r="G240" s="472"/>
      <c r="H240" s="472"/>
      <c r="I240" s="472"/>
      <c r="J240" s="472"/>
      <c r="K240" s="472"/>
      <c r="L240" s="472"/>
      <c r="M240" s="472"/>
      <c r="N240" s="472"/>
      <c r="O240" s="472"/>
      <c r="P240" s="472"/>
      <c r="Q240" s="472"/>
      <c r="R240" s="472"/>
      <c r="S240" s="472"/>
      <c r="T240" s="472"/>
      <c r="U240" s="472"/>
      <c r="V240" s="472"/>
      <c r="W240" s="472"/>
      <c r="X240" s="472"/>
      <c r="Y240" s="472"/>
      <c r="Z240" s="472"/>
      <c r="AA240" s="472"/>
    </row>
    <row r="241" outlineLevel="1">
      <c r="A241" s="484">
        <f>IFERROR(__xludf.DUMMYFUNCTION("""COMPUTED_VALUE"""),4.47638093612E11)</f>
        <v>447638093612</v>
      </c>
      <c r="B241" s="485" t="str">
        <f>IFERROR(__xludf.DUMMYFUNCTION("""COMPUTED_VALUE"""),"EVELINE MACHADO DE AGUIAR BARBOSA")</f>
        <v>EVELINE MACHADO DE AGUIAR BARBOSA</v>
      </c>
      <c r="C241" s="486">
        <f>IFERROR(__xludf.DUMMYFUNCTION("""COMPUTED_VALUE"""),9.0)</f>
        <v>9</v>
      </c>
      <c r="D241" s="487"/>
      <c r="E241" s="486"/>
      <c r="F241" s="495"/>
      <c r="G241" s="472"/>
      <c r="H241" s="472"/>
      <c r="I241" s="472"/>
      <c r="J241" s="472"/>
      <c r="K241" s="472"/>
      <c r="L241" s="472"/>
      <c r="M241" s="472"/>
      <c r="N241" s="472"/>
      <c r="O241" s="472"/>
      <c r="P241" s="472"/>
      <c r="Q241" s="472"/>
      <c r="R241" s="472"/>
      <c r="S241" s="472"/>
      <c r="T241" s="472"/>
      <c r="U241" s="472"/>
      <c r="V241" s="472"/>
      <c r="W241" s="472"/>
      <c r="X241" s="472"/>
      <c r="Y241" s="472"/>
      <c r="Z241" s="472"/>
      <c r="AA241" s="472"/>
    </row>
    <row r="242" outlineLevel="1">
      <c r="A242" s="484">
        <f>IFERROR(__xludf.DUMMYFUNCTION("""COMPUTED_VALUE"""),2.83421093145E11)</f>
        <v>283421093145</v>
      </c>
      <c r="B242" s="485" t="str">
        <f>IFERROR(__xludf.DUMMYFUNCTION("""COMPUTED_VALUE"""),"HELDER MATHEUS ALVES FERNANDES")</f>
        <v>HELDER MATHEUS ALVES FERNANDES</v>
      </c>
      <c r="C242" s="486">
        <f>IFERROR(__xludf.DUMMYFUNCTION("""COMPUTED_VALUE"""),8.0)</f>
        <v>8</v>
      </c>
      <c r="D242" s="487"/>
      <c r="E242" s="486"/>
      <c r="F242" s="495"/>
      <c r="G242" s="472"/>
      <c r="H242" s="472"/>
      <c r="I242" s="472"/>
      <c r="J242" s="472"/>
      <c r="K242" s="472"/>
      <c r="L242" s="472"/>
      <c r="M242" s="472"/>
      <c r="N242" s="472"/>
      <c r="O242" s="472"/>
      <c r="P242" s="472"/>
      <c r="Q242" s="472"/>
      <c r="R242" s="472"/>
      <c r="S242" s="472"/>
      <c r="T242" s="472"/>
      <c r="U242" s="472"/>
      <c r="V242" s="472"/>
      <c r="W242" s="472"/>
      <c r="X242" s="472"/>
      <c r="Y242" s="472"/>
      <c r="Z242" s="472"/>
      <c r="AA242" s="472"/>
    </row>
    <row r="243" outlineLevel="1">
      <c r="A243" s="484">
        <f>IFERROR(__xludf.DUMMYFUNCTION("""COMPUTED_VALUE"""),5.54670092045E11)</f>
        <v>554670092045</v>
      </c>
      <c r="B243" s="485" t="str">
        <f>IFERROR(__xludf.DUMMYFUNCTION("""COMPUTED_VALUE"""),"GABRIELA HOLANDA VIEIRA")</f>
        <v>GABRIELA HOLANDA VIEIRA</v>
      </c>
      <c r="C243" s="486">
        <f>IFERROR(__xludf.DUMMYFUNCTION("""COMPUTED_VALUE"""),7.0)</f>
        <v>7</v>
      </c>
      <c r="D243" s="487"/>
      <c r="E243" s="486"/>
      <c r="F243" s="495"/>
      <c r="G243" s="472"/>
      <c r="H243" s="472"/>
      <c r="I243" s="472"/>
      <c r="J243" s="472"/>
      <c r="K243" s="472"/>
      <c r="L243" s="472"/>
      <c r="M243" s="472"/>
      <c r="N243" s="472"/>
      <c r="O243" s="472"/>
      <c r="P243" s="472"/>
      <c r="Q243" s="472"/>
      <c r="R243" s="472"/>
      <c r="S243" s="472"/>
      <c r="T243" s="472"/>
      <c r="U243" s="472"/>
      <c r="V243" s="472"/>
      <c r="W243" s="472"/>
      <c r="X243" s="472"/>
      <c r="Y243" s="472"/>
      <c r="Z243" s="472"/>
      <c r="AA243" s="472"/>
    </row>
    <row r="244">
      <c r="A244" s="478" t="str">
        <f>IFERROR(__xludf.DUMMYFUNCTION("""COMPUTED_VALUE"""),"XV - ESP - PNEUMOLOGIA")</f>
        <v>XV - ESP - PNEUMOLOGIA</v>
      </c>
      <c r="B244" s="479"/>
      <c r="C244" s="479"/>
      <c r="D244" s="479"/>
      <c r="E244" s="479"/>
      <c r="F244" s="480"/>
      <c r="G244" s="472"/>
      <c r="H244" s="472"/>
      <c r="I244" s="472"/>
      <c r="J244" s="472"/>
      <c r="K244" s="472"/>
      <c r="L244" s="472"/>
      <c r="M244" s="472"/>
      <c r="N244" s="472"/>
      <c r="O244" s="472"/>
      <c r="P244" s="472"/>
      <c r="Q244" s="472"/>
      <c r="R244" s="472"/>
      <c r="S244" s="472"/>
      <c r="T244" s="472"/>
      <c r="U244" s="472"/>
      <c r="V244" s="472"/>
      <c r="W244" s="472"/>
      <c r="X244" s="472"/>
      <c r="Y244" s="472"/>
      <c r="Z244" s="472"/>
      <c r="AA244" s="472"/>
    </row>
    <row r="245" outlineLevel="1">
      <c r="A245" s="481" t="str">
        <f>IFERROR(__xludf.DUMMYFUNCTION("""COMPUTED_VALUE"""),"INSCRIÇÃO")</f>
        <v>INSCRIÇÃO</v>
      </c>
      <c r="B245" s="482" t="str">
        <f>IFERROR(__xludf.DUMMYFUNCTION("""COMPUTED_VALUE"""),"CANDIDATOS")</f>
        <v>CANDIDATOS</v>
      </c>
      <c r="C245" s="481" t="str">
        <f>IFERROR(__xludf.DUMMYFUNCTION("""COMPUTED_VALUE"""),"NF")</f>
        <v>NF</v>
      </c>
      <c r="D245" s="483" t="str">
        <f>IFERROR(__xludf.DUMMYFUNCTION("""COMPUTED_VALUE"""),"CONVOCADO(A)")</f>
        <v>CONVOCADO(A)</v>
      </c>
      <c r="E245" s="483" t="str">
        <f>IFERROR(__xludf.DUMMYFUNCTION("""COMPUTED_VALUE"""),"HOMOLOGADO(A)")</f>
        <v>HOMOLOGADO(A)</v>
      </c>
      <c r="F245" s="483" t="str">
        <f>IFERROR(__xludf.DUMMYFUNCTION("""COMPUTED_VALUE"""),"GERÊNCIA")</f>
        <v>GERÊNCIA</v>
      </c>
      <c r="G245" s="472"/>
      <c r="H245" s="472"/>
      <c r="I245" s="472"/>
      <c r="J245" s="472"/>
      <c r="K245" s="472"/>
      <c r="L245" s="472"/>
      <c r="M245" s="472"/>
      <c r="N245" s="472"/>
      <c r="O245" s="472"/>
      <c r="P245" s="472"/>
      <c r="Q245" s="472"/>
      <c r="R245" s="472"/>
      <c r="S245" s="472"/>
      <c r="T245" s="472"/>
      <c r="U245" s="472"/>
      <c r="V245" s="472"/>
      <c r="W245" s="472"/>
      <c r="X245" s="472"/>
      <c r="Y245" s="472"/>
      <c r="Z245" s="472"/>
      <c r="AA245" s="472"/>
    </row>
    <row r="246" outlineLevel="1">
      <c r="A246" s="484">
        <f>IFERROR(__xludf.DUMMYFUNCTION("""COMPUTED_VALUE"""),4.33650088474E11)</f>
        <v>433650088474</v>
      </c>
      <c r="B246" s="485" t="str">
        <f>IFERROR(__xludf.DUMMYFUNCTION("""COMPUTED_VALUE"""),"RYANA KARLA FERREIRA PAULINO")</f>
        <v>RYANA KARLA FERREIRA PAULINO</v>
      </c>
      <c r="C246" s="486">
        <f>IFERROR(__xludf.DUMMYFUNCTION("""COMPUTED_VALUE"""),9.0)</f>
        <v>9</v>
      </c>
      <c r="D246" s="487"/>
      <c r="E246" s="486"/>
      <c r="F246" s="495"/>
      <c r="G246" s="472"/>
      <c r="H246" s="472"/>
      <c r="I246" s="472"/>
      <c r="J246" s="472"/>
      <c r="K246" s="472"/>
      <c r="L246" s="472"/>
      <c r="M246" s="472"/>
      <c r="N246" s="472"/>
      <c r="O246" s="472"/>
      <c r="P246" s="472"/>
      <c r="Q246" s="472"/>
      <c r="R246" s="472"/>
      <c r="S246" s="472"/>
      <c r="T246" s="472"/>
      <c r="U246" s="472"/>
      <c r="V246" s="472"/>
      <c r="W246" s="472"/>
      <c r="X246" s="472"/>
      <c r="Y246" s="472"/>
      <c r="Z246" s="472"/>
      <c r="AA246" s="472"/>
    </row>
    <row r="247" outlineLevel="1">
      <c r="A247" s="494">
        <f>IFERROR(__xludf.DUMMYFUNCTION("""COMPUTED_VALUE"""),4.4666093185E10)</f>
        <v>44666093185</v>
      </c>
      <c r="B247" s="485" t="str">
        <f>IFERROR(__xludf.DUMMYFUNCTION("""COMPUTED_VALUE"""),"ANA PAULA ROCHA NEPOMUCENO EDSON")</f>
        <v>ANA PAULA ROCHA NEPOMUCENO EDSON</v>
      </c>
      <c r="C247" s="486">
        <f>IFERROR(__xludf.DUMMYFUNCTION("""COMPUTED_VALUE"""),8.0)</f>
        <v>8</v>
      </c>
      <c r="D247" s="487"/>
      <c r="E247" s="486"/>
      <c r="F247" s="495"/>
      <c r="G247" s="472"/>
      <c r="H247" s="472"/>
      <c r="I247" s="472"/>
      <c r="J247" s="472"/>
      <c r="K247" s="472"/>
      <c r="L247" s="472"/>
      <c r="M247" s="472"/>
      <c r="N247" s="472"/>
      <c r="O247" s="472"/>
      <c r="P247" s="472"/>
      <c r="Q247" s="472"/>
      <c r="R247" s="472"/>
      <c r="S247" s="472"/>
      <c r="T247" s="472"/>
      <c r="U247" s="472"/>
      <c r="V247" s="472"/>
      <c r="W247" s="472"/>
      <c r="X247" s="472"/>
      <c r="Y247" s="472"/>
      <c r="Z247" s="472"/>
      <c r="AA247" s="472"/>
    </row>
    <row r="248" outlineLevel="1">
      <c r="A248" s="484">
        <f>IFERROR(__xludf.DUMMYFUNCTION("""COMPUTED_VALUE"""),9.06656088997E11)</f>
        <v>906656088997</v>
      </c>
      <c r="B248" s="485" t="str">
        <f>IFERROR(__xludf.DUMMYFUNCTION("""COMPUTED_VALUE"""),"LUCIANA LUCENA LIMA")</f>
        <v>LUCIANA LUCENA LIMA</v>
      </c>
      <c r="C248" s="486">
        <f>IFERROR(__xludf.DUMMYFUNCTION("""COMPUTED_VALUE"""),7.0)</f>
        <v>7</v>
      </c>
      <c r="D248" s="487"/>
      <c r="E248" s="486"/>
      <c r="F248" s="495"/>
      <c r="G248" s="472"/>
      <c r="H248" s="472"/>
      <c r="I248" s="472"/>
      <c r="J248" s="472"/>
      <c r="K248" s="472"/>
      <c r="L248" s="472"/>
      <c r="M248" s="472"/>
      <c r="N248" s="472"/>
      <c r="O248" s="472"/>
      <c r="P248" s="472"/>
      <c r="Q248" s="472"/>
      <c r="R248" s="472"/>
      <c r="S248" s="472"/>
      <c r="T248" s="472"/>
      <c r="U248" s="472"/>
      <c r="V248" s="472"/>
      <c r="W248" s="472"/>
      <c r="X248" s="472"/>
      <c r="Y248" s="472"/>
      <c r="Z248" s="472"/>
      <c r="AA248" s="472"/>
    </row>
    <row r="249" outlineLevel="1">
      <c r="A249" s="494">
        <f>IFERROR(__xludf.DUMMYFUNCTION("""COMPUTED_VALUE"""),8.8730090641E10)</f>
        <v>88730090641</v>
      </c>
      <c r="B249" s="485" t="str">
        <f>IFERROR(__xludf.DUMMYFUNCTION("""COMPUTED_VALUE"""),"MARIA CAROLINE ALMEIDA MAGALHÃES")</f>
        <v>MARIA CAROLINE ALMEIDA MAGALHÃES</v>
      </c>
      <c r="C249" s="486">
        <f>IFERROR(__xludf.DUMMYFUNCTION("""COMPUTED_VALUE"""),6.5)</f>
        <v>6.5</v>
      </c>
      <c r="D249" s="487"/>
      <c r="E249" s="486"/>
      <c r="F249" s="495"/>
      <c r="G249" s="472"/>
      <c r="H249" s="472"/>
      <c r="I249" s="472"/>
      <c r="J249" s="472"/>
      <c r="K249" s="472"/>
      <c r="L249" s="472"/>
      <c r="M249" s="472"/>
      <c r="N249" s="472"/>
      <c r="O249" s="472"/>
      <c r="P249" s="472"/>
      <c r="Q249" s="472"/>
      <c r="R249" s="472"/>
      <c r="S249" s="472"/>
      <c r="T249" s="472"/>
      <c r="U249" s="472"/>
      <c r="V249" s="472"/>
      <c r="W249" s="472"/>
      <c r="X249" s="472"/>
      <c r="Y249" s="472"/>
      <c r="Z249" s="472"/>
      <c r="AA249" s="472"/>
    </row>
    <row r="250" outlineLevel="1">
      <c r="A250" s="484">
        <f>IFERROR(__xludf.DUMMYFUNCTION("""COMPUTED_VALUE"""),9.13950089717E11)</f>
        <v>913950089717</v>
      </c>
      <c r="B250" s="485" t="str">
        <f>IFERROR(__xludf.DUMMYFUNCTION("""COMPUTED_VALUE"""),"LUCIANA RAQUEL DE QUEIROZ SOUSA")</f>
        <v>LUCIANA RAQUEL DE QUEIROZ SOUSA</v>
      </c>
      <c r="C250" s="486">
        <f>IFERROR(__xludf.DUMMYFUNCTION("""COMPUTED_VALUE"""),6.0)</f>
        <v>6</v>
      </c>
      <c r="D250" s="487"/>
      <c r="E250" s="486"/>
      <c r="F250" s="495"/>
      <c r="G250" s="472"/>
      <c r="H250" s="472"/>
      <c r="I250" s="472"/>
      <c r="J250" s="472"/>
      <c r="K250" s="472"/>
      <c r="L250" s="472"/>
      <c r="M250" s="472"/>
      <c r="N250" s="472"/>
      <c r="O250" s="472"/>
      <c r="P250" s="472"/>
      <c r="Q250" s="472"/>
      <c r="R250" s="472"/>
      <c r="S250" s="472"/>
      <c r="T250" s="472"/>
      <c r="U250" s="472"/>
      <c r="V250" s="472"/>
      <c r="W250" s="472"/>
      <c r="X250" s="472"/>
      <c r="Y250" s="472"/>
      <c r="Z250" s="472"/>
      <c r="AA250" s="472"/>
    </row>
    <row r="251">
      <c r="A251" s="478" t="str">
        <f>IFERROR(__xludf.DUMMYFUNCTION("""COMPUTED_VALUE"""),"XVI - ESP - INFECTOLOGIA")</f>
        <v>XVI - ESP - INFECTOLOGIA</v>
      </c>
      <c r="B251" s="479"/>
      <c r="C251" s="479"/>
      <c r="D251" s="479"/>
      <c r="E251" s="479"/>
      <c r="F251" s="480"/>
      <c r="G251" s="472"/>
      <c r="H251" s="472"/>
      <c r="I251" s="472"/>
      <c r="J251" s="472"/>
      <c r="K251" s="472"/>
      <c r="L251" s="472"/>
      <c r="M251" s="472"/>
      <c r="N251" s="472"/>
      <c r="O251" s="472"/>
      <c r="P251" s="472"/>
      <c r="Q251" s="472"/>
      <c r="R251" s="472"/>
      <c r="S251" s="472"/>
      <c r="T251" s="472"/>
      <c r="U251" s="472"/>
      <c r="V251" s="472"/>
      <c r="W251" s="472"/>
      <c r="X251" s="472"/>
      <c r="Y251" s="472"/>
      <c r="Z251" s="472"/>
      <c r="AA251" s="472"/>
    </row>
    <row r="252" outlineLevel="1">
      <c r="A252" s="481" t="str">
        <f>IFERROR(__xludf.DUMMYFUNCTION("""COMPUTED_VALUE"""),"INSCRIÇÃO")</f>
        <v>INSCRIÇÃO</v>
      </c>
      <c r="B252" s="482" t="str">
        <f>IFERROR(__xludf.DUMMYFUNCTION("""COMPUTED_VALUE"""),"CANDIDATOS")</f>
        <v>CANDIDATOS</v>
      </c>
      <c r="C252" s="481" t="str">
        <f>IFERROR(__xludf.DUMMYFUNCTION("""COMPUTED_VALUE"""),"NF")</f>
        <v>NF</v>
      </c>
      <c r="D252" s="483" t="str">
        <f>IFERROR(__xludf.DUMMYFUNCTION("""COMPUTED_VALUE"""),"CONVOCADO(A)")</f>
        <v>CONVOCADO(A)</v>
      </c>
      <c r="E252" s="483" t="str">
        <f>IFERROR(__xludf.DUMMYFUNCTION("""COMPUTED_VALUE"""),"HOMOLOGADO(A)")</f>
        <v>HOMOLOGADO(A)</v>
      </c>
      <c r="F252" s="483" t="str">
        <f>IFERROR(__xludf.DUMMYFUNCTION("""COMPUTED_VALUE"""),"GERÊNCIA")</f>
        <v>GERÊNCIA</v>
      </c>
      <c r="G252" s="472"/>
      <c r="H252" s="472"/>
      <c r="I252" s="472"/>
      <c r="J252" s="472"/>
      <c r="K252" s="472"/>
      <c r="L252" s="472"/>
      <c r="M252" s="472"/>
      <c r="N252" s="472"/>
      <c r="O252" s="472"/>
      <c r="P252" s="472"/>
      <c r="Q252" s="472"/>
      <c r="R252" s="472"/>
      <c r="S252" s="472"/>
      <c r="T252" s="472"/>
      <c r="U252" s="472"/>
      <c r="V252" s="472"/>
      <c r="W252" s="472"/>
      <c r="X252" s="472"/>
      <c r="Y252" s="472"/>
      <c r="Z252" s="472"/>
      <c r="AA252" s="472"/>
    </row>
    <row r="253" outlineLevel="1">
      <c r="A253" s="484">
        <f>IFERROR(__xludf.DUMMYFUNCTION("""COMPUTED_VALUE"""),6.65160089871E11)</f>
        <v>665160089871</v>
      </c>
      <c r="B253" s="485" t="str">
        <f>IFERROR(__xludf.DUMMYFUNCTION("""COMPUTED_VALUE"""),"LUÍS ARTHUR BRASIL GADELHA FARIAS")</f>
        <v>LUÍS ARTHUR BRASIL GADELHA FARIAS</v>
      </c>
      <c r="C253" s="486">
        <f>IFERROR(__xludf.DUMMYFUNCTION("""COMPUTED_VALUE"""),10.0)</f>
        <v>10</v>
      </c>
      <c r="D253" s="487"/>
      <c r="E253" s="486"/>
      <c r="F253" s="495"/>
      <c r="G253" s="472"/>
      <c r="H253" s="472"/>
      <c r="I253" s="472"/>
      <c r="J253" s="472"/>
      <c r="K253" s="472"/>
      <c r="L253" s="472"/>
      <c r="M253" s="472"/>
      <c r="N253" s="472"/>
      <c r="O253" s="472"/>
      <c r="P253" s="472"/>
      <c r="Q253" s="472"/>
      <c r="R253" s="472"/>
      <c r="S253" s="472"/>
      <c r="T253" s="472"/>
      <c r="U253" s="472"/>
      <c r="V253" s="472"/>
      <c r="W253" s="472"/>
      <c r="X253" s="472"/>
      <c r="Y253" s="472"/>
      <c r="Z253" s="472"/>
      <c r="AA253" s="472"/>
    </row>
    <row r="254" outlineLevel="1">
      <c r="A254" s="484">
        <f>IFERROR(__xludf.DUMMYFUNCTION("""COMPUTED_VALUE"""),2.23090089895E11)</f>
        <v>223090089895</v>
      </c>
      <c r="B254" s="485" t="str">
        <f>IFERROR(__xludf.DUMMYFUNCTION("""COMPUTED_VALUE"""),"RENATA LAIS DA SILVA NASCIMENTO MAIA")</f>
        <v>RENATA LAIS DA SILVA NASCIMENTO MAIA</v>
      </c>
      <c r="C254" s="486">
        <f>IFERROR(__xludf.DUMMYFUNCTION("""COMPUTED_VALUE"""),8.5)</f>
        <v>8.5</v>
      </c>
      <c r="D254" s="487"/>
      <c r="E254" s="486"/>
      <c r="F254" s="495"/>
      <c r="G254" s="472"/>
      <c r="H254" s="472"/>
      <c r="I254" s="472"/>
      <c r="J254" s="472"/>
      <c r="K254" s="472"/>
      <c r="L254" s="472"/>
      <c r="M254" s="472"/>
      <c r="N254" s="472"/>
      <c r="O254" s="472"/>
      <c r="P254" s="472"/>
      <c r="Q254" s="472"/>
      <c r="R254" s="472"/>
      <c r="S254" s="472"/>
      <c r="T254" s="472"/>
      <c r="U254" s="472"/>
      <c r="V254" s="472"/>
      <c r="W254" s="472"/>
      <c r="X254" s="472"/>
      <c r="Y254" s="472"/>
      <c r="Z254" s="472"/>
      <c r="AA254" s="472"/>
    </row>
    <row r="255" outlineLevel="1">
      <c r="A255" s="484">
        <f>IFERROR(__xludf.DUMMYFUNCTION("""COMPUTED_VALUE"""),7.55979093188E11)</f>
        <v>755979093188</v>
      </c>
      <c r="B255" s="485" t="str">
        <f>IFERROR(__xludf.DUMMYFUNCTION("""COMPUTED_VALUE"""),"RAQUEL MARTINS MORORÓ")</f>
        <v>RAQUEL MARTINS MORORÓ</v>
      </c>
      <c r="C255" s="486">
        <f>IFERROR(__xludf.DUMMYFUNCTION("""COMPUTED_VALUE"""),6.5)</f>
        <v>6.5</v>
      </c>
      <c r="D255" s="487"/>
      <c r="E255" s="486"/>
      <c r="F255" s="495"/>
      <c r="G255" s="472"/>
      <c r="H255" s="472"/>
      <c r="I255" s="472"/>
      <c r="J255" s="472"/>
      <c r="K255" s="472"/>
      <c r="L255" s="472"/>
      <c r="M255" s="472"/>
      <c r="N255" s="472"/>
      <c r="O255" s="472"/>
      <c r="P255" s="472"/>
      <c r="Q255" s="472"/>
      <c r="R255" s="472"/>
      <c r="S255" s="472"/>
      <c r="T255" s="472"/>
      <c r="U255" s="472"/>
      <c r="V255" s="472"/>
      <c r="W255" s="472"/>
      <c r="X255" s="472"/>
      <c r="Y255" s="472"/>
      <c r="Z255" s="472"/>
      <c r="AA255" s="472"/>
    </row>
    <row r="256" outlineLevel="1">
      <c r="A256" s="497">
        <f>IFERROR(__xludf.DUMMYFUNCTION("""COMPUTED_VALUE"""),2.06350090652E11)</f>
        <v>206350090652</v>
      </c>
      <c r="B256" s="498" t="str">
        <f>IFERROR(__xludf.DUMMYFUNCTION("""COMPUTED_VALUE"""),"NADIA MARTINS DA SILVA")</f>
        <v>NADIA MARTINS DA SILVA</v>
      </c>
      <c r="C256" s="499">
        <f>IFERROR(__xludf.DUMMYFUNCTION("""COMPUTED_VALUE"""),6.0)</f>
        <v>6</v>
      </c>
      <c r="D256" s="487"/>
      <c r="E256" s="486"/>
      <c r="F256" s="495"/>
      <c r="G256" s="472"/>
      <c r="H256" s="472"/>
      <c r="I256" s="472"/>
      <c r="J256" s="472"/>
      <c r="K256" s="472"/>
      <c r="L256" s="472"/>
      <c r="M256" s="472"/>
      <c r="N256" s="472"/>
      <c r="O256" s="472"/>
      <c r="P256" s="472"/>
      <c r="Q256" s="472"/>
      <c r="R256" s="472"/>
      <c r="S256" s="472"/>
      <c r="T256" s="472"/>
      <c r="U256" s="472"/>
      <c r="V256" s="472"/>
      <c r="W256" s="472"/>
      <c r="X256" s="472"/>
      <c r="Y256" s="472"/>
      <c r="Z256" s="472"/>
      <c r="AA256" s="472"/>
    </row>
    <row r="257">
      <c r="A257" s="478" t="str">
        <f>IFERROR(__xludf.DUMMYFUNCTION("""COMPUTED_VALUE"""),"XVII - ESP - SAÚDE BUCAL")</f>
        <v>XVII - ESP - SAÚDE BUCAL</v>
      </c>
      <c r="B257" s="479"/>
      <c r="C257" s="479"/>
      <c r="D257" s="479"/>
      <c r="E257" s="479"/>
      <c r="F257" s="480"/>
      <c r="G257" s="472"/>
      <c r="H257" s="472"/>
      <c r="I257" s="472"/>
      <c r="J257" s="472"/>
      <c r="K257" s="472"/>
      <c r="L257" s="472"/>
      <c r="M257" s="472"/>
      <c r="N257" s="472"/>
      <c r="O257" s="472"/>
      <c r="P257" s="472"/>
      <c r="Q257" s="472"/>
      <c r="R257" s="472"/>
      <c r="S257" s="472"/>
      <c r="T257" s="472"/>
      <c r="U257" s="472"/>
      <c r="V257" s="472"/>
      <c r="W257" s="472"/>
      <c r="X257" s="472"/>
      <c r="Y257" s="472"/>
      <c r="Z257" s="472"/>
      <c r="AA257" s="472"/>
    </row>
    <row r="258" outlineLevel="1">
      <c r="A258" s="481" t="str">
        <f>IFERROR(__xludf.DUMMYFUNCTION("""COMPUTED_VALUE"""),"INSCRIÇÃO")</f>
        <v>INSCRIÇÃO</v>
      </c>
      <c r="B258" s="482" t="str">
        <f>IFERROR(__xludf.DUMMYFUNCTION("""COMPUTED_VALUE"""),"CANDIDATOS")</f>
        <v>CANDIDATOS</v>
      </c>
      <c r="C258" s="481" t="str">
        <f>IFERROR(__xludf.DUMMYFUNCTION("""COMPUTED_VALUE"""),"NF")</f>
        <v>NF</v>
      </c>
      <c r="D258" s="483" t="str">
        <f>IFERROR(__xludf.DUMMYFUNCTION("""COMPUTED_VALUE"""),"CONVOCADO(A)")</f>
        <v>CONVOCADO(A)</v>
      </c>
      <c r="E258" s="483" t="str">
        <f>IFERROR(__xludf.DUMMYFUNCTION("""COMPUTED_VALUE"""),"HOMOLOGADO(A)")</f>
        <v>HOMOLOGADO(A)</v>
      </c>
      <c r="F258" s="483" t="str">
        <f>IFERROR(__xludf.DUMMYFUNCTION("""COMPUTED_VALUE"""),"GERÊNCIA")</f>
        <v>GERÊNCIA</v>
      </c>
      <c r="G258" s="472"/>
      <c r="H258" s="472"/>
      <c r="I258" s="472"/>
      <c r="J258" s="472"/>
      <c r="K258" s="472"/>
      <c r="L258" s="472"/>
      <c r="M258" s="472"/>
      <c r="N258" s="472"/>
      <c r="O258" s="472"/>
      <c r="P258" s="472"/>
      <c r="Q258" s="472"/>
      <c r="R258" s="472"/>
      <c r="S258" s="472"/>
      <c r="T258" s="472"/>
      <c r="U258" s="472"/>
      <c r="V258" s="472"/>
      <c r="W258" s="472"/>
      <c r="X258" s="472"/>
      <c r="Y258" s="472"/>
      <c r="Z258" s="472"/>
      <c r="AA258" s="472"/>
    </row>
    <row r="259" outlineLevel="1">
      <c r="A259" s="484">
        <f>IFERROR(__xludf.DUMMYFUNCTION("""COMPUTED_VALUE"""),9.50760090287E11)</f>
        <v>950760090287</v>
      </c>
      <c r="B259" s="485" t="str">
        <f>IFERROR(__xludf.DUMMYFUNCTION("""COMPUTED_VALUE"""),"JÉSSICA SOARES GADELHA DE BRITO")</f>
        <v>JÉSSICA SOARES GADELHA DE BRITO</v>
      </c>
      <c r="C259" s="486">
        <f>IFERROR(__xludf.DUMMYFUNCTION("""COMPUTED_VALUE"""),9.5)</f>
        <v>9.5</v>
      </c>
      <c r="D259" s="487"/>
      <c r="E259" s="486"/>
      <c r="F259" s="495"/>
      <c r="G259" s="472"/>
      <c r="H259" s="472"/>
      <c r="I259" s="472"/>
      <c r="J259" s="472"/>
      <c r="K259" s="472"/>
      <c r="L259" s="472"/>
      <c r="M259" s="472"/>
      <c r="N259" s="472"/>
      <c r="O259" s="472"/>
      <c r="P259" s="472"/>
      <c r="Q259" s="472"/>
      <c r="R259" s="472"/>
      <c r="S259" s="472"/>
      <c r="T259" s="472"/>
      <c r="U259" s="472"/>
      <c r="V259" s="472"/>
      <c r="W259" s="472"/>
      <c r="X259" s="472"/>
      <c r="Y259" s="472"/>
      <c r="Z259" s="472"/>
      <c r="AA259" s="472"/>
    </row>
    <row r="260" outlineLevel="1">
      <c r="A260" s="484">
        <f>IFERROR(__xludf.DUMMYFUNCTION("""COMPUTED_VALUE"""),8.41950092959E11)</f>
        <v>841950092959</v>
      </c>
      <c r="B260" s="485" t="str">
        <f>IFERROR(__xludf.DUMMYFUNCTION("""COMPUTED_VALUE"""),"ANDREZZA MARTINS DO NASCIMENTO")</f>
        <v>ANDREZZA MARTINS DO NASCIMENTO</v>
      </c>
      <c r="C260" s="486">
        <f>IFERROR(__xludf.DUMMYFUNCTION("""COMPUTED_VALUE"""),9.0)</f>
        <v>9</v>
      </c>
      <c r="D260" s="487"/>
      <c r="E260" s="486"/>
      <c r="F260" s="495"/>
      <c r="G260" s="472"/>
      <c r="H260" s="472"/>
      <c r="I260" s="472"/>
      <c r="J260" s="472"/>
      <c r="K260" s="472"/>
      <c r="L260" s="472"/>
      <c r="M260" s="472"/>
      <c r="N260" s="472"/>
      <c r="O260" s="472"/>
      <c r="P260" s="472"/>
      <c r="Q260" s="472"/>
      <c r="R260" s="472"/>
      <c r="S260" s="472"/>
      <c r="T260" s="472"/>
      <c r="U260" s="472"/>
      <c r="V260" s="472"/>
      <c r="W260" s="472"/>
      <c r="X260" s="472"/>
      <c r="Y260" s="472"/>
      <c r="Z260" s="472"/>
      <c r="AA260" s="472"/>
    </row>
    <row r="261" outlineLevel="1">
      <c r="A261" s="484">
        <f>IFERROR(__xludf.DUMMYFUNCTION("""COMPUTED_VALUE"""),7.2105008892E11)</f>
        <v>721050088920</v>
      </c>
      <c r="B261" s="485" t="str">
        <f>IFERROR(__xludf.DUMMYFUNCTION("""COMPUTED_VALUE"""),"TAUANE CAVALCANTE DINIZ")</f>
        <v>TAUANE CAVALCANTE DINIZ</v>
      </c>
      <c r="C261" s="486">
        <f>IFERROR(__xludf.DUMMYFUNCTION("""COMPUTED_VALUE"""),8.0)</f>
        <v>8</v>
      </c>
      <c r="D261" s="487"/>
      <c r="E261" s="486"/>
      <c r="F261" s="495"/>
      <c r="G261" s="472"/>
      <c r="H261" s="472"/>
      <c r="I261" s="472"/>
      <c r="J261" s="472"/>
      <c r="K261" s="472"/>
      <c r="L261" s="472"/>
      <c r="M261" s="472"/>
      <c r="N261" s="472"/>
      <c r="O261" s="472"/>
      <c r="P261" s="472"/>
      <c r="Q261" s="472"/>
      <c r="R261" s="472"/>
      <c r="S261" s="472"/>
      <c r="T261" s="472"/>
      <c r="U261" s="472"/>
      <c r="V261" s="472"/>
      <c r="W261" s="472"/>
      <c r="X261" s="472"/>
      <c r="Y261" s="472"/>
      <c r="Z261" s="472"/>
      <c r="AA261" s="472"/>
    </row>
    <row r="262" outlineLevel="1">
      <c r="A262" s="484">
        <f>IFERROR(__xludf.DUMMYFUNCTION("""COMPUTED_VALUE"""),9.69750091308E11)</f>
        <v>969750091308</v>
      </c>
      <c r="B262" s="485" t="str">
        <f>IFERROR(__xludf.DUMMYFUNCTION("""COMPUTED_VALUE"""),"THALITA JÉSSICA FERREIRA DA ROCHA")</f>
        <v>THALITA JÉSSICA FERREIRA DA ROCHA</v>
      </c>
      <c r="C262" s="486">
        <f>IFERROR(__xludf.DUMMYFUNCTION("""COMPUTED_VALUE"""),8.0)</f>
        <v>8</v>
      </c>
      <c r="D262" s="487"/>
      <c r="E262" s="486"/>
      <c r="F262" s="495"/>
      <c r="G262" s="472"/>
      <c r="H262" s="472"/>
      <c r="I262" s="472"/>
      <c r="J262" s="472"/>
      <c r="K262" s="472"/>
      <c r="L262" s="472"/>
      <c r="M262" s="472"/>
      <c r="N262" s="472"/>
      <c r="O262" s="472"/>
      <c r="P262" s="472"/>
      <c r="Q262" s="472"/>
      <c r="R262" s="472"/>
      <c r="S262" s="472"/>
      <c r="T262" s="472"/>
      <c r="U262" s="472"/>
      <c r="V262" s="472"/>
      <c r="W262" s="472"/>
      <c r="X262" s="472"/>
      <c r="Y262" s="472"/>
      <c r="Z262" s="472"/>
      <c r="AA262" s="472"/>
    </row>
    <row r="263" outlineLevel="1">
      <c r="A263" s="484">
        <f>IFERROR(__xludf.DUMMYFUNCTION("""COMPUTED_VALUE"""),5.76530089589E11)</f>
        <v>576530089589</v>
      </c>
      <c r="B263" s="485" t="str">
        <f>IFERROR(__xludf.DUMMYFUNCTION("""COMPUTED_VALUE"""),"ISAQUIEL CHAVES FERREIRA")</f>
        <v>ISAQUIEL CHAVES FERREIRA</v>
      </c>
      <c r="C263" s="486">
        <f>IFERROR(__xludf.DUMMYFUNCTION("""COMPUTED_VALUE"""),8.0)</f>
        <v>8</v>
      </c>
      <c r="D263" s="487"/>
      <c r="E263" s="486"/>
      <c r="F263" s="495"/>
      <c r="G263" s="472"/>
      <c r="H263" s="472"/>
      <c r="I263" s="472"/>
      <c r="J263" s="472"/>
      <c r="K263" s="472"/>
      <c r="L263" s="472"/>
      <c r="M263" s="472"/>
      <c r="N263" s="472"/>
      <c r="O263" s="472"/>
      <c r="P263" s="472"/>
      <c r="Q263" s="472"/>
      <c r="R263" s="472"/>
      <c r="S263" s="472"/>
      <c r="T263" s="472"/>
      <c r="U263" s="472"/>
      <c r="V263" s="472"/>
      <c r="W263" s="472"/>
      <c r="X263" s="472"/>
      <c r="Y263" s="472"/>
      <c r="Z263" s="472"/>
      <c r="AA263" s="472"/>
    </row>
    <row r="264" outlineLevel="1">
      <c r="A264" s="494">
        <f>IFERROR(__xludf.DUMMYFUNCTION("""COMPUTED_VALUE"""),9.2930089792E10)</f>
        <v>92930089792</v>
      </c>
      <c r="B264" s="485" t="str">
        <f>IFERROR(__xludf.DUMMYFUNCTION("""COMPUTED_VALUE"""),"LARA TUANNA DE BRITO")</f>
        <v>LARA TUANNA DE BRITO</v>
      </c>
      <c r="C264" s="486">
        <f>IFERROR(__xludf.DUMMYFUNCTION("""COMPUTED_VALUE"""),7.5)</f>
        <v>7.5</v>
      </c>
      <c r="D264" s="487"/>
      <c r="E264" s="486"/>
      <c r="F264" s="495"/>
      <c r="G264" s="472"/>
      <c r="H264" s="472"/>
      <c r="I264" s="472"/>
      <c r="J264" s="472"/>
      <c r="K264" s="472"/>
      <c r="L264" s="472"/>
      <c r="M264" s="472"/>
      <c r="N264" s="472"/>
      <c r="O264" s="472"/>
      <c r="P264" s="472"/>
      <c r="Q264" s="472"/>
      <c r="R264" s="472"/>
      <c r="S264" s="472"/>
      <c r="T264" s="472"/>
      <c r="U264" s="472"/>
      <c r="V264" s="472"/>
      <c r="W264" s="472"/>
      <c r="X264" s="472"/>
      <c r="Y264" s="472"/>
      <c r="Z264" s="472"/>
      <c r="AA264" s="472"/>
    </row>
    <row r="265" outlineLevel="1">
      <c r="A265" s="484">
        <f>IFERROR(__xludf.DUMMYFUNCTION("""COMPUTED_VALUE"""),3.75116088956E11)</f>
        <v>375116088956</v>
      </c>
      <c r="B265" s="485" t="str">
        <f>IFERROR(__xludf.DUMMYFUNCTION("""COMPUTED_VALUE"""),"FRANCISCO EDNANDO COELHO DE OLIVEIRA")</f>
        <v>FRANCISCO EDNANDO COELHO DE OLIVEIRA</v>
      </c>
      <c r="C265" s="486">
        <f>IFERROR(__xludf.DUMMYFUNCTION("""COMPUTED_VALUE"""),6.0)</f>
        <v>6</v>
      </c>
      <c r="D265" s="487"/>
      <c r="E265" s="486"/>
      <c r="F265" s="495"/>
      <c r="G265" s="472"/>
      <c r="H265" s="472"/>
      <c r="I265" s="472"/>
      <c r="J265" s="472"/>
      <c r="K265" s="472"/>
      <c r="L265" s="472"/>
      <c r="M265" s="472"/>
      <c r="N265" s="472"/>
      <c r="O265" s="472"/>
      <c r="P265" s="472"/>
      <c r="Q265" s="472"/>
      <c r="R265" s="472"/>
      <c r="S265" s="472"/>
      <c r="T265" s="472"/>
      <c r="U265" s="472"/>
      <c r="V265" s="472"/>
      <c r="W265" s="472"/>
      <c r="X265" s="472"/>
      <c r="Y265" s="472"/>
      <c r="Z265" s="472"/>
      <c r="AA265" s="472"/>
    </row>
    <row r="266">
      <c r="A266" s="478" t="str">
        <f>IFERROR(__xludf.DUMMYFUNCTION("""COMPUTED_VALUE"""),"XIX - ESP - SAÚDE PRISIONAL")</f>
        <v>XIX - ESP - SAÚDE PRISIONAL</v>
      </c>
      <c r="B266" s="479"/>
      <c r="C266" s="479"/>
      <c r="D266" s="479"/>
      <c r="E266" s="479"/>
      <c r="F266" s="480"/>
      <c r="G266" s="472"/>
      <c r="H266" s="472"/>
      <c r="I266" s="472"/>
      <c r="J266" s="472"/>
      <c r="K266" s="472"/>
      <c r="L266" s="472"/>
      <c r="M266" s="472"/>
      <c r="N266" s="472"/>
      <c r="O266" s="472"/>
      <c r="P266" s="472"/>
      <c r="Q266" s="472"/>
      <c r="R266" s="472"/>
      <c r="S266" s="472"/>
      <c r="T266" s="472"/>
      <c r="U266" s="472"/>
      <c r="V266" s="472"/>
      <c r="W266" s="472"/>
      <c r="X266" s="472"/>
      <c r="Y266" s="472"/>
      <c r="Z266" s="472"/>
      <c r="AA266" s="472"/>
    </row>
    <row r="267" outlineLevel="1">
      <c r="A267" s="481" t="str">
        <f>IFERROR(__xludf.DUMMYFUNCTION("""COMPUTED_VALUE"""),"INSCRIÇÃO")</f>
        <v>INSCRIÇÃO</v>
      </c>
      <c r="B267" s="482" t="str">
        <f>IFERROR(__xludf.DUMMYFUNCTION("""COMPUTED_VALUE"""),"CANDIDATOS")</f>
        <v>CANDIDATOS</v>
      </c>
      <c r="C267" s="481" t="str">
        <f>IFERROR(__xludf.DUMMYFUNCTION("""COMPUTED_VALUE"""),"NF")</f>
        <v>NF</v>
      </c>
      <c r="D267" s="483" t="str">
        <f>IFERROR(__xludf.DUMMYFUNCTION("""COMPUTED_VALUE"""),"CONVOCADO(A)")</f>
        <v>CONVOCADO(A)</v>
      </c>
      <c r="E267" s="483" t="str">
        <f>IFERROR(__xludf.DUMMYFUNCTION("""COMPUTED_VALUE"""),"HOMOLOGADO(A)")</f>
        <v>HOMOLOGADO(A)</v>
      </c>
      <c r="F267" s="483" t="str">
        <f>IFERROR(__xludf.DUMMYFUNCTION("""COMPUTED_VALUE"""),"GERÊNCIA")</f>
        <v>GERÊNCIA</v>
      </c>
      <c r="G267" s="472"/>
      <c r="H267" s="472"/>
      <c r="I267" s="472"/>
      <c r="J267" s="472"/>
      <c r="K267" s="472"/>
      <c r="L267" s="472"/>
      <c r="M267" s="472"/>
      <c r="N267" s="472"/>
      <c r="O267" s="472"/>
      <c r="P267" s="472"/>
      <c r="Q267" s="472"/>
      <c r="R267" s="472"/>
      <c r="S267" s="472"/>
      <c r="T267" s="472"/>
      <c r="U267" s="472"/>
      <c r="V267" s="472"/>
      <c r="W267" s="472"/>
      <c r="X267" s="472"/>
      <c r="Y267" s="472"/>
      <c r="Z267" s="472"/>
      <c r="AA267" s="472"/>
    </row>
    <row r="268" outlineLevel="1">
      <c r="A268" s="484">
        <f>IFERROR(__xludf.DUMMYFUNCTION("""COMPUTED_VALUE"""),4.27530092633E11)</f>
        <v>427530092633</v>
      </c>
      <c r="B268" s="485" t="str">
        <f>IFERROR(__xludf.DUMMYFUNCTION("""COMPUTED_VALUE"""),"BRUNA ARAUJO MADEIRA")</f>
        <v>BRUNA ARAUJO MADEIRA</v>
      </c>
      <c r="C268" s="486">
        <f>IFERROR(__xludf.DUMMYFUNCTION("""COMPUTED_VALUE"""),6.0)</f>
        <v>6</v>
      </c>
      <c r="D268" s="487"/>
      <c r="E268" s="486"/>
      <c r="F268" s="495"/>
      <c r="G268" s="472"/>
      <c r="H268" s="472"/>
      <c r="I268" s="472"/>
      <c r="J268" s="472"/>
      <c r="K268" s="472"/>
      <c r="L268" s="472"/>
      <c r="M268" s="472"/>
      <c r="N268" s="472"/>
      <c r="O268" s="472"/>
      <c r="P268" s="472"/>
      <c r="Q268" s="472"/>
      <c r="R268" s="472"/>
      <c r="S268" s="472"/>
      <c r="T268" s="472"/>
      <c r="U268" s="472"/>
      <c r="V268" s="472"/>
      <c r="W268" s="472"/>
      <c r="X268" s="472"/>
      <c r="Y268" s="472"/>
      <c r="Z268" s="472"/>
      <c r="AA268" s="472"/>
    </row>
    <row r="269">
      <c r="A269" s="478" t="str">
        <f>IFERROR(__xludf.DUMMYFUNCTION("""COMPUTED_VALUE"""),"XX - ESP - RELAÇÕES ÉTNICO-RACIAIS")</f>
        <v>XX - ESP - RELAÇÕES ÉTNICO-RACIAIS</v>
      </c>
      <c r="B269" s="479"/>
      <c r="C269" s="479"/>
      <c r="D269" s="479"/>
      <c r="E269" s="479"/>
      <c r="F269" s="480"/>
      <c r="G269" s="472"/>
      <c r="H269" s="472"/>
      <c r="I269" s="472"/>
      <c r="J269" s="472"/>
      <c r="K269" s="472"/>
      <c r="L269" s="472"/>
      <c r="M269" s="472"/>
      <c r="N269" s="472"/>
      <c r="O269" s="472"/>
      <c r="P269" s="472"/>
      <c r="Q269" s="472"/>
      <c r="R269" s="472"/>
      <c r="S269" s="472"/>
      <c r="T269" s="472"/>
      <c r="U269" s="472"/>
      <c r="V269" s="472"/>
      <c r="W269" s="472"/>
      <c r="X269" s="472"/>
      <c r="Y269" s="472"/>
      <c r="Z269" s="472"/>
      <c r="AA269" s="472"/>
    </row>
    <row r="270" outlineLevel="1">
      <c r="A270" s="481" t="str">
        <f>IFERROR(__xludf.DUMMYFUNCTION("""COMPUTED_VALUE"""),"INSCRIÇÃO")</f>
        <v>INSCRIÇÃO</v>
      </c>
      <c r="B270" s="482" t="str">
        <f>IFERROR(__xludf.DUMMYFUNCTION("""COMPUTED_VALUE"""),"CANDIDATOS")</f>
        <v>CANDIDATOS</v>
      </c>
      <c r="C270" s="481" t="str">
        <f>IFERROR(__xludf.DUMMYFUNCTION("""COMPUTED_VALUE"""),"NF")</f>
        <v>NF</v>
      </c>
      <c r="D270" s="483" t="str">
        <f>IFERROR(__xludf.DUMMYFUNCTION("""COMPUTED_VALUE"""),"CONVOCADO(A)")</f>
        <v>CONVOCADO(A)</v>
      </c>
      <c r="E270" s="483" t="str">
        <f>IFERROR(__xludf.DUMMYFUNCTION("""COMPUTED_VALUE"""),"HOMOLOGADO(A)")</f>
        <v>HOMOLOGADO(A)</v>
      </c>
      <c r="F270" s="483" t="str">
        <f>IFERROR(__xludf.DUMMYFUNCTION("""COMPUTED_VALUE"""),"GERÊNCIA")</f>
        <v>GERÊNCIA</v>
      </c>
      <c r="G270" s="472"/>
      <c r="H270" s="472"/>
      <c r="I270" s="472"/>
      <c r="J270" s="472"/>
      <c r="K270" s="472"/>
      <c r="L270" s="472"/>
      <c r="M270" s="472"/>
      <c r="N270" s="472"/>
      <c r="O270" s="472"/>
      <c r="P270" s="472"/>
      <c r="Q270" s="472"/>
      <c r="R270" s="472"/>
      <c r="S270" s="472"/>
      <c r="T270" s="472"/>
      <c r="U270" s="472"/>
      <c r="V270" s="472"/>
      <c r="W270" s="472"/>
      <c r="X270" s="472"/>
      <c r="Y270" s="472"/>
      <c r="Z270" s="472"/>
      <c r="AA270" s="472"/>
    </row>
    <row r="271" outlineLevel="1">
      <c r="A271" s="494">
        <f>IFERROR(__xludf.DUMMYFUNCTION("""COMPUTED_VALUE"""),9.7750089571E10)</f>
        <v>97750089571</v>
      </c>
      <c r="B271" s="485" t="str">
        <f>IFERROR(__xludf.DUMMYFUNCTION("""COMPUTED_VALUE"""),"PAULO HENRIQUE MACIEL DA SILVA")</f>
        <v>PAULO HENRIQUE MACIEL DA SILVA</v>
      </c>
      <c r="C271" s="486">
        <f>IFERROR(__xludf.DUMMYFUNCTION("""COMPUTED_VALUE"""),7.5)</f>
        <v>7.5</v>
      </c>
      <c r="D271" s="487"/>
      <c r="E271" s="486"/>
      <c r="F271" s="495"/>
      <c r="G271" s="472"/>
      <c r="H271" s="472"/>
      <c r="I271" s="472"/>
      <c r="J271" s="472"/>
      <c r="K271" s="472"/>
      <c r="L271" s="472"/>
      <c r="M271" s="472"/>
      <c r="N271" s="472"/>
      <c r="O271" s="472"/>
      <c r="P271" s="472"/>
      <c r="Q271" s="472"/>
      <c r="R271" s="472"/>
      <c r="S271" s="472"/>
      <c r="T271" s="472"/>
      <c r="U271" s="472"/>
      <c r="V271" s="472"/>
      <c r="W271" s="472"/>
      <c r="X271" s="472"/>
      <c r="Y271" s="472"/>
      <c r="Z271" s="472"/>
      <c r="AA271" s="472"/>
    </row>
    <row r="272" outlineLevel="1">
      <c r="A272" s="494">
        <f>IFERROR(__xludf.DUMMYFUNCTION("""COMPUTED_VALUE"""),3.6620091967E10)</f>
        <v>36620091967</v>
      </c>
      <c r="B272" s="485" t="str">
        <f>IFERROR(__xludf.DUMMYFUNCTION("""COMPUTED_VALUE"""),"WANESSA MARIA COSTA CAVALCANTE BRANDAO")</f>
        <v>WANESSA MARIA COSTA CAVALCANTE BRANDAO</v>
      </c>
      <c r="C272" s="486">
        <f>IFERROR(__xludf.DUMMYFUNCTION("""COMPUTED_VALUE"""),6.5)</f>
        <v>6.5</v>
      </c>
      <c r="D272" s="487"/>
      <c r="E272" s="486"/>
      <c r="F272" s="495"/>
      <c r="G272" s="472"/>
      <c r="H272" s="472"/>
      <c r="I272" s="472"/>
      <c r="J272" s="472"/>
      <c r="K272" s="472"/>
      <c r="L272" s="472"/>
      <c r="M272" s="472"/>
      <c r="N272" s="472"/>
      <c r="O272" s="472"/>
      <c r="P272" s="472"/>
      <c r="Q272" s="472"/>
      <c r="R272" s="472"/>
      <c r="S272" s="472"/>
      <c r="T272" s="472"/>
      <c r="U272" s="472"/>
      <c r="V272" s="472"/>
      <c r="W272" s="472"/>
      <c r="X272" s="472"/>
      <c r="Y272" s="472"/>
      <c r="Z272" s="472"/>
      <c r="AA272" s="472"/>
    </row>
    <row r="273">
      <c r="A273" s="478" t="str">
        <f>IFERROR(__xludf.DUMMYFUNCTION("""COMPUTED_VALUE"""),"XXI - ESP - EQUIDADE DE GÊNERO NO CAMPO DA SAÚDE")</f>
        <v>XXI - ESP - EQUIDADE DE GÊNERO NO CAMPO DA SAÚDE</v>
      </c>
      <c r="B273" s="479"/>
      <c r="C273" s="479"/>
      <c r="D273" s="479"/>
      <c r="E273" s="479"/>
      <c r="F273" s="480"/>
      <c r="G273" s="472"/>
      <c r="H273" s="472"/>
      <c r="I273" s="472"/>
      <c r="J273" s="472"/>
      <c r="K273" s="472"/>
      <c r="L273" s="472"/>
      <c r="M273" s="472"/>
      <c r="N273" s="472"/>
      <c r="O273" s="472"/>
      <c r="P273" s="472"/>
      <c r="Q273" s="472"/>
      <c r="R273" s="472"/>
      <c r="S273" s="472"/>
      <c r="T273" s="472"/>
      <c r="U273" s="472"/>
      <c r="V273" s="472"/>
      <c r="W273" s="472"/>
      <c r="X273" s="472"/>
      <c r="Y273" s="472"/>
      <c r="Z273" s="472"/>
      <c r="AA273" s="472"/>
    </row>
    <row r="274" outlineLevel="1">
      <c r="A274" s="481" t="str">
        <f>IFERROR(__xludf.DUMMYFUNCTION("""COMPUTED_VALUE"""),"INSCRIÇÃO")</f>
        <v>INSCRIÇÃO</v>
      </c>
      <c r="B274" s="482" t="str">
        <f>IFERROR(__xludf.DUMMYFUNCTION("""COMPUTED_VALUE"""),"CANDIDATOS")</f>
        <v>CANDIDATOS</v>
      </c>
      <c r="C274" s="481" t="str">
        <f>IFERROR(__xludf.DUMMYFUNCTION("""COMPUTED_VALUE"""),"NF")</f>
        <v>NF</v>
      </c>
      <c r="D274" s="483" t="str">
        <f>IFERROR(__xludf.DUMMYFUNCTION("""COMPUTED_VALUE"""),"CONVOCADO(A)")</f>
        <v>CONVOCADO(A)</v>
      </c>
      <c r="E274" s="483" t="str">
        <f>IFERROR(__xludf.DUMMYFUNCTION("""COMPUTED_VALUE"""),"HOMOLOGADO(A)")</f>
        <v>HOMOLOGADO(A)</v>
      </c>
      <c r="F274" s="483" t="str">
        <f>IFERROR(__xludf.DUMMYFUNCTION("""COMPUTED_VALUE"""),"GERÊNCIA")</f>
        <v>GERÊNCIA</v>
      </c>
      <c r="G274" s="472"/>
      <c r="H274" s="472"/>
      <c r="I274" s="472"/>
      <c r="J274" s="472"/>
      <c r="K274" s="472"/>
      <c r="L274" s="472"/>
      <c r="M274" s="472"/>
      <c r="N274" s="472"/>
      <c r="O274" s="472"/>
      <c r="P274" s="472"/>
      <c r="Q274" s="472"/>
      <c r="R274" s="472"/>
      <c r="S274" s="472"/>
      <c r="T274" s="472"/>
      <c r="U274" s="472"/>
      <c r="V274" s="472"/>
      <c r="W274" s="472"/>
      <c r="X274" s="472"/>
      <c r="Y274" s="472"/>
      <c r="Z274" s="472"/>
      <c r="AA274" s="472"/>
    </row>
    <row r="275" outlineLevel="1">
      <c r="A275" s="484">
        <f>IFERROR(__xludf.DUMMYFUNCTION("""COMPUTED_VALUE"""),6.45560092154E11)</f>
        <v>645560092154</v>
      </c>
      <c r="B275" s="485" t="str">
        <f>IFERROR(__xludf.DUMMYFUNCTION("""COMPUTED_VALUE"""),"GLADYS PONTES ANDRADE COSTA")</f>
        <v>GLADYS PONTES ANDRADE COSTA</v>
      </c>
      <c r="C275" s="486">
        <f>IFERROR(__xludf.DUMMYFUNCTION("""COMPUTED_VALUE"""),6.0)</f>
        <v>6</v>
      </c>
      <c r="D275" s="487"/>
      <c r="E275" s="486"/>
      <c r="F275" s="495"/>
      <c r="G275" s="472"/>
      <c r="H275" s="472"/>
      <c r="I275" s="472"/>
      <c r="J275" s="472"/>
      <c r="K275" s="472"/>
      <c r="L275" s="472"/>
      <c r="M275" s="472"/>
      <c r="N275" s="472"/>
      <c r="O275" s="472"/>
      <c r="P275" s="472"/>
      <c r="Q275" s="472"/>
      <c r="R275" s="472"/>
      <c r="S275" s="472"/>
      <c r="T275" s="472"/>
      <c r="U275" s="472"/>
      <c r="V275" s="472"/>
      <c r="W275" s="472"/>
      <c r="X275" s="472"/>
      <c r="Y275" s="472"/>
      <c r="Z275" s="472"/>
      <c r="AA275" s="472"/>
    </row>
    <row r="276">
      <c r="A276" s="478" t="str">
        <f>IFERROR(__xludf.DUMMYFUNCTION("""COMPUTED_VALUE"""),"XXII - ESP - SAÚDE INDÍGENA")</f>
        <v>XXII - ESP - SAÚDE INDÍGENA</v>
      </c>
      <c r="B276" s="479"/>
      <c r="C276" s="479"/>
      <c r="D276" s="479"/>
      <c r="E276" s="479"/>
      <c r="F276" s="480"/>
      <c r="G276" s="472"/>
      <c r="H276" s="472"/>
      <c r="I276" s="472"/>
      <c r="J276" s="472"/>
      <c r="K276" s="472"/>
      <c r="L276" s="472"/>
      <c r="M276" s="472"/>
      <c r="N276" s="472"/>
      <c r="O276" s="472"/>
      <c r="P276" s="472"/>
      <c r="Q276" s="472"/>
      <c r="R276" s="472"/>
      <c r="S276" s="472"/>
      <c r="T276" s="472"/>
      <c r="U276" s="472"/>
      <c r="V276" s="472"/>
      <c r="W276" s="472"/>
      <c r="X276" s="472"/>
      <c r="Y276" s="472"/>
      <c r="Z276" s="472"/>
      <c r="AA276" s="472"/>
    </row>
    <row r="277" outlineLevel="1">
      <c r="A277" s="481" t="str">
        <f>IFERROR(__xludf.DUMMYFUNCTION("""COMPUTED_VALUE"""),"INSCRIÇÃO")</f>
        <v>INSCRIÇÃO</v>
      </c>
      <c r="B277" s="482" t="str">
        <f>IFERROR(__xludf.DUMMYFUNCTION("""COMPUTED_VALUE"""),"CANDIDATOS")</f>
        <v>CANDIDATOS</v>
      </c>
      <c r="C277" s="481" t="str">
        <f>IFERROR(__xludf.DUMMYFUNCTION("""COMPUTED_VALUE"""),"NF")</f>
        <v>NF</v>
      </c>
      <c r="D277" s="483" t="str">
        <f>IFERROR(__xludf.DUMMYFUNCTION("""COMPUTED_VALUE"""),"CONVOCADO(A)")</f>
        <v>CONVOCADO(A)</v>
      </c>
      <c r="E277" s="483" t="str">
        <f>IFERROR(__xludf.DUMMYFUNCTION("""COMPUTED_VALUE"""),"HOMOLOGADO(A)")</f>
        <v>HOMOLOGADO(A)</v>
      </c>
      <c r="F277" s="483" t="str">
        <f>IFERROR(__xludf.DUMMYFUNCTION("""COMPUTED_VALUE"""),"GERÊNCIA")</f>
        <v>GERÊNCIA</v>
      </c>
      <c r="G277" s="472"/>
      <c r="H277" s="472"/>
      <c r="I277" s="472"/>
      <c r="J277" s="472"/>
      <c r="K277" s="472"/>
      <c r="L277" s="472"/>
      <c r="M277" s="472"/>
      <c r="N277" s="472"/>
      <c r="O277" s="472"/>
      <c r="P277" s="472"/>
      <c r="Q277" s="472"/>
      <c r="R277" s="472"/>
      <c r="S277" s="472"/>
      <c r="T277" s="472"/>
      <c r="U277" s="472"/>
      <c r="V277" s="472"/>
      <c r="W277" s="472"/>
      <c r="X277" s="472"/>
      <c r="Y277" s="472"/>
      <c r="Z277" s="472"/>
      <c r="AA277" s="472"/>
    </row>
    <row r="278" outlineLevel="1">
      <c r="A278" s="484">
        <f>IFERROR(__xludf.DUMMYFUNCTION("""COMPUTED_VALUE"""),4.93810092562E11)</f>
        <v>493810092562</v>
      </c>
      <c r="B278" s="485" t="str">
        <f>IFERROR(__xludf.DUMMYFUNCTION("""COMPUTED_VALUE"""),"VITORIA CHRISTINE LISBOA DE ANDRADE")</f>
        <v>VITORIA CHRISTINE LISBOA DE ANDRADE</v>
      </c>
      <c r="C278" s="486">
        <f>IFERROR(__xludf.DUMMYFUNCTION("""COMPUTED_VALUE"""),6.0)</f>
        <v>6</v>
      </c>
      <c r="D278" s="487"/>
      <c r="E278" s="486"/>
      <c r="F278" s="495"/>
      <c r="G278" s="472"/>
      <c r="H278" s="472"/>
      <c r="I278" s="472"/>
      <c r="J278" s="472"/>
      <c r="K278" s="472"/>
      <c r="L278" s="472"/>
      <c r="M278" s="472"/>
      <c r="N278" s="472"/>
      <c r="O278" s="472"/>
      <c r="P278" s="472"/>
      <c r="Q278" s="472"/>
      <c r="R278" s="472"/>
      <c r="S278" s="472"/>
      <c r="T278" s="472"/>
      <c r="U278" s="472"/>
      <c r="V278" s="472"/>
      <c r="W278" s="472"/>
      <c r="X278" s="472"/>
      <c r="Y278" s="472"/>
      <c r="Z278" s="472"/>
      <c r="AA278" s="472"/>
    </row>
    <row r="279">
      <c r="A279" s="478" t="str">
        <f>IFERROR(__xludf.DUMMYFUNCTION("""COMPUTED_VALUE"""),"XXIII - ESP - VIOLÊNCIAS E SAÚDE")</f>
        <v>XXIII - ESP - VIOLÊNCIAS E SAÚDE</v>
      </c>
      <c r="B279" s="479"/>
      <c r="C279" s="479"/>
      <c r="D279" s="479"/>
      <c r="E279" s="479"/>
      <c r="F279" s="480"/>
      <c r="G279" s="472"/>
      <c r="H279" s="472"/>
      <c r="I279" s="472"/>
      <c r="J279" s="472"/>
      <c r="K279" s="472"/>
      <c r="L279" s="472"/>
      <c r="M279" s="472"/>
      <c r="N279" s="472"/>
      <c r="O279" s="472"/>
      <c r="P279" s="472"/>
      <c r="Q279" s="472"/>
      <c r="R279" s="472"/>
      <c r="S279" s="472"/>
      <c r="T279" s="472"/>
      <c r="U279" s="472"/>
      <c r="V279" s="472"/>
      <c r="W279" s="472"/>
      <c r="X279" s="472"/>
      <c r="Y279" s="472"/>
      <c r="Z279" s="472"/>
      <c r="AA279" s="472"/>
    </row>
    <row r="280" outlineLevel="1">
      <c r="A280" s="481" t="str">
        <f>IFERROR(__xludf.DUMMYFUNCTION("""COMPUTED_VALUE"""),"INSCRIÇÃO")</f>
        <v>INSCRIÇÃO</v>
      </c>
      <c r="B280" s="482" t="str">
        <f>IFERROR(__xludf.DUMMYFUNCTION("""COMPUTED_VALUE"""),"CANDIDATOS")</f>
        <v>CANDIDATOS</v>
      </c>
      <c r="C280" s="481" t="str">
        <f>IFERROR(__xludf.DUMMYFUNCTION("""COMPUTED_VALUE"""),"NF")</f>
        <v>NF</v>
      </c>
      <c r="D280" s="483" t="str">
        <f>IFERROR(__xludf.DUMMYFUNCTION("""COMPUTED_VALUE"""),"CONVOCADO(A)")</f>
        <v>CONVOCADO(A)</v>
      </c>
      <c r="E280" s="483" t="str">
        <f>IFERROR(__xludf.DUMMYFUNCTION("""COMPUTED_VALUE"""),"HOMOLOGADO(A)")</f>
        <v>HOMOLOGADO(A)</v>
      </c>
      <c r="F280" s="483" t="str">
        <f>IFERROR(__xludf.DUMMYFUNCTION("""COMPUTED_VALUE"""),"GERÊNCIA")</f>
        <v>GERÊNCIA</v>
      </c>
      <c r="G280" s="472"/>
      <c r="H280" s="472"/>
      <c r="I280" s="472"/>
      <c r="J280" s="472"/>
      <c r="K280" s="472"/>
      <c r="L280" s="472"/>
      <c r="M280" s="472"/>
      <c r="N280" s="472"/>
      <c r="O280" s="472"/>
      <c r="P280" s="472"/>
      <c r="Q280" s="472"/>
      <c r="R280" s="472"/>
      <c r="S280" s="472"/>
      <c r="T280" s="472"/>
      <c r="U280" s="472"/>
      <c r="V280" s="472"/>
      <c r="W280" s="472"/>
      <c r="X280" s="472"/>
      <c r="Y280" s="472"/>
      <c r="Z280" s="472"/>
      <c r="AA280" s="472"/>
    </row>
    <row r="281" outlineLevel="1">
      <c r="A281" s="489">
        <f>IFERROR(__xludf.DUMMYFUNCTION("""COMPUTED_VALUE"""),7.74020093563E11)</f>
        <v>774020093563</v>
      </c>
      <c r="B281" s="490" t="str">
        <f>IFERROR(__xludf.DUMMYFUNCTION("""COMPUTED_VALUE"""),"JOELSON ALVES DA SILVA")</f>
        <v>JOELSON ALVES DA SILVA</v>
      </c>
      <c r="C281" s="491">
        <f>IFERROR(__xludf.DUMMYFUNCTION("""COMPUTED_VALUE"""),7.0)</f>
        <v>7</v>
      </c>
      <c r="D281" s="492" t="str">
        <f>IFERROR(__xludf.DUMMYFUNCTION("""COMPUTED_VALUE"""),"SIM")</f>
        <v>SIM</v>
      </c>
      <c r="E281" s="493" t="str">
        <f>IFERROR(__xludf.DUMMYFUNCTION("""COMPUTED_VALUE"""),"SIM")</f>
        <v>SIM</v>
      </c>
      <c r="F281" s="493" t="str">
        <f>IFERROR(__xludf.DUMMYFUNCTION("""COMPUTED_VALUE"""),"GEPRO")</f>
        <v>GEPRO</v>
      </c>
      <c r="G281" s="472"/>
      <c r="H281" s="472"/>
      <c r="I281" s="472"/>
      <c r="J281" s="472"/>
      <c r="K281" s="472"/>
      <c r="L281" s="472"/>
      <c r="M281" s="472"/>
      <c r="N281" s="472"/>
      <c r="O281" s="472"/>
      <c r="P281" s="472"/>
      <c r="Q281" s="472"/>
      <c r="R281" s="472"/>
      <c r="S281" s="472"/>
      <c r="T281" s="472"/>
      <c r="U281" s="472"/>
      <c r="V281" s="472"/>
      <c r="W281" s="472"/>
      <c r="X281" s="472"/>
      <c r="Y281" s="472"/>
      <c r="Z281" s="472"/>
      <c r="AA281" s="472"/>
    </row>
    <row r="282">
      <c r="A282" s="472"/>
      <c r="B282" s="472"/>
      <c r="C282" s="472"/>
      <c r="D282" s="472"/>
      <c r="E282" s="472"/>
      <c r="F282" s="472"/>
      <c r="G282" s="472"/>
      <c r="H282" s="472"/>
      <c r="I282" s="472"/>
      <c r="J282" s="472"/>
      <c r="K282" s="472"/>
      <c r="L282" s="472"/>
      <c r="M282" s="472"/>
      <c r="N282" s="472"/>
      <c r="O282" s="472"/>
      <c r="P282" s="472"/>
      <c r="Q282" s="472"/>
      <c r="R282" s="472"/>
      <c r="S282" s="472"/>
      <c r="T282" s="472"/>
      <c r="U282" s="472"/>
      <c r="V282" s="472"/>
      <c r="W282" s="472"/>
      <c r="X282" s="472"/>
      <c r="Y282" s="472"/>
      <c r="Z282" s="472"/>
      <c r="AA282" s="472"/>
    </row>
    <row r="283">
      <c r="A283" s="500" t="str">
        <f>IFERROR(__xludf.DUMMYFUNCTION("IMPORTRANGE(""https://docs.google.com/spreadsheets/d/1bZfKD3fMqGkr4zlt8PWm8kvhnhcpEqpWdmEG9qrEuJk/edit?usp=sharing"",""MESTRADO!A2:F378"")"),"BOLSA DE PROFESSOR-VISITANTE - MESTRADO")</f>
        <v>BOLSA DE PROFESSOR-VISITANTE - MESTRADO</v>
      </c>
      <c r="B283" s="501"/>
      <c r="C283" s="501"/>
      <c r="D283" s="501"/>
      <c r="E283" s="501"/>
      <c r="F283" s="502"/>
      <c r="G283" s="472"/>
      <c r="H283" s="472"/>
      <c r="I283" s="472"/>
      <c r="J283" s="472"/>
      <c r="K283" s="472"/>
      <c r="L283" s="472"/>
      <c r="M283" s="472"/>
      <c r="N283" s="472"/>
      <c r="O283" s="472"/>
      <c r="P283" s="472"/>
      <c r="Q283" s="472"/>
      <c r="R283" s="472"/>
      <c r="S283" s="472"/>
      <c r="T283" s="472"/>
      <c r="U283" s="472"/>
      <c r="V283" s="472"/>
      <c r="W283" s="472"/>
      <c r="X283" s="472"/>
      <c r="Y283" s="472"/>
      <c r="Z283" s="472"/>
      <c r="AA283" s="472"/>
    </row>
    <row r="284">
      <c r="A284" s="478" t="str">
        <f>IFERROR(__xludf.DUMMYFUNCTION("""COMPUTED_VALUE"""),"I - MES - VIGILÂNCIA EM SAÚDE")</f>
        <v>I - MES - VIGILÂNCIA EM SAÚDE</v>
      </c>
      <c r="B284" s="479"/>
      <c r="C284" s="479"/>
      <c r="D284" s="479"/>
      <c r="E284" s="479"/>
      <c r="F284" s="480"/>
      <c r="G284" s="472"/>
      <c r="H284" s="472"/>
      <c r="I284" s="472"/>
      <c r="J284" s="472"/>
      <c r="K284" s="472"/>
      <c r="L284" s="472"/>
      <c r="M284" s="472"/>
      <c r="N284" s="472"/>
      <c r="O284" s="472"/>
      <c r="P284" s="472"/>
      <c r="Q284" s="472"/>
      <c r="R284" s="472"/>
      <c r="S284" s="472"/>
      <c r="T284" s="472"/>
      <c r="U284" s="472"/>
      <c r="V284" s="472"/>
      <c r="W284" s="472"/>
      <c r="X284" s="472"/>
      <c r="Y284" s="472"/>
      <c r="Z284" s="472"/>
      <c r="AA284" s="472"/>
    </row>
    <row r="285" outlineLevel="1">
      <c r="A285" s="481" t="str">
        <f>IFERROR(__xludf.DUMMYFUNCTION("""COMPUTED_VALUE"""),"INSCRIÇÃO")</f>
        <v>INSCRIÇÃO</v>
      </c>
      <c r="B285" s="482" t="str">
        <f>IFERROR(__xludf.DUMMYFUNCTION("""COMPUTED_VALUE"""),"CANDIDATOS")</f>
        <v>CANDIDATOS</v>
      </c>
      <c r="C285" s="481" t="str">
        <f>IFERROR(__xludf.DUMMYFUNCTION("""COMPUTED_VALUE"""),"NF")</f>
        <v>NF</v>
      </c>
      <c r="D285" s="483" t="str">
        <f>IFERROR(__xludf.DUMMYFUNCTION("""COMPUTED_VALUE"""),"CONVOCADO(A)")</f>
        <v>CONVOCADO(A)</v>
      </c>
      <c r="E285" s="483" t="str">
        <f>IFERROR(__xludf.DUMMYFUNCTION("""COMPUTED_VALUE"""),"HOMOLOGADO(A)")</f>
        <v>HOMOLOGADO(A)</v>
      </c>
      <c r="F285" s="483" t="str">
        <f>IFERROR(__xludf.DUMMYFUNCTION("""COMPUTED_VALUE"""),"GERÊNCIA")</f>
        <v>GERÊNCIA</v>
      </c>
      <c r="G285" s="472"/>
      <c r="H285" s="472"/>
      <c r="I285" s="472"/>
      <c r="J285" s="472"/>
      <c r="K285" s="472"/>
      <c r="L285" s="472"/>
      <c r="M285" s="472"/>
      <c r="N285" s="472"/>
      <c r="O285" s="472"/>
      <c r="P285" s="472"/>
      <c r="Q285" s="472"/>
      <c r="R285" s="472"/>
      <c r="S285" s="472"/>
      <c r="T285" s="472"/>
      <c r="U285" s="472"/>
      <c r="V285" s="472"/>
      <c r="W285" s="472"/>
      <c r="X285" s="472"/>
      <c r="Y285" s="472"/>
      <c r="Z285" s="472"/>
      <c r="AA285" s="472"/>
    </row>
    <row r="286" outlineLevel="1">
      <c r="A286" s="484">
        <f>IFERROR(__xludf.DUMMYFUNCTION("""COMPUTED_VALUE"""),5.10837091205E11)</f>
        <v>510837091205</v>
      </c>
      <c r="B286" s="485" t="str">
        <f>IFERROR(__xludf.DUMMYFUNCTION("""COMPUTED_VALUE"""),"FABIANNE FERREIRA COSTA RÓSEO")</f>
        <v>FABIANNE FERREIRA COSTA RÓSEO</v>
      </c>
      <c r="C286" s="486">
        <f>IFERROR(__xludf.DUMMYFUNCTION("""COMPUTED_VALUE"""),10.0)</f>
        <v>10</v>
      </c>
      <c r="D286" s="487" t="str">
        <f>IFERROR(__xludf.DUMMYFUNCTION("""COMPUTED_VALUE"""),"SIM")</f>
        <v>SIM</v>
      </c>
      <c r="E286" s="486" t="str">
        <f>IFERROR(__xludf.DUMMYFUNCTION("""COMPUTED_VALUE"""),"SIM")</f>
        <v>SIM</v>
      </c>
      <c r="F286" s="486" t="str">
        <f>IFERROR(__xludf.DUMMYFUNCTION("""COMPUTED_VALUE"""),"GEDUC")</f>
        <v>GEDUC</v>
      </c>
      <c r="G286" s="472"/>
      <c r="H286" s="472"/>
      <c r="I286" s="472"/>
      <c r="J286" s="472"/>
      <c r="K286" s="472"/>
      <c r="L286" s="472"/>
      <c r="M286" s="472"/>
      <c r="N286" s="472"/>
      <c r="O286" s="472"/>
      <c r="P286" s="472"/>
      <c r="Q286" s="472"/>
      <c r="R286" s="472"/>
      <c r="S286" s="472"/>
      <c r="T286" s="472"/>
      <c r="U286" s="472"/>
      <c r="V286" s="472"/>
      <c r="W286" s="472"/>
      <c r="X286" s="472"/>
      <c r="Y286" s="472"/>
      <c r="Z286" s="472"/>
      <c r="AA286" s="472"/>
    </row>
    <row r="287" outlineLevel="1">
      <c r="A287" s="484">
        <f>IFERROR(__xludf.DUMMYFUNCTION("""COMPUTED_VALUE"""),2.6950909291E11)</f>
        <v>269509092910</v>
      </c>
      <c r="B287" s="485" t="str">
        <f>IFERROR(__xludf.DUMMYFUNCTION("""COMPUTED_VALUE"""),"ANA PAULA AGOSTINHO ALENCAR")</f>
        <v>ANA PAULA AGOSTINHO ALENCAR</v>
      </c>
      <c r="C287" s="486">
        <f>IFERROR(__xludf.DUMMYFUNCTION("""COMPUTED_VALUE"""),10.0)</f>
        <v>10</v>
      </c>
      <c r="D287" s="487" t="str">
        <f>IFERROR(__xludf.DUMMYFUNCTION("""COMPUTED_VALUE"""),"SIM")</f>
        <v>SIM</v>
      </c>
      <c r="E287" s="486" t="str">
        <f>IFERROR(__xludf.DUMMYFUNCTION("""COMPUTED_VALUE"""),"SIM")</f>
        <v>SIM</v>
      </c>
      <c r="F287" s="486" t="str">
        <f>IFERROR(__xludf.DUMMYFUNCTION("""COMPUTED_VALUE"""),"GEDUC")</f>
        <v>GEDUC</v>
      </c>
      <c r="G287" s="472"/>
      <c r="H287" s="472"/>
      <c r="I287" s="472"/>
      <c r="J287" s="472"/>
      <c r="K287" s="472"/>
      <c r="L287" s="472"/>
      <c r="M287" s="472"/>
      <c r="N287" s="472"/>
      <c r="O287" s="472"/>
      <c r="P287" s="472"/>
      <c r="Q287" s="472"/>
      <c r="R287" s="472"/>
      <c r="S287" s="472"/>
      <c r="T287" s="472"/>
      <c r="U287" s="472"/>
      <c r="V287" s="472"/>
      <c r="W287" s="472"/>
      <c r="X287" s="472"/>
      <c r="Y287" s="472"/>
      <c r="Z287" s="472"/>
      <c r="AA287" s="472"/>
    </row>
    <row r="288" outlineLevel="1">
      <c r="A288" s="484">
        <f>IFERROR(__xludf.DUMMYFUNCTION("""COMPUTED_VALUE"""),6.40200088571E11)</f>
        <v>640200088571</v>
      </c>
      <c r="B288" s="485" t="str">
        <f>IFERROR(__xludf.DUMMYFUNCTION("""COMPUTED_VALUE"""),"ELINE MARA TAVARES MACEDO")</f>
        <v>ELINE MARA TAVARES MACEDO</v>
      </c>
      <c r="C288" s="486">
        <f>IFERROR(__xludf.DUMMYFUNCTION("""COMPUTED_VALUE"""),10.0)</f>
        <v>10</v>
      </c>
      <c r="D288" s="487" t="str">
        <f>IFERROR(__xludf.DUMMYFUNCTION("""COMPUTED_VALUE"""),"SIM")</f>
        <v>SIM</v>
      </c>
      <c r="E288" s="486" t="str">
        <f>IFERROR(__xludf.DUMMYFUNCTION("""COMPUTED_VALUE"""),"SIM")</f>
        <v>SIM</v>
      </c>
      <c r="F288" s="486" t="str">
        <f>IFERROR(__xludf.DUMMYFUNCTION("""COMPUTED_VALUE"""),"GEDUC")</f>
        <v>GEDUC</v>
      </c>
      <c r="G288" s="472"/>
      <c r="H288" s="472"/>
      <c r="I288" s="472"/>
      <c r="J288" s="472"/>
      <c r="K288" s="472"/>
      <c r="L288" s="472"/>
      <c r="M288" s="472"/>
      <c r="N288" s="472"/>
      <c r="O288" s="472"/>
      <c r="P288" s="472"/>
      <c r="Q288" s="472"/>
      <c r="R288" s="472"/>
      <c r="S288" s="472"/>
      <c r="T288" s="472"/>
      <c r="U288" s="472"/>
      <c r="V288" s="472"/>
      <c r="W288" s="472"/>
      <c r="X288" s="472"/>
      <c r="Y288" s="472"/>
      <c r="Z288" s="472"/>
      <c r="AA288" s="472"/>
    </row>
    <row r="289" outlineLevel="1">
      <c r="A289" s="484">
        <f>IFERROR(__xludf.DUMMYFUNCTION("""COMPUTED_VALUE"""),4.20200090392E11)</f>
        <v>420200090392</v>
      </c>
      <c r="B289" s="485" t="str">
        <f>IFERROR(__xludf.DUMMYFUNCTION("""COMPUTED_VALUE"""),"ROSIMARY DA SILVA BARBOSA")</f>
        <v>ROSIMARY DA SILVA BARBOSA</v>
      </c>
      <c r="C289" s="486">
        <f>IFERROR(__xludf.DUMMYFUNCTION("""COMPUTED_VALUE"""),10.0)</f>
        <v>10</v>
      </c>
      <c r="D289" s="487" t="str">
        <f>IFERROR(__xludf.DUMMYFUNCTION("""COMPUTED_VALUE"""),"SIM")</f>
        <v>SIM</v>
      </c>
      <c r="E289" s="486" t="str">
        <f>IFERROR(__xludf.DUMMYFUNCTION("""COMPUTED_VALUE"""),"SIM")</f>
        <v>SIM</v>
      </c>
      <c r="F289" s="486" t="str">
        <f>IFERROR(__xludf.DUMMYFUNCTION("""COMPUTED_VALUE"""),"GEDUC")</f>
        <v>GEDUC</v>
      </c>
      <c r="G289" s="472"/>
      <c r="H289" s="472"/>
      <c r="I289" s="472"/>
      <c r="J289" s="472"/>
      <c r="K289" s="472"/>
      <c r="L289" s="472"/>
      <c r="M289" s="472"/>
      <c r="N289" s="472"/>
      <c r="O289" s="472"/>
      <c r="P289" s="472"/>
      <c r="Q289" s="472"/>
      <c r="R289" s="472"/>
      <c r="S289" s="472"/>
      <c r="T289" s="472"/>
      <c r="U289" s="472"/>
      <c r="V289" s="472"/>
      <c r="W289" s="472"/>
      <c r="X289" s="472"/>
      <c r="Y289" s="472"/>
      <c r="Z289" s="472"/>
      <c r="AA289" s="472"/>
    </row>
    <row r="290" outlineLevel="1">
      <c r="A290" s="484">
        <f>IFERROR(__xludf.DUMMYFUNCTION("""COMPUTED_VALUE"""),1.08420089964E11)</f>
        <v>108420089964</v>
      </c>
      <c r="B290" s="485" t="str">
        <f>IFERROR(__xludf.DUMMYFUNCTION("""COMPUTED_VALUE"""),"FLAVIA VASCONCELOS DE ARAUJO MARTINS")</f>
        <v>FLAVIA VASCONCELOS DE ARAUJO MARTINS</v>
      </c>
      <c r="C290" s="486">
        <f>IFERROR(__xludf.DUMMYFUNCTION("""COMPUTED_VALUE"""),10.0)</f>
        <v>10</v>
      </c>
      <c r="D290" s="487" t="str">
        <f>IFERROR(__xludf.DUMMYFUNCTION("""COMPUTED_VALUE"""),"SIM")</f>
        <v>SIM</v>
      </c>
      <c r="E290" s="486" t="str">
        <f>IFERROR(__xludf.DUMMYFUNCTION("""COMPUTED_VALUE"""),"SIM")</f>
        <v>SIM</v>
      </c>
      <c r="F290" s="486" t="str">
        <f>IFERROR(__xludf.DUMMYFUNCTION("""COMPUTED_VALUE"""),"GEDUC")</f>
        <v>GEDUC</v>
      </c>
      <c r="G290" s="472"/>
      <c r="H290" s="472"/>
      <c r="I290" s="472"/>
      <c r="J290" s="472"/>
      <c r="K290" s="472"/>
      <c r="L290" s="472"/>
      <c r="M290" s="472"/>
      <c r="N290" s="472"/>
      <c r="O290" s="472"/>
      <c r="P290" s="472"/>
      <c r="Q290" s="472"/>
      <c r="R290" s="472"/>
      <c r="S290" s="472"/>
      <c r="T290" s="472"/>
      <c r="U290" s="472"/>
      <c r="V290" s="472"/>
      <c r="W290" s="472"/>
      <c r="X290" s="472"/>
      <c r="Y290" s="472"/>
      <c r="Z290" s="472"/>
      <c r="AA290" s="472"/>
    </row>
    <row r="291" outlineLevel="1">
      <c r="A291" s="484">
        <f>IFERROR(__xludf.DUMMYFUNCTION("""COMPUTED_VALUE"""),7.23350089849E11)</f>
        <v>723350089849</v>
      </c>
      <c r="B291" s="485" t="str">
        <f>IFERROR(__xludf.DUMMYFUNCTION("""COMPUTED_VALUE"""),"LUCIELMO FAUSTINO SOUZA")</f>
        <v>LUCIELMO FAUSTINO SOUZA</v>
      </c>
      <c r="C291" s="486">
        <f>IFERROR(__xludf.DUMMYFUNCTION("""COMPUTED_VALUE"""),10.0)</f>
        <v>10</v>
      </c>
      <c r="D291" s="487"/>
      <c r="E291" s="486"/>
      <c r="F291" s="486"/>
      <c r="G291" s="472"/>
      <c r="H291" s="472"/>
      <c r="I291" s="472"/>
      <c r="J291" s="472"/>
      <c r="K291" s="472"/>
      <c r="L291" s="472"/>
      <c r="M291" s="472"/>
      <c r="N291" s="472"/>
      <c r="O291" s="472"/>
      <c r="P291" s="472"/>
      <c r="Q291" s="472"/>
      <c r="R291" s="472"/>
      <c r="S291" s="472"/>
      <c r="T291" s="472"/>
      <c r="U291" s="472"/>
      <c r="V291" s="472"/>
      <c r="W291" s="472"/>
      <c r="X291" s="472"/>
      <c r="Y291" s="472"/>
      <c r="Z291" s="472"/>
      <c r="AA291" s="472"/>
    </row>
    <row r="292" outlineLevel="1">
      <c r="A292" s="484">
        <f>IFERROR(__xludf.DUMMYFUNCTION("""COMPUTED_VALUE"""),9.90700093545E11)</f>
        <v>990700093545</v>
      </c>
      <c r="B292" s="485" t="str">
        <f>IFERROR(__xludf.DUMMYFUNCTION("""COMPUTED_VALUE"""),"FRANCISCO TARCÍSIO SEABRA FILHO")</f>
        <v>FRANCISCO TARCÍSIO SEABRA FILHO</v>
      </c>
      <c r="C292" s="486">
        <f>IFERROR(__xludf.DUMMYFUNCTION("""COMPUTED_VALUE"""),9.5)</f>
        <v>9.5</v>
      </c>
      <c r="D292" s="487"/>
      <c r="E292" s="486"/>
      <c r="F292" s="486"/>
      <c r="G292" s="472"/>
      <c r="H292" s="472"/>
      <c r="I292" s="472"/>
      <c r="J292" s="472"/>
      <c r="K292" s="472"/>
      <c r="L292" s="472"/>
      <c r="M292" s="472"/>
      <c r="N292" s="472"/>
      <c r="O292" s="472"/>
      <c r="P292" s="472"/>
      <c r="Q292" s="472"/>
      <c r="R292" s="472"/>
      <c r="S292" s="472"/>
      <c r="T292" s="472"/>
      <c r="U292" s="472"/>
      <c r="V292" s="472"/>
      <c r="W292" s="472"/>
      <c r="X292" s="472"/>
      <c r="Y292" s="472"/>
      <c r="Z292" s="472"/>
      <c r="AA292" s="472"/>
    </row>
    <row r="293" outlineLevel="1">
      <c r="A293" s="484">
        <f>IFERROR(__xludf.DUMMYFUNCTION("""COMPUTED_VALUE"""),3.68300093639E11)</f>
        <v>368300093639</v>
      </c>
      <c r="B293" s="485" t="str">
        <f>IFERROR(__xludf.DUMMYFUNCTION("""COMPUTED_VALUE"""),"GLÁUCIA PORTO DE FREITAS")</f>
        <v>GLÁUCIA PORTO DE FREITAS</v>
      </c>
      <c r="C293" s="486">
        <f>IFERROR(__xludf.DUMMYFUNCTION("""COMPUTED_VALUE"""),9.0)</f>
        <v>9</v>
      </c>
      <c r="D293" s="487"/>
      <c r="E293" s="486"/>
      <c r="F293" s="486"/>
      <c r="G293" s="472"/>
      <c r="H293" s="472"/>
      <c r="I293" s="472"/>
      <c r="J293" s="472"/>
      <c r="K293" s="472"/>
      <c r="L293" s="472"/>
      <c r="M293" s="472"/>
      <c r="N293" s="472"/>
      <c r="O293" s="472"/>
      <c r="P293" s="472"/>
      <c r="Q293" s="472"/>
      <c r="R293" s="472"/>
      <c r="S293" s="472"/>
      <c r="T293" s="472"/>
      <c r="U293" s="472"/>
      <c r="V293" s="472"/>
      <c r="W293" s="472"/>
      <c r="X293" s="472"/>
      <c r="Y293" s="472"/>
      <c r="Z293" s="472"/>
      <c r="AA293" s="472"/>
    </row>
    <row r="294" outlineLevel="1">
      <c r="A294" s="484">
        <f>IFERROR(__xludf.DUMMYFUNCTION("""COMPUTED_VALUE"""),3.98620093475E11)</f>
        <v>398620093475</v>
      </c>
      <c r="B294" s="485" t="str">
        <f>IFERROR(__xludf.DUMMYFUNCTION("""COMPUTED_VALUE"""),"VIVIANE DE AMORIM DUARTE")</f>
        <v>VIVIANE DE AMORIM DUARTE</v>
      </c>
      <c r="C294" s="486">
        <f>IFERROR(__xludf.DUMMYFUNCTION("""COMPUTED_VALUE"""),9.0)</f>
        <v>9</v>
      </c>
      <c r="D294" s="487"/>
      <c r="E294" s="486"/>
      <c r="F294" s="486"/>
      <c r="G294" s="472"/>
      <c r="H294" s="472"/>
      <c r="I294" s="472"/>
      <c r="J294" s="472"/>
      <c r="K294" s="472"/>
      <c r="L294" s="472"/>
      <c r="M294" s="472"/>
      <c r="N294" s="472"/>
      <c r="O294" s="472"/>
      <c r="P294" s="472"/>
      <c r="Q294" s="472"/>
      <c r="R294" s="472"/>
      <c r="S294" s="472"/>
      <c r="T294" s="472"/>
      <c r="U294" s="472"/>
      <c r="V294" s="472"/>
      <c r="W294" s="472"/>
      <c r="X294" s="472"/>
      <c r="Y294" s="472"/>
      <c r="Z294" s="472"/>
      <c r="AA294" s="472"/>
    </row>
    <row r="295" outlineLevel="1">
      <c r="A295" s="484">
        <f>IFERROR(__xludf.DUMMYFUNCTION("""COMPUTED_VALUE"""),1.63120091159E11)</f>
        <v>163120091159</v>
      </c>
      <c r="B295" s="485" t="str">
        <f>IFERROR(__xludf.DUMMYFUNCTION("""COMPUTED_VALUE"""),"FRANCISCA JESSIKA NUNES DE MOURA")</f>
        <v>FRANCISCA JESSIKA NUNES DE MOURA</v>
      </c>
      <c r="C295" s="486">
        <f>IFERROR(__xludf.DUMMYFUNCTION("""COMPUTED_VALUE"""),9.0)</f>
        <v>9</v>
      </c>
      <c r="D295" s="487"/>
      <c r="E295" s="486"/>
      <c r="F295" s="486"/>
      <c r="G295" s="472"/>
      <c r="H295" s="472"/>
      <c r="I295" s="472"/>
      <c r="J295" s="472"/>
      <c r="K295" s="472"/>
      <c r="L295" s="472"/>
      <c r="M295" s="472"/>
      <c r="N295" s="472"/>
      <c r="O295" s="472"/>
      <c r="P295" s="472"/>
      <c r="Q295" s="472"/>
      <c r="R295" s="472"/>
      <c r="S295" s="472"/>
      <c r="T295" s="472"/>
      <c r="U295" s="472"/>
      <c r="V295" s="472"/>
      <c r="W295" s="472"/>
      <c r="X295" s="472"/>
      <c r="Y295" s="472"/>
      <c r="Z295" s="472"/>
      <c r="AA295" s="472"/>
    </row>
    <row r="296" outlineLevel="1">
      <c r="A296" s="484">
        <f>IFERROR(__xludf.DUMMYFUNCTION("""COMPUTED_VALUE"""),3.60957088702E11)</f>
        <v>360957088702</v>
      </c>
      <c r="B296" s="485" t="str">
        <f>IFERROR(__xludf.DUMMYFUNCTION("""COMPUTED_VALUE"""),"VIVIAN DA SILVA GOMES")</f>
        <v>VIVIAN DA SILVA GOMES</v>
      </c>
      <c r="C296" s="486">
        <f>IFERROR(__xludf.DUMMYFUNCTION("""COMPUTED_VALUE"""),8.0)</f>
        <v>8</v>
      </c>
      <c r="D296" s="487"/>
      <c r="E296" s="486"/>
      <c r="F296" s="486"/>
      <c r="G296" s="472"/>
      <c r="H296" s="472"/>
      <c r="I296" s="472"/>
      <c r="J296" s="472"/>
      <c r="K296" s="472"/>
      <c r="L296" s="472"/>
      <c r="M296" s="472"/>
      <c r="N296" s="472"/>
      <c r="O296" s="472"/>
      <c r="P296" s="472"/>
      <c r="Q296" s="472"/>
      <c r="R296" s="472"/>
      <c r="S296" s="472"/>
      <c r="T296" s="472"/>
      <c r="U296" s="472"/>
      <c r="V296" s="472"/>
      <c r="W296" s="472"/>
      <c r="X296" s="472"/>
      <c r="Y296" s="472"/>
      <c r="Z296" s="472"/>
      <c r="AA296" s="472"/>
    </row>
    <row r="297" outlineLevel="1">
      <c r="A297" s="484">
        <f>IFERROR(__xludf.DUMMYFUNCTION("""COMPUTED_VALUE"""),4.1690809236E11)</f>
        <v>416908092360</v>
      </c>
      <c r="B297" s="485" t="str">
        <f>IFERROR(__xludf.DUMMYFUNCTION("""COMPUTED_VALUE"""),"ANTÔNIO CARLOS ARAÚJO FRAGA")</f>
        <v>ANTÔNIO CARLOS ARAÚJO FRAGA</v>
      </c>
      <c r="C297" s="486">
        <f>IFERROR(__xludf.DUMMYFUNCTION("""COMPUTED_VALUE"""),8.0)</f>
        <v>8</v>
      </c>
      <c r="D297" s="487"/>
      <c r="E297" s="486"/>
      <c r="F297" s="486"/>
      <c r="G297" s="472"/>
      <c r="H297" s="472"/>
      <c r="I297" s="472"/>
      <c r="J297" s="472"/>
      <c r="K297" s="472"/>
      <c r="L297" s="472"/>
      <c r="M297" s="472"/>
      <c r="N297" s="472"/>
      <c r="O297" s="472"/>
      <c r="P297" s="472"/>
      <c r="Q297" s="472"/>
      <c r="R297" s="472"/>
      <c r="S297" s="472"/>
      <c r="T297" s="472"/>
      <c r="U297" s="472"/>
      <c r="V297" s="472"/>
      <c r="W297" s="472"/>
      <c r="X297" s="472"/>
      <c r="Y297" s="472"/>
      <c r="Z297" s="472"/>
      <c r="AA297" s="472"/>
    </row>
    <row r="298" outlineLevel="1">
      <c r="A298" s="494">
        <f>IFERROR(__xludf.DUMMYFUNCTION("""COMPUTED_VALUE"""),8.756089559E9)</f>
        <v>8756089559</v>
      </c>
      <c r="B298" s="485" t="str">
        <f>IFERROR(__xludf.DUMMYFUNCTION("""COMPUTED_VALUE"""),"HELLOISE BARBOSA NERY")</f>
        <v>HELLOISE BARBOSA NERY</v>
      </c>
      <c r="C298" s="486">
        <f>IFERROR(__xludf.DUMMYFUNCTION("""COMPUTED_VALUE"""),8.0)</f>
        <v>8</v>
      </c>
      <c r="D298" s="487"/>
      <c r="E298" s="486"/>
      <c r="F298" s="486"/>
      <c r="G298" s="472"/>
      <c r="H298" s="472"/>
      <c r="I298" s="472"/>
      <c r="J298" s="472"/>
      <c r="K298" s="472"/>
      <c r="L298" s="472"/>
      <c r="M298" s="472"/>
      <c r="N298" s="472"/>
      <c r="O298" s="472"/>
      <c r="P298" s="472"/>
      <c r="Q298" s="472"/>
      <c r="R298" s="472"/>
      <c r="S298" s="472"/>
      <c r="T298" s="472"/>
      <c r="U298" s="472"/>
      <c r="V298" s="472"/>
      <c r="W298" s="472"/>
      <c r="X298" s="472"/>
      <c r="Y298" s="472"/>
      <c r="Z298" s="472"/>
      <c r="AA298" s="472"/>
    </row>
    <row r="299" outlineLevel="1">
      <c r="A299" s="484">
        <f>IFERROR(__xludf.DUMMYFUNCTION("""COMPUTED_VALUE"""),5.08916093548E11)</f>
        <v>508916093548</v>
      </c>
      <c r="B299" s="485" t="str">
        <f>IFERROR(__xludf.DUMMYFUNCTION("""COMPUTED_VALUE"""),"ADEMAR MAIA FILHO")</f>
        <v>ADEMAR MAIA FILHO</v>
      </c>
      <c r="C299" s="486">
        <f>IFERROR(__xludf.DUMMYFUNCTION("""COMPUTED_VALUE"""),8.0)</f>
        <v>8</v>
      </c>
      <c r="D299" s="487"/>
      <c r="E299" s="486"/>
      <c r="F299" s="486"/>
      <c r="G299" s="472"/>
      <c r="H299" s="472"/>
      <c r="I299" s="472"/>
      <c r="J299" s="472"/>
      <c r="K299" s="472"/>
      <c r="L299" s="472"/>
      <c r="M299" s="472"/>
      <c r="N299" s="472"/>
      <c r="O299" s="472"/>
      <c r="P299" s="472"/>
      <c r="Q299" s="472"/>
      <c r="R299" s="472"/>
      <c r="S299" s="472"/>
      <c r="T299" s="472"/>
      <c r="U299" s="472"/>
      <c r="V299" s="472"/>
      <c r="W299" s="472"/>
      <c r="X299" s="472"/>
      <c r="Y299" s="472"/>
      <c r="Z299" s="472"/>
      <c r="AA299" s="472"/>
    </row>
    <row r="300" outlineLevel="1">
      <c r="A300" s="484">
        <f>IFERROR(__xludf.DUMMYFUNCTION("""COMPUTED_VALUE"""),2.27866091102E11)</f>
        <v>227866091102</v>
      </c>
      <c r="B300" s="485" t="str">
        <f>IFERROR(__xludf.DUMMYFUNCTION("""COMPUTED_VALUE"""),"SIMONE DANTAS SOARES")</f>
        <v>SIMONE DANTAS SOARES</v>
      </c>
      <c r="C300" s="486">
        <f>IFERROR(__xludf.DUMMYFUNCTION("""COMPUTED_VALUE"""),8.0)</f>
        <v>8</v>
      </c>
      <c r="D300" s="487"/>
      <c r="E300" s="486"/>
      <c r="F300" s="486"/>
      <c r="G300" s="472"/>
      <c r="H300" s="472"/>
      <c r="I300" s="472"/>
      <c r="J300" s="472"/>
      <c r="K300" s="472"/>
      <c r="L300" s="472"/>
      <c r="M300" s="472"/>
      <c r="N300" s="472"/>
      <c r="O300" s="472"/>
      <c r="P300" s="472"/>
      <c r="Q300" s="472"/>
      <c r="R300" s="472"/>
      <c r="S300" s="472"/>
      <c r="T300" s="472"/>
      <c r="U300" s="472"/>
      <c r="V300" s="472"/>
      <c r="W300" s="472"/>
      <c r="X300" s="472"/>
      <c r="Y300" s="472"/>
      <c r="Z300" s="472"/>
      <c r="AA300" s="472"/>
    </row>
    <row r="301" outlineLevel="1">
      <c r="A301" s="484">
        <f>IFERROR(__xludf.DUMMYFUNCTION("""COMPUTED_VALUE"""),6.65106088576E11)</f>
        <v>665106088576</v>
      </c>
      <c r="B301" s="485" t="str">
        <f>IFERROR(__xludf.DUMMYFUNCTION("""COMPUTED_VALUE"""),"ANA RITA PAULO CARDOSO")</f>
        <v>ANA RITA PAULO CARDOSO</v>
      </c>
      <c r="C301" s="486">
        <f>IFERROR(__xludf.DUMMYFUNCTION("""COMPUTED_VALUE"""),8.0)</f>
        <v>8</v>
      </c>
      <c r="D301" s="487"/>
      <c r="E301" s="486"/>
      <c r="F301" s="486"/>
      <c r="G301" s="472"/>
      <c r="H301" s="472"/>
      <c r="I301" s="472"/>
      <c r="J301" s="472"/>
      <c r="K301" s="472"/>
      <c r="L301" s="472"/>
      <c r="M301" s="472"/>
      <c r="N301" s="472"/>
      <c r="O301" s="472"/>
      <c r="P301" s="472"/>
      <c r="Q301" s="472"/>
      <c r="R301" s="472"/>
      <c r="S301" s="472"/>
      <c r="T301" s="472"/>
      <c r="U301" s="472"/>
      <c r="V301" s="472"/>
      <c r="W301" s="472"/>
      <c r="X301" s="472"/>
      <c r="Y301" s="472"/>
      <c r="Z301" s="472"/>
      <c r="AA301" s="472"/>
    </row>
    <row r="302" outlineLevel="1">
      <c r="A302" s="484">
        <f>IFERROR(__xludf.DUMMYFUNCTION("""COMPUTED_VALUE"""),1.82720092941E11)</f>
        <v>182720092941</v>
      </c>
      <c r="B302" s="485" t="str">
        <f>IFERROR(__xludf.DUMMYFUNCTION("""COMPUTED_VALUE"""),"JOSÉ DAVI JOVINO FARIAS")</f>
        <v>JOSÉ DAVI JOVINO FARIAS</v>
      </c>
      <c r="C302" s="486">
        <f>IFERROR(__xludf.DUMMYFUNCTION("""COMPUTED_VALUE"""),8.0)</f>
        <v>8</v>
      </c>
      <c r="D302" s="487"/>
      <c r="E302" s="486"/>
      <c r="F302" s="486"/>
      <c r="G302" s="472"/>
      <c r="H302" s="472"/>
      <c r="I302" s="472"/>
      <c r="J302" s="472"/>
      <c r="K302" s="472"/>
      <c r="L302" s="472"/>
      <c r="M302" s="472"/>
      <c r="N302" s="472"/>
      <c r="O302" s="472"/>
      <c r="P302" s="472"/>
      <c r="Q302" s="472"/>
      <c r="R302" s="472"/>
      <c r="S302" s="472"/>
      <c r="T302" s="472"/>
      <c r="U302" s="472"/>
      <c r="V302" s="472"/>
      <c r="W302" s="472"/>
      <c r="X302" s="472"/>
      <c r="Y302" s="472"/>
      <c r="Z302" s="472"/>
      <c r="AA302" s="472"/>
    </row>
    <row r="303" outlineLevel="1">
      <c r="A303" s="484">
        <f>IFERROR(__xludf.DUMMYFUNCTION("""COMPUTED_VALUE"""),4.53720088483E11)</f>
        <v>453720088483</v>
      </c>
      <c r="B303" s="485" t="str">
        <f>IFERROR(__xludf.DUMMYFUNCTION("""COMPUTED_VALUE"""),"PAMELA MARIA COSTA LINHARES")</f>
        <v>PAMELA MARIA COSTA LINHARES</v>
      </c>
      <c r="C303" s="486">
        <f>IFERROR(__xludf.DUMMYFUNCTION("""COMPUTED_VALUE"""),8.0)</f>
        <v>8</v>
      </c>
      <c r="D303" s="487"/>
      <c r="E303" s="486"/>
      <c r="F303" s="486"/>
      <c r="G303" s="472"/>
      <c r="H303" s="472"/>
      <c r="I303" s="472"/>
      <c r="J303" s="472"/>
      <c r="K303" s="472"/>
      <c r="L303" s="472"/>
      <c r="M303" s="472"/>
      <c r="N303" s="472"/>
      <c r="O303" s="472"/>
      <c r="P303" s="472"/>
      <c r="Q303" s="472"/>
      <c r="R303" s="472"/>
      <c r="S303" s="472"/>
      <c r="T303" s="472"/>
      <c r="U303" s="472"/>
      <c r="V303" s="472"/>
      <c r="W303" s="472"/>
      <c r="X303" s="472"/>
      <c r="Y303" s="472"/>
      <c r="Z303" s="472"/>
      <c r="AA303" s="472"/>
    </row>
    <row r="304" outlineLevel="1">
      <c r="A304" s="494">
        <f>IFERROR(__xludf.DUMMYFUNCTION("""COMPUTED_VALUE"""),7.2240090886E10)</f>
        <v>72240090886</v>
      </c>
      <c r="B304" s="485" t="str">
        <f>IFERROR(__xludf.DUMMYFUNCTION("""COMPUTED_VALUE"""),"ALINE ALBUQUERQUE BARROS HOLANDA")</f>
        <v>ALINE ALBUQUERQUE BARROS HOLANDA</v>
      </c>
      <c r="C304" s="486">
        <f>IFERROR(__xludf.DUMMYFUNCTION("""COMPUTED_VALUE"""),8.0)</f>
        <v>8</v>
      </c>
      <c r="D304" s="487"/>
      <c r="E304" s="486"/>
      <c r="F304" s="486"/>
      <c r="G304" s="472"/>
      <c r="H304" s="472"/>
      <c r="I304" s="472"/>
      <c r="J304" s="472"/>
      <c r="K304" s="472"/>
      <c r="L304" s="472"/>
      <c r="M304" s="472"/>
      <c r="N304" s="472"/>
      <c r="O304" s="472"/>
      <c r="P304" s="472"/>
      <c r="Q304" s="472"/>
      <c r="R304" s="472"/>
      <c r="S304" s="472"/>
      <c r="T304" s="472"/>
      <c r="U304" s="472"/>
      <c r="V304" s="472"/>
      <c r="W304" s="472"/>
      <c r="X304" s="472"/>
      <c r="Y304" s="472"/>
      <c r="Z304" s="472"/>
      <c r="AA304" s="472"/>
    </row>
    <row r="305" outlineLevel="1">
      <c r="A305" s="484">
        <f>IFERROR(__xludf.DUMMYFUNCTION("""COMPUTED_VALUE"""),5.06840093212E11)</f>
        <v>506840093212</v>
      </c>
      <c r="B305" s="485" t="str">
        <f>IFERROR(__xludf.DUMMYFUNCTION("""COMPUTED_VALUE"""),"NAYARA DE CASTRO COSTA JEREISSATI")</f>
        <v>NAYARA DE CASTRO COSTA JEREISSATI</v>
      </c>
      <c r="C305" s="486">
        <f>IFERROR(__xludf.DUMMYFUNCTION("""COMPUTED_VALUE"""),8.0)</f>
        <v>8</v>
      </c>
      <c r="D305" s="487"/>
      <c r="E305" s="486"/>
      <c r="F305" s="486"/>
      <c r="G305" s="472"/>
      <c r="H305" s="472"/>
      <c r="I305" s="472"/>
      <c r="J305" s="472"/>
      <c r="K305" s="472"/>
      <c r="L305" s="472"/>
      <c r="M305" s="472"/>
      <c r="N305" s="472"/>
      <c r="O305" s="472"/>
      <c r="P305" s="472"/>
      <c r="Q305" s="472"/>
      <c r="R305" s="472"/>
      <c r="S305" s="472"/>
      <c r="T305" s="472"/>
      <c r="U305" s="472"/>
      <c r="V305" s="472"/>
      <c r="W305" s="472"/>
      <c r="X305" s="472"/>
      <c r="Y305" s="472"/>
      <c r="Z305" s="472"/>
      <c r="AA305" s="472"/>
    </row>
    <row r="306" outlineLevel="1">
      <c r="A306" s="484">
        <f>IFERROR(__xludf.DUMMYFUNCTION("""COMPUTED_VALUE"""),7.79320092471E11)</f>
        <v>779320092471</v>
      </c>
      <c r="B306" s="485" t="str">
        <f>IFERROR(__xludf.DUMMYFUNCTION("""COMPUTED_VALUE"""),"PRISCILLA DE LIMA CARNEIRO")</f>
        <v>PRISCILLA DE LIMA CARNEIRO</v>
      </c>
      <c r="C306" s="486">
        <f>IFERROR(__xludf.DUMMYFUNCTION("""COMPUTED_VALUE"""),7.5)</f>
        <v>7.5</v>
      </c>
      <c r="D306" s="487"/>
      <c r="E306" s="486"/>
      <c r="F306" s="486"/>
      <c r="G306" s="472"/>
      <c r="H306" s="472"/>
      <c r="I306" s="472"/>
      <c r="J306" s="472"/>
      <c r="K306" s="472"/>
      <c r="L306" s="472"/>
      <c r="M306" s="472"/>
      <c r="N306" s="472"/>
      <c r="O306" s="472"/>
      <c r="P306" s="472"/>
      <c r="Q306" s="472"/>
      <c r="R306" s="472"/>
      <c r="S306" s="472"/>
      <c r="T306" s="472"/>
      <c r="U306" s="472"/>
      <c r="V306" s="472"/>
      <c r="W306" s="472"/>
      <c r="X306" s="472"/>
      <c r="Y306" s="472"/>
      <c r="Z306" s="472"/>
      <c r="AA306" s="472"/>
    </row>
    <row r="307" outlineLevel="1">
      <c r="A307" s="484">
        <f>IFERROR(__xludf.DUMMYFUNCTION("""COMPUTED_VALUE"""),5.96501090358E11)</f>
        <v>596501090358</v>
      </c>
      <c r="B307" s="485" t="str">
        <f>IFERROR(__xludf.DUMMYFUNCTION("""COMPUTED_VALUE"""),"JOSE HENRIQUE DE LACERDA FURTADO")</f>
        <v>JOSE HENRIQUE DE LACERDA FURTADO</v>
      </c>
      <c r="C307" s="486">
        <f>IFERROR(__xludf.DUMMYFUNCTION("""COMPUTED_VALUE"""),7.0)</f>
        <v>7</v>
      </c>
      <c r="D307" s="487"/>
      <c r="E307" s="486"/>
      <c r="F307" s="486"/>
      <c r="G307" s="472"/>
      <c r="H307" s="472"/>
      <c r="I307" s="472"/>
      <c r="J307" s="472"/>
      <c r="K307" s="472"/>
      <c r="L307" s="472"/>
      <c r="M307" s="472"/>
      <c r="N307" s="472"/>
      <c r="O307" s="472"/>
      <c r="P307" s="472"/>
      <c r="Q307" s="472"/>
      <c r="R307" s="472"/>
      <c r="S307" s="472"/>
      <c r="T307" s="472"/>
      <c r="U307" s="472"/>
      <c r="V307" s="472"/>
      <c r="W307" s="472"/>
      <c r="X307" s="472"/>
      <c r="Y307" s="472"/>
      <c r="Z307" s="472"/>
      <c r="AA307" s="472"/>
    </row>
    <row r="308" outlineLevel="1">
      <c r="A308" s="484">
        <f>IFERROR(__xludf.DUMMYFUNCTION("""COMPUTED_VALUE"""),6.4862009191E11)</f>
        <v>648620091910</v>
      </c>
      <c r="B308" s="485" t="str">
        <f>IFERROR(__xludf.DUMMYFUNCTION("""COMPUTED_VALUE"""),"JALIANA HOLANDA NASCIMENTO DOS SANTOS")</f>
        <v>JALIANA HOLANDA NASCIMENTO DOS SANTOS</v>
      </c>
      <c r="C308" s="486">
        <f>IFERROR(__xludf.DUMMYFUNCTION("""COMPUTED_VALUE"""),6.5)</f>
        <v>6.5</v>
      </c>
      <c r="D308" s="487"/>
      <c r="E308" s="486"/>
      <c r="F308" s="486"/>
      <c r="G308" s="472"/>
      <c r="H308" s="472"/>
      <c r="I308" s="472"/>
      <c r="J308" s="472"/>
      <c r="K308" s="472"/>
      <c r="L308" s="472"/>
      <c r="M308" s="472"/>
      <c r="N308" s="472"/>
      <c r="O308" s="472"/>
      <c r="P308" s="472"/>
      <c r="Q308" s="472"/>
      <c r="R308" s="472"/>
      <c r="S308" s="472"/>
      <c r="T308" s="472"/>
      <c r="U308" s="472"/>
      <c r="V308" s="472"/>
      <c r="W308" s="472"/>
      <c r="X308" s="472"/>
      <c r="Y308" s="472"/>
      <c r="Z308" s="472"/>
      <c r="AA308" s="472"/>
    </row>
    <row r="309" outlineLevel="1">
      <c r="A309" s="484">
        <f>IFERROR(__xludf.DUMMYFUNCTION("""COMPUTED_VALUE"""),4.3458208882E11)</f>
        <v>434582088820</v>
      </c>
      <c r="B309" s="485" t="str">
        <f>IFERROR(__xludf.DUMMYFUNCTION("""COMPUTED_VALUE"""),"FRANCISCO BERGSON PINHEIRO MOURA")</f>
        <v>FRANCISCO BERGSON PINHEIRO MOURA</v>
      </c>
      <c r="C309" s="486">
        <f>IFERROR(__xludf.DUMMYFUNCTION("""COMPUTED_VALUE"""),6.0)</f>
        <v>6</v>
      </c>
      <c r="D309" s="487"/>
      <c r="E309" s="486"/>
      <c r="F309" s="486"/>
      <c r="G309" s="472"/>
      <c r="H309" s="472"/>
      <c r="I309" s="472"/>
      <c r="J309" s="472"/>
      <c r="K309" s="472"/>
      <c r="L309" s="472"/>
      <c r="M309" s="472"/>
      <c r="N309" s="472"/>
      <c r="O309" s="472"/>
      <c r="P309" s="472"/>
      <c r="Q309" s="472"/>
      <c r="R309" s="472"/>
      <c r="S309" s="472"/>
      <c r="T309" s="472"/>
      <c r="U309" s="472"/>
      <c r="V309" s="472"/>
      <c r="W309" s="472"/>
      <c r="X309" s="472"/>
      <c r="Y309" s="472"/>
      <c r="Z309" s="472"/>
      <c r="AA309" s="472"/>
    </row>
    <row r="310" outlineLevel="1">
      <c r="A310" s="484">
        <f>IFERROR(__xludf.DUMMYFUNCTION("""COMPUTED_VALUE"""),5.51809089566E11)</f>
        <v>551809089566</v>
      </c>
      <c r="B310" s="485" t="str">
        <f>IFERROR(__xludf.DUMMYFUNCTION("""COMPUTED_VALUE"""),"GILCELENE DE CASTRO ANDRADE")</f>
        <v>GILCELENE DE CASTRO ANDRADE</v>
      </c>
      <c r="C310" s="486">
        <f>IFERROR(__xludf.DUMMYFUNCTION("""COMPUTED_VALUE"""),6.0)</f>
        <v>6</v>
      </c>
      <c r="D310" s="487"/>
      <c r="E310" s="486"/>
      <c r="F310" s="486"/>
      <c r="G310" s="472"/>
      <c r="H310" s="472"/>
      <c r="I310" s="472"/>
      <c r="J310" s="472"/>
      <c r="K310" s="472"/>
      <c r="L310" s="472"/>
      <c r="M310" s="472"/>
      <c r="N310" s="472"/>
      <c r="O310" s="472"/>
      <c r="P310" s="472"/>
      <c r="Q310" s="472"/>
      <c r="R310" s="472"/>
      <c r="S310" s="472"/>
      <c r="T310" s="472"/>
      <c r="U310" s="472"/>
      <c r="V310" s="472"/>
      <c r="W310" s="472"/>
      <c r="X310" s="472"/>
      <c r="Y310" s="472"/>
      <c r="Z310" s="472"/>
      <c r="AA310" s="472"/>
    </row>
    <row r="311" outlineLevel="1">
      <c r="A311" s="484">
        <f>IFERROR(__xludf.DUMMYFUNCTION("""COMPUTED_VALUE"""),3.57710092594E11)</f>
        <v>357710092594</v>
      </c>
      <c r="B311" s="485" t="str">
        <f>IFERROR(__xludf.DUMMYFUNCTION("""COMPUTED_VALUE"""),"SAULO DA SILVA DIÓGENES")</f>
        <v>SAULO DA SILVA DIÓGENES</v>
      </c>
      <c r="C311" s="486">
        <f>IFERROR(__xludf.DUMMYFUNCTION("""COMPUTED_VALUE"""),6.0)</f>
        <v>6</v>
      </c>
      <c r="D311" s="487"/>
      <c r="E311" s="486"/>
      <c r="F311" s="486"/>
      <c r="G311" s="472"/>
      <c r="H311" s="472"/>
      <c r="I311" s="472"/>
      <c r="J311" s="472"/>
      <c r="K311" s="472"/>
      <c r="L311" s="472"/>
      <c r="M311" s="472"/>
      <c r="N311" s="472"/>
      <c r="O311" s="472"/>
      <c r="P311" s="472"/>
      <c r="Q311" s="472"/>
      <c r="R311" s="472"/>
      <c r="S311" s="472"/>
      <c r="T311" s="472"/>
      <c r="U311" s="472"/>
      <c r="V311" s="472"/>
      <c r="W311" s="472"/>
      <c r="X311" s="472"/>
      <c r="Y311" s="472"/>
      <c r="Z311" s="472"/>
      <c r="AA311" s="472"/>
    </row>
    <row r="312" outlineLevel="1">
      <c r="A312" s="484">
        <f>IFERROR(__xludf.DUMMYFUNCTION("""COMPUTED_VALUE"""),2.75660088991E11)</f>
        <v>275660088991</v>
      </c>
      <c r="B312" s="485" t="str">
        <f>IFERROR(__xludf.DUMMYFUNCTION("""COMPUTED_VALUE"""),"RAFAEL DIAS DE MELO")</f>
        <v>RAFAEL DIAS DE MELO</v>
      </c>
      <c r="C312" s="486">
        <f>IFERROR(__xludf.DUMMYFUNCTION("""COMPUTED_VALUE"""),6.0)</f>
        <v>6</v>
      </c>
      <c r="D312" s="487"/>
      <c r="E312" s="486"/>
      <c r="F312" s="486"/>
      <c r="G312" s="472"/>
      <c r="H312" s="472"/>
      <c r="I312" s="472"/>
      <c r="J312" s="472"/>
      <c r="K312" s="472"/>
      <c r="L312" s="472"/>
      <c r="M312" s="472"/>
      <c r="N312" s="472"/>
      <c r="O312" s="472"/>
      <c r="P312" s="472"/>
      <c r="Q312" s="472"/>
      <c r="R312" s="472"/>
      <c r="S312" s="472"/>
      <c r="T312" s="472"/>
      <c r="U312" s="472"/>
      <c r="V312" s="472"/>
      <c r="W312" s="472"/>
      <c r="X312" s="472"/>
      <c r="Y312" s="472"/>
      <c r="Z312" s="472"/>
      <c r="AA312" s="472"/>
    </row>
    <row r="313" outlineLevel="1">
      <c r="A313" s="484">
        <f>IFERROR(__xludf.DUMMYFUNCTION("""COMPUTED_VALUE"""),1.63006093504E11)</f>
        <v>163006093504</v>
      </c>
      <c r="B313" s="485" t="str">
        <f>IFERROR(__xludf.DUMMYFUNCTION("""COMPUTED_VALUE"""),"THIAGO NOBRE GOMES")</f>
        <v>THIAGO NOBRE GOMES</v>
      </c>
      <c r="C313" s="486">
        <f>IFERROR(__xludf.DUMMYFUNCTION("""COMPUTED_VALUE"""),6.0)</f>
        <v>6</v>
      </c>
      <c r="D313" s="487"/>
      <c r="E313" s="486"/>
      <c r="F313" s="486"/>
      <c r="G313" s="472"/>
      <c r="H313" s="472"/>
      <c r="I313" s="472"/>
      <c r="J313" s="472"/>
      <c r="K313" s="472"/>
      <c r="L313" s="472"/>
      <c r="M313" s="472"/>
      <c r="N313" s="472"/>
      <c r="O313" s="472"/>
      <c r="P313" s="472"/>
      <c r="Q313" s="472"/>
      <c r="R313" s="472"/>
      <c r="S313" s="472"/>
      <c r="T313" s="472"/>
      <c r="U313" s="472"/>
      <c r="V313" s="472"/>
      <c r="W313" s="472"/>
      <c r="X313" s="472"/>
      <c r="Y313" s="472"/>
      <c r="Z313" s="472"/>
      <c r="AA313" s="472"/>
    </row>
    <row r="314" outlineLevel="1">
      <c r="A314" s="484">
        <f>IFERROR(__xludf.DUMMYFUNCTION("""COMPUTED_VALUE"""),1.58930093653E11)</f>
        <v>158930093653</v>
      </c>
      <c r="B314" s="485" t="str">
        <f>IFERROR(__xludf.DUMMYFUNCTION("""COMPUTED_VALUE"""),"DIEGO DA SILVA FERREIRA")</f>
        <v>DIEGO DA SILVA FERREIRA</v>
      </c>
      <c r="C314" s="486">
        <f>IFERROR(__xludf.DUMMYFUNCTION("""COMPUTED_VALUE"""),6.0)</f>
        <v>6</v>
      </c>
      <c r="D314" s="487"/>
      <c r="E314" s="486"/>
      <c r="F314" s="486"/>
      <c r="G314" s="472"/>
      <c r="H314" s="472"/>
      <c r="I314" s="472"/>
      <c r="J314" s="472"/>
      <c r="K314" s="472"/>
      <c r="L314" s="472"/>
      <c r="M314" s="472"/>
      <c r="N314" s="472"/>
      <c r="O314" s="472"/>
      <c r="P314" s="472"/>
      <c r="Q314" s="472"/>
      <c r="R314" s="472"/>
      <c r="S314" s="472"/>
      <c r="T314" s="472"/>
      <c r="U314" s="472"/>
      <c r="V314" s="472"/>
      <c r="W314" s="472"/>
      <c r="X314" s="472"/>
      <c r="Y314" s="472"/>
      <c r="Z314" s="472"/>
      <c r="AA314" s="472"/>
    </row>
    <row r="315" outlineLevel="1">
      <c r="A315" s="484">
        <f>IFERROR(__xludf.DUMMYFUNCTION("""COMPUTED_VALUE"""),9.85140093471E11)</f>
        <v>985140093471</v>
      </c>
      <c r="B315" s="485" t="str">
        <f>IFERROR(__xludf.DUMMYFUNCTION("""COMPUTED_VALUE"""),"JOANA DAYSE DA ROCHA PORTELA ANDRADE")</f>
        <v>JOANA DAYSE DA ROCHA PORTELA ANDRADE</v>
      </c>
      <c r="C315" s="486">
        <f>IFERROR(__xludf.DUMMYFUNCTION("""COMPUTED_VALUE"""),6.0)</f>
        <v>6</v>
      </c>
      <c r="D315" s="487"/>
      <c r="E315" s="486"/>
      <c r="F315" s="486"/>
      <c r="G315" s="472"/>
      <c r="H315" s="472"/>
      <c r="I315" s="472"/>
      <c r="J315" s="472"/>
      <c r="K315" s="472"/>
      <c r="L315" s="472"/>
      <c r="M315" s="472"/>
      <c r="N315" s="472"/>
      <c r="O315" s="472"/>
      <c r="P315" s="472"/>
      <c r="Q315" s="472"/>
      <c r="R315" s="472"/>
      <c r="S315" s="472"/>
      <c r="T315" s="472"/>
      <c r="U315" s="472"/>
      <c r="V315" s="472"/>
      <c r="W315" s="472"/>
      <c r="X315" s="472"/>
      <c r="Y315" s="472"/>
      <c r="Z315" s="472"/>
      <c r="AA315" s="472"/>
    </row>
    <row r="316" outlineLevel="1">
      <c r="A316" s="494">
        <f>IFERROR(__xludf.DUMMYFUNCTION("""COMPUTED_VALUE"""),2.8660093677E10)</f>
        <v>28660093677</v>
      </c>
      <c r="B316" s="485" t="str">
        <f>IFERROR(__xludf.DUMMYFUNCTION("""COMPUTED_VALUE"""),"SAMUELLOPES DOS SANTOS")</f>
        <v>SAMUELLOPES DOS SANTOS</v>
      </c>
      <c r="C316" s="486">
        <f>IFERROR(__xludf.DUMMYFUNCTION("""COMPUTED_VALUE"""),6.0)</f>
        <v>6</v>
      </c>
      <c r="D316" s="487"/>
      <c r="E316" s="486"/>
      <c r="F316" s="486"/>
      <c r="G316" s="472"/>
      <c r="H316" s="472"/>
      <c r="I316" s="472"/>
      <c r="J316" s="472"/>
      <c r="K316" s="472"/>
      <c r="L316" s="472"/>
      <c r="M316" s="472"/>
      <c r="N316" s="472"/>
      <c r="O316" s="472"/>
      <c r="P316" s="472"/>
      <c r="Q316" s="472"/>
      <c r="R316" s="472"/>
      <c r="S316" s="472"/>
      <c r="T316" s="472"/>
      <c r="U316" s="472"/>
      <c r="V316" s="472"/>
      <c r="W316" s="472"/>
      <c r="X316" s="472"/>
      <c r="Y316" s="472"/>
      <c r="Z316" s="472"/>
      <c r="AA316" s="472"/>
    </row>
    <row r="317" outlineLevel="1">
      <c r="A317" s="497">
        <f>IFERROR(__xludf.DUMMYFUNCTION("""COMPUTED_VALUE"""),2.5531009041E11)</f>
        <v>255310090410</v>
      </c>
      <c r="B317" s="498" t="str">
        <f>IFERROR(__xludf.DUMMYFUNCTION("""COMPUTED_VALUE"""),"MARCELINO MAIA BESSA")</f>
        <v>MARCELINO MAIA BESSA</v>
      </c>
      <c r="C317" s="499">
        <f>IFERROR(__xludf.DUMMYFUNCTION("""COMPUTED_VALUE"""),6.0)</f>
        <v>6</v>
      </c>
      <c r="D317" s="503"/>
      <c r="E317" s="499"/>
      <c r="F317" s="499"/>
      <c r="G317" s="472"/>
      <c r="H317" s="472"/>
      <c r="I317" s="472"/>
      <c r="J317" s="472"/>
      <c r="K317" s="472"/>
      <c r="L317" s="472"/>
      <c r="M317" s="472"/>
      <c r="N317" s="472"/>
      <c r="O317" s="472"/>
      <c r="P317" s="472"/>
      <c r="Q317" s="472"/>
      <c r="R317" s="472"/>
      <c r="S317" s="472"/>
      <c r="T317" s="472"/>
      <c r="U317" s="472"/>
      <c r="V317" s="472"/>
      <c r="W317" s="472"/>
      <c r="X317" s="472"/>
      <c r="Y317" s="472"/>
      <c r="Z317" s="472"/>
      <c r="AA317" s="472"/>
    </row>
    <row r="318">
      <c r="A318" s="478" t="str">
        <f>IFERROR(__xludf.DUMMYFUNCTION("""COMPUTED_VALUE"""),"II - MES - ATENÇÃO PRIMÁRIA À SAÚDE")</f>
        <v>II - MES - ATENÇÃO PRIMÁRIA À SAÚDE</v>
      </c>
      <c r="B318" s="479"/>
      <c r="C318" s="479"/>
      <c r="D318" s="479"/>
      <c r="E318" s="479"/>
      <c r="F318" s="480"/>
      <c r="G318" s="472"/>
      <c r="H318" s="472"/>
      <c r="I318" s="472"/>
      <c r="J318" s="472"/>
      <c r="K318" s="472"/>
      <c r="L318" s="472"/>
      <c r="M318" s="472"/>
      <c r="N318" s="472"/>
      <c r="O318" s="472"/>
      <c r="P318" s="472"/>
      <c r="Q318" s="472"/>
      <c r="R318" s="472"/>
      <c r="S318" s="472"/>
      <c r="T318" s="472"/>
      <c r="U318" s="472"/>
      <c r="V318" s="472"/>
      <c r="W318" s="472"/>
      <c r="X318" s="472"/>
      <c r="Y318" s="472"/>
      <c r="Z318" s="472"/>
      <c r="AA318" s="472"/>
    </row>
    <row r="319" outlineLevel="1">
      <c r="A319" s="481" t="str">
        <f>IFERROR(__xludf.DUMMYFUNCTION("""COMPUTED_VALUE"""),"INSCRIÇÃO")</f>
        <v>INSCRIÇÃO</v>
      </c>
      <c r="B319" s="482" t="str">
        <f>IFERROR(__xludf.DUMMYFUNCTION("""COMPUTED_VALUE"""),"CANDIDATOS")</f>
        <v>CANDIDATOS</v>
      </c>
      <c r="C319" s="481" t="str">
        <f>IFERROR(__xludf.DUMMYFUNCTION("""COMPUTED_VALUE"""),"NF")</f>
        <v>NF</v>
      </c>
      <c r="D319" s="483" t="str">
        <f>IFERROR(__xludf.DUMMYFUNCTION("""COMPUTED_VALUE"""),"CONVOCADO(A)")</f>
        <v>CONVOCADO(A)</v>
      </c>
      <c r="E319" s="483" t="str">
        <f>IFERROR(__xludf.DUMMYFUNCTION("""COMPUTED_VALUE"""),"HOMOLOGADO(A)")</f>
        <v>HOMOLOGADO(A)</v>
      </c>
      <c r="F319" s="483" t="str">
        <f>IFERROR(__xludf.DUMMYFUNCTION("""COMPUTED_VALUE"""),"GERÊNCIA")</f>
        <v>GERÊNCIA</v>
      </c>
      <c r="G319" s="472"/>
      <c r="H319" s="472"/>
      <c r="I319" s="472"/>
      <c r="J319" s="472"/>
      <c r="K319" s="472"/>
      <c r="L319" s="472"/>
      <c r="M319" s="472"/>
      <c r="N319" s="472"/>
      <c r="O319" s="472"/>
      <c r="P319" s="472"/>
      <c r="Q319" s="472"/>
      <c r="R319" s="472"/>
      <c r="S319" s="472"/>
      <c r="T319" s="472"/>
      <c r="U319" s="472"/>
      <c r="V319" s="472"/>
      <c r="W319" s="472"/>
      <c r="X319" s="472"/>
      <c r="Y319" s="472"/>
      <c r="Z319" s="472"/>
      <c r="AA319" s="472"/>
    </row>
    <row r="320" outlineLevel="1">
      <c r="A320" s="484">
        <f>IFERROR(__xludf.DUMMYFUNCTION("""COMPUTED_VALUE"""),2.69509092909E11)</f>
        <v>269509092909</v>
      </c>
      <c r="B320" s="485" t="str">
        <f>IFERROR(__xludf.DUMMYFUNCTION("""COMPUTED_VALUE"""),"ANA PAULA AGOSTINHO ALENCAR")</f>
        <v>ANA PAULA AGOSTINHO ALENCAR</v>
      </c>
      <c r="C320" s="486">
        <f>IFERROR(__xludf.DUMMYFUNCTION("""COMPUTED_VALUE"""),10.0)</f>
        <v>10</v>
      </c>
      <c r="D320" s="487"/>
      <c r="E320" s="486"/>
      <c r="F320" s="488"/>
      <c r="G320" s="472"/>
      <c r="H320" s="472"/>
      <c r="I320" s="472"/>
      <c r="J320" s="472"/>
      <c r="K320" s="472"/>
      <c r="L320" s="472"/>
      <c r="M320" s="472"/>
      <c r="N320" s="472"/>
      <c r="O320" s="472"/>
      <c r="P320" s="472"/>
      <c r="Q320" s="472"/>
      <c r="R320" s="472"/>
      <c r="S320" s="472"/>
      <c r="T320" s="472"/>
      <c r="U320" s="472"/>
      <c r="V320" s="472"/>
      <c r="W320" s="472"/>
      <c r="X320" s="472"/>
      <c r="Y320" s="472"/>
      <c r="Z320" s="472"/>
      <c r="AA320" s="472"/>
    </row>
    <row r="321" outlineLevel="1">
      <c r="A321" s="494">
        <f>IFERROR(__xludf.DUMMYFUNCTION("""COMPUTED_VALUE"""),8.756089561E9)</f>
        <v>8756089561</v>
      </c>
      <c r="B321" s="485" t="str">
        <f>IFERROR(__xludf.DUMMYFUNCTION("""COMPUTED_VALUE"""),"HELLOISE BARBOSA NERY")</f>
        <v>HELLOISE BARBOSA NERY</v>
      </c>
      <c r="C321" s="486">
        <f>IFERROR(__xludf.DUMMYFUNCTION("""COMPUTED_VALUE"""),10.0)</f>
        <v>10</v>
      </c>
      <c r="D321" s="487"/>
      <c r="E321" s="486"/>
      <c r="F321" s="488"/>
      <c r="G321" s="472"/>
      <c r="H321" s="472"/>
      <c r="I321" s="472"/>
      <c r="J321" s="472"/>
      <c r="K321" s="472"/>
      <c r="L321" s="472"/>
      <c r="M321" s="472"/>
      <c r="N321" s="472"/>
      <c r="O321" s="472"/>
      <c r="P321" s="472"/>
      <c r="Q321" s="472"/>
      <c r="R321" s="472"/>
      <c r="S321" s="472"/>
      <c r="T321" s="472"/>
      <c r="U321" s="472"/>
      <c r="V321" s="472"/>
      <c r="W321" s="472"/>
      <c r="X321" s="472"/>
      <c r="Y321" s="472"/>
      <c r="Z321" s="472"/>
      <c r="AA321" s="472"/>
    </row>
    <row r="322" outlineLevel="1">
      <c r="A322" s="484">
        <f>IFERROR(__xludf.DUMMYFUNCTION("""COMPUTED_VALUE"""),8.73400090084E11)</f>
        <v>873400090084</v>
      </c>
      <c r="B322" s="485" t="str">
        <f>IFERROR(__xludf.DUMMYFUNCTION("""COMPUTED_VALUE"""),"LILIAN FERNANDES AMARANTE")</f>
        <v>LILIAN FERNANDES AMARANTE</v>
      </c>
      <c r="C322" s="486">
        <f>IFERROR(__xludf.DUMMYFUNCTION("""COMPUTED_VALUE"""),10.0)</f>
        <v>10</v>
      </c>
      <c r="D322" s="487"/>
      <c r="E322" s="486"/>
      <c r="F322" s="488"/>
      <c r="G322" s="472"/>
      <c r="H322" s="472"/>
      <c r="I322" s="472"/>
      <c r="J322" s="472"/>
      <c r="K322" s="472"/>
      <c r="L322" s="472"/>
      <c r="M322" s="472"/>
      <c r="N322" s="472"/>
      <c r="O322" s="472"/>
      <c r="P322" s="472"/>
      <c r="Q322" s="472"/>
      <c r="R322" s="472"/>
      <c r="S322" s="472"/>
      <c r="T322" s="472"/>
      <c r="U322" s="472"/>
      <c r="V322" s="472"/>
      <c r="W322" s="472"/>
      <c r="X322" s="472"/>
      <c r="Y322" s="472"/>
      <c r="Z322" s="472"/>
      <c r="AA322" s="472"/>
    </row>
    <row r="323" outlineLevel="1">
      <c r="A323" s="484">
        <f>IFERROR(__xludf.DUMMYFUNCTION("""COMPUTED_VALUE"""),2.81299090376E11)</f>
        <v>281299090376</v>
      </c>
      <c r="B323" s="485" t="str">
        <f>IFERROR(__xludf.DUMMYFUNCTION("""COMPUTED_VALUE"""),"IDACLECE RODRIGUES DE MATOS")</f>
        <v>IDACLECE RODRIGUES DE MATOS</v>
      </c>
      <c r="C323" s="486">
        <f>IFERROR(__xludf.DUMMYFUNCTION("""COMPUTED_VALUE"""),10.0)</f>
        <v>10</v>
      </c>
      <c r="D323" s="487"/>
      <c r="E323" s="486"/>
      <c r="F323" s="488"/>
      <c r="G323" s="472"/>
      <c r="H323" s="472"/>
      <c r="I323" s="472"/>
      <c r="J323" s="472"/>
      <c r="K323" s="472"/>
      <c r="L323" s="472"/>
      <c r="M323" s="472"/>
      <c r="N323" s="472"/>
      <c r="O323" s="472"/>
      <c r="P323" s="472"/>
      <c r="Q323" s="472"/>
      <c r="R323" s="472"/>
      <c r="S323" s="472"/>
      <c r="T323" s="472"/>
      <c r="U323" s="472"/>
      <c r="V323" s="472"/>
      <c r="W323" s="472"/>
      <c r="X323" s="472"/>
      <c r="Y323" s="472"/>
      <c r="Z323" s="472"/>
      <c r="AA323" s="472"/>
    </row>
    <row r="324" outlineLevel="1">
      <c r="A324" s="484">
        <f>IFERROR(__xludf.DUMMYFUNCTION("""COMPUTED_VALUE"""),5.96501090357E11)</f>
        <v>596501090357</v>
      </c>
      <c r="B324" s="485" t="str">
        <f>IFERROR(__xludf.DUMMYFUNCTION("""COMPUTED_VALUE"""),"JOSE HENRIQUE DE LACERDA FURTADO")</f>
        <v>JOSE HENRIQUE DE LACERDA FURTADO</v>
      </c>
      <c r="C324" s="486">
        <f>IFERROR(__xludf.DUMMYFUNCTION("""COMPUTED_VALUE"""),10.0)</f>
        <v>10</v>
      </c>
      <c r="D324" s="487"/>
      <c r="E324" s="486"/>
      <c r="F324" s="488"/>
      <c r="G324" s="472"/>
      <c r="H324" s="472"/>
      <c r="I324" s="472"/>
      <c r="J324" s="472"/>
      <c r="K324" s="472"/>
      <c r="L324" s="472"/>
      <c r="M324" s="472"/>
      <c r="N324" s="472"/>
      <c r="O324" s="472"/>
      <c r="P324" s="472"/>
      <c r="Q324" s="472"/>
      <c r="R324" s="472"/>
      <c r="S324" s="472"/>
      <c r="T324" s="472"/>
      <c r="U324" s="472"/>
      <c r="V324" s="472"/>
      <c r="W324" s="472"/>
      <c r="X324" s="472"/>
      <c r="Y324" s="472"/>
      <c r="Z324" s="472"/>
      <c r="AA324" s="472"/>
    </row>
    <row r="325" outlineLevel="1">
      <c r="A325" s="484">
        <f>IFERROR(__xludf.DUMMYFUNCTION("""COMPUTED_VALUE"""),3.57710092595E11)</f>
        <v>357710092595</v>
      </c>
      <c r="B325" s="485" t="str">
        <f>IFERROR(__xludf.DUMMYFUNCTION("""COMPUTED_VALUE"""),"SAULO DA SILVA DIÓGENES")</f>
        <v>SAULO DA SILVA DIÓGENES</v>
      </c>
      <c r="C325" s="486">
        <f>IFERROR(__xludf.DUMMYFUNCTION("""COMPUTED_VALUE"""),10.0)</f>
        <v>10</v>
      </c>
      <c r="D325" s="487"/>
      <c r="E325" s="486"/>
      <c r="F325" s="488"/>
      <c r="G325" s="472"/>
      <c r="H325" s="472"/>
      <c r="I325" s="472"/>
      <c r="J325" s="472"/>
      <c r="K325" s="472"/>
      <c r="L325" s="472"/>
      <c r="M325" s="472"/>
      <c r="N325" s="472"/>
      <c r="O325" s="472"/>
      <c r="P325" s="472"/>
      <c r="Q325" s="472"/>
      <c r="R325" s="472"/>
      <c r="S325" s="472"/>
      <c r="T325" s="472"/>
      <c r="U325" s="472"/>
      <c r="V325" s="472"/>
      <c r="W325" s="472"/>
      <c r="X325" s="472"/>
      <c r="Y325" s="472"/>
      <c r="Z325" s="472"/>
      <c r="AA325" s="472"/>
    </row>
    <row r="326" outlineLevel="1">
      <c r="A326" s="484">
        <f>IFERROR(__xludf.DUMMYFUNCTION("""COMPUTED_VALUE"""),6.63710090023E11)</f>
        <v>663710090023</v>
      </c>
      <c r="B326" s="485" t="str">
        <f>IFERROR(__xludf.DUMMYFUNCTION("""COMPUTED_VALUE"""),"LUIS LOPES SOMBRA NETO")</f>
        <v>LUIS LOPES SOMBRA NETO</v>
      </c>
      <c r="C326" s="486">
        <f>IFERROR(__xludf.DUMMYFUNCTION("""COMPUTED_VALUE"""),10.0)</f>
        <v>10</v>
      </c>
      <c r="D326" s="487"/>
      <c r="E326" s="486"/>
      <c r="F326" s="488"/>
      <c r="G326" s="472"/>
      <c r="H326" s="472"/>
      <c r="I326" s="472"/>
      <c r="J326" s="472"/>
      <c r="K326" s="472"/>
      <c r="L326" s="472"/>
      <c r="M326" s="472"/>
      <c r="N326" s="472"/>
      <c r="O326" s="472"/>
      <c r="P326" s="472"/>
      <c r="Q326" s="472"/>
      <c r="R326" s="472"/>
      <c r="S326" s="472"/>
      <c r="T326" s="472"/>
      <c r="U326" s="472"/>
      <c r="V326" s="472"/>
      <c r="W326" s="472"/>
      <c r="X326" s="472"/>
      <c r="Y326" s="472"/>
      <c r="Z326" s="472"/>
      <c r="AA326" s="472"/>
    </row>
    <row r="327" outlineLevel="1">
      <c r="A327" s="484">
        <f>IFERROR(__xludf.DUMMYFUNCTION("""COMPUTED_VALUE"""),8.72430093234E11)</f>
        <v>872430093234</v>
      </c>
      <c r="B327" s="485" t="str">
        <f>IFERROR(__xludf.DUMMYFUNCTION("""COMPUTED_VALUE"""),"KARINE DA SILVA OLIVEIRA")</f>
        <v>KARINE DA SILVA OLIVEIRA</v>
      </c>
      <c r="C327" s="486">
        <f>IFERROR(__xludf.DUMMYFUNCTION("""COMPUTED_VALUE"""),10.0)</f>
        <v>10</v>
      </c>
      <c r="D327" s="487"/>
      <c r="E327" s="486"/>
      <c r="F327" s="488"/>
      <c r="G327" s="472"/>
      <c r="H327" s="472"/>
      <c r="I327" s="472"/>
      <c r="J327" s="472"/>
      <c r="K327" s="472"/>
      <c r="L327" s="472"/>
      <c r="M327" s="472"/>
      <c r="N327" s="472"/>
      <c r="O327" s="472"/>
      <c r="P327" s="472"/>
      <c r="Q327" s="472"/>
      <c r="R327" s="472"/>
      <c r="S327" s="472"/>
      <c r="T327" s="472"/>
      <c r="U327" s="472"/>
      <c r="V327" s="472"/>
      <c r="W327" s="472"/>
      <c r="X327" s="472"/>
      <c r="Y327" s="472"/>
      <c r="Z327" s="472"/>
      <c r="AA327" s="472"/>
    </row>
    <row r="328" outlineLevel="1">
      <c r="A328" s="494">
        <f>IFERROR(__xludf.DUMMYFUNCTION("""COMPUTED_VALUE"""),5.584009215E10)</f>
        <v>55840092150</v>
      </c>
      <c r="B328" s="485" t="str">
        <f>IFERROR(__xludf.DUMMYFUNCTION("""COMPUTED_VALUE"""),"ISABELLY RIBEIRO ARAÚJO")</f>
        <v>ISABELLY RIBEIRO ARAÚJO</v>
      </c>
      <c r="C328" s="486">
        <f>IFERROR(__xludf.DUMMYFUNCTION("""COMPUTED_VALUE"""),10.0)</f>
        <v>10</v>
      </c>
      <c r="D328" s="487"/>
      <c r="E328" s="486"/>
      <c r="F328" s="488"/>
      <c r="G328" s="472"/>
      <c r="H328" s="472"/>
      <c r="I328" s="472"/>
      <c r="J328" s="472"/>
      <c r="K328" s="472"/>
      <c r="L328" s="472"/>
      <c r="M328" s="472"/>
      <c r="N328" s="472"/>
      <c r="O328" s="472"/>
      <c r="P328" s="472"/>
      <c r="Q328" s="472"/>
      <c r="R328" s="472"/>
      <c r="S328" s="472"/>
      <c r="T328" s="472"/>
      <c r="U328" s="472"/>
      <c r="V328" s="472"/>
      <c r="W328" s="472"/>
      <c r="X328" s="472"/>
      <c r="Y328" s="472"/>
      <c r="Z328" s="472"/>
      <c r="AA328" s="472"/>
    </row>
    <row r="329" outlineLevel="1">
      <c r="A329" s="494">
        <f>IFERROR(__xludf.DUMMYFUNCTION("""COMPUTED_VALUE"""),4.6440090983E10)</f>
        <v>46440090983</v>
      </c>
      <c r="B329" s="485" t="str">
        <f>IFERROR(__xludf.DUMMYFUNCTION("""COMPUTED_VALUE"""),"CIRLIANE DE ARAÚJO MORAIS")</f>
        <v>CIRLIANE DE ARAÚJO MORAIS</v>
      </c>
      <c r="C329" s="486">
        <f>IFERROR(__xludf.DUMMYFUNCTION("""COMPUTED_VALUE"""),10.0)</f>
        <v>10</v>
      </c>
      <c r="D329" s="487"/>
      <c r="E329" s="486"/>
      <c r="F329" s="488"/>
      <c r="G329" s="472"/>
      <c r="H329" s="472"/>
      <c r="I329" s="472"/>
      <c r="J329" s="472"/>
      <c r="K329" s="472"/>
      <c r="L329" s="472"/>
      <c r="M329" s="472"/>
      <c r="N329" s="472"/>
      <c r="O329" s="472"/>
      <c r="P329" s="472"/>
      <c r="Q329" s="472"/>
      <c r="R329" s="472"/>
      <c r="S329" s="472"/>
      <c r="T329" s="472"/>
      <c r="U329" s="472"/>
      <c r="V329" s="472"/>
      <c r="W329" s="472"/>
      <c r="X329" s="472"/>
      <c r="Y329" s="472"/>
      <c r="Z329" s="472"/>
      <c r="AA329" s="472"/>
    </row>
    <row r="330" outlineLevel="1">
      <c r="A330" s="484">
        <f>IFERROR(__xludf.DUMMYFUNCTION("""COMPUTED_VALUE"""),1.58930093654E11)</f>
        <v>158930093654</v>
      </c>
      <c r="B330" s="485" t="str">
        <f>IFERROR(__xludf.DUMMYFUNCTION("""COMPUTED_VALUE"""),"DIEGO DA SILVA FERREIRA")</f>
        <v>DIEGO DA SILVA FERREIRA</v>
      </c>
      <c r="C330" s="486">
        <f>IFERROR(__xludf.DUMMYFUNCTION("""COMPUTED_VALUE"""),10.0)</f>
        <v>10</v>
      </c>
      <c r="D330" s="487"/>
      <c r="E330" s="486"/>
      <c r="F330" s="488"/>
      <c r="G330" s="472"/>
      <c r="H330" s="472"/>
      <c r="I330" s="472"/>
      <c r="J330" s="472"/>
      <c r="K330" s="472"/>
      <c r="L330" s="472"/>
      <c r="M330" s="472"/>
      <c r="N330" s="472"/>
      <c r="O330" s="472"/>
      <c r="P330" s="472"/>
      <c r="Q330" s="472"/>
      <c r="R330" s="472"/>
      <c r="S330" s="472"/>
      <c r="T330" s="472"/>
      <c r="U330" s="472"/>
      <c r="V330" s="472"/>
      <c r="W330" s="472"/>
      <c r="X330" s="472"/>
      <c r="Y330" s="472"/>
      <c r="Z330" s="472"/>
      <c r="AA330" s="472"/>
    </row>
    <row r="331" outlineLevel="1">
      <c r="A331" s="484">
        <f>IFERROR(__xludf.DUMMYFUNCTION("""COMPUTED_VALUE"""),9.85140093469E11)</f>
        <v>985140093469</v>
      </c>
      <c r="B331" s="485" t="str">
        <f>IFERROR(__xludf.DUMMYFUNCTION("""COMPUTED_VALUE"""),"JOANA DAYSE DA ROCHA PORTELA ANDRADE")</f>
        <v>JOANA DAYSE DA ROCHA PORTELA ANDRADE</v>
      </c>
      <c r="C331" s="486">
        <f>IFERROR(__xludf.DUMMYFUNCTION("""COMPUTED_VALUE"""),10.0)</f>
        <v>10</v>
      </c>
      <c r="D331" s="487"/>
      <c r="E331" s="486"/>
      <c r="F331" s="488"/>
      <c r="G331" s="472"/>
      <c r="H331" s="472"/>
      <c r="I331" s="472"/>
      <c r="J331" s="472"/>
      <c r="K331" s="472"/>
      <c r="L331" s="472"/>
      <c r="M331" s="472"/>
      <c r="N331" s="472"/>
      <c r="O331" s="472"/>
      <c r="P331" s="472"/>
      <c r="Q331" s="472"/>
      <c r="R331" s="472"/>
      <c r="S331" s="472"/>
      <c r="T331" s="472"/>
      <c r="U331" s="472"/>
      <c r="V331" s="472"/>
      <c r="W331" s="472"/>
      <c r="X331" s="472"/>
      <c r="Y331" s="472"/>
      <c r="Z331" s="472"/>
      <c r="AA331" s="472"/>
    </row>
    <row r="332" outlineLevel="1">
      <c r="A332" s="484">
        <f>IFERROR(__xludf.DUMMYFUNCTION("""COMPUTED_VALUE"""),8.69200090352E11)</f>
        <v>869200090352</v>
      </c>
      <c r="B332" s="485" t="str">
        <f>IFERROR(__xludf.DUMMYFUNCTION("""COMPUTED_VALUE"""),"CARLA SUZANA BALBINO DA SILVA MIRANDA")</f>
        <v>CARLA SUZANA BALBINO DA SILVA MIRANDA</v>
      </c>
      <c r="C332" s="486">
        <f>IFERROR(__xludf.DUMMYFUNCTION("""COMPUTED_VALUE"""),9.5)</f>
        <v>9.5</v>
      </c>
      <c r="D332" s="487"/>
      <c r="E332" s="486"/>
      <c r="F332" s="488"/>
      <c r="G332" s="472"/>
      <c r="H332" s="472"/>
      <c r="I332" s="472"/>
      <c r="J332" s="472"/>
      <c r="K332" s="472"/>
      <c r="L332" s="472"/>
      <c r="M332" s="472"/>
      <c r="N332" s="472"/>
      <c r="O332" s="472"/>
      <c r="P332" s="472"/>
      <c r="Q332" s="472"/>
      <c r="R332" s="472"/>
      <c r="S332" s="472"/>
      <c r="T332" s="472"/>
      <c r="U332" s="472"/>
      <c r="V332" s="472"/>
      <c r="W332" s="472"/>
      <c r="X332" s="472"/>
      <c r="Y332" s="472"/>
      <c r="Z332" s="472"/>
      <c r="AA332" s="472"/>
    </row>
    <row r="333" outlineLevel="1">
      <c r="A333" s="494">
        <f>IFERROR(__xludf.DUMMYFUNCTION("""COMPUTED_VALUE"""),5.9288090033E10)</f>
        <v>59288090033</v>
      </c>
      <c r="B333" s="485" t="str">
        <f>IFERROR(__xludf.DUMMYFUNCTION("""COMPUTED_VALUE"""),"KERLEY MENEZES SILVA PRATA")</f>
        <v>KERLEY MENEZES SILVA PRATA</v>
      </c>
      <c r="C333" s="486">
        <f>IFERROR(__xludf.DUMMYFUNCTION("""COMPUTED_VALUE"""),9.5)</f>
        <v>9.5</v>
      </c>
      <c r="D333" s="487"/>
      <c r="E333" s="486"/>
      <c r="F333" s="488"/>
      <c r="G333" s="472"/>
      <c r="H333" s="472"/>
      <c r="I333" s="472"/>
      <c r="J333" s="472"/>
      <c r="K333" s="472"/>
      <c r="L333" s="472"/>
      <c r="M333" s="472"/>
      <c r="N333" s="472"/>
      <c r="O333" s="472"/>
      <c r="P333" s="472"/>
      <c r="Q333" s="472"/>
      <c r="R333" s="472"/>
      <c r="S333" s="472"/>
      <c r="T333" s="472"/>
      <c r="U333" s="472"/>
      <c r="V333" s="472"/>
      <c r="W333" s="472"/>
      <c r="X333" s="472"/>
      <c r="Y333" s="472"/>
      <c r="Z333" s="472"/>
      <c r="AA333" s="472"/>
    </row>
    <row r="334" outlineLevel="1">
      <c r="A334" s="484">
        <f>IFERROR(__xludf.DUMMYFUNCTION("""COMPUTED_VALUE"""),5.51809089564E11)</f>
        <v>551809089564</v>
      </c>
      <c r="B334" s="485" t="str">
        <f>IFERROR(__xludf.DUMMYFUNCTION("""COMPUTED_VALUE"""),"GILCELENE DE CASTRO ANDRADE")</f>
        <v>GILCELENE DE CASTRO ANDRADE</v>
      </c>
      <c r="C334" s="486">
        <f>IFERROR(__xludf.DUMMYFUNCTION("""COMPUTED_VALUE"""),9.5)</f>
        <v>9.5</v>
      </c>
      <c r="D334" s="487"/>
      <c r="E334" s="486"/>
      <c r="F334" s="488"/>
      <c r="G334" s="472"/>
      <c r="H334" s="472"/>
      <c r="I334" s="472"/>
      <c r="J334" s="472"/>
      <c r="K334" s="472"/>
      <c r="L334" s="472"/>
      <c r="M334" s="472"/>
      <c r="N334" s="472"/>
      <c r="O334" s="472"/>
      <c r="P334" s="472"/>
      <c r="Q334" s="472"/>
      <c r="R334" s="472"/>
      <c r="S334" s="472"/>
      <c r="T334" s="472"/>
      <c r="U334" s="472"/>
      <c r="V334" s="472"/>
      <c r="W334" s="472"/>
      <c r="X334" s="472"/>
      <c r="Y334" s="472"/>
      <c r="Z334" s="472"/>
      <c r="AA334" s="472"/>
    </row>
    <row r="335" outlineLevel="1">
      <c r="A335" s="484">
        <f>IFERROR(__xludf.DUMMYFUNCTION("""COMPUTED_VALUE"""),5.25756093148E11)</f>
        <v>525756093148</v>
      </c>
      <c r="B335" s="485" t="str">
        <f>IFERROR(__xludf.DUMMYFUNCTION("""COMPUTED_VALUE"""),"TICIANA MARIA GOMES GUEDES DE MATOS")</f>
        <v>TICIANA MARIA GOMES GUEDES DE MATOS</v>
      </c>
      <c r="C335" s="486">
        <f>IFERROR(__xludf.DUMMYFUNCTION("""COMPUTED_VALUE"""),9.5)</f>
        <v>9.5</v>
      </c>
      <c r="D335" s="487"/>
      <c r="E335" s="486"/>
      <c r="F335" s="488"/>
      <c r="G335" s="472"/>
      <c r="H335" s="472"/>
      <c r="I335" s="472"/>
      <c r="J335" s="472"/>
      <c r="K335" s="472"/>
      <c r="L335" s="472"/>
      <c r="M335" s="472"/>
      <c r="N335" s="472"/>
      <c r="O335" s="472"/>
      <c r="P335" s="472"/>
      <c r="Q335" s="472"/>
      <c r="R335" s="472"/>
      <c r="S335" s="472"/>
      <c r="T335" s="472"/>
      <c r="U335" s="472"/>
      <c r="V335" s="472"/>
      <c r="W335" s="472"/>
      <c r="X335" s="472"/>
      <c r="Y335" s="472"/>
      <c r="Z335" s="472"/>
      <c r="AA335" s="472"/>
    </row>
    <row r="336" outlineLevel="1">
      <c r="A336" s="484">
        <f>IFERROR(__xludf.DUMMYFUNCTION("""COMPUTED_VALUE"""),8.22769093205E11)</f>
        <v>822769093205</v>
      </c>
      <c r="B336" s="485" t="str">
        <f>IFERROR(__xludf.DUMMYFUNCTION("""COMPUTED_VALUE"""),"GILMARA MARIA BATISTA TAVARES DA SILVA")</f>
        <v>GILMARA MARIA BATISTA TAVARES DA SILVA</v>
      </c>
      <c r="C336" s="486">
        <f>IFERROR(__xludf.DUMMYFUNCTION("""COMPUTED_VALUE"""),9.5)</f>
        <v>9.5</v>
      </c>
      <c r="D336" s="487"/>
      <c r="E336" s="486"/>
      <c r="F336" s="488"/>
      <c r="G336" s="472"/>
      <c r="H336" s="472"/>
      <c r="I336" s="472"/>
      <c r="J336" s="472"/>
      <c r="K336" s="472"/>
      <c r="L336" s="472"/>
      <c r="M336" s="472"/>
      <c r="N336" s="472"/>
      <c r="O336" s="472"/>
      <c r="P336" s="472"/>
      <c r="Q336" s="472"/>
      <c r="R336" s="472"/>
      <c r="S336" s="472"/>
      <c r="T336" s="472"/>
      <c r="U336" s="472"/>
      <c r="V336" s="472"/>
      <c r="W336" s="472"/>
      <c r="X336" s="472"/>
      <c r="Y336" s="472"/>
      <c r="Z336" s="472"/>
      <c r="AA336" s="472"/>
    </row>
    <row r="337" outlineLevel="1">
      <c r="A337" s="484">
        <f>IFERROR(__xludf.DUMMYFUNCTION("""COMPUTED_VALUE"""),6.91240091599E11)</f>
        <v>691240091599</v>
      </c>
      <c r="B337" s="485" t="str">
        <f>IFERROR(__xludf.DUMMYFUNCTION("""COMPUTED_VALUE"""),"RAFAEL BEZERRA DUARTE")</f>
        <v>RAFAEL BEZERRA DUARTE</v>
      </c>
      <c r="C337" s="486">
        <f>IFERROR(__xludf.DUMMYFUNCTION("""COMPUTED_VALUE"""),9.5)</f>
        <v>9.5</v>
      </c>
      <c r="D337" s="487"/>
      <c r="E337" s="486"/>
      <c r="F337" s="488"/>
      <c r="G337" s="472"/>
      <c r="H337" s="472"/>
      <c r="I337" s="472"/>
      <c r="J337" s="472"/>
      <c r="K337" s="472"/>
      <c r="L337" s="472"/>
      <c r="M337" s="472"/>
      <c r="N337" s="472"/>
      <c r="O337" s="472"/>
      <c r="P337" s="472"/>
      <c r="Q337" s="472"/>
      <c r="R337" s="472"/>
      <c r="S337" s="472"/>
      <c r="T337" s="472"/>
      <c r="U337" s="472"/>
      <c r="V337" s="472"/>
      <c r="W337" s="472"/>
      <c r="X337" s="472"/>
      <c r="Y337" s="472"/>
      <c r="Z337" s="472"/>
      <c r="AA337" s="472"/>
    </row>
    <row r="338" outlineLevel="1">
      <c r="A338" s="484">
        <f>IFERROR(__xludf.DUMMYFUNCTION("""COMPUTED_VALUE"""),4.78016092401E11)</f>
        <v>478016092401</v>
      </c>
      <c r="B338" s="485" t="str">
        <f>IFERROR(__xludf.DUMMYFUNCTION("""COMPUTED_VALUE"""),"ANTONIA TAINÁ BEZERRA CASTRO")</f>
        <v>ANTONIA TAINÁ BEZERRA CASTRO</v>
      </c>
      <c r="C338" s="486">
        <f>IFERROR(__xludf.DUMMYFUNCTION("""COMPUTED_VALUE"""),9.5)</f>
        <v>9.5</v>
      </c>
      <c r="D338" s="487"/>
      <c r="E338" s="486"/>
      <c r="F338" s="488"/>
      <c r="G338" s="472"/>
      <c r="H338" s="472"/>
      <c r="I338" s="472"/>
      <c r="J338" s="472"/>
      <c r="K338" s="472"/>
      <c r="L338" s="472"/>
      <c r="M338" s="472"/>
      <c r="N338" s="472"/>
      <c r="O338" s="472"/>
      <c r="P338" s="472"/>
      <c r="Q338" s="472"/>
      <c r="R338" s="472"/>
      <c r="S338" s="472"/>
      <c r="T338" s="472"/>
      <c r="U338" s="472"/>
      <c r="V338" s="472"/>
      <c r="W338" s="472"/>
      <c r="X338" s="472"/>
      <c r="Y338" s="472"/>
      <c r="Z338" s="472"/>
      <c r="AA338" s="472"/>
    </row>
    <row r="339" outlineLevel="1">
      <c r="A339" s="484">
        <f>IFERROR(__xludf.DUMMYFUNCTION("""COMPUTED_VALUE"""),1.92623089487E11)</f>
        <v>192623089487</v>
      </c>
      <c r="B339" s="485" t="str">
        <f>IFERROR(__xludf.DUMMYFUNCTION("""COMPUTED_VALUE"""),"JOSETE MALHEIRO TAVARES")</f>
        <v>JOSETE MALHEIRO TAVARES</v>
      </c>
      <c r="C339" s="486">
        <f>IFERROR(__xludf.DUMMYFUNCTION("""COMPUTED_VALUE"""),9.0)</f>
        <v>9</v>
      </c>
      <c r="D339" s="487"/>
      <c r="E339" s="486"/>
      <c r="F339" s="488"/>
      <c r="G339" s="472"/>
      <c r="H339" s="472"/>
      <c r="I339" s="472"/>
      <c r="J339" s="472"/>
      <c r="K339" s="472"/>
      <c r="L339" s="472"/>
      <c r="M339" s="472"/>
      <c r="N339" s="472"/>
      <c r="O339" s="472"/>
      <c r="P339" s="472"/>
      <c r="Q339" s="472"/>
      <c r="R339" s="472"/>
      <c r="S339" s="472"/>
      <c r="T339" s="472"/>
      <c r="U339" s="472"/>
      <c r="V339" s="472"/>
      <c r="W339" s="472"/>
      <c r="X339" s="472"/>
      <c r="Y339" s="472"/>
      <c r="Z339" s="472"/>
      <c r="AA339" s="472"/>
    </row>
    <row r="340" outlineLevel="1">
      <c r="A340" s="484">
        <f>IFERROR(__xludf.DUMMYFUNCTION("""COMPUTED_VALUE"""),9.89624092277E11)</f>
        <v>989624092277</v>
      </c>
      <c r="B340" s="485" t="str">
        <f>IFERROR(__xludf.DUMMYFUNCTION("""COMPUTED_VALUE"""),"ROSANA LIBERATO LOPES")</f>
        <v>ROSANA LIBERATO LOPES</v>
      </c>
      <c r="C340" s="486">
        <f>IFERROR(__xludf.DUMMYFUNCTION("""COMPUTED_VALUE"""),9.0)</f>
        <v>9</v>
      </c>
      <c r="D340" s="487"/>
      <c r="E340" s="486"/>
      <c r="F340" s="488"/>
      <c r="G340" s="472"/>
      <c r="H340" s="472"/>
      <c r="I340" s="472"/>
      <c r="J340" s="472"/>
      <c r="K340" s="472"/>
      <c r="L340" s="472"/>
      <c r="M340" s="472"/>
      <c r="N340" s="472"/>
      <c r="O340" s="472"/>
      <c r="P340" s="472"/>
      <c r="Q340" s="472"/>
      <c r="R340" s="472"/>
      <c r="S340" s="472"/>
      <c r="T340" s="472"/>
      <c r="U340" s="472"/>
      <c r="V340" s="472"/>
      <c r="W340" s="472"/>
      <c r="X340" s="472"/>
      <c r="Y340" s="472"/>
      <c r="Z340" s="472"/>
      <c r="AA340" s="472"/>
    </row>
    <row r="341" outlineLevel="1">
      <c r="A341" s="484">
        <f>IFERROR(__xludf.DUMMYFUNCTION("""COMPUTED_VALUE"""),5.83857088889E11)</f>
        <v>583857088889</v>
      </c>
      <c r="B341" s="485" t="str">
        <f>IFERROR(__xludf.DUMMYFUNCTION("""COMPUTED_VALUE"""),"RAQUEL DE CASTRO ALVES NEPOMUCENO")</f>
        <v>RAQUEL DE CASTRO ALVES NEPOMUCENO</v>
      </c>
      <c r="C341" s="486">
        <f>IFERROR(__xludf.DUMMYFUNCTION("""COMPUTED_VALUE"""),9.0)</f>
        <v>9</v>
      </c>
      <c r="D341" s="487"/>
      <c r="E341" s="486"/>
      <c r="F341" s="488"/>
      <c r="G341" s="472"/>
      <c r="H341" s="472"/>
      <c r="I341" s="472"/>
      <c r="J341" s="472"/>
      <c r="K341" s="472"/>
      <c r="L341" s="472"/>
      <c r="M341" s="472"/>
      <c r="N341" s="472"/>
      <c r="O341" s="472"/>
      <c r="P341" s="472"/>
      <c r="Q341" s="472"/>
      <c r="R341" s="472"/>
      <c r="S341" s="472"/>
      <c r="T341" s="472"/>
      <c r="U341" s="472"/>
      <c r="V341" s="472"/>
      <c r="W341" s="472"/>
      <c r="X341" s="472"/>
      <c r="Y341" s="472"/>
      <c r="Z341" s="472"/>
      <c r="AA341" s="472"/>
    </row>
    <row r="342" outlineLevel="1">
      <c r="A342" s="484">
        <f>IFERROR(__xludf.DUMMYFUNCTION("""COMPUTED_VALUE"""),3.98620093476E11)</f>
        <v>398620093476</v>
      </c>
      <c r="B342" s="485" t="str">
        <f>IFERROR(__xludf.DUMMYFUNCTION("""COMPUTED_VALUE"""),"VIVIANE DE AMORIM DUARTE")</f>
        <v>VIVIANE DE AMORIM DUARTE</v>
      </c>
      <c r="C342" s="486">
        <f>IFERROR(__xludf.DUMMYFUNCTION("""COMPUTED_VALUE"""),9.0)</f>
        <v>9</v>
      </c>
      <c r="D342" s="487"/>
      <c r="E342" s="486"/>
      <c r="F342" s="488"/>
      <c r="G342" s="472"/>
      <c r="H342" s="472"/>
      <c r="I342" s="472"/>
      <c r="J342" s="472"/>
      <c r="K342" s="472"/>
      <c r="L342" s="472"/>
      <c r="M342" s="472"/>
      <c r="N342" s="472"/>
      <c r="O342" s="472"/>
      <c r="P342" s="472"/>
      <c r="Q342" s="472"/>
      <c r="R342" s="472"/>
      <c r="S342" s="472"/>
      <c r="T342" s="472"/>
      <c r="U342" s="472"/>
      <c r="V342" s="472"/>
      <c r="W342" s="472"/>
      <c r="X342" s="472"/>
      <c r="Y342" s="472"/>
      <c r="Z342" s="472"/>
      <c r="AA342" s="472"/>
    </row>
    <row r="343" outlineLevel="1">
      <c r="A343" s="484">
        <f>IFERROR(__xludf.DUMMYFUNCTION("""COMPUTED_VALUE"""),9.81710089983E11)</f>
        <v>981710089983</v>
      </c>
      <c r="B343" s="485" t="str">
        <f>IFERROR(__xludf.DUMMYFUNCTION("""COMPUTED_VALUE"""),"DAMIAO MAROTO GOMES JUNIOR")</f>
        <v>DAMIAO MAROTO GOMES JUNIOR</v>
      </c>
      <c r="C343" s="486">
        <f>IFERROR(__xludf.DUMMYFUNCTION("""COMPUTED_VALUE"""),9.0)</f>
        <v>9</v>
      </c>
      <c r="D343" s="487"/>
      <c r="E343" s="486"/>
      <c r="F343" s="488"/>
      <c r="G343" s="472"/>
      <c r="H343" s="472"/>
      <c r="I343" s="472"/>
      <c r="J343" s="472"/>
      <c r="K343" s="472"/>
      <c r="L343" s="472"/>
      <c r="M343" s="472"/>
      <c r="N343" s="472"/>
      <c r="O343" s="472"/>
      <c r="P343" s="472"/>
      <c r="Q343" s="472"/>
      <c r="R343" s="472"/>
      <c r="S343" s="472"/>
      <c r="T343" s="472"/>
      <c r="U343" s="472"/>
      <c r="V343" s="472"/>
      <c r="W343" s="472"/>
      <c r="X343" s="472"/>
      <c r="Y343" s="472"/>
      <c r="Z343" s="472"/>
      <c r="AA343" s="472"/>
    </row>
    <row r="344" outlineLevel="1">
      <c r="A344" s="484">
        <f>IFERROR(__xludf.DUMMYFUNCTION("""COMPUTED_VALUE"""),9.38350092838E11)</f>
        <v>938350092838</v>
      </c>
      <c r="B344" s="485" t="str">
        <f>IFERROR(__xludf.DUMMYFUNCTION("""COMPUTED_VALUE"""),"BRENNA VIRGINIA LIMA REBOUÇAS")</f>
        <v>BRENNA VIRGINIA LIMA REBOUÇAS</v>
      </c>
      <c r="C344" s="486">
        <f>IFERROR(__xludf.DUMMYFUNCTION("""COMPUTED_VALUE"""),9.0)</f>
        <v>9</v>
      </c>
      <c r="D344" s="487"/>
      <c r="E344" s="486"/>
      <c r="F344" s="488"/>
      <c r="G344" s="472"/>
      <c r="H344" s="472"/>
      <c r="I344" s="472"/>
      <c r="J344" s="472"/>
      <c r="K344" s="472"/>
      <c r="L344" s="472"/>
      <c r="M344" s="472"/>
      <c r="N344" s="472"/>
      <c r="O344" s="472"/>
      <c r="P344" s="472"/>
      <c r="Q344" s="472"/>
      <c r="R344" s="472"/>
      <c r="S344" s="472"/>
      <c r="T344" s="472"/>
      <c r="U344" s="472"/>
      <c r="V344" s="472"/>
      <c r="W344" s="472"/>
      <c r="X344" s="472"/>
      <c r="Y344" s="472"/>
      <c r="Z344" s="472"/>
      <c r="AA344" s="472"/>
    </row>
    <row r="345" outlineLevel="1">
      <c r="A345" s="484">
        <f>IFERROR(__xludf.DUMMYFUNCTION("""COMPUTED_VALUE"""),8.88540092367E11)</f>
        <v>888540092367</v>
      </c>
      <c r="B345" s="485" t="str">
        <f>IFERROR(__xludf.DUMMYFUNCTION("""COMPUTED_VALUE"""),"GEMAKSON MIKAEL MENDES")</f>
        <v>GEMAKSON MIKAEL MENDES</v>
      </c>
      <c r="C345" s="486">
        <f>IFERROR(__xludf.DUMMYFUNCTION("""COMPUTED_VALUE"""),9.0)</f>
        <v>9</v>
      </c>
      <c r="D345" s="487"/>
      <c r="E345" s="486"/>
      <c r="F345" s="488"/>
      <c r="G345" s="472"/>
      <c r="H345" s="472"/>
      <c r="I345" s="472"/>
      <c r="J345" s="472"/>
      <c r="K345" s="472"/>
      <c r="L345" s="472"/>
      <c r="M345" s="472"/>
      <c r="N345" s="472"/>
      <c r="O345" s="472"/>
      <c r="P345" s="472"/>
      <c r="Q345" s="472"/>
      <c r="R345" s="472"/>
      <c r="S345" s="472"/>
      <c r="T345" s="472"/>
      <c r="U345" s="472"/>
      <c r="V345" s="472"/>
      <c r="W345" s="472"/>
      <c r="X345" s="472"/>
      <c r="Y345" s="472"/>
      <c r="Z345" s="472"/>
      <c r="AA345" s="472"/>
    </row>
    <row r="346" outlineLevel="1">
      <c r="A346" s="484">
        <f>IFERROR(__xludf.DUMMYFUNCTION("""COMPUTED_VALUE"""),4.09304090061E11)</f>
        <v>409304090061</v>
      </c>
      <c r="B346" s="485" t="str">
        <f>IFERROR(__xludf.DUMMYFUNCTION("""COMPUTED_VALUE"""),"ANA ANGELICA ROMEIRO CARDOSO")</f>
        <v>ANA ANGELICA ROMEIRO CARDOSO</v>
      </c>
      <c r="C346" s="486">
        <f>IFERROR(__xludf.DUMMYFUNCTION("""COMPUTED_VALUE"""),8.5)</f>
        <v>8.5</v>
      </c>
      <c r="D346" s="487"/>
      <c r="E346" s="486"/>
      <c r="F346" s="488"/>
      <c r="G346" s="472"/>
      <c r="H346" s="472"/>
      <c r="I346" s="472"/>
      <c r="J346" s="472"/>
      <c r="K346" s="472"/>
      <c r="L346" s="472"/>
      <c r="M346" s="472"/>
      <c r="N346" s="472"/>
      <c r="O346" s="472"/>
      <c r="P346" s="472"/>
      <c r="Q346" s="472"/>
      <c r="R346" s="472"/>
      <c r="S346" s="472"/>
      <c r="T346" s="472"/>
      <c r="U346" s="472"/>
      <c r="V346" s="472"/>
      <c r="W346" s="472"/>
      <c r="X346" s="472"/>
      <c r="Y346" s="472"/>
      <c r="Z346" s="472"/>
      <c r="AA346" s="472"/>
    </row>
    <row r="347" outlineLevel="1">
      <c r="A347" s="484">
        <f>IFERROR(__xludf.DUMMYFUNCTION("""COMPUTED_VALUE"""),5.37334089704E11)</f>
        <v>537334089704</v>
      </c>
      <c r="B347" s="485" t="str">
        <f>IFERROR(__xludf.DUMMYFUNCTION("""COMPUTED_VALUE"""),"FERNANDA PIMENTEL DE OLIVEIRA")</f>
        <v>FERNANDA PIMENTEL DE OLIVEIRA</v>
      </c>
      <c r="C347" s="486">
        <f>IFERROR(__xludf.DUMMYFUNCTION("""COMPUTED_VALUE"""),8.0)</f>
        <v>8</v>
      </c>
      <c r="D347" s="487"/>
      <c r="E347" s="486"/>
      <c r="F347" s="488"/>
      <c r="G347" s="472"/>
      <c r="H347" s="472"/>
      <c r="I347" s="472"/>
      <c r="J347" s="472"/>
      <c r="K347" s="472"/>
      <c r="L347" s="472"/>
      <c r="M347" s="472"/>
      <c r="N347" s="472"/>
      <c r="O347" s="472"/>
      <c r="P347" s="472"/>
      <c r="Q347" s="472"/>
      <c r="R347" s="472"/>
      <c r="S347" s="472"/>
      <c r="T347" s="472"/>
      <c r="U347" s="472"/>
      <c r="V347" s="472"/>
      <c r="W347" s="472"/>
      <c r="X347" s="472"/>
      <c r="Y347" s="472"/>
      <c r="Z347" s="472"/>
      <c r="AA347" s="472"/>
    </row>
    <row r="348" outlineLevel="1">
      <c r="A348" s="484">
        <f>IFERROR(__xludf.DUMMYFUNCTION("""COMPUTED_VALUE"""),4.74210089407E11)</f>
        <v>474210089407</v>
      </c>
      <c r="B348" s="485" t="str">
        <f>IFERROR(__xludf.DUMMYFUNCTION("""COMPUTED_VALUE"""),"PRISCILLA ROLIM MENDONÇA")</f>
        <v>PRISCILLA ROLIM MENDONÇA</v>
      </c>
      <c r="C348" s="486">
        <f>IFERROR(__xludf.DUMMYFUNCTION("""COMPUTED_VALUE"""),8.0)</f>
        <v>8</v>
      </c>
      <c r="D348" s="487"/>
      <c r="E348" s="486"/>
      <c r="F348" s="488"/>
      <c r="G348" s="472"/>
      <c r="H348" s="472"/>
      <c r="I348" s="472"/>
      <c r="J348" s="472"/>
      <c r="K348" s="472"/>
      <c r="L348" s="472"/>
      <c r="M348" s="472"/>
      <c r="N348" s="472"/>
      <c r="O348" s="472"/>
      <c r="P348" s="472"/>
      <c r="Q348" s="472"/>
      <c r="R348" s="472"/>
      <c r="S348" s="472"/>
      <c r="T348" s="472"/>
      <c r="U348" s="472"/>
      <c r="V348" s="472"/>
      <c r="W348" s="472"/>
      <c r="X348" s="472"/>
      <c r="Y348" s="472"/>
      <c r="Z348" s="472"/>
      <c r="AA348" s="472"/>
    </row>
    <row r="349" outlineLevel="1">
      <c r="A349" s="484">
        <f>IFERROR(__xludf.DUMMYFUNCTION("""COMPUTED_VALUE"""),1.32120089854E11)</f>
        <v>132120089854</v>
      </c>
      <c r="B349" s="485" t="str">
        <f>IFERROR(__xludf.DUMMYFUNCTION("""COMPUTED_VALUE"""),"DAIANA DE JESUS MOREIRA")</f>
        <v>DAIANA DE JESUS MOREIRA</v>
      </c>
      <c r="C349" s="486">
        <f>IFERROR(__xludf.DUMMYFUNCTION("""COMPUTED_VALUE"""),8.0)</f>
        <v>8</v>
      </c>
      <c r="D349" s="487"/>
      <c r="E349" s="486"/>
      <c r="F349" s="488"/>
      <c r="G349" s="472"/>
      <c r="H349" s="472"/>
      <c r="I349" s="472"/>
      <c r="J349" s="472"/>
      <c r="K349" s="472"/>
      <c r="L349" s="472"/>
      <c r="M349" s="472"/>
      <c r="N349" s="472"/>
      <c r="O349" s="472"/>
      <c r="P349" s="472"/>
      <c r="Q349" s="472"/>
      <c r="R349" s="472"/>
      <c r="S349" s="472"/>
      <c r="T349" s="472"/>
      <c r="U349" s="472"/>
      <c r="V349" s="472"/>
      <c r="W349" s="472"/>
      <c r="X349" s="472"/>
      <c r="Y349" s="472"/>
      <c r="Z349" s="472"/>
      <c r="AA349" s="472"/>
    </row>
    <row r="350" outlineLevel="1">
      <c r="A350" s="484">
        <f>IFERROR(__xludf.DUMMYFUNCTION("""COMPUTED_VALUE"""),6.35545092962E11)</f>
        <v>635545092962</v>
      </c>
      <c r="B350" s="485" t="str">
        <f>IFERROR(__xludf.DUMMYFUNCTION("""COMPUTED_VALUE"""),"OLGA DAMASCENO NOGUEIRA DE SOUSA")</f>
        <v>OLGA DAMASCENO NOGUEIRA DE SOUSA</v>
      </c>
      <c r="C350" s="486">
        <f>IFERROR(__xludf.DUMMYFUNCTION("""COMPUTED_VALUE"""),8.0)</f>
        <v>8</v>
      </c>
      <c r="D350" s="487"/>
      <c r="E350" s="486"/>
      <c r="F350" s="488"/>
      <c r="G350" s="472"/>
      <c r="H350" s="472"/>
      <c r="I350" s="472"/>
      <c r="J350" s="472"/>
      <c r="K350" s="472"/>
      <c r="L350" s="472"/>
      <c r="M350" s="472"/>
      <c r="N350" s="472"/>
      <c r="O350" s="472"/>
      <c r="P350" s="472"/>
      <c r="Q350" s="472"/>
      <c r="R350" s="472"/>
      <c r="S350" s="472"/>
      <c r="T350" s="472"/>
      <c r="U350" s="472"/>
      <c r="V350" s="472"/>
      <c r="W350" s="472"/>
      <c r="X350" s="472"/>
      <c r="Y350" s="472"/>
      <c r="Z350" s="472"/>
      <c r="AA350" s="472"/>
    </row>
    <row r="351" outlineLevel="1">
      <c r="A351" s="484">
        <f>IFERROR(__xludf.DUMMYFUNCTION("""COMPUTED_VALUE"""),1.82720092942E11)</f>
        <v>182720092942</v>
      </c>
      <c r="B351" s="485" t="str">
        <f>IFERROR(__xludf.DUMMYFUNCTION("""COMPUTED_VALUE"""),"JOSÉ DAVI JOVINO FARIAS")</f>
        <v>JOSÉ DAVI JOVINO FARIAS</v>
      </c>
      <c r="C351" s="486">
        <f>IFERROR(__xludf.DUMMYFUNCTION("""COMPUTED_VALUE"""),8.0)</f>
        <v>8</v>
      </c>
      <c r="D351" s="487"/>
      <c r="E351" s="486"/>
      <c r="F351" s="488"/>
      <c r="G351" s="472"/>
      <c r="H351" s="472"/>
      <c r="I351" s="472"/>
      <c r="J351" s="472"/>
      <c r="K351" s="472"/>
      <c r="L351" s="472"/>
      <c r="M351" s="472"/>
      <c r="N351" s="472"/>
      <c r="O351" s="472"/>
      <c r="P351" s="472"/>
      <c r="Q351" s="472"/>
      <c r="R351" s="472"/>
      <c r="S351" s="472"/>
      <c r="T351" s="472"/>
      <c r="U351" s="472"/>
      <c r="V351" s="472"/>
      <c r="W351" s="472"/>
      <c r="X351" s="472"/>
      <c r="Y351" s="472"/>
      <c r="Z351" s="472"/>
      <c r="AA351" s="472"/>
    </row>
    <row r="352" outlineLevel="1">
      <c r="A352" s="484">
        <f>IFERROR(__xludf.DUMMYFUNCTION("""COMPUTED_VALUE"""),7.04260090891E11)</f>
        <v>704260090891</v>
      </c>
      <c r="B352" s="485" t="str">
        <f>IFERROR(__xludf.DUMMYFUNCTION("""COMPUTED_VALUE"""),"FRANCISCO THIAGO PAIVA MONTE")</f>
        <v>FRANCISCO THIAGO PAIVA MONTE</v>
      </c>
      <c r="C352" s="486">
        <f>IFERROR(__xludf.DUMMYFUNCTION("""COMPUTED_VALUE"""),8.0)</f>
        <v>8</v>
      </c>
      <c r="D352" s="487"/>
      <c r="E352" s="486"/>
      <c r="F352" s="488"/>
      <c r="G352" s="472"/>
      <c r="H352" s="472"/>
      <c r="I352" s="472"/>
      <c r="J352" s="472"/>
      <c r="K352" s="472"/>
      <c r="L352" s="472"/>
      <c r="M352" s="472"/>
      <c r="N352" s="472"/>
      <c r="O352" s="472"/>
      <c r="P352" s="472"/>
      <c r="Q352" s="472"/>
      <c r="R352" s="472"/>
      <c r="S352" s="472"/>
      <c r="T352" s="472"/>
      <c r="U352" s="472"/>
      <c r="V352" s="472"/>
      <c r="W352" s="472"/>
      <c r="X352" s="472"/>
      <c r="Y352" s="472"/>
      <c r="Z352" s="472"/>
      <c r="AA352" s="472"/>
    </row>
    <row r="353" outlineLevel="1">
      <c r="A353" s="484">
        <f>IFERROR(__xludf.DUMMYFUNCTION("""COMPUTED_VALUE"""),4.50511088563E11)</f>
        <v>450511088563</v>
      </c>
      <c r="B353" s="485" t="str">
        <f>IFERROR(__xludf.DUMMYFUNCTION("""COMPUTED_VALUE"""),"MARIA VALÉRIA CHAVES DE LIMA")</f>
        <v>MARIA VALÉRIA CHAVES DE LIMA</v>
      </c>
      <c r="C353" s="486">
        <f>IFERROR(__xludf.DUMMYFUNCTION("""COMPUTED_VALUE"""),8.0)</f>
        <v>8</v>
      </c>
      <c r="D353" s="487"/>
      <c r="E353" s="486"/>
      <c r="F353" s="488"/>
      <c r="G353" s="472"/>
      <c r="H353" s="472"/>
      <c r="I353" s="472"/>
      <c r="J353" s="472"/>
      <c r="K353" s="472"/>
      <c r="L353" s="472"/>
      <c r="M353" s="472"/>
      <c r="N353" s="472"/>
      <c r="O353" s="472"/>
      <c r="P353" s="472"/>
      <c r="Q353" s="472"/>
      <c r="R353" s="472"/>
      <c r="S353" s="472"/>
      <c r="T353" s="472"/>
      <c r="U353" s="472"/>
      <c r="V353" s="472"/>
      <c r="W353" s="472"/>
      <c r="X353" s="472"/>
      <c r="Y353" s="472"/>
      <c r="Z353" s="472"/>
      <c r="AA353" s="472"/>
    </row>
    <row r="354" outlineLevel="1">
      <c r="A354" s="494">
        <f>IFERROR(__xludf.DUMMYFUNCTION("""COMPUTED_VALUE"""),4.9070092032E10)</f>
        <v>49070092032</v>
      </c>
      <c r="B354" s="485" t="str">
        <f>IFERROR(__xludf.DUMMYFUNCTION("""COMPUTED_VALUE"""),"JEFFERSON NASCIMENTO DOS SANTOS")</f>
        <v>JEFFERSON NASCIMENTO DOS SANTOS</v>
      </c>
      <c r="C354" s="486">
        <f>IFERROR(__xludf.DUMMYFUNCTION("""COMPUTED_VALUE"""),8.0)</f>
        <v>8</v>
      </c>
      <c r="D354" s="487"/>
      <c r="E354" s="486"/>
      <c r="F354" s="488"/>
      <c r="G354" s="472"/>
      <c r="H354" s="472"/>
      <c r="I354" s="472"/>
      <c r="J354" s="472"/>
      <c r="K354" s="472"/>
      <c r="L354" s="472"/>
      <c r="M354" s="472"/>
      <c r="N354" s="472"/>
      <c r="O354" s="472"/>
      <c r="P354" s="472"/>
      <c r="Q354" s="472"/>
      <c r="R354" s="472"/>
      <c r="S354" s="472"/>
      <c r="T354" s="472"/>
      <c r="U354" s="472"/>
      <c r="V354" s="472"/>
      <c r="W354" s="472"/>
      <c r="X354" s="472"/>
      <c r="Y354" s="472"/>
      <c r="Z354" s="472"/>
      <c r="AA354" s="472"/>
    </row>
    <row r="355" outlineLevel="1">
      <c r="A355" s="484">
        <f>IFERROR(__xludf.DUMMYFUNCTION("""COMPUTED_VALUE"""),6.00210092576E11)</f>
        <v>600210092576</v>
      </c>
      <c r="B355" s="485" t="str">
        <f>IFERROR(__xludf.DUMMYFUNCTION("""COMPUTED_VALUE"""),"WILLIANE MORAIS DE JESUS GAZOS")</f>
        <v>WILLIANE MORAIS DE JESUS GAZOS</v>
      </c>
      <c r="C355" s="486">
        <f>IFERROR(__xludf.DUMMYFUNCTION("""COMPUTED_VALUE"""),7.5)</f>
        <v>7.5</v>
      </c>
      <c r="D355" s="487"/>
      <c r="E355" s="486"/>
      <c r="F355" s="488"/>
      <c r="G355" s="472"/>
      <c r="H355" s="472"/>
      <c r="I355" s="472"/>
      <c r="J355" s="472"/>
      <c r="K355" s="472"/>
      <c r="L355" s="472"/>
      <c r="M355" s="472"/>
      <c r="N355" s="472"/>
      <c r="O355" s="472"/>
      <c r="P355" s="472"/>
      <c r="Q355" s="472"/>
      <c r="R355" s="472"/>
      <c r="S355" s="472"/>
      <c r="T355" s="472"/>
      <c r="U355" s="472"/>
      <c r="V355" s="472"/>
      <c r="W355" s="472"/>
      <c r="X355" s="472"/>
      <c r="Y355" s="472"/>
      <c r="Z355" s="472"/>
      <c r="AA355" s="472"/>
    </row>
    <row r="356" outlineLevel="1">
      <c r="A356" s="484">
        <f>IFERROR(__xludf.DUMMYFUNCTION("""COMPUTED_VALUE"""),8.24710092494E11)</f>
        <v>824710092494</v>
      </c>
      <c r="B356" s="485" t="str">
        <f>IFERROR(__xludf.DUMMYFUNCTION("""COMPUTED_VALUE"""),"DIANA MUNIZ PINTO")</f>
        <v>DIANA MUNIZ PINTO</v>
      </c>
      <c r="C356" s="486">
        <f>IFERROR(__xludf.DUMMYFUNCTION("""COMPUTED_VALUE"""),7.0)</f>
        <v>7</v>
      </c>
      <c r="D356" s="487"/>
      <c r="E356" s="486"/>
      <c r="F356" s="488"/>
      <c r="G356" s="472"/>
      <c r="H356" s="472"/>
      <c r="I356" s="472"/>
      <c r="J356" s="472"/>
      <c r="K356" s="472"/>
      <c r="L356" s="472"/>
      <c r="M356" s="472"/>
      <c r="N356" s="472"/>
      <c r="O356" s="472"/>
      <c r="P356" s="472"/>
      <c r="Q356" s="472"/>
      <c r="R356" s="472"/>
      <c r="S356" s="472"/>
      <c r="T356" s="472"/>
      <c r="U356" s="472"/>
      <c r="V356" s="472"/>
      <c r="W356" s="472"/>
      <c r="X356" s="472"/>
      <c r="Y356" s="472"/>
      <c r="Z356" s="472"/>
      <c r="AA356" s="472"/>
    </row>
    <row r="357" outlineLevel="1">
      <c r="A357" s="484">
        <f>IFERROR(__xludf.DUMMYFUNCTION("""COMPUTED_VALUE"""),7.96530089023E11)</f>
        <v>796530089023</v>
      </c>
      <c r="B357" s="485" t="str">
        <f>IFERROR(__xludf.DUMMYFUNCTION("""COMPUTED_VALUE"""),"LUCIANO SANTOS DA SILVA FILHO")</f>
        <v>LUCIANO SANTOS DA SILVA FILHO</v>
      </c>
      <c r="C357" s="486">
        <f>IFERROR(__xludf.DUMMYFUNCTION("""COMPUTED_VALUE"""),7.0)</f>
        <v>7</v>
      </c>
      <c r="D357" s="487"/>
      <c r="E357" s="486"/>
      <c r="F357" s="488"/>
      <c r="G357" s="472"/>
      <c r="H357" s="472"/>
      <c r="I357" s="472"/>
      <c r="J357" s="472"/>
      <c r="K357" s="472"/>
      <c r="L357" s="472"/>
      <c r="M357" s="472"/>
      <c r="N357" s="472"/>
      <c r="O357" s="472"/>
      <c r="P357" s="472"/>
      <c r="Q357" s="472"/>
      <c r="R357" s="472"/>
      <c r="S357" s="472"/>
      <c r="T357" s="472"/>
      <c r="U357" s="472"/>
      <c r="V357" s="472"/>
      <c r="W357" s="472"/>
      <c r="X357" s="472"/>
      <c r="Y357" s="472"/>
      <c r="Z357" s="472"/>
      <c r="AA357" s="472"/>
    </row>
    <row r="358" outlineLevel="1">
      <c r="A358" s="484">
        <f>IFERROR(__xludf.DUMMYFUNCTION("""COMPUTED_VALUE"""),6.09410088903E11)</f>
        <v>609410088903</v>
      </c>
      <c r="B358" s="485" t="str">
        <f>IFERROR(__xludf.DUMMYFUNCTION("""COMPUTED_VALUE"""),"BRUNO DE SOUSA ALMEIDA")</f>
        <v>BRUNO DE SOUSA ALMEIDA</v>
      </c>
      <c r="C358" s="486">
        <f>IFERROR(__xludf.DUMMYFUNCTION("""COMPUTED_VALUE"""),7.0)</f>
        <v>7</v>
      </c>
      <c r="D358" s="487"/>
      <c r="E358" s="486"/>
      <c r="F358" s="488"/>
      <c r="G358" s="472"/>
      <c r="H358" s="472"/>
      <c r="I358" s="472"/>
      <c r="J358" s="472"/>
      <c r="K358" s="472"/>
      <c r="L358" s="472"/>
      <c r="M358" s="472"/>
      <c r="N358" s="472"/>
      <c r="O358" s="472"/>
      <c r="P358" s="472"/>
      <c r="Q358" s="472"/>
      <c r="R358" s="472"/>
      <c r="S358" s="472"/>
      <c r="T358" s="472"/>
      <c r="U358" s="472"/>
      <c r="V358" s="472"/>
      <c r="W358" s="472"/>
      <c r="X358" s="472"/>
      <c r="Y358" s="472"/>
      <c r="Z358" s="472"/>
      <c r="AA358" s="472"/>
    </row>
    <row r="359" outlineLevel="1">
      <c r="A359" s="494">
        <f>IFERROR(__xludf.DUMMYFUNCTION("""COMPUTED_VALUE"""),2.8660093676E10)</f>
        <v>28660093676</v>
      </c>
      <c r="B359" s="485" t="str">
        <f>IFERROR(__xludf.DUMMYFUNCTION("""COMPUTED_VALUE"""),"SAMUELLOPES DOS SANTOS")</f>
        <v>SAMUELLOPES DOS SANTOS</v>
      </c>
      <c r="C359" s="486">
        <f>IFERROR(__xludf.DUMMYFUNCTION("""COMPUTED_VALUE"""),7.0)</f>
        <v>7</v>
      </c>
      <c r="D359" s="487"/>
      <c r="E359" s="486"/>
      <c r="F359" s="488"/>
      <c r="G359" s="472"/>
      <c r="H359" s="472"/>
      <c r="I359" s="472"/>
      <c r="J359" s="472"/>
      <c r="K359" s="472"/>
      <c r="L359" s="472"/>
      <c r="M359" s="472"/>
      <c r="N359" s="472"/>
      <c r="O359" s="472"/>
      <c r="P359" s="472"/>
      <c r="Q359" s="472"/>
      <c r="R359" s="472"/>
      <c r="S359" s="472"/>
      <c r="T359" s="472"/>
      <c r="U359" s="472"/>
      <c r="V359" s="472"/>
      <c r="W359" s="472"/>
      <c r="X359" s="472"/>
      <c r="Y359" s="472"/>
      <c r="Z359" s="472"/>
      <c r="AA359" s="472"/>
    </row>
    <row r="360" outlineLevel="1">
      <c r="A360" s="484">
        <f>IFERROR(__xludf.DUMMYFUNCTION("""COMPUTED_VALUE"""),2.730600917E11)</f>
        <v>273060091700</v>
      </c>
      <c r="B360" s="485" t="str">
        <f>IFERROR(__xludf.DUMMYFUNCTION("""COMPUTED_VALUE"""),"ANA LARISSE SANTOS BARBOSA")</f>
        <v>ANA LARISSE SANTOS BARBOSA</v>
      </c>
      <c r="C360" s="486">
        <f>IFERROR(__xludf.DUMMYFUNCTION("""COMPUTED_VALUE"""),7.0)</f>
        <v>7</v>
      </c>
      <c r="D360" s="487"/>
      <c r="E360" s="486"/>
      <c r="F360" s="488"/>
      <c r="G360" s="472"/>
      <c r="H360" s="472"/>
      <c r="I360" s="472"/>
      <c r="J360" s="472"/>
      <c r="K360" s="472"/>
      <c r="L360" s="472"/>
      <c r="M360" s="472"/>
      <c r="N360" s="472"/>
      <c r="O360" s="472"/>
      <c r="P360" s="472"/>
      <c r="Q360" s="472"/>
      <c r="R360" s="472"/>
      <c r="S360" s="472"/>
      <c r="T360" s="472"/>
      <c r="U360" s="472"/>
      <c r="V360" s="472"/>
      <c r="W360" s="472"/>
      <c r="X360" s="472"/>
      <c r="Y360" s="472"/>
      <c r="Z360" s="472"/>
      <c r="AA360" s="472"/>
    </row>
    <row r="361" outlineLevel="1">
      <c r="A361" s="484">
        <f>IFERROR(__xludf.DUMMYFUNCTION("""COMPUTED_VALUE"""),3.81344092283E11)</f>
        <v>381344092283</v>
      </c>
      <c r="B361" s="485" t="str">
        <f>IFERROR(__xludf.DUMMYFUNCTION("""COMPUTED_VALUE"""),"ANDRÉA DE OLIVEIRA ALBUQUERQUE FERREIRA GOMES")</f>
        <v>ANDRÉA DE OLIVEIRA ALBUQUERQUE FERREIRA GOMES</v>
      </c>
      <c r="C361" s="486">
        <f>IFERROR(__xludf.DUMMYFUNCTION("""COMPUTED_VALUE"""),6.5)</f>
        <v>6.5</v>
      </c>
      <c r="D361" s="487"/>
      <c r="E361" s="486"/>
      <c r="F361" s="488"/>
      <c r="G361" s="472"/>
      <c r="H361" s="472"/>
      <c r="I361" s="472"/>
      <c r="J361" s="472"/>
      <c r="K361" s="472"/>
      <c r="L361" s="472"/>
      <c r="M361" s="472"/>
      <c r="N361" s="472"/>
      <c r="O361" s="472"/>
      <c r="P361" s="472"/>
      <c r="Q361" s="472"/>
      <c r="R361" s="472"/>
      <c r="S361" s="472"/>
      <c r="T361" s="472"/>
      <c r="U361" s="472"/>
      <c r="V361" s="472"/>
      <c r="W361" s="472"/>
      <c r="X361" s="472"/>
      <c r="Y361" s="472"/>
      <c r="Z361" s="472"/>
      <c r="AA361" s="472"/>
    </row>
    <row r="362" outlineLevel="1">
      <c r="A362" s="484">
        <f>IFERROR(__xludf.DUMMYFUNCTION("""COMPUTED_VALUE"""),3.52464093408E11)</f>
        <v>352464093408</v>
      </c>
      <c r="B362" s="485" t="str">
        <f>IFERROR(__xludf.DUMMYFUNCTION("""COMPUTED_VALUE"""),"JULIETA NARSIA PONTES LUCIANO")</f>
        <v>JULIETA NARSIA PONTES LUCIANO</v>
      </c>
      <c r="C362" s="486">
        <f>IFERROR(__xludf.DUMMYFUNCTION("""COMPUTED_VALUE"""),6.5)</f>
        <v>6.5</v>
      </c>
      <c r="D362" s="487"/>
      <c r="E362" s="486"/>
      <c r="F362" s="488"/>
      <c r="G362" s="472"/>
      <c r="H362" s="472"/>
      <c r="I362" s="472"/>
      <c r="J362" s="472"/>
      <c r="K362" s="472"/>
      <c r="L362" s="472"/>
      <c r="M362" s="472"/>
      <c r="N362" s="472"/>
      <c r="O362" s="472"/>
      <c r="P362" s="472"/>
      <c r="Q362" s="472"/>
      <c r="R362" s="472"/>
      <c r="S362" s="472"/>
      <c r="T362" s="472"/>
      <c r="U362" s="472"/>
      <c r="V362" s="472"/>
      <c r="W362" s="472"/>
      <c r="X362" s="472"/>
      <c r="Y362" s="472"/>
      <c r="Z362" s="472"/>
      <c r="AA362" s="472"/>
    </row>
    <row r="363" outlineLevel="1">
      <c r="A363" s="484">
        <f>IFERROR(__xludf.DUMMYFUNCTION("""COMPUTED_VALUE"""),4.10754092535E11)</f>
        <v>410754092535</v>
      </c>
      <c r="B363" s="485" t="str">
        <f>IFERROR(__xludf.DUMMYFUNCTION("""COMPUTED_VALUE"""),"MANOEL EDUARDO DOS SANTOS JÚNIOR")</f>
        <v>MANOEL EDUARDO DOS SANTOS JÚNIOR</v>
      </c>
      <c r="C363" s="486">
        <f>IFERROR(__xludf.DUMMYFUNCTION("""COMPUTED_VALUE"""),6.5)</f>
        <v>6.5</v>
      </c>
      <c r="D363" s="487"/>
      <c r="E363" s="486"/>
      <c r="F363" s="488"/>
      <c r="G363" s="472"/>
      <c r="H363" s="472"/>
      <c r="I363" s="472"/>
      <c r="J363" s="472"/>
      <c r="K363" s="472"/>
      <c r="L363" s="472"/>
      <c r="M363" s="472"/>
      <c r="N363" s="472"/>
      <c r="O363" s="472"/>
      <c r="P363" s="472"/>
      <c r="Q363" s="472"/>
      <c r="R363" s="472"/>
      <c r="S363" s="472"/>
      <c r="T363" s="472"/>
      <c r="U363" s="472"/>
      <c r="V363" s="472"/>
      <c r="W363" s="472"/>
      <c r="X363" s="472"/>
      <c r="Y363" s="472"/>
      <c r="Z363" s="472"/>
      <c r="AA363" s="472"/>
    </row>
    <row r="364" outlineLevel="1">
      <c r="A364" s="494">
        <f>IFERROR(__xludf.DUMMYFUNCTION("""COMPUTED_VALUE"""),5.6562092719E10)</f>
        <v>56562092719</v>
      </c>
      <c r="B364" s="485" t="str">
        <f>IFERROR(__xludf.DUMMYFUNCTION("""COMPUTED_VALUE"""),"ANA CARLA ROCHA BARRETO")</f>
        <v>ANA CARLA ROCHA BARRETO</v>
      </c>
      <c r="C364" s="486">
        <f>IFERROR(__xludf.DUMMYFUNCTION("""COMPUTED_VALUE"""),6.5)</f>
        <v>6.5</v>
      </c>
      <c r="D364" s="487"/>
      <c r="E364" s="486"/>
      <c r="F364" s="488"/>
      <c r="G364" s="472"/>
      <c r="H364" s="472"/>
      <c r="I364" s="472"/>
      <c r="J364" s="472"/>
      <c r="K364" s="472"/>
      <c r="L364" s="472"/>
      <c r="M364" s="472"/>
      <c r="N364" s="472"/>
      <c r="O364" s="472"/>
      <c r="P364" s="472"/>
      <c r="Q364" s="472"/>
      <c r="R364" s="472"/>
      <c r="S364" s="472"/>
      <c r="T364" s="472"/>
      <c r="U364" s="472"/>
      <c r="V364" s="472"/>
      <c r="W364" s="472"/>
      <c r="X364" s="472"/>
      <c r="Y364" s="472"/>
      <c r="Z364" s="472"/>
      <c r="AA364" s="472"/>
    </row>
    <row r="365" outlineLevel="1">
      <c r="A365" s="484">
        <f>IFERROR(__xludf.DUMMYFUNCTION("""COMPUTED_VALUE"""),6.15400091865E11)</f>
        <v>615400091865</v>
      </c>
      <c r="B365" s="485" t="str">
        <f>IFERROR(__xludf.DUMMYFUNCTION("""COMPUTED_VALUE"""),"ANA CLARA PATRIOTA CHAVES")</f>
        <v>ANA CLARA PATRIOTA CHAVES</v>
      </c>
      <c r="C365" s="486">
        <f>IFERROR(__xludf.DUMMYFUNCTION("""COMPUTED_VALUE"""),6.5)</f>
        <v>6.5</v>
      </c>
      <c r="D365" s="487"/>
      <c r="E365" s="486"/>
      <c r="F365" s="488"/>
      <c r="G365" s="472"/>
      <c r="H365" s="472"/>
      <c r="I365" s="472"/>
      <c r="J365" s="472"/>
      <c r="K365" s="472"/>
      <c r="L365" s="472"/>
      <c r="M365" s="472"/>
      <c r="N365" s="472"/>
      <c r="O365" s="472"/>
      <c r="P365" s="472"/>
      <c r="Q365" s="472"/>
      <c r="R365" s="472"/>
      <c r="S365" s="472"/>
      <c r="T365" s="472"/>
      <c r="U365" s="472"/>
      <c r="V365" s="472"/>
      <c r="W365" s="472"/>
      <c r="X365" s="472"/>
      <c r="Y365" s="472"/>
      <c r="Z365" s="472"/>
      <c r="AA365" s="472"/>
    </row>
    <row r="366" outlineLevel="1">
      <c r="A366" s="484">
        <f>IFERROR(__xludf.DUMMYFUNCTION("""COMPUTED_VALUE"""),8.26952093625E11)</f>
        <v>826952093625</v>
      </c>
      <c r="B366" s="485" t="str">
        <f>IFERROR(__xludf.DUMMYFUNCTION("""COMPUTED_VALUE"""),"LÍDIA DIAS COSTA")</f>
        <v>LÍDIA DIAS COSTA</v>
      </c>
      <c r="C366" s="486">
        <f>IFERROR(__xludf.DUMMYFUNCTION("""COMPUTED_VALUE"""),6.0)</f>
        <v>6</v>
      </c>
      <c r="D366" s="487"/>
      <c r="E366" s="486"/>
      <c r="F366" s="488"/>
      <c r="G366" s="472"/>
      <c r="H366" s="472"/>
      <c r="I366" s="472"/>
      <c r="J366" s="472"/>
      <c r="K366" s="472"/>
      <c r="L366" s="472"/>
      <c r="M366" s="472"/>
      <c r="N366" s="472"/>
      <c r="O366" s="472"/>
      <c r="P366" s="472"/>
      <c r="Q366" s="472"/>
      <c r="R366" s="472"/>
      <c r="S366" s="472"/>
      <c r="T366" s="472"/>
      <c r="U366" s="472"/>
      <c r="V366" s="472"/>
      <c r="W366" s="472"/>
      <c r="X366" s="472"/>
      <c r="Y366" s="472"/>
      <c r="Z366" s="472"/>
      <c r="AA366" s="472"/>
    </row>
    <row r="367" outlineLevel="1">
      <c r="A367" s="484">
        <f>IFERROR(__xludf.DUMMYFUNCTION("""COMPUTED_VALUE"""),3.41329090799E11)</f>
        <v>341329090799</v>
      </c>
      <c r="B367" s="485" t="str">
        <f>IFERROR(__xludf.DUMMYFUNCTION("""COMPUTED_VALUE"""),"IVANCILDO COSTA FERREIRA")</f>
        <v>IVANCILDO COSTA FERREIRA</v>
      </c>
      <c r="C367" s="486">
        <f>IFERROR(__xludf.DUMMYFUNCTION("""COMPUTED_VALUE"""),6.0)</f>
        <v>6</v>
      </c>
      <c r="D367" s="487"/>
      <c r="E367" s="486"/>
      <c r="F367" s="488"/>
      <c r="G367" s="472"/>
      <c r="H367" s="472"/>
      <c r="I367" s="472"/>
      <c r="J367" s="472"/>
      <c r="K367" s="472"/>
      <c r="L367" s="472"/>
      <c r="M367" s="472"/>
      <c r="N367" s="472"/>
      <c r="O367" s="472"/>
      <c r="P367" s="472"/>
      <c r="Q367" s="472"/>
      <c r="R367" s="472"/>
      <c r="S367" s="472"/>
      <c r="T367" s="472"/>
      <c r="U367" s="472"/>
      <c r="V367" s="472"/>
      <c r="W367" s="472"/>
      <c r="X367" s="472"/>
      <c r="Y367" s="472"/>
      <c r="Z367" s="472"/>
      <c r="AA367" s="472"/>
    </row>
    <row r="368" outlineLevel="1">
      <c r="A368" s="484">
        <f>IFERROR(__xludf.DUMMYFUNCTION("""COMPUTED_VALUE"""),5.10837091207E11)</f>
        <v>510837091207</v>
      </c>
      <c r="B368" s="485" t="str">
        <f>IFERROR(__xludf.DUMMYFUNCTION("""COMPUTED_VALUE"""),"FABIANNE FERREIRA COSTA RÓSEO")</f>
        <v>FABIANNE FERREIRA COSTA RÓSEO</v>
      </c>
      <c r="C368" s="486">
        <f>IFERROR(__xludf.DUMMYFUNCTION("""COMPUTED_VALUE"""),6.0)</f>
        <v>6</v>
      </c>
      <c r="D368" s="487"/>
      <c r="E368" s="486"/>
      <c r="F368" s="488"/>
      <c r="G368" s="472"/>
      <c r="H368" s="472"/>
      <c r="I368" s="472"/>
      <c r="J368" s="472"/>
      <c r="K368" s="472"/>
      <c r="L368" s="472"/>
      <c r="M368" s="472"/>
      <c r="N368" s="472"/>
      <c r="O368" s="472"/>
      <c r="P368" s="472"/>
      <c r="Q368" s="472"/>
      <c r="R368" s="472"/>
      <c r="S368" s="472"/>
      <c r="T368" s="472"/>
      <c r="U368" s="472"/>
      <c r="V368" s="472"/>
      <c r="W368" s="472"/>
      <c r="X368" s="472"/>
      <c r="Y368" s="472"/>
      <c r="Z368" s="472"/>
      <c r="AA368" s="472"/>
    </row>
    <row r="369" outlineLevel="1">
      <c r="A369" s="484">
        <f>IFERROR(__xludf.DUMMYFUNCTION("""COMPUTED_VALUE"""),5.60037092645E11)</f>
        <v>560037092645</v>
      </c>
      <c r="B369" s="485" t="str">
        <f>IFERROR(__xludf.DUMMYFUNCTION("""COMPUTED_VALUE"""),"MARIA IRACEMA CAPISTRANO BEZERRA")</f>
        <v>MARIA IRACEMA CAPISTRANO BEZERRA</v>
      </c>
      <c r="C369" s="486">
        <f>IFERROR(__xludf.DUMMYFUNCTION("""COMPUTED_VALUE"""),6.0)</f>
        <v>6</v>
      </c>
      <c r="D369" s="487"/>
      <c r="E369" s="486"/>
      <c r="F369" s="488"/>
      <c r="G369" s="472"/>
      <c r="H369" s="472"/>
      <c r="I369" s="472"/>
      <c r="J369" s="472"/>
      <c r="K369" s="472"/>
      <c r="L369" s="472"/>
      <c r="M369" s="472"/>
      <c r="N369" s="472"/>
      <c r="O369" s="472"/>
      <c r="P369" s="472"/>
      <c r="Q369" s="472"/>
      <c r="R369" s="472"/>
      <c r="S369" s="472"/>
      <c r="T369" s="472"/>
      <c r="U369" s="472"/>
      <c r="V369" s="472"/>
      <c r="W369" s="472"/>
      <c r="X369" s="472"/>
      <c r="Y369" s="472"/>
      <c r="Z369" s="472"/>
      <c r="AA369" s="472"/>
    </row>
    <row r="370" outlineLevel="1">
      <c r="A370" s="484">
        <f>IFERROR(__xludf.DUMMYFUNCTION("""COMPUTED_VALUE"""),9.3931609167E11)</f>
        <v>939316091670</v>
      </c>
      <c r="B370" s="485" t="str">
        <f>IFERROR(__xludf.DUMMYFUNCTION("""COMPUTED_VALUE"""),"SHEILA PIRES RAQUEL")</f>
        <v>SHEILA PIRES RAQUEL</v>
      </c>
      <c r="C370" s="486">
        <f>IFERROR(__xludf.DUMMYFUNCTION("""COMPUTED_VALUE"""),6.0)</f>
        <v>6</v>
      </c>
      <c r="D370" s="487"/>
      <c r="E370" s="486"/>
      <c r="F370" s="488"/>
      <c r="G370" s="472"/>
      <c r="H370" s="472"/>
      <c r="I370" s="472"/>
      <c r="J370" s="472"/>
      <c r="K370" s="472"/>
      <c r="L370" s="472"/>
      <c r="M370" s="472"/>
      <c r="N370" s="472"/>
      <c r="O370" s="472"/>
      <c r="P370" s="472"/>
      <c r="Q370" s="472"/>
      <c r="R370" s="472"/>
      <c r="S370" s="472"/>
      <c r="T370" s="472"/>
      <c r="U370" s="472"/>
      <c r="V370" s="472"/>
      <c r="W370" s="472"/>
      <c r="X370" s="472"/>
      <c r="Y370" s="472"/>
      <c r="Z370" s="472"/>
      <c r="AA370" s="472"/>
    </row>
    <row r="371" outlineLevel="1">
      <c r="A371" s="484">
        <f>IFERROR(__xludf.DUMMYFUNCTION("""COMPUTED_VALUE"""),2.96589093178E11)</f>
        <v>296589093178</v>
      </c>
      <c r="B371" s="485" t="str">
        <f>IFERROR(__xludf.DUMMYFUNCTION("""COMPUTED_VALUE"""),"CLARISSA DANTAS DE CARVALHO")</f>
        <v>CLARISSA DANTAS DE CARVALHO</v>
      </c>
      <c r="C371" s="486">
        <f>IFERROR(__xludf.DUMMYFUNCTION("""COMPUTED_VALUE"""),6.0)</f>
        <v>6</v>
      </c>
      <c r="D371" s="487"/>
      <c r="E371" s="486"/>
      <c r="F371" s="488"/>
      <c r="G371" s="472"/>
      <c r="H371" s="472"/>
      <c r="I371" s="472"/>
      <c r="J371" s="472"/>
      <c r="K371" s="472"/>
      <c r="L371" s="472"/>
      <c r="M371" s="472"/>
      <c r="N371" s="472"/>
      <c r="O371" s="472"/>
      <c r="P371" s="472"/>
      <c r="Q371" s="472"/>
      <c r="R371" s="472"/>
      <c r="S371" s="472"/>
      <c r="T371" s="472"/>
      <c r="U371" s="472"/>
      <c r="V371" s="472"/>
      <c r="W371" s="472"/>
      <c r="X371" s="472"/>
      <c r="Y371" s="472"/>
      <c r="Z371" s="472"/>
      <c r="AA371" s="472"/>
    </row>
    <row r="372" outlineLevel="1">
      <c r="A372" s="484">
        <f>IFERROR(__xludf.DUMMYFUNCTION("""COMPUTED_VALUE"""),4.20200090396E11)</f>
        <v>420200090396</v>
      </c>
      <c r="B372" s="485" t="str">
        <f>IFERROR(__xludf.DUMMYFUNCTION("""COMPUTED_VALUE"""),"ROSIMARY DA SILVA BARBOSA")</f>
        <v>ROSIMARY DA SILVA BARBOSA</v>
      </c>
      <c r="C372" s="486">
        <f>IFERROR(__xludf.DUMMYFUNCTION("""COMPUTED_VALUE"""),6.0)</f>
        <v>6</v>
      </c>
      <c r="D372" s="487"/>
      <c r="E372" s="486"/>
      <c r="F372" s="488"/>
      <c r="G372" s="472"/>
      <c r="H372" s="472"/>
      <c r="I372" s="472"/>
      <c r="J372" s="472"/>
      <c r="K372" s="472"/>
      <c r="L372" s="472"/>
      <c r="M372" s="472"/>
      <c r="N372" s="472"/>
      <c r="O372" s="472"/>
      <c r="P372" s="472"/>
      <c r="Q372" s="472"/>
      <c r="R372" s="472"/>
      <c r="S372" s="472"/>
      <c r="T372" s="472"/>
      <c r="U372" s="472"/>
      <c r="V372" s="472"/>
      <c r="W372" s="472"/>
      <c r="X372" s="472"/>
      <c r="Y372" s="472"/>
      <c r="Z372" s="472"/>
      <c r="AA372" s="472"/>
    </row>
    <row r="373" outlineLevel="1">
      <c r="A373" s="484">
        <f>IFERROR(__xludf.DUMMYFUNCTION("""COMPUTED_VALUE"""),6.29240090387E11)</f>
        <v>629240090387</v>
      </c>
      <c r="B373" s="485" t="str">
        <f>IFERROR(__xludf.DUMMYFUNCTION("""COMPUTED_VALUE"""),"CAMILA FERREIRA FREIRE")</f>
        <v>CAMILA FERREIRA FREIRE</v>
      </c>
      <c r="C373" s="486">
        <f>IFERROR(__xludf.DUMMYFUNCTION("""COMPUTED_VALUE"""),6.0)</f>
        <v>6</v>
      </c>
      <c r="D373" s="487"/>
      <c r="E373" s="486"/>
      <c r="F373" s="488"/>
      <c r="G373" s="472"/>
      <c r="H373" s="472"/>
      <c r="I373" s="472"/>
      <c r="J373" s="472"/>
      <c r="K373" s="472"/>
      <c r="L373" s="472"/>
      <c r="M373" s="472"/>
      <c r="N373" s="472"/>
      <c r="O373" s="472"/>
      <c r="P373" s="472"/>
      <c r="Q373" s="472"/>
      <c r="R373" s="472"/>
      <c r="S373" s="472"/>
      <c r="T373" s="472"/>
      <c r="U373" s="472"/>
      <c r="V373" s="472"/>
      <c r="W373" s="472"/>
      <c r="X373" s="472"/>
      <c r="Y373" s="472"/>
      <c r="Z373" s="472"/>
      <c r="AA373" s="472"/>
    </row>
    <row r="374" outlineLevel="1">
      <c r="A374" s="494">
        <f>IFERROR(__xludf.DUMMYFUNCTION("""COMPUTED_VALUE"""),9.6306091837E10)</f>
        <v>96306091837</v>
      </c>
      <c r="B374" s="485" t="str">
        <f>IFERROR(__xludf.DUMMYFUNCTION("""COMPUTED_VALUE"""),"JOSÉ EDMILSON SILVA GOMES")</f>
        <v>JOSÉ EDMILSON SILVA GOMES</v>
      </c>
      <c r="C374" s="486">
        <f>IFERROR(__xludf.DUMMYFUNCTION("""COMPUTED_VALUE"""),6.0)</f>
        <v>6</v>
      </c>
      <c r="D374" s="487"/>
      <c r="E374" s="486"/>
      <c r="F374" s="488"/>
      <c r="G374" s="472"/>
      <c r="H374" s="472"/>
      <c r="I374" s="472"/>
      <c r="J374" s="472"/>
      <c r="K374" s="472"/>
      <c r="L374" s="472"/>
      <c r="M374" s="472"/>
      <c r="N374" s="472"/>
      <c r="O374" s="472"/>
      <c r="P374" s="472"/>
      <c r="Q374" s="472"/>
      <c r="R374" s="472"/>
      <c r="S374" s="472"/>
      <c r="T374" s="472"/>
      <c r="U374" s="472"/>
      <c r="V374" s="472"/>
      <c r="W374" s="472"/>
      <c r="X374" s="472"/>
      <c r="Y374" s="472"/>
      <c r="Z374" s="472"/>
      <c r="AA374" s="472"/>
    </row>
    <row r="375">
      <c r="A375" s="478" t="str">
        <f>IFERROR(__xludf.DUMMYFUNCTION("""COMPUTED_VALUE"""),"III - MES - ATENÇÃO SAÚDE MENTAL")</f>
        <v>III - MES - ATENÇÃO SAÚDE MENTAL</v>
      </c>
      <c r="B375" s="479"/>
      <c r="C375" s="479"/>
      <c r="D375" s="479"/>
      <c r="E375" s="479"/>
      <c r="F375" s="480"/>
      <c r="G375" s="472"/>
      <c r="H375" s="472"/>
      <c r="I375" s="472"/>
      <c r="J375" s="472"/>
      <c r="K375" s="472"/>
      <c r="L375" s="472"/>
      <c r="M375" s="472"/>
      <c r="N375" s="472"/>
      <c r="O375" s="472"/>
      <c r="P375" s="472"/>
      <c r="Q375" s="472"/>
      <c r="R375" s="472"/>
      <c r="S375" s="472"/>
      <c r="T375" s="472"/>
      <c r="U375" s="472"/>
      <c r="V375" s="472"/>
      <c r="W375" s="472"/>
      <c r="X375" s="472"/>
      <c r="Y375" s="472"/>
      <c r="Z375" s="472"/>
      <c r="AA375" s="472"/>
    </row>
    <row r="376" outlineLevel="1">
      <c r="A376" s="481" t="str">
        <f>IFERROR(__xludf.DUMMYFUNCTION("""COMPUTED_VALUE"""),"INSCRIÇÃO")</f>
        <v>INSCRIÇÃO</v>
      </c>
      <c r="B376" s="482" t="str">
        <f>IFERROR(__xludf.DUMMYFUNCTION("""COMPUTED_VALUE"""),"CANDIDATOS")</f>
        <v>CANDIDATOS</v>
      </c>
      <c r="C376" s="481" t="str">
        <f>IFERROR(__xludf.DUMMYFUNCTION("""COMPUTED_VALUE"""),"NF")</f>
        <v>NF</v>
      </c>
      <c r="D376" s="483" t="str">
        <f>IFERROR(__xludf.DUMMYFUNCTION("""COMPUTED_VALUE"""),"CONVOCADO(A)")</f>
        <v>CONVOCADO(A)</v>
      </c>
      <c r="E376" s="483" t="str">
        <f>IFERROR(__xludf.DUMMYFUNCTION("""COMPUTED_VALUE"""),"HOMOLOGADO(A)")</f>
        <v>HOMOLOGADO(A)</v>
      </c>
      <c r="F376" s="483" t="str">
        <f>IFERROR(__xludf.DUMMYFUNCTION("""COMPUTED_VALUE"""),"GERÊNCIA")</f>
        <v>GERÊNCIA</v>
      </c>
      <c r="G376" s="472"/>
      <c r="H376" s="472"/>
      <c r="I376" s="472"/>
      <c r="J376" s="472"/>
      <c r="K376" s="472"/>
      <c r="L376" s="472"/>
      <c r="M376" s="472"/>
      <c r="N376" s="472"/>
      <c r="O376" s="472"/>
      <c r="P376" s="472"/>
      <c r="Q376" s="472"/>
      <c r="R376" s="472"/>
      <c r="S376" s="472"/>
      <c r="T376" s="472"/>
      <c r="U376" s="472"/>
      <c r="V376" s="472"/>
      <c r="W376" s="472"/>
      <c r="X376" s="472"/>
      <c r="Y376" s="472"/>
      <c r="Z376" s="472"/>
      <c r="AA376" s="472"/>
    </row>
    <row r="377" outlineLevel="1">
      <c r="A377" s="484">
        <f>IFERROR(__xludf.DUMMYFUNCTION("""COMPUTED_VALUE"""),5.6305609285E11)</f>
        <v>563056092850</v>
      </c>
      <c r="B377" s="485" t="str">
        <f>IFERROR(__xludf.DUMMYFUNCTION("""COMPUTED_VALUE"""),"EVELINE DE SOUSA LANDIM")</f>
        <v>EVELINE DE SOUSA LANDIM</v>
      </c>
      <c r="C377" s="486">
        <f>IFERROR(__xludf.DUMMYFUNCTION("""COMPUTED_VALUE"""),10.0)</f>
        <v>10</v>
      </c>
      <c r="D377" s="487" t="str">
        <f>IFERROR(__xludf.DUMMYFUNCTION("""COMPUTED_VALUE"""),"SIM")</f>
        <v>SIM</v>
      </c>
      <c r="E377" s="486" t="str">
        <f>IFERROR(__xludf.DUMMYFUNCTION("""COMPUTED_VALUE"""),"NÃO")</f>
        <v>NÃO</v>
      </c>
      <c r="F377" s="486" t="str">
        <f>IFERROR(__xludf.DUMMYFUNCTION("""COMPUTED_VALUE"""),"GEDUC")</f>
        <v>GEDUC</v>
      </c>
      <c r="G377" s="472"/>
      <c r="H377" s="472"/>
      <c r="I377" s="472"/>
      <c r="J377" s="472"/>
      <c r="K377" s="472"/>
      <c r="L377" s="472"/>
      <c r="M377" s="472"/>
      <c r="N377" s="472"/>
      <c r="O377" s="472"/>
      <c r="P377" s="472"/>
      <c r="Q377" s="472"/>
      <c r="R377" s="472"/>
      <c r="S377" s="472"/>
      <c r="T377" s="472"/>
      <c r="U377" s="472"/>
      <c r="V377" s="472"/>
      <c r="W377" s="472"/>
      <c r="X377" s="472"/>
      <c r="Y377" s="472"/>
      <c r="Z377" s="472"/>
      <c r="AA377" s="472"/>
    </row>
    <row r="378" outlineLevel="1">
      <c r="A378" s="484">
        <f>IFERROR(__xludf.DUMMYFUNCTION("""COMPUTED_VALUE"""),9.82210093332E11)</f>
        <v>982210093332</v>
      </c>
      <c r="B378" s="485" t="str">
        <f>IFERROR(__xludf.DUMMYFUNCTION("""COMPUTED_VALUE"""),"ANTONIA SHEILANE CARIOCA SILVA")</f>
        <v>ANTONIA SHEILANE CARIOCA SILVA</v>
      </c>
      <c r="C378" s="486">
        <f>IFERROR(__xludf.DUMMYFUNCTION("""COMPUTED_VALUE"""),10.0)</f>
        <v>10</v>
      </c>
      <c r="D378" s="487" t="str">
        <f>IFERROR(__xludf.DUMMYFUNCTION("""COMPUTED_VALUE"""),"SIM")</f>
        <v>SIM</v>
      </c>
      <c r="E378" s="486" t="str">
        <f>IFERROR(__xludf.DUMMYFUNCTION("""COMPUTED_VALUE"""),"SIM")</f>
        <v>SIM</v>
      </c>
      <c r="F378" s="486" t="str">
        <f>IFERROR(__xludf.DUMMYFUNCTION("""COMPUTED_VALUE"""),"GEDUC")</f>
        <v>GEDUC</v>
      </c>
      <c r="G378" s="472"/>
      <c r="H378" s="472"/>
      <c r="I378" s="472"/>
      <c r="J378" s="472"/>
      <c r="K378" s="472"/>
      <c r="L378" s="472"/>
      <c r="M378" s="472"/>
      <c r="N378" s="472"/>
      <c r="O378" s="472"/>
      <c r="P378" s="472"/>
      <c r="Q378" s="472"/>
      <c r="R378" s="472"/>
      <c r="S378" s="472"/>
      <c r="T378" s="472"/>
      <c r="U378" s="472"/>
      <c r="V378" s="472"/>
      <c r="W378" s="472"/>
      <c r="X378" s="472"/>
      <c r="Y378" s="472"/>
      <c r="Z378" s="472"/>
      <c r="AA378" s="472"/>
    </row>
    <row r="379" outlineLevel="1">
      <c r="A379" s="484">
        <f>IFERROR(__xludf.DUMMYFUNCTION("""COMPUTED_VALUE"""),6.00239091611E11)</f>
        <v>600239091611</v>
      </c>
      <c r="B379" s="485" t="str">
        <f>IFERROR(__xludf.DUMMYFUNCTION("""COMPUTED_VALUE"""),"THIAGO SOUSA FELIX")</f>
        <v>THIAGO SOUSA FELIX</v>
      </c>
      <c r="C379" s="486">
        <f>IFERROR(__xludf.DUMMYFUNCTION("""COMPUTED_VALUE"""),10.0)</f>
        <v>10</v>
      </c>
      <c r="D379" s="487" t="str">
        <f>IFERROR(__xludf.DUMMYFUNCTION("""COMPUTED_VALUE"""),"SIM")</f>
        <v>SIM</v>
      </c>
      <c r="E379" s="486" t="str">
        <f>IFERROR(__xludf.DUMMYFUNCTION("""COMPUTED_VALUE"""),"SIM")</f>
        <v>SIM</v>
      </c>
      <c r="F379" s="486" t="str">
        <f>IFERROR(__xludf.DUMMYFUNCTION("""COMPUTED_VALUE"""),"GEDUC")</f>
        <v>GEDUC</v>
      </c>
      <c r="G379" s="472"/>
      <c r="H379" s="472"/>
      <c r="I379" s="472"/>
      <c r="J379" s="472"/>
      <c r="K379" s="472"/>
      <c r="L379" s="472"/>
      <c r="M379" s="472"/>
      <c r="N379" s="472"/>
      <c r="O379" s="472"/>
      <c r="P379" s="472"/>
      <c r="Q379" s="472"/>
      <c r="R379" s="472"/>
      <c r="S379" s="472"/>
      <c r="T379" s="472"/>
      <c r="U379" s="472"/>
      <c r="V379" s="472"/>
      <c r="W379" s="472"/>
      <c r="X379" s="472"/>
      <c r="Y379" s="472"/>
      <c r="Z379" s="472"/>
      <c r="AA379" s="472"/>
    </row>
    <row r="380" outlineLevel="1">
      <c r="A380" s="494">
        <f>IFERROR(__xludf.DUMMYFUNCTION("""COMPUTED_VALUE"""),4.6979088518E10)</f>
        <v>46979088518</v>
      </c>
      <c r="B380" s="485" t="str">
        <f>IFERROR(__xludf.DUMMYFUNCTION("""COMPUTED_VALUE"""),"SARAH LIMA VERDE DA SILVA")</f>
        <v>SARAH LIMA VERDE DA SILVA</v>
      </c>
      <c r="C380" s="486">
        <f>IFERROR(__xludf.DUMMYFUNCTION("""COMPUTED_VALUE"""),10.0)</f>
        <v>10</v>
      </c>
      <c r="D380" s="487" t="str">
        <f>IFERROR(__xludf.DUMMYFUNCTION("""COMPUTED_VALUE"""),"SIM")</f>
        <v>SIM</v>
      </c>
      <c r="E380" s="486" t="str">
        <f>IFERROR(__xludf.DUMMYFUNCTION("""COMPUTED_VALUE"""),"SIM")</f>
        <v>SIM</v>
      </c>
      <c r="F380" s="486" t="str">
        <f>IFERROR(__xludf.DUMMYFUNCTION("""COMPUTED_VALUE"""),"GEDUC")</f>
        <v>GEDUC</v>
      </c>
      <c r="G380" s="472"/>
      <c r="H380" s="472"/>
      <c r="I380" s="472"/>
      <c r="J380" s="472"/>
      <c r="K380" s="472"/>
      <c r="L380" s="472"/>
      <c r="M380" s="472"/>
      <c r="N380" s="472"/>
      <c r="O380" s="472"/>
      <c r="P380" s="472"/>
      <c r="Q380" s="472"/>
      <c r="R380" s="472"/>
      <c r="S380" s="472"/>
      <c r="T380" s="472"/>
      <c r="U380" s="472"/>
      <c r="V380" s="472"/>
      <c r="W380" s="472"/>
      <c r="X380" s="472"/>
      <c r="Y380" s="472"/>
      <c r="Z380" s="472"/>
      <c r="AA380" s="472"/>
    </row>
    <row r="381" outlineLevel="1">
      <c r="A381" s="484">
        <f>IFERROR(__xludf.DUMMYFUNCTION("""COMPUTED_VALUE"""),1.3212008985E11)</f>
        <v>132120089850</v>
      </c>
      <c r="B381" s="485" t="str">
        <f>IFERROR(__xludf.DUMMYFUNCTION("""COMPUTED_VALUE"""),"DAIANA DE JESUS MOREIRA")</f>
        <v>DAIANA DE JESUS MOREIRA</v>
      </c>
      <c r="C381" s="486">
        <f>IFERROR(__xludf.DUMMYFUNCTION("""COMPUTED_VALUE"""),10.0)</f>
        <v>10</v>
      </c>
      <c r="D381" s="487" t="str">
        <f>IFERROR(__xludf.DUMMYFUNCTION("""COMPUTED_VALUE"""),"SIM")</f>
        <v>SIM</v>
      </c>
      <c r="E381" s="486" t="str">
        <f>IFERROR(__xludf.DUMMYFUNCTION("""COMPUTED_VALUE"""),"SIM")</f>
        <v>SIM</v>
      </c>
      <c r="F381" s="486" t="str">
        <f>IFERROR(__xludf.DUMMYFUNCTION("""COMPUTED_VALUE"""),"GEDUC")</f>
        <v>GEDUC</v>
      </c>
      <c r="G381" s="472"/>
      <c r="H381" s="472"/>
      <c r="I381" s="472"/>
      <c r="J381" s="472"/>
      <c r="K381" s="472"/>
      <c r="L381" s="472"/>
      <c r="M381" s="472"/>
      <c r="N381" s="472"/>
      <c r="O381" s="472"/>
      <c r="P381" s="472"/>
      <c r="Q381" s="472"/>
      <c r="R381" s="472"/>
      <c r="S381" s="472"/>
      <c r="T381" s="472"/>
      <c r="U381" s="472"/>
      <c r="V381" s="472"/>
      <c r="W381" s="472"/>
      <c r="X381" s="472"/>
      <c r="Y381" s="472"/>
      <c r="Z381" s="472"/>
      <c r="AA381" s="472"/>
    </row>
    <row r="382" outlineLevel="1">
      <c r="A382" s="484">
        <f>IFERROR(__xludf.DUMMYFUNCTION("""COMPUTED_VALUE"""),6.63710090022E11)</f>
        <v>663710090022</v>
      </c>
      <c r="B382" s="485" t="str">
        <f>IFERROR(__xludf.DUMMYFUNCTION("""COMPUTED_VALUE"""),"LUIS LOPES SOMBRA NETO")</f>
        <v>LUIS LOPES SOMBRA NETO</v>
      </c>
      <c r="C382" s="486">
        <f>IFERROR(__xludf.DUMMYFUNCTION("""COMPUTED_VALUE"""),10.0)</f>
        <v>10</v>
      </c>
      <c r="D382" s="487" t="str">
        <f>IFERROR(__xludf.DUMMYFUNCTION("""COMPUTED_VALUE"""),"SIM")</f>
        <v>SIM</v>
      </c>
      <c r="E382" s="486" t="str">
        <f>IFERROR(__xludf.DUMMYFUNCTION("""COMPUTED_VALUE"""),"SIM")</f>
        <v>SIM</v>
      </c>
      <c r="F382" s="486" t="str">
        <f>IFERROR(__xludf.DUMMYFUNCTION("""COMPUTED_VALUE"""),"GEDUC")</f>
        <v>GEDUC</v>
      </c>
      <c r="G382" s="472"/>
      <c r="H382" s="472"/>
      <c r="I382" s="472"/>
      <c r="J382" s="472"/>
      <c r="K382" s="472"/>
      <c r="L382" s="472"/>
      <c r="M382" s="472"/>
      <c r="N382" s="472"/>
      <c r="O382" s="472"/>
      <c r="P382" s="472"/>
      <c r="Q382" s="472"/>
      <c r="R382" s="472"/>
      <c r="S382" s="472"/>
      <c r="T382" s="472"/>
      <c r="U382" s="472"/>
      <c r="V382" s="472"/>
      <c r="W382" s="472"/>
      <c r="X382" s="472"/>
      <c r="Y382" s="472"/>
      <c r="Z382" s="472"/>
      <c r="AA382" s="472"/>
    </row>
    <row r="383" outlineLevel="1">
      <c r="A383" s="484">
        <f>IFERROR(__xludf.DUMMYFUNCTION("""COMPUTED_VALUE"""),3.14000090314E11)</f>
        <v>314000090314</v>
      </c>
      <c r="B383" s="485" t="str">
        <f>IFERROR(__xludf.DUMMYFUNCTION("""COMPUTED_VALUE"""),"AMANDA CAVALCANTE MAIA")</f>
        <v>AMANDA CAVALCANTE MAIA</v>
      </c>
      <c r="C383" s="486">
        <f>IFERROR(__xludf.DUMMYFUNCTION("""COMPUTED_VALUE"""),10.0)</f>
        <v>10</v>
      </c>
      <c r="D383" s="487" t="str">
        <f>IFERROR(__xludf.DUMMYFUNCTION("""COMPUTED_VALUE"""),"SIM")</f>
        <v>SIM</v>
      </c>
      <c r="E383" s="486" t="str">
        <f>IFERROR(__xludf.DUMMYFUNCTION("""COMPUTED_VALUE"""),"SIM")</f>
        <v>SIM</v>
      </c>
      <c r="F383" s="486" t="str">
        <f>IFERROR(__xludf.DUMMYFUNCTION("""COMPUTED_VALUE"""),"GEDUC")</f>
        <v>GEDUC</v>
      </c>
      <c r="G383" s="472"/>
      <c r="H383" s="472"/>
      <c r="I383" s="472"/>
      <c r="J383" s="472"/>
      <c r="K383" s="472"/>
      <c r="L383" s="472"/>
      <c r="M383" s="472"/>
      <c r="N383" s="472"/>
      <c r="O383" s="472"/>
      <c r="P383" s="472"/>
      <c r="Q383" s="472"/>
      <c r="R383" s="472"/>
      <c r="S383" s="472"/>
      <c r="T383" s="472"/>
      <c r="U383" s="472"/>
      <c r="V383" s="472"/>
      <c r="W383" s="472"/>
      <c r="X383" s="472"/>
      <c r="Y383" s="472"/>
      <c r="Z383" s="472"/>
      <c r="AA383" s="472"/>
    </row>
    <row r="384" outlineLevel="1">
      <c r="A384" s="494">
        <f>IFERROR(__xludf.DUMMYFUNCTION("""COMPUTED_VALUE"""),5.2410091469E10)</f>
        <v>52410091469</v>
      </c>
      <c r="B384" s="485" t="str">
        <f>IFERROR(__xludf.DUMMYFUNCTION("""COMPUTED_VALUE"""),"JOSE LUIS PAIVA DE MENDONÇA FERREIRA")</f>
        <v>JOSE LUIS PAIVA DE MENDONÇA FERREIRA</v>
      </c>
      <c r="C384" s="486">
        <f>IFERROR(__xludf.DUMMYFUNCTION("""COMPUTED_VALUE"""),10.0)</f>
        <v>10</v>
      </c>
      <c r="D384" s="487" t="str">
        <f>IFERROR(__xludf.DUMMYFUNCTION("""COMPUTED_VALUE"""),"SIM")</f>
        <v>SIM</v>
      </c>
      <c r="E384" s="486" t="str">
        <f>IFERROR(__xludf.DUMMYFUNCTION("""COMPUTED_VALUE"""),"SIM")</f>
        <v>SIM</v>
      </c>
      <c r="F384" s="486" t="str">
        <f>IFERROR(__xludf.DUMMYFUNCTION("""COMPUTED_VALUE"""),"GEDUC")</f>
        <v>GEDUC</v>
      </c>
      <c r="G384" s="472"/>
      <c r="H384" s="472"/>
      <c r="I384" s="472"/>
      <c r="J384" s="472"/>
      <c r="K384" s="472"/>
      <c r="L384" s="472"/>
      <c r="M384" s="472"/>
      <c r="N384" s="472"/>
      <c r="O384" s="472"/>
      <c r="P384" s="472"/>
      <c r="Q384" s="472"/>
      <c r="R384" s="472"/>
      <c r="S384" s="472"/>
      <c r="T384" s="472"/>
      <c r="U384" s="472"/>
      <c r="V384" s="472"/>
      <c r="W384" s="472"/>
      <c r="X384" s="472"/>
      <c r="Y384" s="472"/>
      <c r="Z384" s="472"/>
      <c r="AA384" s="472"/>
    </row>
    <row r="385" outlineLevel="1">
      <c r="A385" s="484">
        <f>IFERROR(__xludf.DUMMYFUNCTION("""COMPUTED_VALUE"""),6.34850090765E11)</f>
        <v>634850090765</v>
      </c>
      <c r="B385" s="485" t="str">
        <f>IFERROR(__xludf.DUMMYFUNCTION("""COMPUTED_VALUE"""),"BEATRIZ DA SILVA LIMA")</f>
        <v>BEATRIZ DA SILVA LIMA</v>
      </c>
      <c r="C385" s="486">
        <f>IFERROR(__xludf.DUMMYFUNCTION("""COMPUTED_VALUE"""),10.0)</f>
        <v>10</v>
      </c>
      <c r="D385" s="487" t="str">
        <f>IFERROR(__xludf.DUMMYFUNCTION("""COMPUTED_VALUE"""),"SIM")</f>
        <v>SIM</v>
      </c>
      <c r="E385" s="486" t="str">
        <f>IFERROR(__xludf.DUMMYFUNCTION("""COMPUTED_VALUE"""),"SIM")</f>
        <v>SIM</v>
      </c>
      <c r="F385" s="486" t="str">
        <f>IFERROR(__xludf.DUMMYFUNCTION("""COMPUTED_VALUE"""),"GEDUC")</f>
        <v>GEDUC</v>
      </c>
      <c r="G385" s="472"/>
      <c r="H385" s="472"/>
      <c r="I385" s="472"/>
      <c r="J385" s="472"/>
      <c r="K385" s="472"/>
      <c r="L385" s="472"/>
      <c r="M385" s="472"/>
      <c r="N385" s="472"/>
      <c r="O385" s="472"/>
      <c r="P385" s="472"/>
      <c r="Q385" s="472"/>
      <c r="R385" s="472"/>
      <c r="S385" s="472"/>
      <c r="T385" s="472"/>
      <c r="U385" s="472"/>
      <c r="V385" s="472"/>
      <c r="W385" s="472"/>
      <c r="X385" s="472"/>
      <c r="Y385" s="472"/>
      <c r="Z385" s="472"/>
      <c r="AA385" s="472"/>
    </row>
    <row r="386" outlineLevel="1">
      <c r="A386" s="484">
        <f>IFERROR(__xludf.DUMMYFUNCTION("""COMPUTED_VALUE"""),7.04260090892E11)</f>
        <v>704260090892</v>
      </c>
      <c r="B386" s="485" t="str">
        <f>IFERROR(__xludf.DUMMYFUNCTION("""COMPUTED_VALUE"""),"FRANCISCO THIAGO PAIVA MONTE")</f>
        <v>FRANCISCO THIAGO PAIVA MONTE</v>
      </c>
      <c r="C386" s="486">
        <f>IFERROR(__xludf.DUMMYFUNCTION("""COMPUTED_VALUE"""),10.0)</f>
        <v>10</v>
      </c>
      <c r="D386" s="487" t="str">
        <f>IFERROR(__xludf.DUMMYFUNCTION("""COMPUTED_VALUE"""),"SIM")</f>
        <v>SIM</v>
      </c>
      <c r="E386" s="486" t="str">
        <f>IFERROR(__xludf.DUMMYFUNCTION("""COMPUTED_VALUE"""),"SIM")</f>
        <v>SIM</v>
      </c>
      <c r="F386" s="486" t="str">
        <f>IFERROR(__xludf.DUMMYFUNCTION("""COMPUTED_VALUE"""),"GEDUC")</f>
        <v>GEDUC</v>
      </c>
      <c r="G386" s="472"/>
      <c r="H386" s="472"/>
      <c r="I386" s="472"/>
      <c r="J386" s="472"/>
      <c r="K386" s="472"/>
      <c r="L386" s="472"/>
      <c r="M386" s="472"/>
      <c r="N386" s="472"/>
      <c r="O386" s="472"/>
      <c r="P386" s="472"/>
      <c r="Q386" s="472"/>
      <c r="R386" s="472"/>
      <c r="S386" s="472"/>
      <c r="T386" s="472"/>
      <c r="U386" s="472"/>
      <c r="V386" s="472"/>
      <c r="W386" s="472"/>
      <c r="X386" s="472"/>
      <c r="Y386" s="472"/>
      <c r="Z386" s="472"/>
      <c r="AA386" s="472"/>
    </row>
    <row r="387" outlineLevel="1">
      <c r="A387" s="484">
        <f>IFERROR(__xludf.DUMMYFUNCTION("""COMPUTED_VALUE"""),6.23916092898E11)</f>
        <v>623916092898</v>
      </c>
      <c r="B387" s="485" t="str">
        <f>IFERROR(__xludf.DUMMYFUNCTION("""COMPUTED_VALUE"""),"FRANCISCO ANDERSON CARVALHO DE LIMA")</f>
        <v>FRANCISCO ANDERSON CARVALHO DE LIMA</v>
      </c>
      <c r="C387" s="486">
        <f>IFERROR(__xludf.DUMMYFUNCTION("""COMPUTED_VALUE"""),10.0)</f>
        <v>10</v>
      </c>
      <c r="D387" s="487" t="str">
        <f>IFERROR(__xludf.DUMMYFUNCTION("""COMPUTED_VALUE"""),"SIM")</f>
        <v>SIM</v>
      </c>
      <c r="E387" s="486" t="str">
        <f>IFERROR(__xludf.DUMMYFUNCTION("""COMPUTED_VALUE"""),"SIM")</f>
        <v>SIM</v>
      </c>
      <c r="F387" s="486" t="str">
        <f>IFERROR(__xludf.DUMMYFUNCTION("""COMPUTED_VALUE"""),"GEDUC")</f>
        <v>GEDUC</v>
      </c>
      <c r="G387" s="472"/>
      <c r="H387" s="472"/>
      <c r="I387" s="472"/>
      <c r="J387" s="472"/>
      <c r="K387" s="472"/>
      <c r="L387" s="472"/>
      <c r="M387" s="472"/>
      <c r="N387" s="472"/>
      <c r="O387" s="472"/>
      <c r="P387" s="472"/>
      <c r="Q387" s="472"/>
      <c r="R387" s="472"/>
      <c r="S387" s="472"/>
      <c r="T387" s="472"/>
      <c r="U387" s="472"/>
      <c r="V387" s="472"/>
      <c r="W387" s="472"/>
      <c r="X387" s="472"/>
      <c r="Y387" s="472"/>
      <c r="Z387" s="472"/>
      <c r="AA387" s="472"/>
    </row>
    <row r="388" outlineLevel="1">
      <c r="A388" s="494">
        <f>IFERROR(__xludf.DUMMYFUNCTION("""COMPUTED_VALUE"""),5.9288090032E10)</f>
        <v>59288090032</v>
      </c>
      <c r="B388" s="485" t="str">
        <f>IFERROR(__xludf.DUMMYFUNCTION("""COMPUTED_VALUE"""),"KERLEY MENEZES SILVA PRATA")</f>
        <v>KERLEY MENEZES SILVA PRATA</v>
      </c>
      <c r="C388" s="486">
        <f>IFERROR(__xludf.DUMMYFUNCTION("""COMPUTED_VALUE"""),9.5)</f>
        <v>9.5</v>
      </c>
      <c r="D388" s="487" t="str">
        <f>IFERROR(__xludf.DUMMYFUNCTION("""COMPUTED_VALUE"""),"SIM")</f>
        <v>SIM</v>
      </c>
      <c r="E388" s="486" t="str">
        <f>IFERROR(__xludf.DUMMYFUNCTION("""COMPUTED_VALUE"""),"SIM")</f>
        <v>SIM</v>
      </c>
      <c r="F388" s="486" t="str">
        <f>IFERROR(__xludf.DUMMYFUNCTION("""COMPUTED_VALUE"""),"GEDUC")</f>
        <v>GEDUC</v>
      </c>
      <c r="G388" s="472"/>
      <c r="H388" s="472"/>
      <c r="I388" s="472"/>
      <c r="J388" s="472"/>
      <c r="K388" s="472"/>
      <c r="L388" s="472"/>
      <c r="M388" s="472"/>
      <c r="N388" s="472"/>
      <c r="O388" s="472"/>
      <c r="P388" s="472"/>
      <c r="Q388" s="472"/>
      <c r="R388" s="472"/>
      <c r="S388" s="472"/>
      <c r="T388" s="472"/>
      <c r="U388" s="472"/>
      <c r="V388" s="472"/>
      <c r="W388" s="472"/>
      <c r="X388" s="472"/>
      <c r="Y388" s="472"/>
      <c r="Z388" s="472"/>
      <c r="AA388" s="472"/>
    </row>
    <row r="389" outlineLevel="1">
      <c r="A389" s="484">
        <f>IFERROR(__xludf.DUMMYFUNCTION("""COMPUTED_VALUE"""),5.5982009317E11)</f>
        <v>559820093170</v>
      </c>
      <c r="B389" s="485" t="str">
        <f>IFERROR(__xludf.DUMMYFUNCTION("""COMPUTED_VALUE"""),"JÉSSICA ARAÚJO DE CARVALHO")</f>
        <v>JÉSSICA ARAÚJO DE CARVALHO</v>
      </c>
      <c r="C389" s="486">
        <f>IFERROR(__xludf.DUMMYFUNCTION("""COMPUTED_VALUE"""),9.5)</f>
        <v>9.5</v>
      </c>
      <c r="D389" s="487" t="str">
        <f>IFERROR(__xludf.DUMMYFUNCTION("""COMPUTED_VALUE"""),"SIM")</f>
        <v>SIM</v>
      </c>
      <c r="E389" s="486" t="str">
        <f>IFERROR(__xludf.DUMMYFUNCTION("""COMPUTED_VALUE"""),"NÃO")</f>
        <v>NÃO</v>
      </c>
      <c r="F389" s="486" t="str">
        <f>IFERROR(__xludf.DUMMYFUNCTION("""COMPUTED_VALUE"""),"GEDUC")</f>
        <v>GEDUC</v>
      </c>
      <c r="G389" s="472"/>
      <c r="H389" s="472"/>
      <c r="I389" s="472"/>
      <c r="J389" s="472"/>
      <c r="K389" s="472"/>
      <c r="L389" s="472"/>
      <c r="M389" s="472"/>
      <c r="N389" s="472"/>
      <c r="O389" s="472"/>
      <c r="P389" s="472"/>
      <c r="Q389" s="472"/>
      <c r="R389" s="472"/>
      <c r="S389" s="472"/>
      <c r="T389" s="472"/>
      <c r="U389" s="472"/>
      <c r="V389" s="472"/>
      <c r="W389" s="472"/>
      <c r="X389" s="472"/>
      <c r="Y389" s="472"/>
      <c r="Z389" s="472"/>
      <c r="AA389" s="472"/>
    </row>
    <row r="390" outlineLevel="1">
      <c r="A390" s="484">
        <f>IFERROR(__xludf.DUMMYFUNCTION("""COMPUTED_VALUE"""),1.19023090317E11)</f>
        <v>119023090317</v>
      </c>
      <c r="B390" s="485" t="str">
        <f>IFERROR(__xludf.DUMMYFUNCTION("""COMPUTED_VALUE"""),"EVELYNE NUNES ERVEDOSA BASTOS")</f>
        <v>EVELYNE NUNES ERVEDOSA BASTOS</v>
      </c>
      <c r="C390" s="486">
        <f>IFERROR(__xludf.DUMMYFUNCTION("""COMPUTED_VALUE"""),9.0)</f>
        <v>9</v>
      </c>
      <c r="D390" s="487" t="str">
        <f>IFERROR(__xludf.DUMMYFUNCTION("""COMPUTED_VALUE"""),"SIM")</f>
        <v>SIM</v>
      </c>
      <c r="E390" s="486" t="str">
        <f>IFERROR(__xludf.DUMMYFUNCTION("""COMPUTED_VALUE"""),"NÃO")</f>
        <v>NÃO</v>
      </c>
      <c r="F390" s="486" t="str">
        <f>IFERROR(__xludf.DUMMYFUNCTION("""COMPUTED_VALUE"""),"GEDUC")</f>
        <v>GEDUC</v>
      </c>
      <c r="G390" s="472"/>
      <c r="H390" s="472"/>
      <c r="I390" s="472"/>
      <c r="J390" s="472"/>
      <c r="K390" s="472"/>
      <c r="L390" s="472"/>
      <c r="M390" s="472"/>
      <c r="N390" s="472"/>
      <c r="O390" s="472"/>
      <c r="P390" s="472"/>
      <c r="Q390" s="472"/>
      <c r="R390" s="472"/>
      <c r="S390" s="472"/>
      <c r="T390" s="472"/>
      <c r="U390" s="472"/>
      <c r="V390" s="472"/>
      <c r="W390" s="472"/>
      <c r="X390" s="472"/>
      <c r="Y390" s="472"/>
      <c r="Z390" s="472"/>
      <c r="AA390" s="472"/>
    </row>
    <row r="391" outlineLevel="1">
      <c r="A391" s="484">
        <f>IFERROR(__xludf.DUMMYFUNCTION("""COMPUTED_VALUE"""),4.72520090305E11)</f>
        <v>472520090305</v>
      </c>
      <c r="B391" s="485" t="str">
        <f>IFERROR(__xludf.DUMMYFUNCTION("""COMPUTED_VALUE"""),"ROCHELLY MOURA SARMENTO")</f>
        <v>ROCHELLY MOURA SARMENTO</v>
      </c>
      <c r="C391" s="486">
        <f>IFERROR(__xludf.DUMMYFUNCTION("""COMPUTED_VALUE"""),9.0)</f>
        <v>9</v>
      </c>
      <c r="D391" s="487" t="str">
        <f>IFERROR(__xludf.DUMMYFUNCTION("""COMPUTED_VALUE"""),"SIM")</f>
        <v>SIM</v>
      </c>
      <c r="E391" s="486" t="str">
        <f>IFERROR(__xludf.DUMMYFUNCTION("""COMPUTED_VALUE"""),"SIM")</f>
        <v>SIM</v>
      </c>
      <c r="F391" s="486" t="str">
        <f>IFERROR(__xludf.DUMMYFUNCTION("""COMPUTED_VALUE"""),"GEDUC")</f>
        <v>GEDUC</v>
      </c>
      <c r="G391" s="472"/>
      <c r="H391" s="472"/>
      <c r="I391" s="472"/>
      <c r="J391" s="472"/>
      <c r="K391" s="472"/>
      <c r="L391" s="472"/>
      <c r="M391" s="472"/>
      <c r="N391" s="472"/>
      <c r="O391" s="472"/>
      <c r="P391" s="472"/>
      <c r="Q391" s="472"/>
      <c r="R391" s="472"/>
      <c r="S391" s="472"/>
      <c r="T391" s="472"/>
      <c r="U391" s="472"/>
      <c r="V391" s="472"/>
      <c r="W391" s="472"/>
      <c r="X391" s="472"/>
      <c r="Y391" s="472"/>
      <c r="Z391" s="472"/>
      <c r="AA391" s="472"/>
    </row>
    <row r="392" outlineLevel="1">
      <c r="A392" s="484">
        <f>IFERROR(__xludf.DUMMYFUNCTION("""COMPUTED_VALUE"""),6.35545092946E11)</f>
        <v>635545092946</v>
      </c>
      <c r="B392" s="485" t="str">
        <f>IFERROR(__xludf.DUMMYFUNCTION("""COMPUTED_VALUE"""),"OLGA DAMASCENO NOGUEIRA DE SOUSA")</f>
        <v>OLGA DAMASCENO NOGUEIRA DE SOUSA</v>
      </c>
      <c r="C392" s="486">
        <f>IFERROR(__xludf.DUMMYFUNCTION("""COMPUTED_VALUE"""),9.0)</f>
        <v>9</v>
      </c>
      <c r="D392" s="487" t="str">
        <f>IFERROR(__xludf.DUMMYFUNCTION("""COMPUTED_VALUE"""),"SIM")</f>
        <v>SIM</v>
      </c>
      <c r="E392" s="486" t="str">
        <f>IFERROR(__xludf.DUMMYFUNCTION("""COMPUTED_VALUE"""),"SIM")</f>
        <v>SIM</v>
      </c>
      <c r="F392" s="486" t="str">
        <f>IFERROR(__xludf.DUMMYFUNCTION("""COMPUTED_VALUE"""),"GEDUC")</f>
        <v>GEDUC</v>
      </c>
      <c r="G392" s="472"/>
      <c r="H392" s="472"/>
      <c r="I392" s="472"/>
      <c r="J392" s="472"/>
      <c r="K392" s="472"/>
      <c r="L392" s="472"/>
      <c r="M392" s="472"/>
      <c r="N392" s="472"/>
      <c r="O392" s="472"/>
      <c r="P392" s="472"/>
      <c r="Q392" s="472"/>
      <c r="R392" s="472"/>
      <c r="S392" s="472"/>
      <c r="T392" s="472"/>
      <c r="U392" s="472"/>
      <c r="V392" s="472"/>
      <c r="W392" s="472"/>
      <c r="X392" s="472"/>
      <c r="Y392" s="472"/>
      <c r="Z392" s="472"/>
      <c r="AA392" s="472"/>
    </row>
    <row r="393" outlineLevel="1">
      <c r="A393" s="484">
        <f>IFERROR(__xludf.DUMMYFUNCTION("""COMPUTED_VALUE"""),5.02541093541E11)</f>
        <v>502541093541</v>
      </c>
      <c r="B393" s="485" t="str">
        <f>IFERROR(__xludf.DUMMYFUNCTION("""COMPUTED_VALUE"""),"LAIZ PRESTES CARNEIRO")</f>
        <v>LAIZ PRESTES CARNEIRO</v>
      </c>
      <c r="C393" s="486">
        <f>IFERROR(__xludf.DUMMYFUNCTION("""COMPUTED_VALUE"""),9.0)</f>
        <v>9</v>
      </c>
      <c r="D393" s="487" t="str">
        <f>IFERROR(__xludf.DUMMYFUNCTION("""COMPUTED_VALUE"""),"SIM")</f>
        <v>SIM</v>
      </c>
      <c r="E393" s="486" t="str">
        <f>IFERROR(__xludf.DUMMYFUNCTION("""COMPUTED_VALUE"""),"SIM")</f>
        <v>SIM</v>
      </c>
      <c r="F393" s="486" t="str">
        <f>IFERROR(__xludf.DUMMYFUNCTION("""COMPUTED_VALUE"""),"GEDUC")</f>
        <v>GEDUC</v>
      </c>
      <c r="G393" s="472"/>
      <c r="H393" s="472"/>
      <c r="I393" s="472"/>
      <c r="J393" s="472"/>
      <c r="K393" s="472"/>
      <c r="L393" s="472"/>
      <c r="M393" s="472"/>
      <c r="N393" s="472"/>
      <c r="O393" s="472"/>
      <c r="P393" s="472"/>
      <c r="Q393" s="472"/>
      <c r="R393" s="472"/>
      <c r="S393" s="472"/>
      <c r="T393" s="472"/>
      <c r="U393" s="472"/>
      <c r="V393" s="472"/>
      <c r="W393" s="472"/>
      <c r="X393" s="472"/>
      <c r="Y393" s="472"/>
      <c r="Z393" s="472"/>
      <c r="AA393" s="472"/>
    </row>
    <row r="394" outlineLevel="1">
      <c r="A394" s="484">
        <f>IFERROR(__xludf.DUMMYFUNCTION("""COMPUTED_VALUE"""),5.93050090423E11)</f>
        <v>593050090423</v>
      </c>
      <c r="B394" s="485" t="str">
        <f>IFERROR(__xludf.DUMMYFUNCTION("""COMPUTED_VALUE"""),"PRISCILLA HADASSA RABELO GOMES")</f>
        <v>PRISCILLA HADASSA RABELO GOMES</v>
      </c>
      <c r="C394" s="486">
        <f>IFERROR(__xludf.DUMMYFUNCTION("""COMPUTED_VALUE"""),8.5)</f>
        <v>8.5</v>
      </c>
      <c r="D394" s="487" t="str">
        <f>IFERROR(__xludf.DUMMYFUNCTION("""COMPUTED_VALUE"""),"SIM")</f>
        <v>SIM</v>
      </c>
      <c r="E394" s="486" t="str">
        <f>IFERROR(__xludf.DUMMYFUNCTION("""COMPUTED_VALUE"""),"NÃO")</f>
        <v>NÃO</v>
      </c>
      <c r="F394" s="486" t="str">
        <f>IFERROR(__xludf.DUMMYFUNCTION("""COMPUTED_VALUE"""),"GEDUC")</f>
        <v>GEDUC</v>
      </c>
      <c r="G394" s="472"/>
      <c r="H394" s="472"/>
      <c r="I394" s="472"/>
      <c r="J394" s="472"/>
      <c r="K394" s="472"/>
      <c r="L394" s="472"/>
      <c r="M394" s="472"/>
      <c r="N394" s="472"/>
      <c r="O394" s="472"/>
      <c r="P394" s="472"/>
      <c r="Q394" s="472"/>
      <c r="R394" s="472"/>
      <c r="S394" s="472"/>
      <c r="T394" s="472"/>
      <c r="U394" s="472"/>
      <c r="V394" s="472"/>
      <c r="W394" s="472"/>
      <c r="X394" s="472"/>
      <c r="Y394" s="472"/>
      <c r="Z394" s="472"/>
      <c r="AA394" s="472"/>
    </row>
    <row r="395" outlineLevel="1">
      <c r="A395" s="484">
        <f>IFERROR(__xludf.DUMMYFUNCTION("""COMPUTED_VALUE"""),8.61426091201E11)</f>
        <v>861426091201</v>
      </c>
      <c r="B395" s="485" t="str">
        <f>IFERROR(__xludf.DUMMYFUNCTION("""COMPUTED_VALUE"""),"DANIEL MARCIO PEREIRA MELO")</f>
        <v>DANIEL MARCIO PEREIRA MELO</v>
      </c>
      <c r="C395" s="486">
        <f>IFERROR(__xludf.DUMMYFUNCTION("""COMPUTED_VALUE"""),8.0)</f>
        <v>8</v>
      </c>
      <c r="D395" s="487" t="str">
        <f>IFERROR(__xludf.DUMMYFUNCTION("""COMPUTED_VALUE"""),"SIM")</f>
        <v>SIM</v>
      </c>
      <c r="E395" s="486" t="str">
        <f>IFERROR(__xludf.DUMMYFUNCTION("""COMPUTED_VALUE"""),"NÃO")</f>
        <v>NÃO</v>
      </c>
      <c r="F395" s="486" t="str">
        <f>IFERROR(__xludf.DUMMYFUNCTION("""COMPUTED_VALUE"""),"GEDUC")</f>
        <v>GEDUC</v>
      </c>
      <c r="G395" s="472"/>
      <c r="H395" s="472"/>
      <c r="I395" s="472"/>
      <c r="J395" s="472"/>
      <c r="K395" s="472"/>
      <c r="L395" s="472"/>
      <c r="M395" s="472"/>
      <c r="N395" s="472"/>
      <c r="O395" s="472"/>
      <c r="P395" s="472"/>
      <c r="Q395" s="472"/>
      <c r="R395" s="472"/>
      <c r="S395" s="472"/>
      <c r="T395" s="472"/>
      <c r="U395" s="472"/>
      <c r="V395" s="472"/>
      <c r="W395" s="472"/>
      <c r="X395" s="472"/>
      <c r="Y395" s="472"/>
      <c r="Z395" s="472"/>
      <c r="AA395" s="472"/>
    </row>
    <row r="396" outlineLevel="1">
      <c r="A396" s="484">
        <f>IFERROR(__xludf.DUMMYFUNCTION("""COMPUTED_VALUE"""),2.80800091664E11)</f>
        <v>280800091664</v>
      </c>
      <c r="B396" s="485" t="str">
        <f>IFERROR(__xludf.DUMMYFUNCTION("""COMPUTED_VALUE"""),"ITAMARA DA COSTA SOUSA")</f>
        <v>ITAMARA DA COSTA SOUSA</v>
      </c>
      <c r="C396" s="486">
        <f>IFERROR(__xludf.DUMMYFUNCTION("""COMPUTED_VALUE"""),8.0)</f>
        <v>8</v>
      </c>
      <c r="D396" s="487" t="str">
        <f>IFERROR(__xludf.DUMMYFUNCTION("""COMPUTED_VALUE"""),"SIM")</f>
        <v>SIM</v>
      </c>
      <c r="E396" s="486" t="str">
        <f>IFERROR(__xludf.DUMMYFUNCTION("""COMPUTED_VALUE"""),"SIM")</f>
        <v>SIM</v>
      </c>
      <c r="F396" s="486" t="str">
        <f>IFERROR(__xludf.DUMMYFUNCTION("""COMPUTED_VALUE"""),"GEDUC")</f>
        <v>GEDUC</v>
      </c>
      <c r="G396" s="472"/>
      <c r="H396" s="472"/>
      <c r="I396" s="472"/>
      <c r="J396" s="472"/>
      <c r="K396" s="472"/>
      <c r="L396" s="472"/>
      <c r="M396" s="472"/>
      <c r="N396" s="472"/>
      <c r="O396" s="472"/>
      <c r="P396" s="472"/>
      <c r="Q396" s="472"/>
      <c r="R396" s="472"/>
      <c r="S396" s="472"/>
      <c r="T396" s="472"/>
      <c r="U396" s="472"/>
      <c r="V396" s="472"/>
      <c r="W396" s="472"/>
      <c r="X396" s="472"/>
      <c r="Y396" s="472"/>
      <c r="Z396" s="472"/>
      <c r="AA396" s="472"/>
    </row>
    <row r="397" outlineLevel="1">
      <c r="A397" s="484">
        <f>IFERROR(__xludf.DUMMYFUNCTION("""COMPUTED_VALUE"""),8.89120091218E11)</f>
        <v>889120091218</v>
      </c>
      <c r="B397" s="485" t="str">
        <f>IFERROR(__xludf.DUMMYFUNCTION("""COMPUTED_VALUE"""),"RAQUEL CERDEIRA DE LIMA")</f>
        <v>RAQUEL CERDEIRA DE LIMA</v>
      </c>
      <c r="C397" s="486">
        <f>IFERROR(__xludf.DUMMYFUNCTION("""COMPUTED_VALUE"""),8.0)</f>
        <v>8</v>
      </c>
      <c r="D397" s="487" t="str">
        <f>IFERROR(__xludf.DUMMYFUNCTION("""COMPUTED_VALUE"""),"SIM")</f>
        <v>SIM</v>
      </c>
      <c r="E397" s="486" t="str">
        <f>IFERROR(__xludf.DUMMYFUNCTION("""COMPUTED_VALUE"""),"SIM")</f>
        <v>SIM</v>
      </c>
      <c r="F397" s="486" t="str">
        <f>IFERROR(__xludf.DUMMYFUNCTION("""COMPUTED_VALUE"""),"GEDUC")</f>
        <v>GEDUC</v>
      </c>
      <c r="G397" s="472"/>
      <c r="H397" s="472"/>
      <c r="I397" s="472"/>
      <c r="J397" s="472"/>
      <c r="K397" s="472"/>
      <c r="L397" s="472"/>
      <c r="M397" s="472"/>
      <c r="N397" s="472"/>
      <c r="O397" s="472"/>
      <c r="P397" s="472"/>
      <c r="Q397" s="472"/>
      <c r="R397" s="472"/>
      <c r="S397" s="472"/>
      <c r="T397" s="472"/>
      <c r="U397" s="472"/>
      <c r="V397" s="472"/>
      <c r="W397" s="472"/>
      <c r="X397" s="472"/>
      <c r="Y397" s="472"/>
      <c r="Z397" s="472"/>
      <c r="AA397" s="472"/>
    </row>
    <row r="398" outlineLevel="1">
      <c r="A398" s="484">
        <f>IFERROR(__xludf.DUMMYFUNCTION("""COMPUTED_VALUE"""),6.41124088764E11)</f>
        <v>641124088764</v>
      </c>
      <c r="B398" s="485" t="str">
        <f>IFERROR(__xludf.DUMMYFUNCTION("""COMPUTED_VALUE"""),"JULIO CLEDSON DE OLIVEIRA GUEDES")</f>
        <v>JULIO CLEDSON DE OLIVEIRA GUEDES</v>
      </c>
      <c r="C398" s="486">
        <f>IFERROR(__xludf.DUMMYFUNCTION("""COMPUTED_VALUE"""),7.0)</f>
        <v>7</v>
      </c>
      <c r="D398" s="487" t="str">
        <f>IFERROR(__xludf.DUMMYFUNCTION("""COMPUTED_VALUE"""),"SIM")</f>
        <v>SIM</v>
      </c>
      <c r="E398" s="486" t="str">
        <f>IFERROR(__xludf.DUMMYFUNCTION("""COMPUTED_VALUE"""),"NÃO")</f>
        <v>NÃO</v>
      </c>
      <c r="F398" s="486" t="str">
        <f>IFERROR(__xludf.DUMMYFUNCTION("""COMPUTED_VALUE"""),"GEDUC")</f>
        <v>GEDUC</v>
      </c>
      <c r="G398" s="472"/>
      <c r="H398" s="472"/>
      <c r="I398" s="472"/>
      <c r="J398" s="472"/>
      <c r="K398" s="472"/>
      <c r="L398" s="472"/>
      <c r="M398" s="472"/>
      <c r="N398" s="472"/>
      <c r="O398" s="472"/>
      <c r="P398" s="472"/>
      <c r="Q398" s="472"/>
      <c r="R398" s="472"/>
      <c r="S398" s="472"/>
      <c r="T398" s="472"/>
      <c r="U398" s="472"/>
      <c r="V398" s="472"/>
      <c r="W398" s="472"/>
      <c r="X398" s="472"/>
      <c r="Y398" s="472"/>
      <c r="Z398" s="472"/>
      <c r="AA398" s="472"/>
    </row>
    <row r="399" outlineLevel="1">
      <c r="A399" s="484">
        <f>IFERROR(__xludf.DUMMYFUNCTION("""COMPUTED_VALUE"""),6.46624091405E11)</f>
        <v>646624091405</v>
      </c>
      <c r="B399" s="485" t="str">
        <f>IFERROR(__xludf.DUMMYFUNCTION("""COMPUTED_VALUE"""),"ANA MARIA MELO DE PINHO")</f>
        <v>ANA MARIA MELO DE PINHO</v>
      </c>
      <c r="C399" s="486">
        <f>IFERROR(__xludf.DUMMYFUNCTION("""COMPUTED_VALUE"""),7.0)</f>
        <v>7</v>
      </c>
      <c r="D399" s="487" t="str">
        <f>IFERROR(__xludf.DUMMYFUNCTION("""COMPUTED_VALUE"""),"SIM")</f>
        <v>SIM</v>
      </c>
      <c r="E399" s="486" t="str">
        <f>IFERROR(__xludf.DUMMYFUNCTION("""COMPUTED_VALUE"""),"SIM")</f>
        <v>SIM</v>
      </c>
      <c r="F399" s="486" t="str">
        <f>IFERROR(__xludf.DUMMYFUNCTION("""COMPUTED_VALUE"""),"GEDUC")</f>
        <v>GEDUC</v>
      </c>
      <c r="G399" s="472"/>
      <c r="H399" s="472"/>
      <c r="I399" s="472"/>
      <c r="J399" s="472"/>
      <c r="K399" s="472"/>
      <c r="L399" s="472"/>
      <c r="M399" s="472"/>
      <c r="N399" s="472"/>
      <c r="O399" s="472"/>
      <c r="P399" s="472"/>
      <c r="Q399" s="472"/>
      <c r="R399" s="472"/>
      <c r="S399" s="472"/>
      <c r="T399" s="472"/>
      <c r="U399" s="472"/>
      <c r="V399" s="472"/>
      <c r="W399" s="472"/>
      <c r="X399" s="472"/>
      <c r="Y399" s="472"/>
      <c r="Z399" s="472"/>
      <c r="AA399" s="472"/>
    </row>
    <row r="400" outlineLevel="1">
      <c r="A400" s="484">
        <f>IFERROR(__xludf.DUMMYFUNCTION("""COMPUTED_VALUE"""),9.24867093537E11)</f>
        <v>924867093537</v>
      </c>
      <c r="B400" s="485" t="str">
        <f>IFERROR(__xludf.DUMMYFUNCTION("""COMPUTED_VALUE"""),"EMANUEL MOURA GOMES")</f>
        <v>EMANUEL MOURA GOMES</v>
      </c>
      <c r="C400" s="486">
        <f>IFERROR(__xludf.DUMMYFUNCTION("""COMPUTED_VALUE"""),7.0)</f>
        <v>7</v>
      </c>
      <c r="D400" s="487" t="str">
        <f>IFERROR(__xludf.DUMMYFUNCTION("""COMPUTED_VALUE"""),"SIM")</f>
        <v>SIM</v>
      </c>
      <c r="E400" s="486" t="str">
        <f>IFERROR(__xludf.DUMMYFUNCTION("""COMPUTED_VALUE"""),"SIM")</f>
        <v>SIM</v>
      </c>
      <c r="F400" s="486" t="str">
        <f>IFERROR(__xludf.DUMMYFUNCTION("""COMPUTED_VALUE"""),"GEDUC")</f>
        <v>GEDUC</v>
      </c>
      <c r="G400" s="472"/>
      <c r="H400" s="472"/>
      <c r="I400" s="472"/>
      <c r="J400" s="472"/>
      <c r="K400" s="472"/>
      <c r="L400" s="472"/>
      <c r="M400" s="472"/>
      <c r="N400" s="472"/>
      <c r="O400" s="472"/>
      <c r="P400" s="472"/>
      <c r="Q400" s="472"/>
      <c r="R400" s="472"/>
      <c r="S400" s="472"/>
      <c r="T400" s="472"/>
      <c r="U400" s="472"/>
      <c r="V400" s="472"/>
      <c r="W400" s="472"/>
      <c r="X400" s="472"/>
      <c r="Y400" s="472"/>
      <c r="Z400" s="472"/>
      <c r="AA400" s="472"/>
    </row>
    <row r="401" outlineLevel="1">
      <c r="A401" s="484">
        <f>IFERROR(__xludf.DUMMYFUNCTION("""COMPUTED_VALUE"""),2.77336091241E11)</f>
        <v>277336091241</v>
      </c>
      <c r="B401" s="485" t="str">
        <f>IFERROR(__xludf.DUMMYFUNCTION("""COMPUTED_VALUE"""),"LIDIANE LUZIA DE ARAÚJO FERNANDES")</f>
        <v>LIDIANE LUZIA DE ARAÚJO FERNANDES</v>
      </c>
      <c r="C401" s="486">
        <f>IFERROR(__xludf.DUMMYFUNCTION("""COMPUTED_VALUE"""),7.0)</f>
        <v>7</v>
      </c>
      <c r="D401" s="487" t="str">
        <f>IFERROR(__xludf.DUMMYFUNCTION("""COMPUTED_VALUE"""),"SIM")</f>
        <v>SIM</v>
      </c>
      <c r="E401" s="486" t="str">
        <f>IFERROR(__xludf.DUMMYFUNCTION("""COMPUTED_VALUE"""),"SIM")</f>
        <v>SIM</v>
      </c>
      <c r="F401" s="486" t="str">
        <f>IFERROR(__xludf.DUMMYFUNCTION("""COMPUTED_VALUE"""),"GEDUC")</f>
        <v>GEDUC</v>
      </c>
      <c r="G401" s="472"/>
      <c r="H401" s="472"/>
      <c r="I401" s="472"/>
      <c r="J401" s="472"/>
      <c r="K401" s="472"/>
      <c r="L401" s="472"/>
      <c r="M401" s="472"/>
      <c r="N401" s="472"/>
      <c r="O401" s="472"/>
      <c r="P401" s="472"/>
      <c r="Q401" s="472"/>
      <c r="R401" s="472"/>
      <c r="S401" s="472"/>
      <c r="T401" s="472"/>
      <c r="U401" s="472"/>
      <c r="V401" s="472"/>
      <c r="W401" s="472"/>
      <c r="X401" s="472"/>
      <c r="Y401" s="472"/>
      <c r="Z401" s="472"/>
      <c r="AA401" s="472"/>
    </row>
    <row r="402" outlineLevel="1">
      <c r="A402" s="484">
        <f>IFERROR(__xludf.DUMMYFUNCTION("""COMPUTED_VALUE"""),2.96589093176E11)</f>
        <v>296589093176</v>
      </c>
      <c r="B402" s="485" t="str">
        <f>IFERROR(__xludf.DUMMYFUNCTION("""COMPUTED_VALUE"""),"CLARISSA DANTAS DE CARVALHO")</f>
        <v>CLARISSA DANTAS DE CARVALHO</v>
      </c>
      <c r="C402" s="486">
        <f>IFERROR(__xludf.DUMMYFUNCTION("""COMPUTED_VALUE"""),7.0)</f>
        <v>7</v>
      </c>
      <c r="D402" s="487" t="str">
        <f>IFERROR(__xludf.DUMMYFUNCTION("""COMPUTED_VALUE"""),"SIM")</f>
        <v>SIM</v>
      </c>
      <c r="E402" s="486" t="str">
        <f>IFERROR(__xludf.DUMMYFUNCTION("""COMPUTED_VALUE"""),"SIM")</f>
        <v>SIM</v>
      </c>
      <c r="F402" s="486" t="str">
        <f>IFERROR(__xludf.DUMMYFUNCTION("""COMPUTED_VALUE"""),"GEDUC")</f>
        <v>GEDUC</v>
      </c>
      <c r="G402" s="472"/>
      <c r="H402" s="472"/>
      <c r="I402" s="472"/>
      <c r="J402" s="472"/>
      <c r="K402" s="472"/>
      <c r="L402" s="472"/>
      <c r="M402" s="472"/>
      <c r="N402" s="472"/>
      <c r="O402" s="472"/>
      <c r="P402" s="472"/>
      <c r="Q402" s="472"/>
      <c r="R402" s="472"/>
      <c r="S402" s="472"/>
      <c r="T402" s="472"/>
      <c r="U402" s="472"/>
      <c r="V402" s="472"/>
      <c r="W402" s="472"/>
      <c r="X402" s="472"/>
      <c r="Y402" s="472"/>
      <c r="Z402" s="472"/>
      <c r="AA402" s="472"/>
    </row>
    <row r="403" outlineLevel="1">
      <c r="A403" s="484">
        <f>IFERROR(__xludf.DUMMYFUNCTION("""COMPUTED_VALUE"""),8.24710092492E11)</f>
        <v>824710092492</v>
      </c>
      <c r="B403" s="485" t="str">
        <f>IFERROR(__xludf.DUMMYFUNCTION("""COMPUTED_VALUE"""),"DIANA MUNIZ PINTO")</f>
        <v>DIANA MUNIZ PINTO</v>
      </c>
      <c r="C403" s="486">
        <f>IFERROR(__xludf.DUMMYFUNCTION("""COMPUTED_VALUE"""),7.0)</f>
        <v>7</v>
      </c>
      <c r="D403" s="487" t="str">
        <f>IFERROR(__xludf.DUMMYFUNCTION("""COMPUTED_VALUE"""),"SIM")</f>
        <v>SIM</v>
      </c>
      <c r="E403" s="486" t="str">
        <f>IFERROR(__xludf.DUMMYFUNCTION("""COMPUTED_VALUE"""),"SIM")</f>
        <v>SIM</v>
      </c>
      <c r="F403" s="486" t="str">
        <f>IFERROR(__xludf.DUMMYFUNCTION("""COMPUTED_VALUE"""),"GEDUC")</f>
        <v>GEDUC</v>
      </c>
      <c r="G403" s="472"/>
      <c r="H403" s="472"/>
      <c r="I403" s="472"/>
      <c r="J403" s="472"/>
      <c r="K403" s="472"/>
      <c r="L403" s="472"/>
      <c r="M403" s="472"/>
      <c r="N403" s="472"/>
      <c r="O403" s="472"/>
      <c r="P403" s="472"/>
      <c r="Q403" s="472"/>
      <c r="R403" s="472"/>
      <c r="S403" s="472"/>
      <c r="T403" s="472"/>
      <c r="U403" s="472"/>
      <c r="V403" s="472"/>
      <c r="W403" s="472"/>
      <c r="X403" s="472"/>
      <c r="Y403" s="472"/>
      <c r="Z403" s="472"/>
      <c r="AA403" s="472"/>
    </row>
    <row r="404" outlineLevel="1">
      <c r="A404" s="484">
        <f>IFERROR(__xludf.DUMMYFUNCTION("""COMPUTED_VALUE"""),8.26952093626E11)</f>
        <v>826952093626</v>
      </c>
      <c r="B404" s="485" t="str">
        <f>IFERROR(__xludf.DUMMYFUNCTION("""COMPUTED_VALUE"""),"LÍDIA DIAS COSTA")</f>
        <v>LÍDIA DIAS COSTA</v>
      </c>
      <c r="C404" s="486">
        <f>IFERROR(__xludf.DUMMYFUNCTION("""COMPUTED_VALUE"""),6.0)</f>
        <v>6</v>
      </c>
      <c r="D404" s="487" t="str">
        <f>IFERROR(__xludf.DUMMYFUNCTION("""COMPUTED_VALUE"""),"SIM")</f>
        <v>SIM</v>
      </c>
      <c r="E404" s="486" t="str">
        <f>IFERROR(__xludf.DUMMYFUNCTION("""COMPUTED_VALUE"""),"SIM")</f>
        <v>SIM</v>
      </c>
      <c r="F404" s="486" t="str">
        <f>IFERROR(__xludf.DUMMYFUNCTION("""COMPUTED_VALUE"""),"GEDUC")</f>
        <v>GEDUC</v>
      </c>
      <c r="G404" s="472"/>
      <c r="H404" s="472"/>
      <c r="I404" s="472"/>
      <c r="J404" s="472"/>
      <c r="K404" s="472"/>
      <c r="L404" s="472"/>
      <c r="M404" s="472"/>
      <c r="N404" s="472"/>
      <c r="O404" s="472"/>
      <c r="P404" s="472"/>
      <c r="Q404" s="472"/>
      <c r="R404" s="472"/>
      <c r="S404" s="472"/>
      <c r="T404" s="472"/>
      <c r="U404" s="472"/>
      <c r="V404" s="472"/>
      <c r="W404" s="472"/>
      <c r="X404" s="472"/>
      <c r="Y404" s="472"/>
      <c r="Z404" s="472"/>
      <c r="AA404" s="472"/>
    </row>
    <row r="405" outlineLevel="1">
      <c r="A405" s="484">
        <f>IFERROR(__xludf.DUMMYFUNCTION("""COMPUTED_VALUE"""),4.53016090119E11)</f>
        <v>453016090119</v>
      </c>
      <c r="B405" s="485" t="str">
        <f>IFERROR(__xludf.DUMMYFUNCTION("""COMPUTED_VALUE"""),"LUIS MIGUEL DA SILVA RICARDO")</f>
        <v>LUIS MIGUEL DA SILVA RICARDO</v>
      </c>
      <c r="C405" s="486">
        <f>IFERROR(__xludf.DUMMYFUNCTION("""COMPUTED_VALUE"""),6.0)</f>
        <v>6</v>
      </c>
      <c r="D405" s="487"/>
      <c r="E405" s="486"/>
      <c r="F405" s="486"/>
      <c r="G405" s="472"/>
      <c r="H405" s="472"/>
      <c r="I405" s="472"/>
      <c r="J405" s="472"/>
      <c r="K405" s="472"/>
      <c r="L405" s="472"/>
      <c r="M405" s="472"/>
      <c r="N405" s="472"/>
      <c r="O405" s="472"/>
      <c r="P405" s="472"/>
      <c r="Q405" s="472"/>
      <c r="R405" s="472"/>
      <c r="S405" s="472"/>
      <c r="T405" s="472"/>
      <c r="U405" s="472"/>
      <c r="V405" s="472"/>
      <c r="W405" s="472"/>
      <c r="X405" s="472"/>
      <c r="Y405" s="472"/>
      <c r="Z405" s="472"/>
      <c r="AA405" s="472"/>
    </row>
    <row r="406" outlineLevel="1">
      <c r="A406" s="494">
        <f>IFERROR(__xludf.DUMMYFUNCTION("""COMPUTED_VALUE"""),2.4808090256E10)</f>
        <v>24808090256</v>
      </c>
      <c r="B406" s="485" t="str">
        <f>IFERROR(__xludf.DUMMYFUNCTION("""COMPUTED_VALUE"""),"RENATA BEZERRA DE HOLANDA BESSA")</f>
        <v>RENATA BEZERRA DE HOLANDA BESSA</v>
      </c>
      <c r="C406" s="486">
        <f>IFERROR(__xludf.DUMMYFUNCTION("""COMPUTED_VALUE"""),6.0)</f>
        <v>6</v>
      </c>
      <c r="D406" s="487"/>
      <c r="E406" s="486"/>
      <c r="F406" s="486"/>
      <c r="G406" s="472"/>
      <c r="H406" s="472"/>
      <c r="I406" s="472"/>
      <c r="J406" s="472"/>
      <c r="K406" s="472"/>
      <c r="L406" s="472"/>
      <c r="M406" s="472"/>
      <c r="N406" s="472"/>
      <c r="O406" s="472"/>
      <c r="P406" s="472"/>
      <c r="Q406" s="472"/>
      <c r="R406" s="472"/>
      <c r="S406" s="472"/>
      <c r="T406" s="472"/>
      <c r="U406" s="472"/>
      <c r="V406" s="472"/>
      <c r="W406" s="472"/>
      <c r="X406" s="472"/>
      <c r="Y406" s="472"/>
      <c r="Z406" s="472"/>
      <c r="AA406" s="472"/>
    </row>
    <row r="407" outlineLevel="1">
      <c r="A407" s="494">
        <f>IFERROR(__xludf.DUMMYFUNCTION("""COMPUTED_VALUE"""),8.9816089154E10)</f>
        <v>89816089154</v>
      </c>
      <c r="B407" s="485" t="str">
        <f>IFERROR(__xludf.DUMMYFUNCTION("""COMPUTED_VALUE"""),"CAROLINA AIRES DE CASTRO")</f>
        <v>CAROLINA AIRES DE CASTRO</v>
      </c>
      <c r="C407" s="486">
        <f>IFERROR(__xludf.DUMMYFUNCTION("""COMPUTED_VALUE"""),6.0)</f>
        <v>6</v>
      </c>
      <c r="D407" s="487"/>
      <c r="E407" s="486"/>
      <c r="F407" s="486"/>
      <c r="G407" s="472"/>
      <c r="H407" s="472"/>
      <c r="I407" s="472"/>
      <c r="J407" s="472"/>
      <c r="K407" s="472"/>
      <c r="L407" s="472"/>
      <c r="M407" s="472"/>
      <c r="N407" s="472"/>
      <c r="O407" s="472"/>
      <c r="P407" s="472"/>
      <c r="Q407" s="472"/>
      <c r="R407" s="472"/>
      <c r="S407" s="472"/>
      <c r="T407" s="472"/>
      <c r="U407" s="472"/>
      <c r="V407" s="472"/>
      <c r="W407" s="472"/>
      <c r="X407" s="472"/>
      <c r="Y407" s="472"/>
      <c r="Z407" s="472"/>
      <c r="AA407" s="472"/>
    </row>
    <row r="408" outlineLevel="1">
      <c r="A408" s="484">
        <f>IFERROR(__xludf.DUMMYFUNCTION("""COMPUTED_VALUE"""),3.76399093631E11)</f>
        <v>376399093631</v>
      </c>
      <c r="B408" s="485" t="str">
        <f>IFERROR(__xludf.DUMMYFUNCTION("""COMPUTED_VALUE"""),"MAYRÁ LOBATO PEQUENO")</f>
        <v>MAYRÁ LOBATO PEQUENO</v>
      </c>
      <c r="C408" s="486">
        <f>IFERROR(__xludf.DUMMYFUNCTION("""COMPUTED_VALUE"""),6.0)</f>
        <v>6</v>
      </c>
      <c r="D408" s="487"/>
      <c r="E408" s="486"/>
      <c r="F408" s="486"/>
      <c r="G408" s="472"/>
      <c r="H408" s="472"/>
      <c r="I408" s="472"/>
      <c r="J408" s="472"/>
      <c r="K408" s="472"/>
      <c r="L408" s="472"/>
      <c r="M408" s="472"/>
      <c r="N408" s="472"/>
      <c r="O408" s="472"/>
      <c r="P408" s="472"/>
      <c r="Q408" s="472"/>
      <c r="R408" s="472"/>
      <c r="S408" s="472"/>
      <c r="T408" s="472"/>
      <c r="U408" s="472"/>
      <c r="V408" s="472"/>
      <c r="W408" s="472"/>
      <c r="X408" s="472"/>
      <c r="Y408" s="472"/>
      <c r="Z408" s="472"/>
      <c r="AA408" s="472"/>
    </row>
    <row r="409" outlineLevel="1">
      <c r="A409" s="484">
        <f>IFERROR(__xludf.DUMMYFUNCTION("""COMPUTED_VALUE"""),9.76550090748E11)</f>
        <v>976550090748</v>
      </c>
      <c r="B409" s="485" t="str">
        <f>IFERROR(__xludf.DUMMYFUNCTION("""COMPUTED_VALUE"""),"AMANDA ROBERTA FONSÊCA DO NASCIMENTO")</f>
        <v>AMANDA ROBERTA FONSÊCA DO NASCIMENTO</v>
      </c>
      <c r="C409" s="486">
        <f>IFERROR(__xludf.DUMMYFUNCTION("""COMPUTED_VALUE"""),6.0)</f>
        <v>6</v>
      </c>
      <c r="D409" s="487"/>
      <c r="E409" s="486"/>
      <c r="F409" s="486"/>
      <c r="G409" s="472"/>
      <c r="H409" s="472"/>
      <c r="I409" s="472"/>
      <c r="J409" s="472"/>
      <c r="K409" s="472"/>
      <c r="L409" s="472"/>
      <c r="M409" s="472"/>
      <c r="N409" s="472"/>
      <c r="O409" s="472"/>
      <c r="P409" s="472"/>
      <c r="Q409" s="472"/>
      <c r="R409" s="472"/>
      <c r="S409" s="472"/>
      <c r="T409" s="472"/>
      <c r="U409" s="472"/>
      <c r="V409" s="472"/>
      <c r="W409" s="472"/>
      <c r="X409" s="472"/>
      <c r="Y409" s="472"/>
      <c r="Z409" s="472"/>
      <c r="AA409" s="472"/>
    </row>
    <row r="410" outlineLevel="1">
      <c r="A410" s="494">
        <f>IFERROR(__xludf.DUMMYFUNCTION("""COMPUTED_VALUE"""),9.2310091335E10)</f>
        <v>92310091335</v>
      </c>
      <c r="B410" s="485" t="str">
        <f>IFERROR(__xludf.DUMMYFUNCTION("""COMPUTED_VALUE"""),"CHRISLIANNI VELOSO DE OLIVEIRA")</f>
        <v>CHRISLIANNI VELOSO DE OLIVEIRA</v>
      </c>
      <c r="C410" s="486">
        <f>IFERROR(__xludf.DUMMYFUNCTION("""COMPUTED_VALUE"""),6.0)</f>
        <v>6</v>
      </c>
      <c r="D410" s="487"/>
      <c r="E410" s="486"/>
      <c r="F410" s="486"/>
      <c r="G410" s="472"/>
      <c r="H410" s="472"/>
      <c r="I410" s="472"/>
      <c r="J410" s="472"/>
      <c r="K410" s="472"/>
      <c r="L410" s="472"/>
      <c r="M410" s="472"/>
      <c r="N410" s="472"/>
      <c r="O410" s="472"/>
      <c r="P410" s="472"/>
      <c r="Q410" s="472"/>
      <c r="R410" s="472"/>
      <c r="S410" s="472"/>
      <c r="T410" s="472"/>
      <c r="U410" s="472"/>
      <c r="V410" s="472"/>
      <c r="W410" s="472"/>
      <c r="X410" s="472"/>
      <c r="Y410" s="472"/>
      <c r="Z410" s="472"/>
      <c r="AA410" s="472"/>
    </row>
    <row r="411" outlineLevel="1">
      <c r="A411" s="484">
        <f>IFERROR(__xludf.DUMMYFUNCTION("""COMPUTED_VALUE"""),1.58930093657E11)</f>
        <v>158930093657</v>
      </c>
      <c r="B411" s="485" t="str">
        <f>IFERROR(__xludf.DUMMYFUNCTION("""COMPUTED_VALUE"""),"DIEGO DA SILVA FERREIRA")</f>
        <v>DIEGO DA SILVA FERREIRA</v>
      </c>
      <c r="C411" s="486">
        <f>IFERROR(__xludf.DUMMYFUNCTION("""COMPUTED_VALUE"""),6.0)</f>
        <v>6</v>
      </c>
      <c r="D411" s="487"/>
      <c r="E411" s="486"/>
      <c r="F411" s="486"/>
      <c r="G411" s="472"/>
      <c r="H411" s="472"/>
      <c r="I411" s="472"/>
      <c r="J411" s="472"/>
      <c r="K411" s="472"/>
      <c r="L411" s="472"/>
      <c r="M411" s="472"/>
      <c r="N411" s="472"/>
      <c r="O411" s="472"/>
      <c r="P411" s="472"/>
      <c r="Q411" s="472"/>
      <c r="R411" s="472"/>
      <c r="S411" s="472"/>
      <c r="T411" s="472"/>
      <c r="U411" s="472"/>
      <c r="V411" s="472"/>
      <c r="W411" s="472"/>
      <c r="X411" s="472"/>
      <c r="Y411" s="472"/>
      <c r="Z411" s="472"/>
      <c r="AA411" s="472"/>
    </row>
    <row r="412" outlineLevel="1">
      <c r="A412" s="484">
        <f>IFERROR(__xludf.DUMMYFUNCTION("""COMPUTED_VALUE"""),4.34406091897E11)</f>
        <v>434406091897</v>
      </c>
      <c r="B412" s="485" t="str">
        <f>IFERROR(__xludf.DUMMYFUNCTION("""COMPUTED_VALUE"""),"JOAB GOMES DA SILVA SOUSA")</f>
        <v>JOAB GOMES DA SILVA SOUSA</v>
      </c>
      <c r="C412" s="486">
        <f>IFERROR(__xludf.DUMMYFUNCTION("""COMPUTED_VALUE"""),6.0)</f>
        <v>6</v>
      </c>
      <c r="D412" s="487"/>
      <c r="E412" s="486"/>
      <c r="F412" s="486"/>
      <c r="G412" s="472"/>
      <c r="H412" s="472"/>
      <c r="I412" s="472"/>
      <c r="J412" s="472"/>
      <c r="K412" s="472"/>
      <c r="L412" s="472"/>
      <c r="M412" s="472"/>
      <c r="N412" s="472"/>
      <c r="O412" s="472"/>
      <c r="P412" s="472"/>
      <c r="Q412" s="472"/>
      <c r="R412" s="472"/>
      <c r="S412" s="472"/>
      <c r="T412" s="472"/>
      <c r="U412" s="472"/>
      <c r="V412" s="472"/>
      <c r="W412" s="472"/>
      <c r="X412" s="472"/>
      <c r="Y412" s="472"/>
      <c r="Z412" s="472"/>
      <c r="AA412" s="472"/>
    </row>
    <row r="413" outlineLevel="1">
      <c r="A413" s="484">
        <f>IFERROR(__xludf.DUMMYFUNCTION("""COMPUTED_VALUE"""),5.15250090056E11)</f>
        <v>515250090056</v>
      </c>
      <c r="B413" s="485" t="str">
        <f>IFERROR(__xludf.DUMMYFUNCTION("""COMPUTED_VALUE"""),"PAULO DE TARSO XAVIER SOUSA JUNIOR")</f>
        <v>PAULO DE TARSO XAVIER SOUSA JUNIOR</v>
      </c>
      <c r="C413" s="486">
        <f>IFERROR(__xludf.DUMMYFUNCTION("""COMPUTED_VALUE"""),6.0)</f>
        <v>6</v>
      </c>
      <c r="D413" s="487"/>
      <c r="E413" s="486"/>
      <c r="F413" s="486"/>
      <c r="G413" s="472"/>
      <c r="H413" s="472"/>
      <c r="I413" s="472"/>
      <c r="J413" s="472"/>
      <c r="K413" s="472"/>
      <c r="L413" s="472"/>
      <c r="M413" s="472"/>
      <c r="N413" s="472"/>
      <c r="O413" s="472"/>
      <c r="P413" s="472"/>
      <c r="Q413" s="472"/>
      <c r="R413" s="472"/>
      <c r="S413" s="472"/>
      <c r="T413" s="472"/>
      <c r="U413" s="472"/>
      <c r="V413" s="472"/>
      <c r="W413" s="472"/>
      <c r="X413" s="472"/>
      <c r="Y413" s="472"/>
      <c r="Z413" s="472"/>
      <c r="AA413" s="472"/>
    </row>
    <row r="414" outlineLevel="1">
      <c r="A414" s="497">
        <f>IFERROR(__xludf.DUMMYFUNCTION("""COMPUTED_VALUE"""),8.93390093191E11)</f>
        <v>893390093191</v>
      </c>
      <c r="B414" s="498" t="str">
        <f>IFERROR(__xludf.DUMMYFUNCTION("""COMPUTED_VALUE"""),"JEAN CARLOS SOUZA SILVA")</f>
        <v>JEAN CARLOS SOUZA SILVA</v>
      </c>
      <c r="C414" s="499">
        <f>IFERROR(__xludf.DUMMYFUNCTION("""COMPUTED_VALUE"""),6.0)</f>
        <v>6</v>
      </c>
      <c r="D414" s="503"/>
      <c r="E414" s="499"/>
      <c r="F414" s="499"/>
      <c r="G414" s="472"/>
      <c r="H414" s="472"/>
      <c r="I414" s="472"/>
      <c r="J414" s="472"/>
      <c r="K414" s="472"/>
      <c r="L414" s="472"/>
      <c r="M414" s="472"/>
      <c r="N414" s="472"/>
      <c r="O414" s="472"/>
      <c r="P414" s="472"/>
      <c r="Q414" s="472"/>
      <c r="R414" s="472"/>
      <c r="S414" s="472"/>
      <c r="T414" s="472"/>
      <c r="U414" s="472"/>
      <c r="V414" s="472"/>
      <c r="W414" s="472"/>
      <c r="X414" s="472"/>
      <c r="Y414" s="472"/>
      <c r="Z414" s="472"/>
      <c r="AA414" s="472"/>
    </row>
    <row r="415">
      <c r="A415" s="478" t="str">
        <f>IFERROR(__xludf.DUMMYFUNCTION("""COMPUTED_VALUE"""),"IV - MES - GESTÃO EM SAÚDE")</f>
        <v>IV - MES - GESTÃO EM SAÚDE</v>
      </c>
      <c r="B415" s="479"/>
      <c r="C415" s="479"/>
      <c r="D415" s="479"/>
      <c r="E415" s="479"/>
      <c r="F415" s="480"/>
      <c r="G415" s="472"/>
      <c r="H415" s="472"/>
      <c r="I415" s="472"/>
      <c r="J415" s="472"/>
      <c r="K415" s="472"/>
      <c r="L415" s="472"/>
      <c r="M415" s="472"/>
      <c r="N415" s="472"/>
      <c r="O415" s="472"/>
      <c r="P415" s="472"/>
      <c r="Q415" s="472"/>
      <c r="R415" s="472"/>
      <c r="S415" s="472"/>
      <c r="T415" s="472"/>
      <c r="U415" s="472"/>
      <c r="V415" s="472"/>
      <c r="W415" s="472"/>
      <c r="X415" s="472"/>
      <c r="Y415" s="472"/>
      <c r="Z415" s="472"/>
      <c r="AA415" s="472"/>
    </row>
    <row r="416" outlineLevel="1">
      <c r="A416" s="481" t="str">
        <f>IFERROR(__xludf.DUMMYFUNCTION("""COMPUTED_VALUE"""),"INSCRIÇÃO")</f>
        <v>INSCRIÇÃO</v>
      </c>
      <c r="B416" s="482" t="str">
        <f>IFERROR(__xludf.DUMMYFUNCTION("""COMPUTED_VALUE"""),"CANDIDATOS")</f>
        <v>CANDIDATOS</v>
      </c>
      <c r="C416" s="481" t="str">
        <f>IFERROR(__xludf.DUMMYFUNCTION("""COMPUTED_VALUE"""),"NF")</f>
        <v>NF</v>
      </c>
      <c r="D416" s="483" t="str">
        <f>IFERROR(__xludf.DUMMYFUNCTION("""COMPUTED_VALUE"""),"CONVOCADO(A)")</f>
        <v>CONVOCADO(A)</v>
      </c>
      <c r="E416" s="483" t="str">
        <f>IFERROR(__xludf.DUMMYFUNCTION("""COMPUTED_VALUE"""),"HOMOLOGADO(A)")</f>
        <v>HOMOLOGADO(A)</v>
      </c>
      <c r="F416" s="483" t="str">
        <f>IFERROR(__xludf.DUMMYFUNCTION("""COMPUTED_VALUE"""),"GERÊNCIA")</f>
        <v>GERÊNCIA</v>
      </c>
      <c r="G416" s="472"/>
      <c r="H416" s="472"/>
      <c r="I416" s="472"/>
      <c r="J416" s="472"/>
      <c r="K416" s="472"/>
      <c r="L416" s="472"/>
      <c r="M416" s="472"/>
      <c r="N416" s="472"/>
      <c r="O416" s="472"/>
      <c r="P416" s="472"/>
      <c r="Q416" s="472"/>
      <c r="R416" s="472"/>
      <c r="S416" s="472"/>
      <c r="T416" s="472"/>
      <c r="U416" s="472"/>
      <c r="V416" s="472"/>
      <c r="W416" s="472"/>
      <c r="X416" s="472"/>
      <c r="Y416" s="472"/>
      <c r="Z416" s="472"/>
      <c r="AA416" s="472"/>
    </row>
    <row r="417" outlineLevel="1">
      <c r="A417" s="484">
        <f>IFERROR(__xludf.DUMMYFUNCTION("""COMPUTED_VALUE"""),1.92623089486E11)</f>
        <v>192623089486</v>
      </c>
      <c r="B417" s="485" t="str">
        <f>IFERROR(__xludf.DUMMYFUNCTION("""COMPUTED_VALUE"""),"JOSETE MALHEIRO TAVARES")</f>
        <v>JOSETE MALHEIRO TAVARES</v>
      </c>
      <c r="C417" s="486">
        <f>IFERROR(__xludf.DUMMYFUNCTION("""COMPUTED_VALUE"""),10.0)</f>
        <v>10</v>
      </c>
      <c r="D417" s="487"/>
      <c r="E417" s="486"/>
      <c r="F417" s="488"/>
      <c r="G417" s="472"/>
      <c r="H417" s="472"/>
      <c r="I417" s="472"/>
      <c r="J417" s="472"/>
      <c r="K417" s="472"/>
      <c r="L417" s="472"/>
      <c r="M417" s="472"/>
      <c r="N417" s="472"/>
      <c r="O417" s="472"/>
      <c r="P417" s="472"/>
      <c r="Q417" s="472"/>
      <c r="R417" s="472"/>
      <c r="S417" s="472"/>
      <c r="T417" s="472"/>
      <c r="U417" s="472"/>
      <c r="V417" s="472"/>
      <c r="W417" s="472"/>
      <c r="X417" s="472"/>
      <c r="Y417" s="472"/>
      <c r="Z417" s="472"/>
      <c r="AA417" s="472"/>
    </row>
    <row r="418" outlineLevel="1">
      <c r="A418" s="484">
        <f>IFERROR(__xludf.DUMMYFUNCTION("""COMPUTED_VALUE"""),5.60037092643E11)</f>
        <v>560037092643</v>
      </c>
      <c r="B418" s="485" t="str">
        <f>IFERROR(__xludf.DUMMYFUNCTION("""COMPUTED_VALUE"""),"MARIA IRACEMA CAPISTRANO BEZERRA")</f>
        <v>MARIA IRACEMA CAPISTRANO BEZERRA</v>
      </c>
      <c r="C418" s="486">
        <f>IFERROR(__xludf.DUMMYFUNCTION("""COMPUTED_VALUE"""),10.0)</f>
        <v>10</v>
      </c>
      <c r="D418" s="487"/>
      <c r="E418" s="486"/>
      <c r="F418" s="488"/>
      <c r="G418" s="472"/>
      <c r="H418" s="472"/>
      <c r="I418" s="472"/>
      <c r="J418" s="472"/>
      <c r="K418" s="472"/>
      <c r="L418" s="472"/>
      <c r="M418" s="472"/>
      <c r="N418" s="472"/>
      <c r="O418" s="472"/>
      <c r="P418" s="472"/>
      <c r="Q418" s="472"/>
      <c r="R418" s="472"/>
      <c r="S418" s="472"/>
      <c r="T418" s="472"/>
      <c r="U418" s="472"/>
      <c r="V418" s="472"/>
      <c r="W418" s="472"/>
      <c r="X418" s="472"/>
      <c r="Y418" s="472"/>
      <c r="Z418" s="472"/>
      <c r="AA418" s="472"/>
    </row>
    <row r="419" outlineLevel="1">
      <c r="A419" s="484">
        <f>IFERROR(__xludf.DUMMYFUNCTION("""COMPUTED_VALUE"""),2.69509092907E11)</f>
        <v>269509092907</v>
      </c>
      <c r="B419" s="485" t="str">
        <f>IFERROR(__xludf.DUMMYFUNCTION("""COMPUTED_VALUE"""),"ANA PAULA AGOSTINHO ALENCAR")</f>
        <v>ANA PAULA AGOSTINHO ALENCAR</v>
      </c>
      <c r="C419" s="486">
        <f>IFERROR(__xludf.DUMMYFUNCTION("""COMPUTED_VALUE"""),10.0)</f>
        <v>10</v>
      </c>
      <c r="D419" s="487"/>
      <c r="E419" s="486"/>
      <c r="F419" s="488"/>
      <c r="G419" s="472"/>
      <c r="H419" s="472"/>
      <c r="I419" s="472"/>
      <c r="J419" s="472"/>
      <c r="K419" s="472"/>
      <c r="L419" s="472"/>
      <c r="M419" s="472"/>
      <c r="N419" s="472"/>
      <c r="O419" s="472"/>
      <c r="P419" s="472"/>
      <c r="Q419" s="472"/>
      <c r="R419" s="472"/>
      <c r="S419" s="472"/>
      <c r="T419" s="472"/>
      <c r="U419" s="472"/>
      <c r="V419" s="472"/>
      <c r="W419" s="472"/>
      <c r="X419" s="472"/>
      <c r="Y419" s="472"/>
      <c r="Z419" s="472"/>
      <c r="AA419" s="472"/>
    </row>
    <row r="420" outlineLevel="1">
      <c r="A420" s="484">
        <f>IFERROR(__xludf.DUMMYFUNCTION("""COMPUTED_VALUE"""),2.81299090377E11)</f>
        <v>281299090377</v>
      </c>
      <c r="B420" s="485" t="str">
        <f>IFERROR(__xludf.DUMMYFUNCTION("""COMPUTED_VALUE"""),"IDACLECE RODRIGUES DE MATOS")</f>
        <v>IDACLECE RODRIGUES DE MATOS</v>
      </c>
      <c r="C420" s="486">
        <f>IFERROR(__xludf.DUMMYFUNCTION("""COMPUTED_VALUE"""),10.0)</f>
        <v>10</v>
      </c>
      <c r="D420" s="487"/>
      <c r="E420" s="486"/>
      <c r="F420" s="488"/>
      <c r="G420" s="472"/>
      <c r="H420" s="472"/>
      <c r="I420" s="472"/>
      <c r="J420" s="472"/>
      <c r="K420" s="472"/>
      <c r="L420" s="472"/>
      <c r="M420" s="472"/>
      <c r="N420" s="472"/>
      <c r="O420" s="472"/>
      <c r="P420" s="472"/>
      <c r="Q420" s="472"/>
      <c r="R420" s="472"/>
      <c r="S420" s="472"/>
      <c r="T420" s="472"/>
      <c r="U420" s="472"/>
      <c r="V420" s="472"/>
      <c r="W420" s="472"/>
      <c r="X420" s="472"/>
      <c r="Y420" s="472"/>
      <c r="Z420" s="472"/>
      <c r="AA420" s="472"/>
    </row>
    <row r="421" outlineLevel="1">
      <c r="A421" s="484">
        <f>IFERROR(__xludf.DUMMYFUNCTION("""COMPUTED_VALUE"""),5.96501090359E11)</f>
        <v>596501090359</v>
      </c>
      <c r="B421" s="485" t="str">
        <f>IFERROR(__xludf.DUMMYFUNCTION("""COMPUTED_VALUE"""),"JOSE HENRIQUE DE LACERDA FURTADO")</f>
        <v>JOSE HENRIQUE DE LACERDA FURTADO</v>
      </c>
      <c r="C421" s="486">
        <f>IFERROR(__xludf.DUMMYFUNCTION("""COMPUTED_VALUE"""),10.0)</f>
        <v>10</v>
      </c>
      <c r="D421" s="487"/>
      <c r="E421" s="486"/>
      <c r="F421" s="488"/>
      <c r="G421" s="472"/>
      <c r="H421" s="472"/>
      <c r="I421" s="472"/>
      <c r="J421" s="472"/>
      <c r="K421" s="472"/>
      <c r="L421" s="472"/>
      <c r="M421" s="472"/>
      <c r="N421" s="472"/>
      <c r="O421" s="472"/>
      <c r="P421" s="472"/>
      <c r="Q421" s="472"/>
      <c r="R421" s="472"/>
      <c r="S421" s="472"/>
      <c r="T421" s="472"/>
      <c r="U421" s="472"/>
      <c r="V421" s="472"/>
      <c r="W421" s="472"/>
      <c r="X421" s="472"/>
      <c r="Y421" s="472"/>
      <c r="Z421" s="472"/>
      <c r="AA421" s="472"/>
    </row>
    <row r="422" outlineLevel="1">
      <c r="A422" s="484">
        <f>IFERROR(__xludf.DUMMYFUNCTION("""COMPUTED_VALUE"""),4.20200090394E11)</f>
        <v>420200090394</v>
      </c>
      <c r="B422" s="485" t="str">
        <f>IFERROR(__xludf.DUMMYFUNCTION("""COMPUTED_VALUE"""),"ROSIMARY DA SILVA BARBOSA")</f>
        <v>ROSIMARY DA SILVA BARBOSA</v>
      </c>
      <c r="C422" s="486">
        <f>IFERROR(__xludf.DUMMYFUNCTION("""COMPUTED_VALUE"""),10.0)</f>
        <v>10</v>
      </c>
      <c r="D422" s="487"/>
      <c r="E422" s="486"/>
      <c r="F422" s="488"/>
      <c r="G422" s="472"/>
      <c r="H422" s="472"/>
      <c r="I422" s="472"/>
      <c r="J422" s="472"/>
      <c r="K422" s="472"/>
      <c r="L422" s="472"/>
      <c r="M422" s="472"/>
      <c r="N422" s="472"/>
      <c r="O422" s="472"/>
      <c r="P422" s="472"/>
      <c r="Q422" s="472"/>
      <c r="R422" s="472"/>
      <c r="S422" s="472"/>
      <c r="T422" s="472"/>
      <c r="U422" s="472"/>
      <c r="V422" s="472"/>
      <c r="W422" s="472"/>
      <c r="X422" s="472"/>
      <c r="Y422" s="472"/>
      <c r="Z422" s="472"/>
      <c r="AA422" s="472"/>
    </row>
    <row r="423" outlineLevel="1">
      <c r="A423" s="484">
        <f>IFERROR(__xludf.DUMMYFUNCTION("""COMPUTED_VALUE"""),9.90700093546E11)</f>
        <v>990700093546</v>
      </c>
      <c r="B423" s="485" t="str">
        <f>IFERROR(__xludf.DUMMYFUNCTION("""COMPUTED_VALUE"""),"FRANCISCO TARCÍSIO SEABRA FILHO")</f>
        <v>FRANCISCO TARCÍSIO SEABRA FILHO</v>
      </c>
      <c r="C423" s="486">
        <f>IFERROR(__xludf.DUMMYFUNCTION("""COMPUTED_VALUE"""),10.0)</f>
        <v>10</v>
      </c>
      <c r="D423" s="487"/>
      <c r="E423" s="486"/>
      <c r="F423" s="488"/>
      <c r="G423" s="472"/>
      <c r="H423" s="472"/>
      <c r="I423" s="472"/>
      <c r="J423" s="472"/>
      <c r="K423" s="472"/>
      <c r="L423" s="472"/>
      <c r="M423" s="472"/>
      <c r="N423" s="472"/>
      <c r="O423" s="472"/>
      <c r="P423" s="472"/>
      <c r="Q423" s="472"/>
      <c r="R423" s="472"/>
      <c r="S423" s="472"/>
      <c r="T423" s="472"/>
      <c r="U423" s="472"/>
      <c r="V423" s="472"/>
      <c r="W423" s="472"/>
      <c r="X423" s="472"/>
      <c r="Y423" s="472"/>
      <c r="Z423" s="472"/>
      <c r="AA423" s="472"/>
    </row>
    <row r="424" outlineLevel="1">
      <c r="A424" s="484">
        <f>IFERROR(__xludf.DUMMYFUNCTION("""COMPUTED_VALUE"""),9.8171008998E11)</f>
        <v>981710089980</v>
      </c>
      <c r="B424" s="485" t="str">
        <f>IFERROR(__xludf.DUMMYFUNCTION("""COMPUTED_VALUE"""),"DAMIAO MAROTO GOMES JUNIOR")</f>
        <v>DAMIAO MAROTO GOMES JUNIOR</v>
      </c>
      <c r="C424" s="486">
        <f>IFERROR(__xludf.DUMMYFUNCTION("""COMPUTED_VALUE"""),10.0)</f>
        <v>10</v>
      </c>
      <c r="D424" s="487"/>
      <c r="E424" s="486"/>
      <c r="F424" s="488"/>
      <c r="G424" s="472"/>
      <c r="H424" s="472"/>
      <c r="I424" s="472"/>
      <c r="J424" s="472"/>
      <c r="K424" s="472"/>
      <c r="L424" s="472"/>
      <c r="M424" s="472"/>
      <c r="N424" s="472"/>
      <c r="O424" s="472"/>
      <c r="P424" s="472"/>
      <c r="Q424" s="472"/>
      <c r="R424" s="472"/>
      <c r="S424" s="472"/>
      <c r="T424" s="472"/>
      <c r="U424" s="472"/>
      <c r="V424" s="472"/>
      <c r="W424" s="472"/>
      <c r="X424" s="472"/>
      <c r="Y424" s="472"/>
      <c r="Z424" s="472"/>
      <c r="AA424" s="472"/>
    </row>
    <row r="425" outlineLevel="1">
      <c r="A425" s="494">
        <f>IFERROR(__xludf.DUMMYFUNCTION("""COMPUTED_VALUE"""),5.2410091466E10)</f>
        <v>52410091466</v>
      </c>
      <c r="B425" s="485" t="str">
        <f>IFERROR(__xludf.DUMMYFUNCTION("""COMPUTED_VALUE"""),"JOSE LUIS PAIVA DE MENDONÇA FERREIRA")</f>
        <v>JOSE LUIS PAIVA DE MENDONÇA FERREIRA</v>
      </c>
      <c r="C425" s="486">
        <f>IFERROR(__xludf.DUMMYFUNCTION("""COMPUTED_VALUE"""),10.0)</f>
        <v>10</v>
      </c>
      <c r="D425" s="487"/>
      <c r="E425" s="486"/>
      <c r="F425" s="488"/>
      <c r="G425" s="472"/>
      <c r="H425" s="472"/>
      <c r="I425" s="472"/>
      <c r="J425" s="472"/>
      <c r="K425" s="472"/>
      <c r="L425" s="472"/>
      <c r="M425" s="472"/>
      <c r="N425" s="472"/>
      <c r="O425" s="472"/>
      <c r="P425" s="472"/>
      <c r="Q425" s="472"/>
      <c r="R425" s="472"/>
      <c r="S425" s="472"/>
      <c r="T425" s="472"/>
      <c r="U425" s="472"/>
      <c r="V425" s="472"/>
      <c r="W425" s="472"/>
      <c r="X425" s="472"/>
      <c r="Y425" s="472"/>
      <c r="Z425" s="472"/>
      <c r="AA425" s="472"/>
    </row>
    <row r="426" outlineLevel="1">
      <c r="A426" s="484">
        <f>IFERROR(__xludf.DUMMYFUNCTION("""COMPUTED_VALUE"""),9.19650089151E11)</f>
        <v>919650089151</v>
      </c>
      <c r="B426" s="485" t="str">
        <f>IFERROR(__xludf.DUMMYFUNCTION("""COMPUTED_VALUE"""),"DIEGO KEDSON DOS SANTOS")</f>
        <v>DIEGO KEDSON DOS SANTOS</v>
      </c>
      <c r="C426" s="486">
        <f>IFERROR(__xludf.DUMMYFUNCTION("""COMPUTED_VALUE"""),10.0)</f>
        <v>10</v>
      </c>
      <c r="D426" s="487"/>
      <c r="E426" s="486"/>
      <c r="F426" s="488"/>
      <c r="G426" s="472"/>
      <c r="H426" s="472"/>
      <c r="I426" s="472"/>
      <c r="J426" s="472"/>
      <c r="K426" s="472"/>
      <c r="L426" s="472"/>
      <c r="M426" s="472"/>
      <c r="N426" s="472"/>
      <c r="O426" s="472"/>
      <c r="P426" s="472"/>
      <c r="Q426" s="472"/>
      <c r="R426" s="472"/>
      <c r="S426" s="472"/>
      <c r="T426" s="472"/>
      <c r="U426" s="472"/>
      <c r="V426" s="472"/>
      <c r="W426" s="472"/>
      <c r="X426" s="472"/>
      <c r="Y426" s="472"/>
      <c r="Z426" s="472"/>
      <c r="AA426" s="472"/>
    </row>
    <row r="427" outlineLevel="1">
      <c r="A427" s="484">
        <f>IFERROR(__xludf.DUMMYFUNCTION("""COMPUTED_VALUE"""),9.52470092582E11)</f>
        <v>952470092582</v>
      </c>
      <c r="B427" s="485" t="str">
        <f>IFERROR(__xludf.DUMMYFUNCTION("""COMPUTED_VALUE"""),"ANTÔNIO DIEGO COSTA BEZERRA")</f>
        <v>ANTÔNIO DIEGO COSTA BEZERRA</v>
      </c>
      <c r="C427" s="486">
        <f>IFERROR(__xludf.DUMMYFUNCTION("""COMPUTED_VALUE"""),10.0)</f>
        <v>10</v>
      </c>
      <c r="D427" s="487"/>
      <c r="E427" s="486"/>
      <c r="F427" s="488"/>
      <c r="G427" s="472"/>
      <c r="H427" s="472"/>
      <c r="I427" s="472"/>
      <c r="J427" s="472"/>
      <c r="K427" s="472"/>
      <c r="L427" s="472"/>
      <c r="M427" s="472"/>
      <c r="N427" s="472"/>
      <c r="O427" s="472"/>
      <c r="P427" s="472"/>
      <c r="Q427" s="472"/>
      <c r="R427" s="472"/>
      <c r="S427" s="472"/>
      <c r="T427" s="472"/>
      <c r="U427" s="472"/>
      <c r="V427" s="472"/>
      <c r="W427" s="472"/>
      <c r="X427" s="472"/>
      <c r="Y427" s="472"/>
      <c r="Z427" s="472"/>
      <c r="AA427" s="472"/>
    </row>
    <row r="428" outlineLevel="1">
      <c r="A428" s="484">
        <f>IFERROR(__xludf.DUMMYFUNCTION("""COMPUTED_VALUE"""),8.22769093206E11)</f>
        <v>822769093206</v>
      </c>
      <c r="B428" s="485" t="str">
        <f>IFERROR(__xludf.DUMMYFUNCTION("""COMPUTED_VALUE"""),"GILMARA MARIA BATISTA TAVARES DA SILVA")</f>
        <v>GILMARA MARIA BATISTA TAVARES DA SILVA</v>
      </c>
      <c r="C428" s="486">
        <f>IFERROR(__xludf.DUMMYFUNCTION("""COMPUTED_VALUE"""),9.5)</f>
        <v>9.5</v>
      </c>
      <c r="D428" s="487"/>
      <c r="E428" s="486"/>
      <c r="F428" s="488"/>
      <c r="G428" s="472"/>
      <c r="H428" s="472"/>
      <c r="I428" s="472"/>
      <c r="J428" s="472"/>
      <c r="K428" s="472"/>
      <c r="L428" s="472"/>
      <c r="M428" s="472"/>
      <c r="N428" s="472"/>
      <c r="O428" s="472"/>
      <c r="P428" s="472"/>
      <c r="Q428" s="472"/>
      <c r="R428" s="472"/>
      <c r="S428" s="472"/>
      <c r="T428" s="472"/>
      <c r="U428" s="472"/>
      <c r="V428" s="472"/>
      <c r="W428" s="472"/>
      <c r="X428" s="472"/>
      <c r="Y428" s="472"/>
      <c r="Z428" s="472"/>
      <c r="AA428" s="472"/>
    </row>
    <row r="429" outlineLevel="1">
      <c r="A429" s="484">
        <f>IFERROR(__xludf.DUMMYFUNCTION("""COMPUTED_VALUE"""),5.25756093149E11)</f>
        <v>525756093149</v>
      </c>
      <c r="B429" s="485" t="str">
        <f>IFERROR(__xludf.DUMMYFUNCTION("""COMPUTED_VALUE"""),"TICIANA MARIA GOMES GUEDES DE MATOS")</f>
        <v>TICIANA MARIA GOMES GUEDES DE MATOS</v>
      </c>
      <c r="C429" s="486">
        <f>IFERROR(__xludf.DUMMYFUNCTION("""COMPUTED_VALUE"""),9.0)</f>
        <v>9</v>
      </c>
      <c r="D429" s="487"/>
      <c r="E429" s="486"/>
      <c r="F429" s="488"/>
      <c r="G429" s="472"/>
      <c r="H429" s="472"/>
      <c r="I429" s="472"/>
      <c r="J429" s="472"/>
      <c r="K429" s="472"/>
      <c r="L429" s="472"/>
      <c r="M429" s="472"/>
      <c r="N429" s="472"/>
      <c r="O429" s="472"/>
      <c r="P429" s="472"/>
      <c r="Q429" s="472"/>
      <c r="R429" s="472"/>
      <c r="S429" s="472"/>
      <c r="T429" s="472"/>
      <c r="U429" s="472"/>
      <c r="V429" s="472"/>
      <c r="W429" s="472"/>
      <c r="X429" s="472"/>
      <c r="Y429" s="472"/>
      <c r="Z429" s="472"/>
      <c r="AA429" s="472"/>
    </row>
    <row r="430" outlineLevel="1">
      <c r="A430" s="484">
        <f>IFERROR(__xludf.DUMMYFUNCTION("""COMPUTED_VALUE"""),3.68300093636E11)</f>
        <v>368300093636</v>
      </c>
      <c r="B430" s="485" t="str">
        <f>IFERROR(__xludf.DUMMYFUNCTION("""COMPUTED_VALUE"""),"GLÁUCIA PORTO DE FREITAS")</f>
        <v>GLÁUCIA PORTO DE FREITAS</v>
      </c>
      <c r="C430" s="486">
        <f>IFERROR(__xludf.DUMMYFUNCTION("""COMPUTED_VALUE"""),9.0)</f>
        <v>9</v>
      </c>
      <c r="D430" s="487"/>
      <c r="E430" s="486"/>
      <c r="F430" s="488"/>
      <c r="G430" s="472"/>
      <c r="H430" s="472"/>
      <c r="I430" s="472"/>
      <c r="J430" s="472"/>
      <c r="K430" s="472"/>
      <c r="L430" s="472"/>
      <c r="M430" s="472"/>
      <c r="N430" s="472"/>
      <c r="O430" s="472"/>
      <c r="P430" s="472"/>
      <c r="Q430" s="472"/>
      <c r="R430" s="472"/>
      <c r="S430" s="472"/>
      <c r="T430" s="472"/>
      <c r="U430" s="472"/>
      <c r="V430" s="472"/>
      <c r="W430" s="472"/>
      <c r="X430" s="472"/>
      <c r="Y430" s="472"/>
      <c r="Z430" s="472"/>
      <c r="AA430" s="472"/>
    </row>
    <row r="431" outlineLevel="1">
      <c r="A431" s="484">
        <f>IFERROR(__xludf.DUMMYFUNCTION("""COMPUTED_VALUE"""),4.56033090466E11)</f>
        <v>456033090466</v>
      </c>
      <c r="B431" s="485" t="str">
        <f>IFERROR(__xludf.DUMMYFUNCTION("""COMPUTED_VALUE"""),"MARIA JOSE GALDINO SARAIVA")</f>
        <v>MARIA JOSE GALDINO SARAIVA</v>
      </c>
      <c r="C431" s="486">
        <f>IFERROR(__xludf.DUMMYFUNCTION("""COMPUTED_VALUE"""),8.5)</f>
        <v>8.5</v>
      </c>
      <c r="D431" s="487"/>
      <c r="E431" s="486"/>
      <c r="F431" s="488"/>
      <c r="G431" s="472"/>
      <c r="H431" s="472"/>
      <c r="I431" s="472"/>
      <c r="J431" s="472"/>
      <c r="K431" s="472"/>
      <c r="L431" s="472"/>
      <c r="M431" s="472"/>
      <c r="N431" s="472"/>
      <c r="O431" s="472"/>
      <c r="P431" s="472"/>
      <c r="Q431" s="472"/>
      <c r="R431" s="472"/>
      <c r="S431" s="472"/>
      <c r="T431" s="472"/>
      <c r="U431" s="472"/>
      <c r="V431" s="472"/>
      <c r="W431" s="472"/>
      <c r="X431" s="472"/>
      <c r="Y431" s="472"/>
      <c r="Z431" s="472"/>
      <c r="AA431" s="472"/>
    </row>
    <row r="432" outlineLevel="1">
      <c r="A432" s="484">
        <f>IFERROR(__xludf.DUMMYFUNCTION("""COMPUTED_VALUE"""),1.08420089966E11)</f>
        <v>108420089966</v>
      </c>
      <c r="B432" s="485" t="str">
        <f>IFERROR(__xludf.DUMMYFUNCTION("""COMPUTED_VALUE"""),"FLAVIA VASCONCELOS DE ARAUJO MARTINS")</f>
        <v>FLAVIA VASCONCELOS DE ARAUJO MARTINS</v>
      </c>
      <c r="C432" s="486">
        <f>IFERROR(__xludf.DUMMYFUNCTION("""COMPUTED_VALUE"""),8.0)</f>
        <v>8</v>
      </c>
      <c r="D432" s="487"/>
      <c r="E432" s="486"/>
      <c r="F432" s="488"/>
      <c r="G432" s="472"/>
      <c r="H432" s="472"/>
      <c r="I432" s="472"/>
      <c r="J432" s="472"/>
      <c r="K432" s="472"/>
      <c r="L432" s="472"/>
      <c r="M432" s="472"/>
      <c r="N432" s="472"/>
      <c r="O432" s="472"/>
      <c r="P432" s="472"/>
      <c r="Q432" s="472"/>
      <c r="R432" s="472"/>
      <c r="S432" s="472"/>
      <c r="T432" s="472"/>
      <c r="U432" s="472"/>
      <c r="V432" s="472"/>
      <c r="W432" s="472"/>
      <c r="X432" s="472"/>
      <c r="Y432" s="472"/>
      <c r="Z432" s="472"/>
      <c r="AA432" s="472"/>
    </row>
    <row r="433" outlineLevel="1">
      <c r="A433" s="484">
        <f>IFERROR(__xludf.DUMMYFUNCTION("""COMPUTED_VALUE"""),7.96310090515E11)</f>
        <v>796310090515</v>
      </c>
      <c r="B433" s="485" t="str">
        <f>IFERROR(__xludf.DUMMYFUNCTION("""COMPUTED_VALUE"""),"CAMILA MENDES DOS SANTOS")</f>
        <v>CAMILA MENDES DOS SANTOS</v>
      </c>
      <c r="C433" s="486">
        <f>IFERROR(__xludf.DUMMYFUNCTION("""COMPUTED_VALUE"""),8.0)</f>
        <v>8</v>
      </c>
      <c r="D433" s="487"/>
      <c r="E433" s="486"/>
      <c r="F433" s="488"/>
      <c r="G433" s="472"/>
      <c r="H433" s="472"/>
      <c r="I433" s="472"/>
      <c r="J433" s="472"/>
      <c r="K433" s="472"/>
      <c r="L433" s="472"/>
      <c r="M433" s="472"/>
      <c r="N433" s="472"/>
      <c r="O433" s="472"/>
      <c r="P433" s="472"/>
      <c r="Q433" s="472"/>
      <c r="R433" s="472"/>
      <c r="S433" s="472"/>
      <c r="T433" s="472"/>
      <c r="U433" s="472"/>
      <c r="V433" s="472"/>
      <c r="W433" s="472"/>
      <c r="X433" s="472"/>
      <c r="Y433" s="472"/>
      <c r="Z433" s="472"/>
      <c r="AA433" s="472"/>
    </row>
    <row r="434" outlineLevel="1">
      <c r="A434" s="484">
        <f>IFERROR(__xludf.DUMMYFUNCTION("""COMPUTED_VALUE"""),3.98620093477E11)</f>
        <v>398620093477</v>
      </c>
      <c r="B434" s="485" t="str">
        <f>IFERROR(__xludf.DUMMYFUNCTION("""COMPUTED_VALUE"""),"VIVIANE DE AMORIM DUARTE")</f>
        <v>VIVIANE DE AMORIM DUARTE</v>
      </c>
      <c r="C434" s="486">
        <f>IFERROR(__xludf.DUMMYFUNCTION("""COMPUTED_VALUE"""),8.0)</f>
        <v>8</v>
      </c>
      <c r="D434" s="487"/>
      <c r="E434" s="486"/>
      <c r="F434" s="488"/>
      <c r="G434" s="472"/>
      <c r="H434" s="472"/>
      <c r="I434" s="472"/>
      <c r="J434" s="472"/>
      <c r="K434" s="472"/>
      <c r="L434" s="472"/>
      <c r="M434" s="472"/>
      <c r="N434" s="472"/>
      <c r="O434" s="472"/>
      <c r="P434" s="472"/>
      <c r="Q434" s="472"/>
      <c r="R434" s="472"/>
      <c r="S434" s="472"/>
      <c r="T434" s="472"/>
      <c r="U434" s="472"/>
      <c r="V434" s="472"/>
      <c r="W434" s="472"/>
      <c r="X434" s="472"/>
      <c r="Y434" s="472"/>
      <c r="Z434" s="472"/>
      <c r="AA434" s="472"/>
    </row>
    <row r="435" outlineLevel="1">
      <c r="A435" s="484">
        <f>IFERROR(__xludf.DUMMYFUNCTION("""COMPUTED_VALUE"""),1.82720092943E11)</f>
        <v>182720092943</v>
      </c>
      <c r="B435" s="485" t="str">
        <f>IFERROR(__xludf.DUMMYFUNCTION("""COMPUTED_VALUE"""),"JOSÉ DAVI JOVINO FARIAS")</f>
        <v>JOSÉ DAVI JOVINO FARIAS</v>
      </c>
      <c r="C435" s="486">
        <f>IFERROR(__xludf.DUMMYFUNCTION("""COMPUTED_VALUE"""),8.0)</f>
        <v>8</v>
      </c>
      <c r="D435" s="487"/>
      <c r="E435" s="486"/>
      <c r="F435" s="488"/>
      <c r="G435" s="472"/>
      <c r="H435" s="472"/>
      <c r="I435" s="472"/>
      <c r="J435" s="472"/>
      <c r="K435" s="472"/>
      <c r="L435" s="472"/>
      <c r="M435" s="472"/>
      <c r="N435" s="472"/>
      <c r="O435" s="472"/>
      <c r="P435" s="472"/>
      <c r="Q435" s="472"/>
      <c r="R435" s="472"/>
      <c r="S435" s="472"/>
      <c r="T435" s="472"/>
      <c r="U435" s="472"/>
      <c r="V435" s="472"/>
      <c r="W435" s="472"/>
      <c r="X435" s="472"/>
      <c r="Y435" s="472"/>
      <c r="Z435" s="472"/>
      <c r="AA435" s="472"/>
    </row>
    <row r="436" outlineLevel="1">
      <c r="A436" s="494">
        <f>IFERROR(__xludf.DUMMYFUNCTION("""COMPUTED_VALUE"""),3.9620090073E10)</f>
        <v>39620090073</v>
      </c>
      <c r="B436" s="485" t="str">
        <f>IFERROR(__xludf.DUMMYFUNCTION("""COMPUTED_VALUE"""),"RAFAELLE DANTAS BEZERRA")</f>
        <v>RAFAELLE DANTAS BEZERRA</v>
      </c>
      <c r="C436" s="486">
        <f>IFERROR(__xludf.DUMMYFUNCTION("""COMPUTED_VALUE"""),8.0)</f>
        <v>8</v>
      </c>
      <c r="D436" s="487"/>
      <c r="E436" s="486"/>
      <c r="F436" s="488"/>
      <c r="G436" s="472"/>
      <c r="H436" s="472"/>
      <c r="I436" s="472"/>
      <c r="J436" s="472"/>
      <c r="K436" s="472"/>
      <c r="L436" s="472"/>
      <c r="M436" s="472"/>
      <c r="N436" s="472"/>
      <c r="O436" s="472"/>
      <c r="P436" s="472"/>
      <c r="Q436" s="472"/>
      <c r="R436" s="472"/>
      <c r="S436" s="472"/>
      <c r="T436" s="472"/>
      <c r="U436" s="472"/>
      <c r="V436" s="472"/>
      <c r="W436" s="472"/>
      <c r="X436" s="472"/>
      <c r="Y436" s="472"/>
      <c r="Z436" s="472"/>
      <c r="AA436" s="472"/>
    </row>
    <row r="437" outlineLevel="1">
      <c r="A437" s="484">
        <f>IFERROR(__xludf.DUMMYFUNCTION("""COMPUTED_VALUE"""),6.23916092899E11)</f>
        <v>623916092899</v>
      </c>
      <c r="B437" s="485" t="str">
        <f>IFERROR(__xludf.DUMMYFUNCTION("""COMPUTED_VALUE"""),"FRANCISCO ANDERSON CARVALHO DE LIMA")</f>
        <v>FRANCISCO ANDERSON CARVALHO DE LIMA</v>
      </c>
      <c r="C437" s="486">
        <f>IFERROR(__xludf.DUMMYFUNCTION("""COMPUTED_VALUE"""),8.0)</f>
        <v>8</v>
      </c>
      <c r="D437" s="487"/>
      <c r="E437" s="486"/>
      <c r="F437" s="488"/>
      <c r="G437" s="472"/>
      <c r="H437" s="472"/>
      <c r="I437" s="472"/>
      <c r="J437" s="472"/>
      <c r="K437" s="472"/>
      <c r="L437" s="472"/>
      <c r="M437" s="472"/>
      <c r="N437" s="472"/>
      <c r="O437" s="472"/>
      <c r="P437" s="472"/>
      <c r="Q437" s="472"/>
      <c r="R437" s="472"/>
      <c r="S437" s="472"/>
      <c r="T437" s="472"/>
      <c r="U437" s="472"/>
      <c r="V437" s="472"/>
      <c r="W437" s="472"/>
      <c r="X437" s="472"/>
      <c r="Y437" s="472"/>
      <c r="Z437" s="472"/>
      <c r="AA437" s="472"/>
    </row>
    <row r="438" outlineLevel="1">
      <c r="A438" s="484">
        <f>IFERROR(__xludf.DUMMYFUNCTION("""COMPUTED_VALUE"""),2.55310090409E11)</f>
        <v>255310090409</v>
      </c>
      <c r="B438" s="485" t="str">
        <f>IFERROR(__xludf.DUMMYFUNCTION("""COMPUTED_VALUE"""),"MARCELINO MAIA BESSA")</f>
        <v>MARCELINO MAIA BESSA</v>
      </c>
      <c r="C438" s="486">
        <f>IFERROR(__xludf.DUMMYFUNCTION("""COMPUTED_VALUE"""),8.0)</f>
        <v>8</v>
      </c>
      <c r="D438" s="487"/>
      <c r="E438" s="486"/>
      <c r="F438" s="488"/>
      <c r="G438" s="472"/>
      <c r="H438" s="472"/>
      <c r="I438" s="472"/>
      <c r="J438" s="472"/>
      <c r="K438" s="472"/>
      <c r="L438" s="472"/>
      <c r="M438" s="472"/>
      <c r="N438" s="472"/>
      <c r="O438" s="472"/>
      <c r="P438" s="472"/>
      <c r="Q438" s="472"/>
      <c r="R438" s="472"/>
      <c r="S438" s="472"/>
      <c r="T438" s="472"/>
      <c r="U438" s="472"/>
      <c r="V438" s="472"/>
      <c r="W438" s="472"/>
      <c r="X438" s="472"/>
      <c r="Y438" s="472"/>
      <c r="Z438" s="472"/>
      <c r="AA438" s="472"/>
    </row>
    <row r="439" outlineLevel="1">
      <c r="A439" s="484">
        <f>IFERROR(__xludf.DUMMYFUNCTION("""COMPUTED_VALUE"""),1.08208092397E11)</f>
        <v>108208092397</v>
      </c>
      <c r="B439" s="485" t="str">
        <f>IFERROR(__xludf.DUMMYFUNCTION("""COMPUTED_VALUE"""),"TATIANA MOURÃO DANTAS VIEIRA")</f>
        <v>TATIANA MOURÃO DANTAS VIEIRA</v>
      </c>
      <c r="C439" s="486">
        <f>IFERROR(__xludf.DUMMYFUNCTION("""COMPUTED_VALUE"""),7.5)</f>
        <v>7.5</v>
      </c>
      <c r="D439" s="487"/>
      <c r="E439" s="486"/>
      <c r="F439" s="488"/>
      <c r="G439" s="472"/>
      <c r="H439" s="472"/>
      <c r="I439" s="472"/>
      <c r="J439" s="472"/>
      <c r="K439" s="472"/>
      <c r="L439" s="472"/>
      <c r="M439" s="472"/>
      <c r="N439" s="472"/>
      <c r="O439" s="472"/>
      <c r="P439" s="472"/>
      <c r="Q439" s="472"/>
      <c r="R439" s="472"/>
      <c r="S439" s="472"/>
      <c r="T439" s="472"/>
      <c r="U439" s="472"/>
      <c r="V439" s="472"/>
      <c r="W439" s="472"/>
      <c r="X439" s="472"/>
      <c r="Y439" s="472"/>
      <c r="Z439" s="472"/>
      <c r="AA439" s="472"/>
    </row>
    <row r="440" outlineLevel="1">
      <c r="A440" s="484">
        <f>IFERROR(__xludf.DUMMYFUNCTION("""COMPUTED_VALUE"""),6.65106088577E11)</f>
        <v>665106088577</v>
      </c>
      <c r="B440" s="485" t="str">
        <f>IFERROR(__xludf.DUMMYFUNCTION("""COMPUTED_VALUE"""),"ANA RITA PAULO CARDOSO")</f>
        <v>ANA RITA PAULO CARDOSO</v>
      </c>
      <c r="C440" s="486">
        <f>IFERROR(__xludf.DUMMYFUNCTION("""COMPUTED_VALUE"""),7.5)</f>
        <v>7.5</v>
      </c>
      <c r="D440" s="487"/>
      <c r="E440" s="486"/>
      <c r="F440" s="488"/>
      <c r="G440" s="472"/>
      <c r="H440" s="472"/>
      <c r="I440" s="472"/>
      <c r="J440" s="472"/>
      <c r="K440" s="472"/>
      <c r="L440" s="472"/>
      <c r="M440" s="472"/>
      <c r="N440" s="472"/>
      <c r="O440" s="472"/>
      <c r="P440" s="472"/>
      <c r="Q440" s="472"/>
      <c r="R440" s="472"/>
      <c r="S440" s="472"/>
      <c r="T440" s="472"/>
      <c r="U440" s="472"/>
      <c r="V440" s="472"/>
      <c r="W440" s="472"/>
      <c r="X440" s="472"/>
      <c r="Y440" s="472"/>
      <c r="Z440" s="472"/>
      <c r="AA440" s="472"/>
    </row>
    <row r="441" outlineLevel="1">
      <c r="A441" s="484">
        <f>IFERROR(__xludf.DUMMYFUNCTION("""COMPUTED_VALUE"""),9.6024009242E11)</f>
        <v>960240092420</v>
      </c>
      <c r="B441" s="485" t="str">
        <f>IFERROR(__xludf.DUMMYFUNCTION("""COMPUTED_VALUE"""),"ANTONIA CINTHYA GOMES DA SILVA")</f>
        <v>ANTONIA CINTHYA GOMES DA SILVA</v>
      </c>
      <c r="C441" s="486">
        <f>IFERROR(__xludf.DUMMYFUNCTION("""COMPUTED_VALUE"""),7.5)</f>
        <v>7.5</v>
      </c>
      <c r="D441" s="487"/>
      <c r="E441" s="486"/>
      <c r="F441" s="488"/>
      <c r="G441" s="472"/>
      <c r="H441" s="472"/>
      <c r="I441" s="472"/>
      <c r="J441" s="472"/>
      <c r="K441" s="472"/>
      <c r="L441" s="472"/>
      <c r="M441" s="472"/>
      <c r="N441" s="472"/>
      <c r="O441" s="472"/>
      <c r="P441" s="472"/>
      <c r="Q441" s="472"/>
      <c r="R441" s="472"/>
      <c r="S441" s="472"/>
      <c r="T441" s="472"/>
      <c r="U441" s="472"/>
      <c r="V441" s="472"/>
      <c r="W441" s="472"/>
      <c r="X441" s="472"/>
      <c r="Y441" s="472"/>
      <c r="Z441" s="472"/>
      <c r="AA441" s="472"/>
    </row>
    <row r="442" outlineLevel="1">
      <c r="A442" s="484">
        <f>IFERROR(__xludf.DUMMYFUNCTION("""COMPUTED_VALUE"""),6.46624091409E11)</f>
        <v>646624091409</v>
      </c>
      <c r="B442" s="485" t="str">
        <f>IFERROR(__xludf.DUMMYFUNCTION("""COMPUTED_VALUE"""),"ANA MARIA MELO DE PINHO")</f>
        <v>ANA MARIA MELO DE PINHO</v>
      </c>
      <c r="C442" s="486">
        <f>IFERROR(__xludf.DUMMYFUNCTION("""COMPUTED_VALUE"""),7.0)</f>
        <v>7</v>
      </c>
      <c r="D442" s="487"/>
      <c r="E442" s="486"/>
      <c r="F442" s="488"/>
      <c r="G442" s="472"/>
      <c r="H442" s="472"/>
      <c r="I442" s="472"/>
      <c r="J442" s="472"/>
      <c r="K442" s="472"/>
      <c r="L442" s="472"/>
      <c r="M442" s="472"/>
      <c r="N442" s="472"/>
      <c r="O442" s="472"/>
      <c r="P442" s="472"/>
      <c r="Q442" s="472"/>
      <c r="R442" s="472"/>
      <c r="S442" s="472"/>
      <c r="T442" s="472"/>
      <c r="U442" s="472"/>
      <c r="V442" s="472"/>
      <c r="W442" s="472"/>
      <c r="X442" s="472"/>
      <c r="Y442" s="472"/>
      <c r="Z442" s="472"/>
      <c r="AA442" s="472"/>
    </row>
    <row r="443" outlineLevel="1">
      <c r="A443" s="484">
        <f>IFERROR(__xludf.DUMMYFUNCTION("""COMPUTED_VALUE"""),9.24867093538E11)</f>
        <v>924867093538</v>
      </c>
      <c r="B443" s="485" t="str">
        <f>IFERROR(__xludf.DUMMYFUNCTION("""COMPUTED_VALUE"""),"EMANUEL MOURA GOMES")</f>
        <v>EMANUEL MOURA GOMES</v>
      </c>
      <c r="C443" s="486">
        <f>IFERROR(__xludf.DUMMYFUNCTION("""COMPUTED_VALUE"""),7.0)</f>
        <v>7</v>
      </c>
      <c r="D443" s="487"/>
      <c r="E443" s="486"/>
      <c r="F443" s="488"/>
      <c r="G443" s="472"/>
      <c r="H443" s="472"/>
      <c r="I443" s="472"/>
      <c r="J443" s="472"/>
      <c r="K443" s="472"/>
      <c r="L443" s="472"/>
      <c r="M443" s="472"/>
      <c r="N443" s="472"/>
      <c r="O443" s="472"/>
      <c r="P443" s="472"/>
      <c r="Q443" s="472"/>
      <c r="R443" s="472"/>
      <c r="S443" s="472"/>
      <c r="T443" s="472"/>
      <c r="U443" s="472"/>
      <c r="V443" s="472"/>
      <c r="W443" s="472"/>
      <c r="X443" s="472"/>
      <c r="Y443" s="472"/>
      <c r="Z443" s="472"/>
      <c r="AA443" s="472"/>
    </row>
    <row r="444" outlineLevel="1">
      <c r="A444" s="484">
        <f>IFERROR(__xludf.DUMMYFUNCTION("""COMPUTED_VALUE"""),2.43316089433E11)</f>
        <v>243316089433</v>
      </c>
      <c r="B444" s="485" t="str">
        <f>IFERROR(__xludf.DUMMYFUNCTION("""COMPUTED_VALUE"""),"EDENUBIA PEREIRA FELIX")</f>
        <v>EDENUBIA PEREIRA FELIX</v>
      </c>
      <c r="C444" s="486">
        <f>IFERROR(__xludf.DUMMYFUNCTION("""COMPUTED_VALUE"""),7.0)</f>
        <v>7</v>
      </c>
      <c r="D444" s="487"/>
      <c r="E444" s="486"/>
      <c r="F444" s="488"/>
      <c r="G444" s="472"/>
      <c r="H444" s="472"/>
      <c r="I444" s="472"/>
      <c r="J444" s="472"/>
      <c r="K444" s="472"/>
      <c r="L444" s="472"/>
      <c r="M444" s="472"/>
      <c r="N444" s="472"/>
      <c r="O444" s="472"/>
      <c r="P444" s="472"/>
      <c r="Q444" s="472"/>
      <c r="R444" s="472"/>
      <c r="S444" s="472"/>
      <c r="T444" s="472"/>
      <c r="U444" s="472"/>
      <c r="V444" s="472"/>
      <c r="W444" s="472"/>
      <c r="X444" s="472"/>
      <c r="Y444" s="472"/>
      <c r="Z444" s="472"/>
      <c r="AA444" s="472"/>
    </row>
    <row r="445" outlineLevel="1">
      <c r="A445" s="494">
        <f>IFERROR(__xludf.DUMMYFUNCTION("""COMPUTED_VALUE"""),8.756089562E9)</f>
        <v>8756089562</v>
      </c>
      <c r="B445" s="485" t="str">
        <f>IFERROR(__xludf.DUMMYFUNCTION("""COMPUTED_VALUE"""),"HELLOISE BARBOSA NERY")</f>
        <v>HELLOISE BARBOSA NERY</v>
      </c>
      <c r="C445" s="486">
        <f>IFERROR(__xludf.DUMMYFUNCTION("""COMPUTED_VALUE"""),7.0)</f>
        <v>7</v>
      </c>
      <c r="D445" s="487"/>
      <c r="E445" s="486"/>
      <c r="F445" s="488"/>
      <c r="G445" s="472"/>
      <c r="H445" s="472"/>
      <c r="I445" s="472"/>
      <c r="J445" s="472"/>
      <c r="K445" s="472"/>
      <c r="L445" s="472"/>
      <c r="M445" s="472"/>
      <c r="N445" s="472"/>
      <c r="O445" s="472"/>
      <c r="P445" s="472"/>
      <c r="Q445" s="472"/>
      <c r="R445" s="472"/>
      <c r="S445" s="472"/>
      <c r="T445" s="472"/>
      <c r="U445" s="472"/>
      <c r="V445" s="472"/>
      <c r="W445" s="472"/>
      <c r="X445" s="472"/>
      <c r="Y445" s="472"/>
      <c r="Z445" s="472"/>
      <c r="AA445" s="472"/>
    </row>
    <row r="446" outlineLevel="1">
      <c r="A446" s="484">
        <f>IFERROR(__xludf.DUMMYFUNCTION("""COMPUTED_VALUE"""),8.8854009237E11)</f>
        <v>888540092370</v>
      </c>
      <c r="B446" s="485" t="str">
        <f>IFERROR(__xludf.DUMMYFUNCTION("""COMPUTED_VALUE"""),"GEMAKSON MIKAEL MENDES")</f>
        <v>GEMAKSON MIKAEL MENDES</v>
      </c>
      <c r="C446" s="486">
        <f>IFERROR(__xludf.DUMMYFUNCTION("""COMPUTED_VALUE"""),7.0)</f>
        <v>7</v>
      </c>
      <c r="D446" s="487"/>
      <c r="E446" s="486"/>
      <c r="F446" s="488"/>
      <c r="G446" s="472"/>
      <c r="H446" s="472"/>
      <c r="I446" s="472"/>
      <c r="J446" s="472"/>
      <c r="K446" s="472"/>
      <c r="L446" s="472"/>
      <c r="M446" s="472"/>
      <c r="N446" s="472"/>
      <c r="O446" s="472"/>
      <c r="P446" s="472"/>
      <c r="Q446" s="472"/>
      <c r="R446" s="472"/>
      <c r="S446" s="472"/>
      <c r="T446" s="472"/>
      <c r="U446" s="472"/>
      <c r="V446" s="472"/>
      <c r="W446" s="472"/>
      <c r="X446" s="472"/>
      <c r="Y446" s="472"/>
      <c r="Z446" s="472"/>
      <c r="AA446" s="472"/>
    </row>
    <row r="447" outlineLevel="1">
      <c r="A447" s="484">
        <f>IFERROR(__xludf.DUMMYFUNCTION("""COMPUTED_VALUE"""),5.93020088468E11)</f>
        <v>593020088468</v>
      </c>
      <c r="B447" s="485" t="str">
        <f>IFERROR(__xludf.DUMMYFUNCTION("""COMPUTED_VALUE"""),"FRANCISCO IONARIO NUNES DE SOUSA")</f>
        <v>FRANCISCO IONARIO NUNES DE SOUSA</v>
      </c>
      <c r="C447" s="486">
        <f>IFERROR(__xludf.DUMMYFUNCTION("""COMPUTED_VALUE"""),6.0)</f>
        <v>6</v>
      </c>
      <c r="D447" s="487"/>
      <c r="E447" s="486"/>
      <c r="F447" s="488"/>
      <c r="G447" s="472"/>
      <c r="H447" s="472"/>
      <c r="I447" s="472"/>
      <c r="J447" s="472"/>
      <c r="K447" s="472"/>
      <c r="L447" s="472"/>
      <c r="M447" s="472"/>
      <c r="N447" s="472"/>
      <c r="O447" s="472"/>
      <c r="P447" s="472"/>
      <c r="Q447" s="472"/>
      <c r="R447" s="472"/>
      <c r="S447" s="472"/>
      <c r="T447" s="472"/>
      <c r="U447" s="472"/>
      <c r="V447" s="472"/>
      <c r="W447" s="472"/>
      <c r="X447" s="472"/>
      <c r="Y447" s="472"/>
      <c r="Z447" s="472"/>
      <c r="AA447" s="472"/>
    </row>
    <row r="448" outlineLevel="1">
      <c r="A448" s="484">
        <f>IFERROR(__xludf.DUMMYFUNCTION("""COMPUTED_VALUE"""),1.32120089852E11)</f>
        <v>132120089852</v>
      </c>
      <c r="B448" s="485" t="str">
        <f>IFERROR(__xludf.DUMMYFUNCTION("""COMPUTED_VALUE"""),"DAIANA DE JESUS MOREIRA")</f>
        <v>DAIANA DE JESUS MOREIRA</v>
      </c>
      <c r="C448" s="486">
        <f>IFERROR(__xludf.DUMMYFUNCTION("""COMPUTED_VALUE"""),6.0)</f>
        <v>6</v>
      </c>
      <c r="D448" s="487"/>
      <c r="E448" s="486"/>
      <c r="F448" s="488"/>
      <c r="G448" s="472"/>
      <c r="H448" s="472"/>
      <c r="I448" s="472"/>
      <c r="J448" s="472"/>
      <c r="K448" s="472"/>
      <c r="L448" s="472"/>
      <c r="M448" s="472"/>
      <c r="N448" s="472"/>
      <c r="O448" s="472"/>
      <c r="P448" s="472"/>
      <c r="Q448" s="472"/>
      <c r="R448" s="472"/>
      <c r="S448" s="472"/>
      <c r="T448" s="472"/>
      <c r="U448" s="472"/>
      <c r="V448" s="472"/>
      <c r="W448" s="472"/>
      <c r="X448" s="472"/>
      <c r="Y448" s="472"/>
      <c r="Z448" s="472"/>
      <c r="AA448" s="472"/>
    </row>
    <row r="449" outlineLevel="1">
      <c r="A449" s="484">
        <f>IFERROR(__xludf.DUMMYFUNCTION("""COMPUTED_VALUE"""),2.14650092479E11)</f>
        <v>214650092479</v>
      </c>
      <c r="B449" s="485" t="str">
        <f>IFERROR(__xludf.DUMMYFUNCTION("""COMPUTED_VALUE"""),"HUMBERTO MEDEIROS WANDERLEY FILHO")</f>
        <v>HUMBERTO MEDEIROS WANDERLEY FILHO</v>
      </c>
      <c r="C449" s="486">
        <f>IFERROR(__xludf.DUMMYFUNCTION("""COMPUTED_VALUE"""),6.0)</f>
        <v>6</v>
      </c>
      <c r="D449" s="487"/>
      <c r="E449" s="486"/>
      <c r="F449" s="488"/>
      <c r="G449" s="472"/>
      <c r="H449" s="472"/>
      <c r="I449" s="472"/>
      <c r="J449" s="472"/>
      <c r="K449" s="472"/>
      <c r="L449" s="472"/>
      <c r="M449" s="472"/>
      <c r="N449" s="472"/>
      <c r="O449" s="472"/>
      <c r="P449" s="472"/>
      <c r="Q449" s="472"/>
      <c r="R449" s="472"/>
      <c r="S449" s="472"/>
      <c r="T449" s="472"/>
      <c r="U449" s="472"/>
      <c r="V449" s="472"/>
      <c r="W449" s="472"/>
      <c r="X449" s="472"/>
      <c r="Y449" s="472"/>
      <c r="Z449" s="472"/>
      <c r="AA449" s="472"/>
    </row>
    <row r="450" outlineLevel="1">
      <c r="A450" s="484">
        <f>IFERROR(__xludf.DUMMYFUNCTION("""COMPUTED_VALUE"""),9.85140093473E11)</f>
        <v>985140093473</v>
      </c>
      <c r="B450" s="485" t="str">
        <f>IFERROR(__xludf.DUMMYFUNCTION("""COMPUTED_VALUE"""),"JOANA DAYSE DA ROCHA PORTELA ANDRADE")</f>
        <v>JOANA DAYSE DA ROCHA PORTELA ANDRADE</v>
      </c>
      <c r="C450" s="486">
        <f>IFERROR(__xludf.DUMMYFUNCTION("""COMPUTED_VALUE"""),6.0)</f>
        <v>6</v>
      </c>
      <c r="D450" s="487"/>
      <c r="E450" s="486"/>
      <c r="F450" s="488"/>
      <c r="G450" s="472"/>
      <c r="H450" s="472"/>
      <c r="I450" s="472"/>
      <c r="J450" s="472"/>
      <c r="K450" s="472"/>
      <c r="L450" s="472"/>
      <c r="M450" s="472"/>
      <c r="N450" s="472"/>
      <c r="O450" s="472"/>
      <c r="P450" s="472"/>
      <c r="Q450" s="472"/>
      <c r="R450" s="472"/>
      <c r="S450" s="472"/>
      <c r="T450" s="472"/>
      <c r="U450" s="472"/>
      <c r="V450" s="472"/>
      <c r="W450" s="472"/>
      <c r="X450" s="472"/>
      <c r="Y450" s="472"/>
      <c r="Z450" s="472"/>
      <c r="AA450" s="472"/>
    </row>
    <row r="451">
      <c r="A451" s="478" t="str">
        <f>IFERROR(__xludf.DUMMYFUNCTION("""COMPUTED_VALUE"""),"V - MES - REGULAÇÃO EM SAÚDE")</f>
        <v>V - MES - REGULAÇÃO EM SAÚDE</v>
      </c>
      <c r="B451" s="479"/>
      <c r="C451" s="479"/>
      <c r="D451" s="479"/>
      <c r="E451" s="479"/>
      <c r="F451" s="480"/>
      <c r="G451" s="472"/>
      <c r="H451" s="472"/>
      <c r="I451" s="472"/>
      <c r="J451" s="472"/>
      <c r="K451" s="472"/>
      <c r="L451" s="472"/>
      <c r="M451" s="472"/>
      <c r="N451" s="472"/>
      <c r="O451" s="472"/>
      <c r="P451" s="472"/>
      <c r="Q451" s="472"/>
      <c r="R451" s="472"/>
      <c r="S451" s="472"/>
      <c r="T451" s="472"/>
      <c r="U451" s="472"/>
      <c r="V451" s="472"/>
      <c r="W451" s="472"/>
      <c r="X451" s="472"/>
      <c r="Y451" s="472"/>
      <c r="Z451" s="472"/>
      <c r="AA451" s="472"/>
    </row>
    <row r="452" outlineLevel="1">
      <c r="A452" s="481" t="str">
        <f>IFERROR(__xludf.DUMMYFUNCTION("""COMPUTED_VALUE"""),"INSCRIÇÃO")</f>
        <v>INSCRIÇÃO</v>
      </c>
      <c r="B452" s="482" t="str">
        <f>IFERROR(__xludf.DUMMYFUNCTION("""COMPUTED_VALUE"""),"CANDIDATOS")</f>
        <v>CANDIDATOS</v>
      </c>
      <c r="C452" s="481" t="str">
        <f>IFERROR(__xludf.DUMMYFUNCTION("""COMPUTED_VALUE"""),"NF")</f>
        <v>NF</v>
      </c>
      <c r="D452" s="483" t="str">
        <f>IFERROR(__xludf.DUMMYFUNCTION("""COMPUTED_VALUE"""),"CONVOCADO(A)")</f>
        <v>CONVOCADO(A)</v>
      </c>
      <c r="E452" s="483" t="str">
        <f>IFERROR(__xludf.DUMMYFUNCTION("""COMPUTED_VALUE"""),"HOMOLOGADO(A)")</f>
        <v>HOMOLOGADO(A)</v>
      </c>
      <c r="F452" s="483" t="str">
        <f>IFERROR(__xludf.DUMMYFUNCTION("""COMPUTED_VALUE"""),"GERÊNCIA")</f>
        <v>GERÊNCIA</v>
      </c>
      <c r="G452" s="472"/>
      <c r="H452" s="472"/>
      <c r="I452" s="472"/>
      <c r="J452" s="472"/>
      <c r="K452" s="472"/>
      <c r="L452" s="472"/>
      <c r="M452" s="472"/>
      <c r="N452" s="472"/>
      <c r="O452" s="472"/>
      <c r="P452" s="472"/>
      <c r="Q452" s="472"/>
      <c r="R452" s="472"/>
      <c r="S452" s="472"/>
      <c r="T452" s="472"/>
      <c r="U452" s="472"/>
      <c r="V452" s="472"/>
      <c r="W452" s="472"/>
      <c r="X452" s="472"/>
      <c r="Y452" s="472"/>
      <c r="Z452" s="472"/>
      <c r="AA452" s="472"/>
    </row>
    <row r="453" outlineLevel="1">
      <c r="A453" s="484">
        <f>IFERROR(__xludf.DUMMYFUNCTION("""COMPUTED_VALUE"""),1.92623089488E11)</f>
        <v>192623089488</v>
      </c>
      <c r="B453" s="485" t="str">
        <f>IFERROR(__xludf.DUMMYFUNCTION("""COMPUTED_VALUE"""),"JOSETE MALHEIRO TAVARES")</f>
        <v>JOSETE MALHEIRO TAVARES</v>
      </c>
      <c r="C453" s="486">
        <f>IFERROR(__xludf.DUMMYFUNCTION("""COMPUTED_VALUE"""),9.0)</f>
        <v>9</v>
      </c>
      <c r="D453" s="487"/>
      <c r="E453" s="486"/>
      <c r="F453" s="488"/>
      <c r="G453" s="472"/>
      <c r="H453" s="472"/>
      <c r="I453" s="472"/>
      <c r="J453" s="472"/>
      <c r="K453" s="472"/>
      <c r="L453" s="472"/>
      <c r="M453" s="472"/>
      <c r="N453" s="472"/>
      <c r="O453" s="472"/>
      <c r="P453" s="472"/>
      <c r="Q453" s="472"/>
      <c r="R453" s="472"/>
      <c r="S453" s="472"/>
      <c r="T453" s="472"/>
      <c r="U453" s="472"/>
      <c r="V453" s="472"/>
      <c r="W453" s="472"/>
      <c r="X453" s="472"/>
      <c r="Y453" s="472"/>
      <c r="Z453" s="472"/>
      <c r="AA453" s="472"/>
    </row>
    <row r="454" outlineLevel="1">
      <c r="A454" s="484">
        <f>IFERROR(__xludf.DUMMYFUNCTION("""COMPUTED_VALUE"""),8.9488009308E11)</f>
        <v>894880093080</v>
      </c>
      <c r="B454" s="485" t="str">
        <f>IFERROR(__xludf.DUMMYFUNCTION("""COMPUTED_VALUE"""),"MONICA MARIA PAIVA LIMA")</f>
        <v>MONICA MARIA PAIVA LIMA</v>
      </c>
      <c r="C454" s="486">
        <f>IFERROR(__xludf.DUMMYFUNCTION("""COMPUTED_VALUE"""),7.5)</f>
        <v>7.5</v>
      </c>
      <c r="D454" s="487"/>
      <c r="E454" s="486"/>
      <c r="F454" s="488"/>
      <c r="G454" s="472"/>
      <c r="H454" s="472"/>
      <c r="I454" s="472"/>
      <c r="J454" s="472"/>
      <c r="K454" s="472"/>
      <c r="L454" s="472"/>
      <c r="M454" s="472"/>
      <c r="N454" s="472"/>
      <c r="O454" s="472"/>
      <c r="P454" s="472"/>
      <c r="Q454" s="472"/>
      <c r="R454" s="472"/>
      <c r="S454" s="472"/>
      <c r="T454" s="472"/>
      <c r="U454" s="472"/>
      <c r="V454" s="472"/>
      <c r="W454" s="472"/>
      <c r="X454" s="472"/>
      <c r="Y454" s="472"/>
      <c r="Z454" s="472"/>
      <c r="AA454" s="472"/>
    </row>
    <row r="455" outlineLevel="1">
      <c r="A455" s="484">
        <f>IFERROR(__xludf.DUMMYFUNCTION("""COMPUTED_VALUE"""),7.36820091722E11)</f>
        <v>736820091722</v>
      </c>
      <c r="B455" s="485" t="str">
        <f>IFERROR(__xludf.DUMMYFUNCTION("""COMPUTED_VALUE"""),"NATÁLIA LIMA SOUSA")</f>
        <v>NATÁLIA LIMA SOUSA</v>
      </c>
      <c r="C455" s="486">
        <f>IFERROR(__xludf.DUMMYFUNCTION("""COMPUTED_VALUE"""),6.0)</f>
        <v>6</v>
      </c>
      <c r="D455" s="487"/>
      <c r="E455" s="486"/>
      <c r="F455" s="488"/>
      <c r="G455" s="472"/>
      <c r="H455" s="472"/>
      <c r="I455" s="472"/>
      <c r="J455" s="472"/>
      <c r="K455" s="472"/>
      <c r="L455" s="472"/>
      <c r="M455" s="472"/>
      <c r="N455" s="472"/>
      <c r="O455" s="472"/>
      <c r="P455" s="472"/>
      <c r="Q455" s="472"/>
      <c r="R455" s="472"/>
      <c r="S455" s="472"/>
      <c r="T455" s="472"/>
      <c r="U455" s="472"/>
      <c r="V455" s="472"/>
      <c r="W455" s="472"/>
      <c r="X455" s="472"/>
      <c r="Y455" s="472"/>
      <c r="Z455" s="472"/>
      <c r="AA455" s="472"/>
    </row>
    <row r="456" outlineLevel="1">
      <c r="A456" s="484">
        <f>IFERROR(__xludf.DUMMYFUNCTION("""COMPUTED_VALUE"""),6.63710090024E11)</f>
        <v>663710090024</v>
      </c>
      <c r="B456" s="485" t="str">
        <f>IFERROR(__xludf.DUMMYFUNCTION("""COMPUTED_VALUE"""),"LUIS LOPES SOMBRA NETO")</f>
        <v>LUIS LOPES SOMBRA NETO</v>
      </c>
      <c r="C456" s="486">
        <f>IFERROR(__xludf.DUMMYFUNCTION("""COMPUTED_VALUE"""),6.0)</f>
        <v>6</v>
      </c>
      <c r="D456" s="487"/>
      <c r="E456" s="486"/>
      <c r="F456" s="488"/>
      <c r="G456" s="472"/>
      <c r="H456" s="472"/>
      <c r="I456" s="472"/>
      <c r="J456" s="472"/>
      <c r="K456" s="472"/>
      <c r="L456" s="472"/>
      <c r="M456" s="472"/>
      <c r="N456" s="472"/>
      <c r="O456" s="472"/>
      <c r="P456" s="472"/>
      <c r="Q456" s="472"/>
      <c r="R456" s="472"/>
      <c r="S456" s="472"/>
      <c r="T456" s="472"/>
      <c r="U456" s="472"/>
      <c r="V456" s="472"/>
      <c r="W456" s="472"/>
      <c r="X456" s="472"/>
      <c r="Y456" s="472"/>
      <c r="Z456" s="472"/>
      <c r="AA456" s="472"/>
    </row>
    <row r="457" outlineLevel="1">
      <c r="A457" s="484">
        <f>IFERROR(__xludf.DUMMYFUNCTION("""COMPUTED_VALUE"""),6.88060088822E11)</f>
        <v>688060088822</v>
      </c>
      <c r="B457" s="485" t="str">
        <f>IFERROR(__xludf.DUMMYFUNCTION("""COMPUTED_VALUE"""),"DIANA CARLA PEREIRA DA SILVA")</f>
        <v>DIANA CARLA PEREIRA DA SILVA</v>
      </c>
      <c r="C457" s="486">
        <f>IFERROR(__xludf.DUMMYFUNCTION("""COMPUTED_VALUE"""),6.0)</f>
        <v>6</v>
      </c>
      <c r="D457" s="487"/>
      <c r="E457" s="486"/>
      <c r="F457" s="488"/>
      <c r="G457" s="472"/>
      <c r="H457" s="472"/>
      <c r="I457" s="472"/>
      <c r="J457" s="472"/>
      <c r="K457" s="472"/>
      <c r="L457" s="472"/>
      <c r="M457" s="472"/>
      <c r="N457" s="472"/>
      <c r="O457" s="472"/>
      <c r="P457" s="472"/>
      <c r="Q457" s="472"/>
      <c r="R457" s="472"/>
      <c r="S457" s="472"/>
      <c r="T457" s="472"/>
      <c r="U457" s="472"/>
      <c r="V457" s="472"/>
      <c r="W457" s="472"/>
      <c r="X457" s="472"/>
      <c r="Y457" s="472"/>
      <c r="Z457" s="472"/>
      <c r="AA457" s="472"/>
    </row>
    <row r="458">
      <c r="A458" s="478" t="str">
        <f>IFERROR(__xludf.DUMMYFUNCTION("""COMPUTED_VALUE"""),"VI - MES - EDUCAÇÃO PERMANENTE EM SAÚDE")</f>
        <v>VI - MES - EDUCAÇÃO PERMANENTE EM SAÚDE</v>
      </c>
      <c r="B458" s="479"/>
      <c r="C458" s="479"/>
      <c r="D458" s="479"/>
      <c r="E458" s="479"/>
      <c r="F458" s="480"/>
      <c r="G458" s="472"/>
      <c r="H458" s="472"/>
      <c r="I458" s="472"/>
      <c r="J458" s="472"/>
      <c r="K458" s="472"/>
      <c r="L458" s="472"/>
      <c r="M458" s="472"/>
      <c r="N458" s="472"/>
      <c r="O458" s="472"/>
      <c r="P458" s="472"/>
      <c r="Q458" s="472"/>
      <c r="R458" s="472"/>
      <c r="S458" s="472"/>
      <c r="T458" s="472"/>
      <c r="U458" s="472"/>
      <c r="V458" s="472"/>
      <c r="W458" s="472"/>
      <c r="X458" s="472"/>
      <c r="Y458" s="472"/>
      <c r="Z458" s="472"/>
      <c r="AA458" s="472"/>
    </row>
    <row r="459" outlineLevel="1">
      <c r="A459" s="481" t="str">
        <f>IFERROR(__xludf.DUMMYFUNCTION("""COMPUTED_VALUE"""),"INSCRIÇÃO")</f>
        <v>INSCRIÇÃO</v>
      </c>
      <c r="B459" s="482" t="str">
        <f>IFERROR(__xludf.DUMMYFUNCTION("""COMPUTED_VALUE"""),"CANDIDATOS")</f>
        <v>CANDIDATOS</v>
      </c>
      <c r="C459" s="481" t="str">
        <f>IFERROR(__xludf.DUMMYFUNCTION("""COMPUTED_VALUE"""),"NF")</f>
        <v>NF</v>
      </c>
      <c r="D459" s="483" t="str">
        <f>IFERROR(__xludf.DUMMYFUNCTION("""COMPUTED_VALUE"""),"CONVOCADO(A)")</f>
        <v>CONVOCADO(A)</v>
      </c>
      <c r="E459" s="483" t="str">
        <f>IFERROR(__xludf.DUMMYFUNCTION("""COMPUTED_VALUE"""),"HOMOLOGADO(A)")</f>
        <v>HOMOLOGADO(A)</v>
      </c>
      <c r="F459" s="483" t="str">
        <f>IFERROR(__xludf.DUMMYFUNCTION("""COMPUTED_VALUE"""),"GERÊNCIA")</f>
        <v>GERÊNCIA</v>
      </c>
      <c r="G459" s="472"/>
      <c r="H459" s="472"/>
      <c r="I459" s="472"/>
      <c r="J459" s="472"/>
      <c r="K459" s="472"/>
      <c r="L459" s="472"/>
      <c r="M459" s="472"/>
      <c r="N459" s="472"/>
      <c r="O459" s="472"/>
      <c r="P459" s="472"/>
      <c r="Q459" s="472"/>
      <c r="R459" s="472"/>
      <c r="S459" s="472"/>
      <c r="T459" s="472"/>
      <c r="U459" s="472"/>
      <c r="V459" s="472"/>
      <c r="W459" s="472"/>
      <c r="X459" s="472"/>
      <c r="Y459" s="472"/>
      <c r="Z459" s="472"/>
      <c r="AA459" s="472"/>
    </row>
    <row r="460" outlineLevel="1">
      <c r="A460" s="484">
        <f>IFERROR(__xludf.DUMMYFUNCTION("""COMPUTED_VALUE"""),1.92623089489E11)</f>
        <v>192623089489</v>
      </c>
      <c r="B460" s="485" t="str">
        <f>IFERROR(__xludf.DUMMYFUNCTION("""COMPUTED_VALUE"""),"JOSETE MALHEIRO TAVARES")</f>
        <v>JOSETE MALHEIRO TAVARES</v>
      </c>
      <c r="C460" s="486">
        <f>IFERROR(__xludf.DUMMYFUNCTION("""COMPUTED_VALUE"""),10.0)</f>
        <v>10</v>
      </c>
      <c r="D460" s="487" t="str">
        <f>IFERROR(__xludf.DUMMYFUNCTION("""COMPUTED_VALUE"""),"SIM")</f>
        <v>SIM</v>
      </c>
      <c r="E460" s="486" t="str">
        <f>IFERROR(__xludf.DUMMYFUNCTION("""COMPUTED_VALUE"""),"NÃO")</f>
        <v>NÃO</v>
      </c>
      <c r="F460" s="486" t="str">
        <f>IFERROR(__xludf.DUMMYFUNCTION("""COMPUTED_VALUE"""),"GEDUC")</f>
        <v>GEDUC</v>
      </c>
      <c r="G460" s="472"/>
      <c r="H460" s="472"/>
      <c r="I460" s="472"/>
      <c r="J460" s="472"/>
      <c r="K460" s="472"/>
      <c r="L460" s="472"/>
      <c r="M460" s="472"/>
      <c r="N460" s="472"/>
      <c r="O460" s="472"/>
      <c r="P460" s="472"/>
      <c r="Q460" s="472"/>
      <c r="R460" s="472"/>
      <c r="S460" s="472"/>
      <c r="T460" s="472"/>
      <c r="U460" s="472"/>
      <c r="V460" s="472"/>
      <c r="W460" s="472"/>
      <c r="X460" s="472"/>
      <c r="Y460" s="472"/>
      <c r="Z460" s="472"/>
      <c r="AA460" s="472"/>
    </row>
    <row r="461" outlineLevel="1">
      <c r="A461" s="484">
        <f>IFERROR(__xludf.DUMMYFUNCTION("""COMPUTED_VALUE"""),4.56033090465E11)</f>
        <v>456033090465</v>
      </c>
      <c r="B461" s="485" t="str">
        <f>IFERROR(__xludf.DUMMYFUNCTION("""COMPUTED_VALUE"""),"MARIA JOSE GALDINO SARAIVA")</f>
        <v>MARIA JOSE GALDINO SARAIVA</v>
      </c>
      <c r="C461" s="486">
        <f>IFERROR(__xludf.DUMMYFUNCTION("""COMPUTED_VALUE"""),10.0)</f>
        <v>10</v>
      </c>
      <c r="D461" s="487" t="str">
        <f>IFERROR(__xludf.DUMMYFUNCTION("""COMPUTED_VALUE"""),"SIM")</f>
        <v>SIM</v>
      </c>
      <c r="E461" s="486" t="str">
        <f>IFERROR(__xludf.DUMMYFUNCTION("""COMPUTED_VALUE"""),"SIM")</f>
        <v>SIM</v>
      </c>
      <c r="F461" s="486" t="str">
        <f>IFERROR(__xludf.DUMMYFUNCTION("""COMPUTED_VALUE"""),"GEDUC")</f>
        <v>GEDUC</v>
      </c>
      <c r="G461" s="472"/>
      <c r="H461" s="472"/>
      <c r="I461" s="472"/>
      <c r="J461" s="472"/>
      <c r="K461" s="472"/>
      <c r="L461" s="472"/>
      <c r="M461" s="472"/>
      <c r="N461" s="472"/>
      <c r="O461" s="472"/>
      <c r="P461" s="472"/>
      <c r="Q461" s="472"/>
      <c r="R461" s="472"/>
      <c r="S461" s="472"/>
      <c r="T461" s="472"/>
      <c r="U461" s="472"/>
      <c r="V461" s="472"/>
      <c r="W461" s="472"/>
      <c r="X461" s="472"/>
      <c r="Y461" s="472"/>
      <c r="Z461" s="472"/>
      <c r="AA461" s="472"/>
    </row>
    <row r="462" outlineLevel="1">
      <c r="A462" s="484">
        <f>IFERROR(__xludf.DUMMYFUNCTION("""COMPUTED_VALUE"""),5.60037092644E11)</f>
        <v>560037092644</v>
      </c>
      <c r="B462" s="485" t="str">
        <f>IFERROR(__xludf.DUMMYFUNCTION("""COMPUTED_VALUE"""),"MARIA IRACEMA CAPISTRANO BEZERRA")</f>
        <v>MARIA IRACEMA CAPISTRANO BEZERRA</v>
      </c>
      <c r="C462" s="486">
        <f>IFERROR(__xludf.DUMMYFUNCTION("""COMPUTED_VALUE"""),10.0)</f>
        <v>10</v>
      </c>
      <c r="D462" s="487" t="str">
        <f>IFERROR(__xludf.DUMMYFUNCTION("""COMPUTED_VALUE"""),"SIM")</f>
        <v>SIM</v>
      </c>
      <c r="E462" s="486" t="str">
        <f>IFERROR(__xludf.DUMMYFUNCTION("""COMPUTED_VALUE"""),"POSTERGOU")</f>
        <v>POSTERGOU</v>
      </c>
      <c r="F462" s="486" t="str">
        <f>IFERROR(__xludf.DUMMYFUNCTION("""COMPUTED_VALUE"""),"GEDUC")</f>
        <v>GEDUC</v>
      </c>
      <c r="G462" s="472"/>
      <c r="H462" s="472"/>
      <c r="I462" s="472"/>
      <c r="J462" s="472"/>
      <c r="K462" s="472"/>
      <c r="L462" s="472"/>
      <c r="M462" s="472"/>
      <c r="N462" s="472"/>
      <c r="O462" s="472"/>
      <c r="P462" s="472"/>
      <c r="Q462" s="472"/>
      <c r="R462" s="472"/>
      <c r="S462" s="472"/>
      <c r="T462" s="472"/>
      <c r="U462" s="472"/>
      <c r="V462" s="472"/>
      <c r="W462" s="472"/>
      <c r="X462" s="472"/>
      <c r="Y462" s="472"/>
      <c r="Z462" s="472"/>
      <c r="AA462" s="472"/>
    </row>
    <row r="463" outlineLevel="1">
      <c r="A463" s="484">
        <f>IFERROR(__xludf.DUMMYFUNCTION("""COMPUTED_VALUE"""),2.69509092908E11)</f>
        <v>269509092908</v>
      </c>
      <c r="B463" s="485" t="str">
        <f>IFERROR(__xludf.DUMMYFUNCTION("""COMPUTED_VALUE"""),"ANA PAULA AGOSTINHO ALENCAR")</f>
        <v>ANA PAULA AGOSTINHO ALENCAR</v>
      </c>
      <c r="C463" s="486">
        <f>IFERROR(__xludf.DUMMYFUNCTION("""COMPUTED_VALUE"""),10.0)</f>
        <v>10</v>
      </c>
      <c r="D463" s="487" t="str">
        <f>IFERROR(__xludf.DUMMYFUNCTION("""COMPUTED_VALUE"""),"SIM")</f>
        <v>SIM</v>
      </c>
      <c r="E463" s="486" t="str">
        <f>IFERROR(__xludf.DUMMYFUNCTION("""COMPUTED_VALUE"""),"SIM")</f>
        <v>SIM</v>
      </c>
      <c r="F463" s="486" t="str">
        <f>IFERROR(__xludf.DUMMYFUNCTION("""COMPUTED_VALUE"""),"GEDUC")</f>
        <v>GEDUC</v>
      </c>
      <c r="G463" s="472"/>
      <c r="H463" s="472"/>
      <c r="I463" s="472"/>
      <c r="J463" s="472"/>
      <c r="K463" s="472"/>
      <c r="L463" s="472"/>
      <c r="M463" s="472"/>
      <c r="N463" s="472"/>
      <c r="O463" s="472"/>
      <c r="P463" s="472"/>
      <c r="Q463" s="472"/>
      <c r="R463" s="472"/>
      <c r="S463" s="472"/>
      <c r="T463" s="472"/>
      <c r="U463" s="472"/>
      <c r="V463" s="472"/>
      <c r="W463" s="472"/>
      <c r="X463" s="472"/>
      <c r="Y463" s="472"/>
      <c r="Z463" s="472"/>
      <c r="AA463" s="472"/>
    </row>
    <row r="464" outlineLevel="1">
      <c r="A464" s="494">
        <f>IFERROR(__xludf.DUMMYFUNCTION("""COMPUTED_VALUE"""),4.6979091479E10)</f>
        <v>46979091479</v>
      </c>
      <c r="B464" s="485" t="str">
        <f>IFERROR(__xludf.DUMMYFUNCTION("""COMPUTED_VALUE"""),"SARAH LIMA VERDE DA SILVA")</f>
        <v>SARAH LIMA VERDE DA SILVA</v>
      </c>
      <c r="C464" s="486">
        <f>IFERROR(__xludf.DUMMYFUNCTION("""COMPUTED_VALUE"""),10.0)</f>
        <v>10</v>
      </c>
      <c r="D464" s="487" t="str">
        <f>IFERROR(__xludf.DUMMYFUNCTION("""COMPUTED_VALUE"""),"SIM")</f>
        <v>SIM</v>
      </c>
      <c r="E464" s="486" t="str">
        <f>IFERROR(__xludf.DUMMYFUNCTION("""COMPUTED_VALUE"""),"SIM")</f>
        <v>SIM</v>
      </c>
      <c r="F464" s="486" t="str">
        <f>IFERROR(__xludf.DUMMYFUNCTION("""COMPUTED_VALUE"""),"GEDUC")</f>
        <v>GEDUC</v>
      </c>
      <c r="G464" s="472"/>
      <c r="H464" s="472"/>
      <c r="I464" s="472"/>
      <c r="J464" s="472"/>
      <c r="K464" s="472"/>
      <c r="L464" s="472"/>
      <c r="M464" s="472"/>
      <c r="N464" s="472"/>
      <c r="O464" s="472"/>
      <c r="P464" s="472"/>
      <c r="Q464" s="472"/>
      <c r="R464" s="472"/>
      <c r="S464" s="472"/>
      <c r="T464" s="472"/>
      <c r="U464" s="472"/>
      <c r="V464" s="472"/>
      <c r="W464" s="472"/>
      <c r="X464" s="472"/>
      <c r="Y464" s="472"/>
      <c r="Z464" s="472"/>
      <c r="AA464" s="472"/>
    </row>
    <row r="465" outlineLevel="1">
      <c r="A465" s="484">
        <f>IFERROR(__xludf.DUMMYFUNCTION("""COMPUTED_VALUE"""),8.73400090085E11)</f>
        <v>873400090085</v>
      </c>
      <c r="B465" s="485" t="str">
        <f>IFERROR(__xludf.DUMMYFUNCTION("""COMPUTED_VALUE"""),"LILIAN FERNANDES AMARANTE")</f>
        <v>LILIAN FERNANDES AMARANTE</v>
      </c>
      <c r="C465" s="486">
        <f>IFERROR(__xludf.DUMMYFUNCTION("""COMPUTED_VALUE"""),10.0)</f>
        <v>10</v>
      </c>
      <c r="D465" s="487" t="str">
        <f>IFERROR(__xludf.DUMMYFUNCTION("""COMPUTED_VALUE"""),"SIM")</f>
        <v>SIM</v>
      </c>
      <c r="E465" s="486" t="str">
        <f>IFERROR(__xludf.DUMMYFUNCTION("""COMPUTED_VALUE"""),"SIM")</f>
        <v>SIM</v>
      </c>
      <c r="F465" s="486" t="str">
        <f>IFERROR(__xludf.DUMMYFUNCTION("""COMPUTED_VALUE"""),"GEDUC")</f>
        <v>GEDUC</v>
      </c>
      <c r="G465" s="472"/>
      <c r="H465" s="472"/>
      <c r="I465" s="472"/>
      <c r="J465" s="472"/>
      <c r="K465" s="472"/>
      <c r="L465" s="472"/>
      <c r="M465" s="472"/>
      <c r="N465" s="472"/>
      <c r="O465" s="472"/>
      <c r="P465" s="472"/>
      <c r="Q465" s="472"/>
      <c r="R465" s="472"/>
      <c r="S465" s="472"/>
      <c r="T465" s="472"/>
      <c r="U465" s="472"/>
      <c r="V465" s="472"/>
      <c r="W465" s="472"/>
      <c r="X465" s="472"/>
      <c r="Y465" s="472"/>
      <c r="Z465" s="472"/>
      <c r="AA465" s="472"/>
    </row>
    <row r="466" outlineLevel="1">
      <c r="A466" s="484">
        <f>IFERROR(__xludf.DUMMYFUNCTION("""COMPUTED_VALUE"""),3.57710092596E11)</f>
        <v>357710092596</v>
      </c>
      <c r="B466" s="485" t="str">
        <f>IFERROR(__xludf.DUMMYFUNCTION("""COMPUTED_VALUE"""),"SAULO DA SILVA DIÓGENES")</f>
        <v>SAULO DA SILVA DIÓGENES</v>
      </c>
      <c r="C466" s="486">
        <f>IFERROR(__xludf.DUMMYFUNCTION("""COMPUTED_VALUE"""),10.0)</f>
        <v>10</v>
      </c>
      <c r="D466" s="487" t="str">
        <f>IFERROR(__xludf.DUMMYFUNCTION("""COMPUTED_VALUE"""),"SIM")</f>
        <v>SIM</v>
      </c>
      <c r="E466" s="486" t="str">
        <f>IFERROR(__xludf.DUMMYFUNCTION("""COMPUTED_VALUE"""),"NÃO")</f>
        <v>NÃO</v>
      </c>
      <c r="F466" s="486" t="str">
        <f>IFERROR(__xludf.DUMMYFUNCTION("""COMPUTED_VALUE"""),"GEDUC")</f>
        <v>GEDUC</v>
      </c>
      <c r="G466" s="472"/>
      <c r="H466" s="472"/>
      <c r="I466" s="472"/>
      <c r="J466" s="472"/>
      <c r="K466" s="472"/>
      <c r="L466" s="472"/>
      <c r="M466" s="472"/>
      <c r="N466" s="472"/>
      <c r="O466" s="472"/>
      <c r="P466" s="472"/>
      <c r="Q466" s="472"/>
      <c r="R466" s="472"/>
      <c r="S466" s="472"/>
      <c r="T466" s="472"/>
      <c r="U466" s="472"/>
      <c r="V466" s="472"/>
      <c r="W466" s="472"/>
      <c r="X466" s="472"/>
      <c r="Y466" s="472"/>
      <c r="Z466" s="472"/>
      <c r="AA466" s="472"/>
    </row>
    <row r="467" outlineLevel="1">
      <c r="A467" s="484">
        <f>IFERROR(__xludf.DUMMYFUNCTION("""COMPUTED_VALUE"""),4.20200090393E11)</f>
        <v>420200090393</v>
      </c>
      <c r="B467" s="485" t="str">
        <f>IFERROR(__xludf.DUMMYFUNCTION("""COMPUTED_VALUE"""),"ROSIMARY DA SILVA BARBOSA")</f>
        <v>ROSIMARY DA SILVA BARBOSA</v>
      </c>
      <c r="C467" s="486">
        <f>IFERROR(__xludf.DUMMYFUNCTION("""COMPUTED_VALUE"""),10.0)</f>
        <v>10</v>
      </c>
      <c r="D467" s="487" t="str">
        <f>IFERROR(__xludf.DUMMYFUNCTION("""COMPUTED_VALUE"""),"SIM")</f>
        <v>SIM</v>
      </c>
      <c r="E467" s="486" t="str">
        <f>IFERROR(__xludf.DUMMYFUNCTION("""COMPUTED_VALUE"""),"SIM")</f>
        <v>SIM</v>
      </c>
      <c r="F467" s="486" t="str">
        <f>IFERROR(__xludf.DUMMYFUNCTION("""COMPUTED_VALUE"""),"GEDUC")</f>
        <v>GEDUC</v>
      </c>
      <c r="G467" s="472"/>
      <c r="H467" s="472"/>
      <c r="I467" s="472"/>
      <c r="J467" s="472"/>
      <c r="K467" s="472"/>
      <c r="L467" s="472"/>
      <c r="M467" s="472"/>
      <c r="N467" s="472"/>
      <c r="O467" s="472"/>
      <c r="P467" s="472"/>
      <c r="Q467" s="472"/>
      <c r="R467" s="472"/>
      <c r="S467" s="472"/>
      <c r="T467" s="472"/>
      <c r="U467" s="472"/>
      <c r="V467" s="472"/>
      <c r="W467" s="472"/>
      <c r="X467" s="472"/>
      <c r="Y467" s="472"/>
      <c r="Z467" s="472"/>
      <c r="AA467" s="472"/>
    </row>
    <row r="468" outlineLevel="1">
      <c r="A468" s="484">
        <f>IFERROR(__xludf.DUMMYFUNCTION("""COMPUTED_VALUE"""),4.72520090304E11)</f>
        <v>472520090304</v>
      </c>
      <c r="B468" s="485" t="str">
        <f>IFERROR(__xludf.DUMMYFUNCTION("""COMPUTED_VALUE"""),"ROCHELLY MOURA SARMENTO")</f>
        <v>ROCHELLY MOURA SARMENTO</v>
      </c>
      <c r="C468" s="486">
        <f>IFERROR(__xludf.DUMMYFUNCTION("""COMPUTED_VALUE"""),10.0)</f>
        <v>10</v>
      </c>
      <c r="D468" s="487" t="str">
        <f>IFERROR(__xludf.DUMMYFUNCTION("""COMPUTED_VALUE"""),"SIM")</f>
        <v>SIM</v>
      </c>
      <c r="E468" s="486" t="str">
        <f>IFERROR(__xludf.DUMMYFUNCTION("""COMPUTED_VALUE"""),"SIM")</f>
        <v>SIM</v>
      </c>
      <c r="F468" s="486" t="str">
        <f>IFERROR(__xludf.DUMMYFUNCTION("""COMPUTED_VALUE"""),"GEDUC")</f>
        <v>GEDUC</v>
      </c>
      <c r="G468" s="472"/>
      <c r="H468" s="472"/>
      <c r="I468" s="472"/>
      <c r="J468" s="472"/>
      <c r="K468" s="472"/>
      <c r="L468" s="472"/>
      <c r="M468" s="472"/>
      <c r="N468" s="472"/>
      <c r="O468" s="472"/>
      <c r="P468" s="472"/>
      <c r="Q468" s="472"/>
      <c r="R468" s="472"/>
      <c r="S468" s="472"/>
      <c r="T468" s="472"/>
      <c r="U468" s="472"/>
      <c r="V468" s="472"/>
      <c r="W468" s="472"/>
      <c r="X468" s="472"/>
      <c r="Y468" s="472"/>
      <c r="Z468" s="472"/>
      <c r="AA468" s="472"/>
    </row>
    <row r="469" outlineLevel="1">
      <c r="A469" s="484">
        <f>IFERROR(__xludf.DUMMYFUNCTION("""COMPUTED_VALUE"""),6.63710090025E11)</f>
        <v>663710090025</v>
      </c>
      <c r="B469" s="485" t="str">
        <f>IFERROR(__xludf.DUMMYFUNCTION("""COMPUTED_VALUE"""),"LUIS LOPES SOMBRA NETO")</f>
        <v>LUIS LOPES SOMBRA NETO</v>
      </c>
      <c r="C469" s="486">
        <f>IFERROR(__xludf.DUMMYFUNCTION("""COMPUTED_VALUE"""),10.0)</f>
        <v>10</v>
      </c>
      <c r="D469" s="487" t="str">
        <f>IFERROR(__xludf.DUMMYFUNCTION("""COMPUTED_VALUE"""),"SIM")</f>
        <v>SIM</v>
      </c>
      <c r="E469" s="486" t="str">
        <f>IFERROR(__xludf.DUMMYFUNCTION("""COMPUTED_VALUE"""),"NÃO")</f>
        <v>NÃO</v>
      </c>
      <c r="F469" s="486" t="str">
        <f>IFERROR(__xludf.DUMMYFUNCTION("""COMPUTED_VALUE"""),"GEDUC")</f>
        <v>GEDUC</v>
      </c>
      <c r="G469" s="472"/>
      <c r="H469" s="472"/>
      <c r="I469" s="472"/>
      <c r="J469" s="472"/>
      <c r="K469" s="472"/>
      <c r="L469" s="472"/>
      <c r="M469" s="472"/>
      <c r="N469" s="472"/>
      <c r="O469" s="472"/>
      <c r="P469" s="472"/>
      <c r="Q469" s="472"/>
      <c r="R469" s="472"/>
      <c r="S469" s="472"/>
      <c r="T469" s="472"/>
      <c r="U469" s="472"/>
      <c r="V469" s="472"/>
      <c r="W469" s="472"/>
      <c r="X469" s="472"/>
      <c r="Y469" s="472"/>
      <c r="Z469" s="472"/>
      <c r="AA469" s="472"/>
    </row>
    <row r="470" outlineLevel="1">
      <c r="A470" s="484">
        <f>IFERROR(__xludf.DUMMYFUNCTION("""COMPUTED_VALUE"""),5.53840090762E11)</f>
        <v>553840090762</v>
      </c>
      <c r="B470" s="485" t="str">
        <f>IFERROR(__xludf.DUMMYFUNCTION("""COMPUTED_VALUE"""),"EDINEY LINHARES DA SILVA")</f>
        <v>EDINEY LINHARES DA SILVA</v>
      </c>
      <c r="C470" s="486">
        <f>IFERROR(__xludf.DUMMYFUNCTION("""COMPUTED_VALUE"""),10.0)</f>
        <v>10</v>
      </c>
      <c r="D470" s="487" t="str">
        <f>IFERROR(__xludf.DUMMYFUNCTION("""COMPUTED_VALUE"""),"SIM")</f>
        <v>SIM</v>
      </c>
      <c r="E470" s="486" t="str">
        <f>IFERROR(__xludf.DUMMYFUNCTION("""COMPUTED_VALUE"""),"SIM")</f>
        <v>SIM</v>
      </c>
      <c r="F470" s="486" t="str">
        <f>IFERROR(__xludf.DUMMYFUNCTION("""COMPUTED_VALUE"""),"GEDUC")</f>
        <v>GEDUC</v>
      </c>
      <c r="G470" s="472"/>
      <c r="H470" s="472"/>
      <c r="I470" s="472"/>
      <c r="J470" s="472"/>
      <c r="K470" s="472"/>
      <c r="L470" s="472"/>
      <c r="M470" s="472"/>
      <c r="N470" s="472"/>
      <c r="O470" s="472"/>
      <c r="P470" s="472"/>
      <c r="Q470" s="472"/>
      <c r="R470" s="472"/>
      <c r="S470" s="472"/>
      <c r="T470" s="472"/>
      <c r="U470" s="472"/>
      <c r="V470" s="472"/>
      <c r="W470" s="472"/>
      <c r="X470" s="472"/>
      <c r="Y470" s="472"/>
      <c r="Z470" s="472"/>
      <c r="AA470" s="472"/>
    </row>
    <row r="471" outlineLevel="1">
      <c r="A471" s="494">
        <f>IFERROR(__xludf.DUMMYFUNCTION("""COMPUTED_VALUE"""),5.2410091465E10)</f>
        <v>52410091465</v>
      </c>
      <c r="B471" s="485" t="str">
        <f>IFERROR(__xludf.DUMMYFUNCTION("""COMPUTED_VALUE"""),"JOSE LUIS PAIVA DE MENDONÇA FERREIRA")</f>
        <v>JOSE LUIS PAIVA DE MENDONÇA FERREIRA</v>
      </c>
      <c r="C471" s="486">
        <f>IFERROR(__xludf.DUMMYFUNCTION("""COMPUTED_VALUE"""),10.0)</f>
        <v>10</v>
      </c>
      <c r="D471" s="487" t="str">
        <f>IFERROR(__xludf.DUMMYFUNCTION("""COMPUTED_VALUE"""),"SIM")</f>
        <v>SIM</v>
      </c>
      <c r="E471" s="486" t="str">
        <f>IFERROR(__xludf.DUMMYFUNCTION("""COMPUTED_VALUE"""),"SIM")</f>
        <v>SIM</v>
      </c>
      <c r="F471" s="486" t="str">
        <f>IFERROR(__xludf.DUMMYFUNCTION("""COMPUTED_VALUE"""),"GEDUC")</f>
        <v>GEDUC</v>
      </c>
      <c r="G471" s="472"/>
      <c r="H471" s="472"/>
      <c r="I471" s="472"/>
      <c r="J471" s="472"/>
      <c r="K471" s="472"/>
      <c r="L471" s="472"/>
      <c r="M471" s="472"/>
      <c r="N471" s="472"/>
      <c r="O471" s="472"/>
      <c r="P471" s="472"/>
      <c r="Q471" s="472"/>
      <c r="R471" s="472"/>
      <c r="S471" s="472"/>
      <c r="T471" s="472"/>
      <c r="U471" s="472"/>
      <c r="V471" s="472"/>
      <c r="W471" s="472"/>
      <c r="X471" s="472"/>
      <c r="Y471" s="472"/>
      <c r="Z471" s="472"/>
      <c r="AA471" s="472"/>
    </row>
    <row r="472" outlineLevel="1">
      <c r="A472" s="484">
        <f>IFERROR(__xludf.DUMMYFUNCTION("""COMPUTED_VALUE"""),9.8514009347E11)</f>
        <v>985140093470</v>
      </c>
      <c r="B472" s="485" t="str">
        <f>IFERROR(__xludf.DUMMYFUNCTION("""COMPUTED_VALUE"""),"JOANA DAYSE DA ROCHA PORTELA ANDRADE")</f>
        <v>JOANA DAYSE DA ROCHA PORTELA ANDRADE</v>
      </c>
      <c r="C472" s="486">
        <f>IFERROR(__xludf.DUMMYFUNCTION("""COMPUTED_VALUE"""),10.0)</f>
        <v>10</v>
      </c>
      <c r="D472" s="487" t="str">
        <f>IFERROR(__xludf.DUMMYFUNCTION("""COMPUTED_VALUE"""),"SIM")</f>
        <v>SIM</v>
      </c>
      <c r="E472" s="486" t="str">
        <f>IFERROR(__xludf.DUMMYFUNCTION("""COMPUTED_VALUE"""),"SIM")</f>
        <v>SIM</v>
      </c>
      <c r="F472" s="486" t="str">
        <f>IFERROR(__xludf.DUMMYFUNCTION("""COMPUTED_VALUE"""),"GEDUC")</f>
        <v>GEDUC</v>
      </c>
      <c r="G472" s="472"/>
      <c r="H472" s="472"/>
      <c r="I472" s="472"/>
      <c r="J472" s="472"/>
      <c r="K472" s="472"/>
      <c r="L472" s="472"/>
      <c r="M472" s="472"/>
      <c r="N472" s="472"/>
      <c r="O472" s="472"/>
      <c r="P472" s="472"/>
      <c r="Q472" s="472"/>
      <c r="R472" s="472"/>
      <c r="S472" s="472"/>
      <c r="T472" s="472"/>
      <c r="U472" s="472"/>
      <c r="V472" s="472"/>
      <c r="W472" s="472"/>
      <c r="X472" s="472"/>
      <c r="Y472" s="472"/>
      <c r="Z472" s="472"/>
      <c r="AA472" s="472"/>
    </row>
    <row r="473" outlineLevel="1">
      <c r="A473" s="484">
        <f>IFERROR(__xludf.DUMMYFUNCTION("""COMPUTED_VALUE"""),7.04260090893E11)</f>
        <v>704260090893</v>
      </c>
      <c r="B473" s="485" t="str">
        <f>IFERROR(__xludf.DUMMYFUNCTION("""COMPUTED_VALUE"""),"FRANCISCO THIAGO PAIVA MONTE")</f>
        <v>FRANCISCO THIAGO PAIVA MONTE</v>
      </c>
      <c r="C473" s="486">
        <f>IFERROR(__xludf.DUMMYFUNCTION("""COMPUTED_VALUE"""),10.0)</f>
        <v>10</v>
      </c>
      <c r="D473" s="487" t="str">
        <f>IFERROR(__xludf.DUMMYFUNCTION("""COMPUTED_VALUE"""),"SIM")</f>
        <v>SIM</v>
      </c>
      <c r="E473" s="486" t="str">
        <f>IFERROR(__xludf.DUMMYFUNCTION("""COMPUTED_VALUE"""),"NÃO")</f>
        <v>NÃO</v>
      </c>
      <c r="F473" s="486" t="str">
        <f>IFERROR(__xludf.DUMMYFUNCTION("""COMPUTED_VALUE"""),"GEDUC")</f>
        <v>GEDUC</v>
      </c>
      <c r="G473" s="472"/>
      <c r="H473" s="472"/>
      <c r="I473" s="472"/>
      <c r="J473" s="472"/>
      <c r="K473" s="472"/>
      <c r="L473" s="472"/>
      <c r="M473" s="472"/>
      <c r="N473" s="472"/>
      <c r="O473" s="472"/>
      <c r="P473" s="472"/>
      <c r="Q473" s="472"/>
      <c r="R473" s="472"/>
      <c r="S473" s="472"/>
      <c r="T473" s="472"/>
      <c r="U473" s="472"/>
      <c r="V473" s="472"/>
      <c r="W473" s="472"/>
      <c r="X473" s="472"/>
      <c r="Y473" s="472"/>
      <c r="Z473" s="472"/>
      <c r="AA473" s="472"/>
    </row>
    <row r="474" outlineLevel="1">
      <c r="A474" s="484">
        <f>IFERROR(__xludf.DUMMYFUNCTION("""COMPUTED_VALUE"""),8.93390093189E11)</f>
        <v>893390093189</v>
      </c>
      <c r="B474" s="485" t="str">
        <f>IFERROR(__xludf.DUMMYFUNCTION("""COMPUTED_VALUE"""),"JEAN CARLOS SOUZA SILVA")</f>
        <v>JEAN CARLOS SOUZA SILVA</v>
      </c>
      <c r="C474" s="486">
        <f>IFERROR(__xludf.DUMMYFUNCTION("""COMPUTED_VALUE"""),10.0)</f>
        <v>10</v>
      </c>
      <c r="D474" s="487" t="str">
        <f>IFERROR(__xludf.DUMMYFUNCTION("""COMPUTED_VALUE"""),"SIM")</f>
        <v>SIM</v>
      </c>
      <c r="E474" s="486" t="str">
        <f>IFERROR(__xludf.DUMMYFUNCTION("""COMPUTED_VALUE"""),"SIM")</f>
        <v>SIM</v>
      </c>
      <c r="F474" s="486" t="str">
        <f>IFERROR(__xludf.DUMMYFUNCTION("""COMPUTED_VALUE"""),"GEDUC")</f>
        <v>GEDUC</v>
      </c>
      <c r="G474" s="472"/>
      <c r="H474" s="472"/>
      <c r="I474" s="472"/>
      <c r="J474" s="472"/>
      <c r="K474" s="472"/>
      <c r="L474" s="472"/>
      <c r="M474" s="472"/>
      <c r="N474" s="472"/>
      <c r="O474" s="472"/>
      <c r="P474" s="472"/>
      <c r="Q474" s="472"/>
      <c r="R474" s="472"/>
      <c r="S474" s="472"/>
      <c r="T474" s="472"/>
      <c r="U474" s="472"/>
      <c r="V474" s="472"/>
      <c r="W474" s="472"/>
      <c r="X474" s="472"/>
      <c r="Y474" s="472"/>
      <c r="Z474" s="472"/>
      <c r="AA474" s="472"/>
    </row>
    <row r="475" outlineLevel="1">
      <c r="A475" s="494">
        <f>IFERROR(__xludf.DUMMYFUNCTION("""COMPUTED_VALUE"""),5.9288090034E10)</f>
        <v>59288090034</v>
      </c>
      <c r="B475" s="485" t="str">
        <f>IFERROR(__xludf.DUMMYFUNCTION("""COMPUTED_VALUE"""),"KERLEY MENEZES SILVA PRATA")</f>
        <v>KERLEY MENEZES SILVA PRATA</v>
      </c>
      <c r="C475" s="486">
        <f>IFERROR(__xludf.DUMMYFUNCTION("""COMPUTED_VALUE"""),9.5)</f>
        <v>9.5</v>
      </c>
      <c r="D475" s="487" t="str">
        <f>IFERROR(__xludf.DUMMYFUNCTION("""COMPUTED_VALUE"""),"SIM")</f>
        <v>SIM</v>
      </c>
      <c r="E475" s="486" t="str">
        <f>IFERROR(__xludf.DUMMYFUNCTION("""COMPUTED_VALUE"""),"SIM")</f>
        <v>SIM</v>
      </c>
      <c r="F475" s="486" t="str">
        <f>IFERROR(__xludf.DUMMYFUNCTION("""COMPUTED_VALUE"""),"GEDUC")</f>
        <v>GEDUC</v>
      </c>
      <c r="G475" s="472"/>
      <c r="H475" s="472"/>
      <c r="I475" s="472"/>
      <c r="J475" s="472"/>
      <c r="K475" s="472"/>
      <c r="L475" s="472"/>
      <c r="M475" s="472"/>
      <c r="N475" s="472"/>
      <c r="O475" s="472"/>
      <c r="P475" s="472"/>
      <c r="Q475" s="472"/>
      <c r="R475" s="472"/>
      <c r="S475" s="472"/>
      <c r="T475" s="472"/>
      <c r="U475" s="472"/>
      <c r="V475" s="472"/>
      <c r="W475" s="472"/>
      <c r="X475" s="472"/>
      <c r="Y475" s="472"/>
      <c r="Z475" s="472"/>
      <c r="AA475" s="472"/>
    </row>
    <row r="476" outlineLevel="1">
      <c r="A476" s="484">
        <f>IFERROR(__xludf.DUMMYFUNCTION("""COMPUTED_VALUE"""),9.37300090705E11)</f>
        <v>937300090705</v>
      </c>
      <c r="B476" s="485" t="str">
        <f>IFERROR(__xludf.DUMMYFUNCTION("""COMPUTED_VALUE"""),"MAYANA DE AZEVEDO DANTAS")</f>
        <v>MAYANA DE AZEVEDO DANTAS</v>
      </c>
      <c r="C476" s="486">
        <f>IFERROR(__xludf.DUMMYFUNCTION("""COMPUTED_VALUE"""),9.5)</f>
        <v>9.5</v>
      </c>
      <c r="D476" s="487" t="str">
        <f>IFERROR(__xludf.DUMMYFUNCTION("""COMPUTED_VALUE"""),"SIM")</f>
        <v>SIM</v>
      </c>
      <c r="E476" s="486" t="str">
        <f>IFERROR(__xludf.DUMMYFUNCTION("""COMPUTED_VALUE"""),"SIM")</f>
        <v>SIM</v>
      </c>
      <c r="F476" s="486" t="str">
        <f>IFERROR(__xludf.DUMMYFUNCTION("""COMPUTED_VALUE"""),"GEDUC")</f>
        <v>GEDUC</v>
      </c>
      <c r="G476" s="472"/>
      <c r="H476" s="472"/>
      <c r="I476" s="472"/>
      <c r="J476" s="472"/>
      <c r="K476" s="472"/>
      <c r="L476" s="472"/>
      <c r="M476" s="472"/>
      <c r="N476" s="472"/>
      <c r="O476" s="472"/>
      <c r="P476" s="472"/>
      <c r="Q476" s="472"/>
      <c r="R476" s="472"/>
      <c r="S476" s="472"/>
      <c r="T476" s="472"/>
      <c r="U476" s="472"/>
      <c r="V476" s="472"/>
      <c r="W476" s="472"/>
      <c r="X476" s="472"/>
      <c r="Y476" s="472"/>
      <c r="Z476" s="472"/>
      <c r="AA476" s="472"/>
    </row>
    <row r="477" outlineLevel="1">
      <c r="A477" s="484">
        <f>IFERROR(__xludf.DUMMYFUNCTION("""COMPUTED_VALUE"""),6.912400916E11)</f>
        <v>691240091600</v>
      </c>
      <c r="B477" s="485" t="str">
        <f>IFERROR(__xludf.DUMMYFUNCTION("""COMPUTED_VALUE"""),"RAFAEL BEZERRA DUARTE")</f>
        <v>RAFAEL BEZERRA DUARTE</v>
      </c>
      <c r="C477" s="486">
        <f>IFERROR(__xludf.DUMMYFUNCTION("""COMPUTED_VALUE"""),9.5)</f>
        <v>9.5</v>
      </c>
      <c r="D477" s="487"/>
      <c r="E477" s="486"/>
      <c r="F477" s="486"/>
      <c r="G477" s="472"/>
      <c r="H477" s="472"/>
      <c r="I477" s="472"/>
      <c r="J477" s="472"/>
      <c r="K477" s="472"/>
      <c r="L477" s="472"/>
      <c r="M477" s="472"/>
      <c r="N477" s="472"/>
      <c r="O477" s="472"/>
      <c r="P477" s="472"/>
      <c r="Q477" s="472"/>
      <c r="R477" s="472"/>
      <c r="S477" s="472"/>
      <c r="T477" s="472"/>
      <c r="U477" s="472"/>
      <c r="V477" s="472"/>
      <c r="W477" s="472"/>
      <c r="X477" s="472"/>
      <c r="Y477" s="472"/>
      <c r="Z477" s="472"/>
      <c r="AA477" s="472"/>
    </row>
    <row r="478" outlineLevel="1">
      <c r="A478" s="494">
        <f>IFERROR(__xludf.DUMMYFUNCTION("""COMPUTED_VALUE"""),1.1850093202E10)</f>
        <v>11850093202</v>
      </c>
      <c r="B478" s="485" t="str">
        <f>IFERROR(__xludf.DUMMYFUNCTION("""COMPUTED_VALUE"""),"LAÍLA CÂNDIDA ZACARIAS")</f>
        <v>LAÍLA CÂNDIDA ZACARIAS</v>
      </c>
      <c r="C478" s="486">
        <f>IFERROR(__xludf.DUMMYFUNCTION("""COMPUTED_VALUE"""),9.5)</f>
        <v>9.5</v>
      </c>
      <c r="D478" s="487"/>
      <c r="E478" s="486"/>
      <c r="F478" s="486"/>
      <c r="G478" s="472"/>
      <c r="H478" s="472"/>
      <c r="I478" s="472"/>
      <c r="J478" s="472"/>
      <c r="K478" s="472"/>
      <c r="L478" s="472"/>
      <c r="M478" s="472"/>
      <c r="N478" s="472"/>
      <c r="O478" s="472"/>
      <c r="P478" s="472"/>
      <c r="Q478" s="472"/>
      <c r="R478" s="472"/>
      <c r="S478" s="472"/>
      <c r="T478" s="472"/>
      <c r="U478" s="472"/>
      <c r="V478" s="472"/>
      <c r="W478" s="472"/>
      <c r="X478" s="472"/>
      <c r="Y478" s="472"/>
      <c r="Z478" s="472"/>
      <c r="AA478" s="472"/>
    </row>
    <row r="479" outlineLevel="1">
      <c r="A479" s="484">
        <f>IFERROR(__xludf.DUMMYFUNCTION("""COMPUTED_VALUE"""),1.08420089965E11)</f>
        <v>108420089965</v>
      </c>
      <c r="B479" s="485" t="str">
        <f>IFERROR(__xludf.DUMMYFUNCTION("""COMPUTED_VALUE"""),"FLAVIA VASCONCELOS DE ARAUJO MARTINS")</f>
        <v>FLAVIA VASCONCELOS DE ARAUJO MARTINS</v>
      </c>
      <c r="C479" s="486">
        <f>IFERROR(__xludf.DUMMYFUNCTION("""COMPUTED_VALUE"""),9.0)</f>
        <v>9</v>
      </c>
      <c r="D479" s="487"/>
      <c r="E479" s="486"/>
      <c r="F479" s="486"/>
      <c r="G479" s="472"/>
      <c r="H479" s="472"/>
      <c r="I479" s="472"/>
      <c r="J479" s="472"/>
      <c r="K479" s="472"/>
      <c r="L479" s="472"/>
      <c r="M479" s="472"/>
      <c r="N479" s="472"/>
      <c r="O479" s="472"/>
      <c r="P479" s="472"/>
      <c r="Q479" s="472"/>
      <c r="R479" s="472"/>
      <c r="S479" s="472"/>
      <c r="T479" s="472"/>
      <c r="U479" s="472"/>
      <c r="V479" s="472"/>
      <c r="W479" s="472"/>
      <c r="X479" s="472"/>
      <c r="Y479" s="472"/>
      <c r="Z479" s="472"/>
      <c r="AA479" s="472"/>
    </row>
    <row r="480" outlineLevel="1">
      <c r="A480" s="484">
        <f>IFERROR(__xludf.DUMMYFUNCTION("""COMPUTED_VALUE"""),8.72430093235E11)</f>
        <v>872430093235</v>
      </c>
      <c r="B480" s="485" t="str">
        <f>IFERROR(__xludf.DUMMYFUNCTION("""COMPUTED_VALUE"""),"KARINE DA SILVA OLIVEIRA")</f>
        <v>KARINE DA SILVA OLIVEIRA</v>
      </c>
      <c r="C480" s="486">
        <f>IFERROR(__xludf.DUMMYFUNCTION("""COMPUTED_VALUE"""),9.0)</f>
        <v>9</v>
      </c>
      <c r="D480" s="487"/>
      <c r="E480" s="486"/>
      <c r="F480" s="486"/>
      <c r="G480" s="472"/>
      <c r="H480" s="472"/>
      <c r="I480" s="472"/>
      <c r="J480" s="472"/>
      <c r="K480" s="472"/>
      <c r="L480" s="472"/>
      <c r="M480" s="472"/>
      <c r="N480" s="472"/>
      <c r="O480" s="472"/>
      <c r="P480" s="472"/>
      <c r="Q480" s="472"/>
      <c r="R480" s="472"/>
      <c r="S480" s="472"/>
      <c r="T480" s="472"/>
      <c r="U480" s="472"/>
      <c r="V480" s="472"/>
      <c r="W480" s="472"/>
      <c r="X480" s="472"/>
      <c r="Y480" s="472"/>
      <c r="Z480" s="472"/>
      <c r="AA480" s="472"/>
    </row>
    <row r="481" outlineLevel="1">
      <c r="A481" s="484">
        <f>IFERROR(__xludf.DUMMYFUNCTION("""COMPUTED_VALUE"""),8.22440088947E11)</f>
        <v>822440088947</v>
      </c>
      <c r="B481" s="485" t="str">
        <f>IFERROR(__xludf.DUMMYFUNCTION("""COMPUTED_VALUE"""),"RAISSA MAGALHÃES DE ALMEIDA")</f>
        <v>RAISSA MAGALHÃES DE ALMEIDA</v>
      </c>
      <c r="C481" s="486">
        <f>IFERROR(__xludf.DUMMYFUNCTION("""COMPUTED_VALUE"""),9.0)</f>
        <v>9</v>
      </c>
      <c r="D481" s="487"/>
      <c r="E481" s="486"/>
      <c r="F481" s="486"/>
      <c r="G481" s="472"/>
      <c r="H481" s="472"/>
      <c r="I481" s="472"/>
      <c r="J481" s="472"/>
      <c r="K481" s="472"/>
      <c r="L481" s="472"/>
      <c r="M481" s="472"/>
      <c r="N481" s="472"/>
      <c r="O481" s="472"/>
      <c r="P481" s="472"/>
      <c r="Q481" s="472"/>
      <c r="R481" s="472"/>
      <c r="S481" s="472"/>
      <c r="T481" s="472"/>
      <c r="U481" s="472"/>
      <c r="V481" s="472"/>
      <c r="W481" s="472"/>
      <c r="X481" s="472"/>
      <c r="Y481" s="472"/>
      <c r="Z481" s="472"/>
      <c r="AA481" s="472"/>
    </row>
    <row r="482" outlineLevel="1">
      <c r="A482" s="484">
        <f>IFERROR(__xludf.DUMMYFUNCTION("""COMPUTED_VALUE"""),7.18750088557E11)</f>
        <v>718750088557</v>
      </c>
      <c r="B482" s="485" t="str">
        <f>IFERROR(__xludf.DUMMYFUNCTION("""COMPUTED_VALUE"""),"GRAZIELLE MARA DA MATA FREIRE")</f>
        <v>GRAZIELLE MARA DA MATA FREIRE</v>
      </c>
      <c r="C482" s="486">
        <f>IFERROR(__xludf.DUMMYFUNCTION("""COMPUTED_VALUE"""),9.0)</f>
        <v>9</v>
      </c>
      <c r="D482" s="487"/>
      <c r="E482" s="486"/>
      <c r="F482" s="486"/>
      <c r="G482" s="472"/>
      <c r="H482" s="472"/>
      <c r="I482" s="472"/>
      <c r="J482" s="472"/>
      <c r="K482" s="472"/>
      <c r="L482" s="472"/>
      <c r="M482" s="472"/>
      <c r="N482" s="472"/>
      <c r="O482" s="472"/>
      <c r="P482" s="472"/>
      <c r="Q482" s="472"/>
      <c r="R482" s="472"/>
      <c r="S482" s="472"/>
      <c r="T482" s="472"/>
      <c r="U482" s="472"/>
      <c r="V482" s="472"/>
      <c r="W482" s="472"/>
      <c r="X482" s="472"/>
      <c r="Y482" s="472"/>
      <c r="Z482" s="472"/>
      <c r="AA482" s="472"/>
    </row>
    <row r="483" outlineLevel="1">
      <c r="A483" s="484">
        <f>IFERROR(__xludf.DUMMYFUNCTION("""COMPUTED_VALUE"""),3.98620093479E11)</f>
        <v>398620093479</v>
      </c>
      <c r="B483" s="485" t="str">
        <f>IFERROR(__xludf.DUMMYFUNCTION("""COMPUTED_VALUE"""),"VIVIANE DE AMORIM DUARTE")</f>
        <v>VIVIANE DE AMORIM DUARTE</v>
      </c>
      <c r="C483" s="486">
        <f>IFERROR(__xludf.DUMMYFUNCTION("""COMPUTED_VALUE"""),8.5)</f>
        <v>8.5</v>
      </c>
      <c r="D483" s="487"/>
      <c r="E483" s="486"/>
      <c r="F483" s="486"/>
      <c r="G483" s="472"/>
      <c r="H483" s="472"/>
      <c r="I483" s="472"/>
      <c r="J483" s="472"/>
      <c r="K483" s="472"/>
      <c r="L483" s="472"/>
      <c r="M483" s="472"/>
      <c r="N483" s="472"/>
      <c r="O483" s="472"/>
      <c r="P483" s="472"/>
      <c r="Q483" s="472"/>
      <c r="R483" s="472"/>
      <c r="S483" s="472"/>
      <c r="T483" s="472"/>
      <c r="U483" s="472"/>
      <c r="V483" s="472"/>
      <c r="W483" s="472"/>
      <c r="X483" s="472"/>
      <c r="Y483" s="472"/>
      <c r="Z483" s="472"/>
      <c r="AA483" s="472"/>
    </row>
    <row r="484" outlineLevel="1">
      <c r="A484" s="484">
        <f>IFERROR(__xludf.DUMMYFUNCTION("""COMPUTED_VALUE"""),4.78016092403E11)</f>
        <v>478016092403</v>
      </c>
      <c r="B484" s="485" t="str">
        <f>IFERROR(__xludf.DUMMYFUNCTION("""COMPUTED_VALUE"""),"ANTONIA TAINÁ BEZERRA CASTRO")</f>
        <v>ANTONIA TAINÁ BEZERRA CASTRO</v>
      </c>
      <c r="C484" s="486">
        <f>IFERROR(__xludf.DUMMYFUNCTION("""COMPUTED_VALUE"""),8.5)</f>
        <v>8.5</v>
      </c>
      <c r="D484" s="487"/>
      <c r="E484" s="486"/>
      <c r="F484" s="486"/>
      <c r="G484" s="472"/>
      <c r="H484" s="472"/>
      <c r="I484" s="472"/>
      <c r="J484" s="472"/>
      <c r="K484" s="472"/>
      <c r="L484" s="472"/>
      <c r="M484" s="472"/>
      <c r="N484" s="472"/>
      <c r="O484" s="472"/>
      <c r="P484" s="472"/>
      <c r="Q484" s="472"/>
      <c r="R484" s="472"/>
      <c r="S484" s="472"/>
      <c r="T484" s="472"/>
      <c r="U484" s="472"/>
      <c r="V484" s="472"/>
      <c r="W484" s="472"/>
      <c r="X484" s="472"/>
      <c r="Y484" s="472"/>
      <c r="Z484" s="472"/>
      <c r="AA484" s="472"/>
    </row>
    <row r="485" outlineLevel="1">
      <c r="A485" s="484">
        <f>IFERROR(__xludf.DUMMYFUNCTION("""COMPUTED_VALUE"""),3.60957088703E11)</f>
        <v>360957088703</v>
      </c>
      <c r="B485" s="485" t="str">
        <f>IFERROR(__xludf.DUMMYFUNCTION("""COMPUTED_VALUE"""),"VIVIAN DA SILVA GOMES")</f>
        <v>VIVIAN DA SILVA GOMES</v>
      </c>
      <c r="C485" s="486">
        <f>IFERROR(__xludf.DUMMYFUNCTION("""COMPUTED_VALUE"""),8.0)</f>
        <v>8</v>
      </c>
      <c r="D485" s="487"/>
      <c r="E485" s="486"/>
      <c r="F485" s="486"/>
      <c r="G485" s="472"/>
      <c r="H485" s="472"/>
      <c r="I485" s="472"/>
      <c r="J485" s="472"/>
      <c r="K485" s="472"/>
      <c r="L485" s="472"/>
      <c r="M485" s="472"/>
      <c r="N485" s="472"/>
      <c r="O485" s="472"/>
      <c r="P485" s="472"/>
      <c r="Q485" s="472"/>
      <c r="R485" s="472"/>
      <c r="S485" s="472"/>
      <c r="T485" s="472"/>
      <c r="U485" s="472"/>
      <c r="V485" s="472"/>
      <c r="W485" s="472"/>
      <c r="X485" s="472"/>
      <c r="Y485" s="472"/>
      <c r="Z485" s="472"/>
      <c r="AA485" s="472"/>
    </row>
    <row r="486" outlineLevel="1">
      <c r="A486" s="494">
        <f>IFERROR(__xludf.DUMMYFUNCTION("""COMPUTED_VALUE"""),8.756089563E9)</f>
        <v>8756089563</v>
      </c>
      <c r="B486" s="485" t="str">
        <f>IFERROR(__xludf.DUMMYFUNCTION("""COMPUTED_VALUE"""),"HELLOISE BARBOSA NERY")</f>
        <v>HELLOISE BARBOSA NERY</v>
      </c>
      <c r="C486" s="486">
        <f>IFERROR(__xludf.DUMMYFUNCTION("""COMPUTED_VALUE"""),8.0)</f>
        <v>8</v>
      </c>
      <c r="D486" s="487"/>
      <c r="E486" s="486"/>
      <c r="F486" s="486"/>
      <c r="G486" s="472"/>
      <c r="H486" s="472"/>
      <c r="I486" s="472"/>
      <c r="J486" s="472"/>
      <c r="K486" s="472"/>
      <c r="L486" s="472"/>
      <c r="M486" s="472"/>
      <c r="N486" s="472"/>
      <c r="O486" s="472"/>
      <c r="P486" s="472"/>
      <c r="Q486" s="472"/>
      <c r="R486" s="472"/>
      <c r="S486" s="472"/>
      <c r="T486" s="472"/>
      <c r="U486" s="472"/>
      <c r="V486" s="472"/>
      <c r="W486" s="472"/>
      <c r="X486" s="472"/>
      <c r="Y486" s="472"/>
      <c r="Z486" s="472"/>
      <c r="AA486" s="472"/>
    </row>
    <row r="487" outlineLevel="1">
      <c r="A487" s="484">
        <f>IFERROR(__xludf.DUMMYFUNCTION("""COMPUTED_VALUE"""),5.0891609355E11)</f>
        <v>508916093550</v>
      </c>
      <c r="B487" s="485" t="str">
        <f>IFERROR(__xludf.DUMMYFUNCTION("""COMPUTED_VALUE"""),"ADEMAR MAIA FILHO")</f>
        <v>ADEMAR MAIA FILHO</v>
      </c>
      <c r="C487" s="486">
        <f>IFERROR(__xludf.DUMMYFUNCTION("""COMPUTED_VALUE"""),8.0)</f>
        <v>8</v>
      </c>
      <c r="D487" s="487"/>
      <c r="E487" s="486"/>
      <c r="F487" s="486"/>
      <c r="G487" s="472"/>
      <c r="H487" s="472"/>
      <c r="I487" s="472"/>
      <c r="J487" s="472"/>
      <c r="K487" s="472"/>
      <c r="L487" s="472"/>
      <c r="M487" s="472"/>
      <c r="N487" s="472"/>
      <c r="O487" s="472"/>
      <c r="P487" s="472"/>
      <c r="Q487" s="472"/>
      <c r="R487" s="472"/>
      <c r="S487" s="472"/>
      <c r="T487" s="472"/>
      <c r="U487" s="472"/>
      <c r="V487" s="472"/>
      <c r="W487" s="472"/>
      <c r="X487" s="472"/>
      <c r="Y487" s="472"/>
      <c r="Z487" s="472"/>
      <c r="AA487" s="472"/>
    </row>
    <row r="488" outlineLevel="1">
      <c r="A488" s="484">
        <f>IFERROR(__xludf.DUMMYFUNCTION("""COMPUTED_VALUE"""),9.90700093547E11)</f>
        <v>990700093547</v>
      </c>
      <c r="B488" s="485" t="str">
        <f>IFERROR(__xludf.DUMMYFUNCTION("""COMPUTED_VALUE"""),"FRANCISCO TARCÍSIO SEABRA FILHO")</f>
        <v>FRANCISCO TARCÍSIO SEABRA FILHO</v>
      </c>
      <c r="C488" s="486">
        <f>IFERROR(__xludf.DUMMYFUNCTION("""COMPUTED_VALUE"""),8.0)</f>
        <v>8</v>
      </c>
      <c r="D488" s="487"/>
      <c r="E488" s="486"/>
      <c r="F488" s="486"/>
      <c r="G488" s="472"/>
      <c r="H488" s="472"/>
      <c r="I488" s="472"/>
      <c r="J488" s="472"/>
      <c r="K488" s="472"/>
      <c r="L488" s="472"/>
      <c r="M488" s="472"/>
      <c r="N488" s="472"/>
      <c r="O488" s="472"/>
      <c r="P488" s="472"/>
      <c r="Q488" s="472"/>
      <c r="R488" s="472"/>
      <c r="S488" s="472"/>
      <c r="T488" s="472"/>
      <c r="U488" s="472"/>
      <c r="V488" s="472"/>
      <c r="W488" s="472"/>
      <c r="X488" s="472"/>
      <c r="Y488" s="472"/>
      <c r="Z488" s="472"/>
      <c r="AA488" s="472"/>
    </row>
    <row r="489" outlineLevel="1">
      <c r="A489" s="484">
        <f>IFERROR(__xludf.DUMMYFUNCTION("""COMPUTED_VALUE"""),1.82720092944E11)</f>
        <v>182720092944</v>
      </c>
      <c r="B489" s="485" t="str">
        <f>IFERROR(__xludf.DUMMYFUNCTION("""COMPUTED_VALUE"""),"JOSÉ DAVI JOVINO FARIAS")</f>
        <v>JOSÉ DAVI JOVINO FARIAS</v>
      </c>
      <c r="C489" s="486">
        <f>IFERROR(__xludf.DUMMYFUNCTION("""COMPUTED_VALUE"""),8.0)</f>
        <v>8</v>
      </c>
      <c r="D489" s="487"/>
      <c r="E489" s="486"/>
      <c r="F489" s="486"/>
      <c r="G489" s="472"/>
      <c r="H489" s="472"/>
      <c r="I489" s="472"/>
      <c r="J489" s="472"/>
      <c r="K489" s="472"/>
      <c r="L489" s="472"/>
      <c r="M489" s="472"/>
      <c r="N489" s="472"/>
      <c r="O489" s="472"/>
      <c r="P489" s="472"/>
      <c r="Q489" s="472"/>
      <c r="R489" s="472"/>
      <c r="S489" s="472"/>
      <c r="T489" s="472"/>
      <c r="U489" s="472"/>
      <c r="V489" s="472"/>
      <c r="W489" s="472"/>
      <c r="X489" s="472"/>
      <c r="Y489" s="472"/>
      <c r="Z489" s="472"/>
      <c r="AA489" s="472"/>
    </row>
    <row r="490" outlineLevel="1">
      <c r="A490" s="484">
        <f>IFERROR(__xludf.DUMMYFUNCTION("""COMPUTED_VALUE"""),1.58930093656E11)</f>
        <v>158930093656</v>
      </c>
      <c r="B490" s="485" t="str">
        <f>IFERROR(__xludf.DUMMYFUNCTION("""COMPUTED_VALUE"""),"DIEGO DA SILVA FERREIRA")</f>
        <v>DIEGO DA SILVA FERREIRA</v>
      </c>
      <c r="C490" s="486">
        <f>IFERROR(__xludf.DUMMYFUNCTION("""COMPUTED_VALUE"""),8.0)</f>
        <v>8</v>
      </c>
      <c r="D490" s="487"/>
      <c r="E490" s="486"/>
      <c r="F490" s="486"/>
      <c r="G490" s="472"/>
      <c r="H490" s="472"/>
      <c r="I490" s="472"/>
      <c r="J490" s="472"/>
      <c r="K490" s="472"/>
      <c r="L490" s="472"/>
      <c r="M490" s="472"/>
      <c r="N490" s="472"/>
      <c r="O490" s="472"/>
      <c r="P490" s="472"/>
      <c r="Q490" s="472"/>
      <c r="R490" s="472"/>
      <c r="S490" s="472"/>
      <c r="T490" s="472"/>
      <c r="U490" s="472"/>
      <c r="V490" s="472"/>
      <c r="W490" s="472"/>
      <c r="X490" s="472"/>
      <c r="Y490" s="472"/>
      <c r="Z490" s="472"/>
      <c r="AA490" s="472"/>
    </row>
    <row r="491" outlineLevel="1">
      <c r="A491" s="494">
        <f>IFERROR(__xludf.DUMMYFUNCTION("""COMPUTED_VALUE"""),4.9070092033E10)</f>
        <v>49070092033</v>
      </c>
      <c r="B491" s="485" t="str">
        <f>IFERROR(__xludf.DUMMYFUNCTION("""COMPUTED_VALUE"""),"JEFFERSON NASCIMENTO DOS SANTOS")</f>
        <v>JEFFERSON NASCIMENTO DOS SANTOS</v>
      </c>
      <c r="C491" s="486">
        <f>IFERROR(__xludf.DUMMYFUNCTION("""COMPUTED_VALUE"""),8.0)</f>
        <v>8</v>
      </c>
      <c r="D491" s="487"/>
      <c r="E491" s="486"/>
      <c r="F491" s="486"/>
      <c r="G491" s="472"/>
      <c r="H491" s="472"/>
      <c r="I491" s="472"/>
      <c r="J491" s="472"/>
      <c r="K491" s="472"/>
      <c r="L491" s="472"/>
      <c r="M491" s="472"/>
      <c r="N491" s="472"/>
      <c r="O491" s="472"/>
      <c r="P491" s="472"/>
      <c r="Q491" s="472"/>
      <c r="R491" s="472"/>
      <c r="S491" s="472"/>
      <c r="T491" s="472"/>
      <c r="U491" s="472"/>
      <c r="V491" s="472"/>
      <c r="W491" s="472"/>
      <c r="X491" s="472"/>
      <c r="Y491" s="472"/>
      <c r="Z491" s="472"/>
      <c r="AA491" s="472"/>
    </row>
    <row r="492" outlineLevel="1">
      <c r="A492" s="484">
        <f>IFERROR(__xludf.DUMMYFUNCTION("""COMPUTED_VALUE"""),6.51440091975E11)</f>
        <v>651440091975</v>
      </c>
      <c r="B492" s="485" t="str">
        <f>IFERROR(__xludf.DUMMYFUNCTION("""COMPUTED_VALUE"""),"CHARLLIANE FERNANDES GONÇALVES RIBEIRO")</f>
        <v>CHARLLIANE FERNANDES GONÇALVES RIBEIRO</v>
      </c>
      <c r="C492" s="486">
        <f>IFERROR(__xludf.DUMMYFUNCTION("""COMPUTED_VALUE"""),7.5)</f>
        <v>7.5</v>
      </c>
      <c r="D492" s="487"/>
      <c r="E492" s="486"/>
      <c r="F492" s="486"/>
      <c r="G492" s="472"/>
      <c r="H492" s="472"/>
      <c r="I492" s="472"/>
      <c r="J492" s="472"/>
      <c r="K492" s="472"/>
      <c r="L492" s="472"/>
      <c r="M492" s="472"/>
      <c r="N492" s="472"/>
      <c r="O492" s="472"/>
      <c r="P492" s="472"/>
      <c r="Q492" s="472"/>
      <c r="R492" s="472"/>
      <c r="S492" s="472"/>
      <c r="T492" s="472"/>
      <c r="U492" s="472"/>
      <c r="V492" s="472"/>
      <c r="W492" s="472"/>
      <c r="X492" s="472"/>
      <c r="Y492" s="472"/>
      <c r="Z492" s="472"/>
      <c r="AA492" s="472"/>
    </row>
    <row r="493" outlineLevel="1">
      <c r="A493" s="484">
        <f>IFERROR(__xludf.DUMMYFUNCTION("""COMPUTED_VALUE"""),5.41190090864E11)</f>
        <v>541190090864</v>
      </c>
      <c r="B493" s="485" t="str">
        <f>IFERROR(__xludf.DUMMYFUNCTION("""COMPUTED_VALUE"""),"JADSON ARAUJO DA SILVA")</f>
        <v>JADSON ARAUJO DA SILVA</v>
      </c>
      <c r="C493" s="486">
        <f>IFERROR(__xludf.DUMMYFUNCTION("""COMPUTED_VALUE"""),7.5)</f>
        <v>7.5</v>
      </c>
      <c r="D493" s="487"/>
      <c r="E493" s="486"/>
      <c r="F493" s="486"/>
      <c r="G493" s="472"/>
      <c r="H493" s="472"/>
      <c r="I493" s="472"/>
      <c r="J493" s="472"/>
      <c r="K493" s="472"/>
      <c r="L493" s="472"/>
      <c r="M493" s="472"/>
      <c r="N493" s="472"/>
      <c r="O493" s="472"/>
      <c r="P493" s="472"/>
      <c r="Q493" s="472"/>
      <c r="R493" s="472"/>
      <c r="S493" s="472"/>
      <c r="T493" s="472"/>
      <c r="U493" s="472"/>
      <c r="V493" s="472"/>
      <c r="W493" s="472"/>
      <c r="X493" s="472"/>
      <c r="Y493" s="472"/>
      <c r="Z493" s="472"/>
      <c r="AA493" s="472"/>
    </row>
    <row r="494" outlineLevel="1">
      <c r="A494" s="484">
        <f>IFERROR(__xludf.DUMMYFUNCTION("""COMPUTED_VALUE"""),6.46624091406E11)</f>
        <v>646624091406</v>
      </c>
      <c r="B494" s="485" t="str">
        <f>IFERROR(__xludf.DUMMYFUNCTION("""COMPUTED_VALUE"""),"ANA MARIA MELO DE PINHO")</f>
        <v>ANA MARIA MELO DE PINHO</v>
      </c>
      <c r="C494" s="486">
        <f>IFERROR(__xludf.DUMMYFUNCTION("""COMPUTED_VALUE"""),7.0)</f>
        <v>7</v>
      </c>
      <c r="D494" s="487"/>
      <c r="E494" s="486"/>
      <c r="F494" s="486"/>
      <c r="G494" s="472"/>
      <c r="H494" s="472"/>
      <c r="I494" s="472"/>
      <c r="J494" s="472"/>
      <c r="K494" s="472"/>
      <c r="L494" s="472"/>
      <c r="M494" s="472"/>
      <c r="N494" s="472"/>
      <c r="O494" s="472"/>
      <c r="P494" s="472"/>
      <c r="Q494" s="472"/>
      <c r="R494" s="472"/>
      <c r="S494" s="472"/>
      <c r="T494" s="472"/>
      <c r="U494" s="472"/>
      <c r="V494" s="472"/>
      <c r="W494" s="472"/>
      <c r="X494" s="472"/>
      <c r="Y494" s="472"/>
      <c r="Z494" s="472"/>
      <c r="AA494" s="472"/>
    </row>
    <row r="495" outlineLevel="1">
      <c r="A495" s="484">
        <f>IFERROR(__xludf.DUMMYFUNCTION("""COMPUTED_VALUE"""),8.24710092495E11)</f>
        <v>824710092495</v>
      </c>
      <c r="B495" s="485" t="str">
        <f>IFERROR(__xludf.DUMMYFUNCTION("""COMPUTED_VALUE"""),"DIANA MUNIZ PINTO")</f>
        <v>DIANA MUNIZ PINTO</v>
      </c>
      <c r="C495" s="486">
        <f>IFERROR(__xludf.DUMMYFUNCTION("""COMPUTED_VALUE"""),7.0)</f>
        <v>7</v>
      </c>
      <c r="D495" s="487"/>
      <c r="E495" s="486"/>
      <c r="F495" s="486"/>
      <c r="G495" s="472"/>
      <c r="H495" s="472"/>
      <c r="I495" s="472"/>
      <c r="J495" s="472"/>
      <c r="K495" s="472"/>
      <c r="L495" s="472"/>
      <c r="M495" s="472"/>
      <c r="N495" s="472"/>
      <c r="O495" s="472"/>
      <c r="P495" s="472"/>
      <c r="Q495" s="472"/>
      <c r="R495" s="472"/>
      <c r="S495" s="472"/>
      <c r="T495" s="472"/>
      <c r="U495" s="472"/>
      <c r="V495" s="472"/>
      <c r="W495" s="472"/>
      <c r="X495" s="472"/>
      <c r="Y495" s="472"/>
      <c r="Z495" s="472"/>
      <c r="AA495" s="472"/>
    </row>
    <row r="496" outlineLevel="1">
      <c r="A496" s="484">
        <f>IFERROR(__xludf.DUMMYFUNCTION("""COMPUTED_VALUE"""),2.14650092478E11)</f>
        <v>214650092478</v>
      </c>
      <c r="B496" s="485" t="str">
        <f>IFERROR(__xludf.DUMMYFUNCTION("""COMPUTED_VALUE"""),"HUMBERTO MEDEIROS WANDERLEY FILHO")</f>
        <v>HUMBERTO MEDEIROS WANDERLEY FILHO</v>
      </c>
      <c r="C496" s="486">
        <f>IFERROR(__xludf.DUMMYFUNCTION("""COMPUTED_VALUE"""),7.0)</f>
        <v>7</v>
      </c>
      <c r="D496" s="487"/>
      <c r="E496" s="486"/>
      <c r="F496" s="486"/>
      <c r="G496" s="472"/>
      <c r="H496" s="472"/>
      <c r="I496" s="472"/>
      <c r="J496" s="472"/>
      <c r="K496" s="472"/>
      <c r="L496" s="472"/>
      <c r="M496" s="472"/>
      <c r="N496" s="472"/>
      <c r="O496" s="472"/>
      <c r="P496" s="472"/>
      <c r="Q496" s="472"/>
      <c r="R496" s="472"/>
      <c r="S496" s="472"/>
      <c r="T496" s="472"/>
      <c r="U496" s="472"/>
      <c r="V496" s="472"/>
      <c r="W496" s="472"/>
      <c r="X496" s="472"/>
      <c r="Y496" s="472"/>
      <c r="Z496" s="472"/>
      <c r="AA496" s="472"/>
    </row>
    <row r="497" outlineLevel="1">
      <c r="A497" s="484">
        <f>IFERROR(__xludf.DUMMYFUNCTION("""COMPUTED_VALUE"""),1.91806092578E11)</f>
        <v>191806092578</v>
      </c>
      <c r="B497" s="485" t="str">
        <f>IFERROR(__xludf.DUMMYFUNCTION("""COMPUTED_VALUE"""),"ÍVINA ALESSA BISPO SILVA")</f>
        <v>ÍVINA ALESSA BISPO SILVA</v>
      </c>
      <c r="C497" s="486">
        <f>IFERROR(__xludf.DUMMYFUNCTION("""COMPUTED_VALUE"""),7.0)</f>
        <v>7</v>
      </c>
      <c r="D497" s="487"/>
      <c r="E497" s="486"/>
      <c r="F497" s="486"/>
      <c r="G497" s="472"/>
      <c r="H497" s="472"/>
      <c r="I497" s="472"/>
      <c r="J497" s="472"/>
      <c r="K497" s="472"/>
      <c r="L497" s="472"/>
      <c r="M497" s="472"/>
      <c r="N497" s="472"/>
      <c r="O497" s="472"/>
      <c r="P497" s="472"/>
      <c r="Q497" s="472"/>
      <c r="R497" s="472"/>
      <c r="S497" s="472"/>
      <c r="T497" s="472"/>
      <c r="U497" s="472"/>
      <c r="V497" s="472"/>
      <c r="W497" s="472"/>
      <c r="X497" s="472"/>
      <c r="Y497" s="472"/>
      <c r="Z497" s="472"/>
      <c r="AA497" s="472"/>
    </row>
    <row r="498" outlineLevel="1">
      <c r="A498" s="484">
        <f>IFERROR(__xludf.DUMMYFUNCTION("""COMPUTED_VALUE"""),4.10754092537E11)</f>
        <v>410754092537</v>
      </c>
      <c r="B498" s="485" t="str">
        <f>IFERROR(__xludf.DUMMYFUNCTION("""COMPUTED_VALUE"""),"MANOEL EDUARDO DOS SANTOS JÚNIOR")</f>
        <v>MANOEL EDUARDO DOS SANTOS JÚNIOR</v>
      </c>
      <c r="C498" s="486">
        <f>IFERROR(__xludf.DUMMYFUNCTION("""COMPUTED_VALUE"""),6.5)</f>
        <v>6.5</v>
      </c>
      <c r="D498" s="487"/>
      <c r="E498" s="486"/>
      <c r="F498" s="486"/>
      <c r="G498" s="472"/>
      <c r="H498" s="472"/>
      <c r="I498" s="472"/>
      <c r="J498" s="472"/>
      <c r="K498" s="472"/>
      <c r="L498" s="472"/>
      <c r="M498" s="472"/>
      <c r="N498" s="472"/>
      <c r="O498" s="472"/>
      <c r="P498" s="472"/>
      <c r="Q498" s="472"/>
      <c r="R498" s="472"/>
      <c r="S498" s="472"/>
      <c r="T498" s="472"/>
      <c r="U498" s="472"/>
      <c r="V498" s="472"/>
      <c r="W498" s="472"/>
      <c r="X498" s="472"/>
      <c r="Y498" s="472"/>
      <c r="Z498" s="472"/>
      <c r="AA498" s="472"/>
    </row>
    <row r="499" outlineLevel="1">
      <c r="A499" s="484">
        <f>IFERROR(__xludf.DUMMYFUNCTION("""COMPUTED_VALUE"""),5.06987092485E11)</f>
        <v>506987092485</v>
      </c>
      <c r="B499" s="485" t="str">
        <f>IFERROR(__xludf.DUMMYFUNCTION("""COMPUTED_VALUE"""),"WILCILENE OLIVEIRA DOS SANTOS")</f>
        <v>WILCILENE OLIVEIRA DOS SANTOS</v>
      </c>
      <c r="C499" s="486">
        <f>IFERROR(__xludf.DUMMYFUNCTION("""COMPUTED_VALUE"""),6.5)</f>
        <v>6.5</v>
      </c>
      <c r="D499" s="487"/>
      <c r="E499" s="486"/>
      <c r="F499" s="486"/>
      <c r="G499" s="472"/>
      <c r="H499" s="472"/>
      <c r="I499" s="472"/>
      <c r="J499" s="472"/>
      <c r="K499" s="472"/>
      <c r="L499" s="472"/>
      <c r="M499" s="472"/>
      <c r="N499" s="472"/>
      <c r="O499" s="472"/>
      <c r="P499" s="472"/>
      <c r="Q499" s="472"/>
      <c r="R499" s="472"/>
      <c r="S499" s="472"/>
      <c r="T499" s="472"/>
      <c r="U499" s="472"/>
      <c r="V499" s="472"/>
      <c r="W499" s="472"/>
      <c r="X499" s="472"/>
      <c r="Y499" s="472"/>
      <c r="Z499" s="472"/>
      <c r="AA499" s="472"/>
    </row>
    <row r="500" outlineLevel="1">
      <c r="A500" s="484">
        <f>IFERROR(__xludf.DUMMYFUNCTION("""COMPUTED_VALUE"""),5.02541093542E11)</f>
        <v>502541093542</v>
      </c>
      <c r="B500" s="485" t="str">
        <f>IFERROR(__xludf.DUMMYFUNCTION("""COMPUTED_VALUE"""),"LAIZ PRESTES CARNEIRO")</f>
        <v>LAIZ PRESTES CARNEIRO</v>
      </c>
      <c r="C500" s="486">
        <f>IFERROR(__xludf.DUMMYFUNCTION("""COMPUTED_VALUE"""),6.5)</f>
        <v>6.5</v>
      </c>
      <c r="D500" s="487"/>
      <c r="E500" s="486"/>
      <c r="F500" s="486"/>
      <c r="G500" s="472"/>
      <c r="H500" s="472"/>
      <c r="I500" s="472"/>
      <c r="J500" s="472"/>
      <c r="K500" s="472"/>
      <c r="L500" s="472"/>
      <c r="M500" s="472"/>
      <c r="N500" s="472"/>
      <c r="O500" s="472"/>
      <c r="P500" s="472"/>
      <c r="Q500" s="472"/>
      <c r="R500" s="472"/>
      <c r="S500" s="472"/>
      <c r="T500" s="472"/>
      <c r="U500" s="472"/>
      <c r="V500" s="472"/>
      <c r="W500" s="472"/>
      <c r="X500" s="472"/>
      <c r="Y500" s="472"/>
      <c r="Z500" s="472"/>
      <c r="AA500" s="472"/>
    </row>
    <row r="501" outlineLevel="1">
      <c r="A501" s="484">
        <f>IFERROR(__xludf.DUMMYFUNCTION("""COMPUTED_VALUE"""),6.41124088765E11)</f>
        <v>641124088765</v>
      </c>
      <c r="B501" s="485" t="str">
        <f>IFERROR(__xludf.DUMMYFUNCTION("""COMPUTED_VALUE"""),"JULIO CLEDSON DE OLIVEIRA GUEDES")</f>
        <v>JULIO CLEDSON DE OLIVEIRA GUEDES</v>
      </c>
      <c r="C501" s="486">
        <f>IFERROR(__xludf.DUMMYFUNCTION("""COMPUTED_VALUE"""),6.0)</f>
        <v>6</v>
      </c>
      <c r="D501" s="487"/>
      <c r="E501" s="486"/>
      <c r="F501" s="486"/>
      <c r="G501" s="472"/>
      <c r="H501" s="472"/>
      <c r="I501" s="472"/>
      <c r="J501" s="472"/>
      <c r="K501" s="472"/>
      <c r="L501" s="472"/>
      <c r="M501" s="472"/>
      <c r="N501" s="472"/>
      <c r="O501" s="472"/>
      <c r="P501" s="472"/>
      <c r="Q501" s="472"/>
      <c r="R501" s="472"/>
      <c r="S501" s="472"/>
      <c r="T501" s="472"/>
      <c r="U501" s="472"/>
      <c r="V501" s="472"/>
      <c r="W501" s="472"/>
      <c r="X501" s="472"/>
      <c r="Y501" s="472"/>
      <c r="Z501" s="472"/>
      <c r="AA501" s="472"/>
    </row>
    <row r="502" outlineLevel="1">
      <c r="A502" s="484">
        <f>IFERROR(__xludf.DUMMYFUNCTION("""COMPUTED_VALUE"""),9.39316091669E11)</f>
        <v>939316091669</v>
      </c>
      <c r="B502" s="485" t="str">
        <f>IFERROR(__xludf.DUMMYFUNCTION("""COMPUTED_VALUE"""),"SHEILA PIRES RAQUEL")</f>
        <v>SHEILA PIRES RAQUEL</v>
      </c>
      <c r="C502" s="486">
        <f>IFERROR(__xludf.DUMMYFUNCTION("""COMPUTED_VALUE"""),6.0)</f>
        <v>6</v>
      </c>
      <c r="D502" s="487"/>
      <c r="E502" s="486"/>
      <c r="F502" s="486"/>
      <c r="G502" s="472"/>
      <c r="H502" s="472"/>
      <c r="I502" s="472"/>
      <c r="J502" s="472"/>
      <c r="K502" s="472"/>
      <c r="L502" s="472"/>
      <c r="M502" s="472"/>
      <c r="N502" s="472"/>
      <c r="O502" s="472"/>
      <c r="P502" s="472"/>
      <c r="Q502" s="472"/>
      <c r="R502" s="472"/>
      <c r="S502" s="472"/>
      <c r="T502" s="472"/>
      <c r="U502" s="472"/>
      <c r="V502" s="472"/>
      <c r="W502" s="472"/>
      <c r="X502" s="472"/>
      <c r="Y502" s="472"/>
      <c r="Z502" s="472"/>
      <c r="AA502" s="472"/>
    </row>
    <row r="503" outlineLevel="1">
      <c r="A503" s="494">
        <f>IFERROR(__xludf.DUMMYFUNCTION("""COMPUTED_VALUE"""),4.7327093521E10)</f>
        <v>47327093521</v>
      </c>
      <c r="B503" s="485" t="str">
        <f>IFERROR(__xludf.DUMMYFUNCTION("""COMPUTED_VALUE"""),"MARIA NEURILANE VIANA NOGUEIRA")</f>
        <v>MARIA NEURILANE VIANA NOGUEIRA</v>
      </c>
      <c r="C503" s="486">
        <f>IFERROR(__xludf.DUMMYFUNCTION("""COMPUTED_VALUE"""),6.0)</f>
        <v>6</v>
      </c>
      <c r="D503" s="487"/>
      <c r="E503" s="486"/>
      <c r="F503" s="486"/>
      <c r="G503" s="472"/>
      <c r="H503" s="472"/>
      <c r="I503" s="472"/>
      <c r="J503" s="472"/>
      <c r="K503" s="472"/>
      <c r="L503" s="472"/>
      <c r="M503" s="472"/>
      <c r="N503" s="472"/>
      <c r="O503" s="472"/>
      <c r="P503" s="472"/>
      <c r="Q503" s="472"/>
      <c r="R503" s="472"/>
      <c r="S503" s="472"/>
      <c r="T503" s="472"/>
      <c r="U503" s="472"/>
      <c r="V503" s="472"/>
      <c r="W503" s="472"/>
      <c r="X503" s="472"/>
      <c r="Y503" s="472"/>
      <c r="Z503" s="472"/>
      <c r="AA503" s="472"/>
    </row>
    <row r="504" outlineLevel="1">
      <c r="A504" s="484">
        <f>IFERROR(__xludf.DUMMYFUNCTION("""COMPUTED_VALUE"""),5.51809089565E11)</f>
        <v>551809089565</v>
      </c>
      <c r="B504" s="485" t="str">
        <f>IFERROR(__xludf.DUMMYFUNCTION("""COMPUTED_VALUE"""),"GILCELENE DE CASTRO ANDRADE")</f>
        <v>GILCELENE DE CASTRO ANDRADE</v>
      </c>
      <c r="C504" s="486">
        <f>IFERROR(__xludf.DUMMYFUNCTION("""COMPUTED_VALUE"""),6.0)</f>
        <v>6</v>
      </c>
      <c r="D504" s="487"/>
      <c r="E504" s="486"/>
      <c r="F504" s="486"/>
      <c r="G504" s="472"/>
      <c r="H504" s="472"/>
      <c r="I504" s="472"/>
      <c r="J504" s="472"/>
      <c r="K504" s="472"/>
      <c r="L504" s="472"/>
      <c r="M504" s="472"/>
      <c r="N504" s="472"/>
      <c r="O504" s="472"/>
      <c r="P504" s="472"/>
      <c r="Q504" s="472"/>
      <c r="R504" s="472"/>
      <c r="S504" s="472"/>
      <c r="T504" s="472"/>
      <c r="U504" s="472"/>
      <c r="V504" s="472"/>
      <c r="W504" s="472"/>
      <c r="X504" s="472"/>
      <c r="Y504" s="472"/>
      <c r="Z504" s="472"/>
      <c r="AA504" s="472"/>
    </row>
    <row r="505" outlineLevel="1">
      <c r="A505" s="484">
        <f>IFERROR(__xludf.DUMMYFUNCTION("""COMPUTED_VALUE"""),5.29500093318E11)</f>
        <v>529500093318</v>
      </c>
      <c r="B505" s="485" t="str">
        <f>IFERROR(__xludf.DUMMYFUNCTION("""COMPUTED_VALUE"""),"FRANCISCO GILMARIO REBOUÇAS JUNIOR")</f>
        <v>FRANCISCO GILMARIO REBOUÇAS JUNIOR</v>
      </c>
      <c r="C505" s="486">
        <f>IFERROR(__xludf.DUMMYFUNCTION("""COMPUTED_VALUE"""),6.0)</f>
        <v>6</v>
      </c>
      <c r="D505" s="487"/>
      <c r="E505" s="486"/>
      <c r="F505" s="486"/>
      <c r="G505" s="472"/>
      <c r="H505" s="472"/>
      <c r="I505" s="472"/>
      <c r="J505" s="472"/>
      <c r="K505" s="472"/>
      <c r="L505" s="472"/>
      <c r="M505" s="472"/>
      <c r="N505" s="472"/>
      <c r="O505" s="472"/>
      <c r="P505" s="472"/>
      <c r="Q505" s="472"/>
      <c r="R505" s="472"/>
      <c r="S505" s="472"/>
      <c r="T505" s="472"/>
      <c r="U505" s="472"/>
      <c r="V505" s="472"/>
      <c r="W505" s="472"/>
      <c r="X505" s="472"/>
      <c r="Y505" s="472"/>
      <c r="Z505" s="472"/>
      <c r="AA505" s="472"/>
    </row>
    <row r="506" outlineLevel="1">
      <c r="A506" s="484">
        <f>IFERROR(__xludf.DUMMYFUNCTION("""COMPUTED_VALUE"""),2.02720093147E11)</f>
        <v>202720093147</v>
      </c>
      <c r="B506" s="485" t="str">
        <f>IFERROR(__xludf.DUMMYFUNCTION("""COMPUTED_VALUE"""),"CAROLINE MOREIRA ARRUDA")</f>
        <v>CAROLINE MOREIRA ARRUDA</v>
      </c>
      <c r="C506" s="486">
        <f>IFERROR(__xludf.DUMMYFUNCTION("""COMPUTED_VALUE"""),6.0)</f>
        <v>6</v>
      </c>
      <c r="D506" s="487"/>
      <c r="E506" s="486"/>
      <c r="F506" s="486"/>
      <c r="G506" s="472"/>
      <c r="H506" s="472"/>
      <c r="I506" s="472"/>
      <c r="J506" s="472"/>
      <c r="K506" s="472"/>
      <c r="L506" s="472"/>
      <c r="M506" s="472"/>
      <c r="N506" s="472"/>
      <c r="O506" s="472"/>
      <c r="P506" s="472"/>
      <c r="Q506" s="472"/>
      <c r="R506" s="472"/>
      <c r="S506" s="472"/>
      <c r="T506" s="472"/>
      <c r="U506" s="472"/>
      <c r="V506" s="472"/>
      <c r="W506" s="472"/>
      <c r="X506" s="472"/>
      <c r="Y506" s="472"/>
      <c r="Z506" s="472"/>
      <c r="AA506" s="472"/>
    </row>
    <row r="507" outlineLevel="1">
      <c r="A507" s="484">
        <f>IFERROR(__xludf.DUMMYFUNCTION("""COMPUTED_VALUE"""),7.96530089025E11)</f>
        <v>796530089025</v>
      </c>
      <c r="B507" s="485" t="str">
        <f>IFERROR(__xludf.DUMMYFUNCTION("""COMPUTED_VALUE"""),"LUCIANO SANTOS DA SILVA FILHO")</f>
        <v>LUCIANO SANTOS DA SILVA FILHO</v>
      </c>
      <c r="C507" s="486">
        <f>IFERROR(__xludf.DUMMYFUNCTION("""COMPUTED_VALUE"""),6.0)</f>
        <v>6</v>
      </c>
      <c r="D507" s="487"/>
      <c r="E507" s="486"/>
      <c r="F507" s="486"/>
      <c r="G507" s="472"/>
      <c r="H507" s="472"/>
      <c r="I507" s="472"/>
      <c r="J507" s="472"/>
      <c r="K507" s="472"/>
      <c r="L507" s="472"/>
      <c r="M507" s="472"/>
      <c r="N507" s="472"/>
      <c r="O507" s="472"/>
      <c r="P507" s="472"/>
      <c r="Q507" s="472"/>
      <c r="R507" s="472"/>
      <c r="S507" s="472"/>
      <c r="T507" s="472"/>
      <c r="U507" s="472"/>
      <c r="V507" s="472"/>
      <c r="W507" s="472"/>
      <c r="X507" s="472"/>
      <c r="Y507" s="472"/>
      <c r="Z507" s="472"/>
      <c r="AA507" s="472"/>
    </row>
    <row r="508" outlineLevel="1">
      <c r="A508" s="494">
        <f>IFERROR(__xludf.DUMMYFUNCTION("""COMPUTED_VALUE"""),4.6440090984E10)</f>
        <v>46440090984</v>
      </c>
      <c r="B508" s="485" t="str">
        <f>IFERROR(__xludf.DUMMYFUNCTION("""COMPUTED_VALUE"""),"CIRLIANE DE ARAÚJO MORAIS")</f>
        <v>CIRLIANE DE ARAÚJO MORAIS</v>
      </c>
      <c r="C508" s="486">
        <f>IFERROR(__xludf.DUMMYFUNCTION("""COMPUTED_VALUE"""),6.0)</f>
        <v>6</v>
      </c>
      <c r="D508" s="487"/>
      <c r="E508" s="486"/>
      <c r="F508" s="486"/>
      <c r="G508" s="472"/>
      <c r="H508" s="472"/>
      <c r="I508" s="472"/>
      <c r="J508" s="472"/>
      <c r="K508" s="472"/>
      <c r="L508" s="472"/>
      <c r="M508" s="472"/>
      <c r="N508" s="472"/>
      <c r="O508" s="472"/>
      <c r="P508" s="472"/>
      <c r="Q508" s="472"/>
      <c r="R508" s="472"/>
      <c r="S508" s="472"/>
      <c r="T508" s="472"/>
      <c r="U508" s="472"/>
      <c r="V508" s="472"/>
      <c r="W508" s="472"/>
      <c r="X508" s="472"/>
      <c r="Y508" s="472"/>
      <c r="Z508" s="472"/>
      <c r="AA508" s="472"/>
    </row>
    <row r="509" outlineLevel="1">
      <c r="A509" s="484">
        <f>IFERROR(__xludf.DUMMYFUNCTION("""COMPUTED_VALUE"""),4.3425009306E11)</f>
        <v>434250093060</v>
      </c>
      <c r="B509" s="485" t="str">
        <f>IFERROR(__xludf.DUMMYFUNCTION("""COMPUTED_VALUE"""),"PAULO IURY GOMES NUNES")</f>
        <v>PAULO IURY GOMES NUNES</v>
      </c>
      <c r="C509" s="486">
        <f>IFERROR(__xludf.DUMMYFUNCTION("""COMPUTED_VALUE"""),6.0)</f>
        <v>6</v>
      </c>
      <c r="D509" s="487"/>
      <c r="E509" s="486"/>
      <c r="F509" s="486"/>
      <c r="G509" s="472"/>
      <c r="H509" s="472"/>
      <c r="I509" s="472"/>
      <c r="J509" s="472"/>
      <c r="K509" s="472"/>
      <c r="L509" s="472"/>
      <c r="M509" s="472"/>
      <c r="N509" s="472"/>
      <c r="O509" s="472"/>
      <c r="P509" s="472"/>
      <c r="Q509" s="472"/>
      <c r="R509" s="472"/>
      <c r="S509" s="472"/>
      <c r="T509" s="472"/>
      <c r="U509" s="472"/>
      <c r="V509" s="472"/>
      <c r="W509" s="472"/>
      <c r="X509" s="472"/>
      <c r="Y509" s="472"/>
      <c r="Z509" s="472"/>
      <c r="AA509" s="472"/>
    </row>
    <row r="510" outlineLevel="1">
      <c r="A510" s="484">
        <f>IFERROR(__xludf.DUMMYFUNCTION("""COMPUTED_VALUE"""),5.15250090057E11)</f>
        <v>515250090057</v>
      </c>
      <c r="B510" s="485" t="str">
        <f>IFERROR(__xludf.DUMMYFUNCTION("""COMPUTED_VALUE"""),"PAULO DE TARSO XAVIER SOUSA JUNIOR")</f>
        <v>PAULO DE TARSO XAVIER SOUSA JUNIOR</v>
      </c>
      <c r="C510" s="486">
        <f>IFERROR(__xludf.DUMMYFUNCTION("""COMPUTED_VALUE"""),6.0)</f>
        <v>6</v>
      </c>
      <c r="D510" s="487"/>
      <c r="E510" s="486"/>
      <c r="F510" s="486"/>
      <c r="G510" s="472"/>
      <c r="H510" s="472"/>
      <c r="I510" s="472"/>
      <c r="J510" s="472"/>
      <c r="K510" s="472"/>
      <c r="L510" s="472"/>
      <c r="M510" s="472"/>
      <c r="N510" s="472"/>
      <c r="O510" s="472"/>
      <c r="P510" s="472"/>
      <c r="Q510" s="472"/>
      <c r="R510" s="472"/>
      <c r="S510" s="472"/>
      <c r="T510" s="472"/>
      <c r="U510" s="472"/>
      <c r="V510" s="472"/>
      <c r="W510" s="472"/>
      <c r="X510" s="472"/>
      <c r="Y510" s="472"/>
      <c r="Z510" s="472"/>
      <c r="AA510" s="472"/>
    </row>
    <row r="511" outlineLevel="1">
      <c r="A511" s="484">
        <f>IFERROR(__xludf.DUMMYFUNCTION("""COMPUTED_VALUE"""),2.73060091699E11)</f>
        <v>273060091699</v>
      </c>
      <c r="B511" s="485" t="str">
        <f>IFERROR(__xludf.DUMMYFUNCTION("""COMPUTED_VALUE"""),"ANA LARISSE SANTOS BARBOSA")</f>
        <v>ANA LARISSE SANTOS BARBOSA</v>
      </c>
      <c r="C511" s="486">
        <f>IFERROR(__xludf.DUMMYFUNCTION("""COMPUTED_VALUE"""),6.0)</f>
        <v>6</v>
      </c>
      <c r="D511" s="487"/>
      <c r="E511" s="486"/>
      <c r="F511" s="486"/>
      <c r="G511" s="472"/>
      <c r="H511" s="472"/>
      <c r="I511" s="472"/>
      <c r="J511" s="472"/>
      <c r="K511" s="472"/>
      <c r="L511" s="472"/>
      <c r="M511" s="472"/>
      <c r="N511" s="472"/>
      <c r="O511" s="472"/>
      <c r="P511" s="472"/>
      <c r="Q511" s="472"/>
      <c r="R511" s="472"/>
      <c r="S511" s="472"/>
      <c r="T511" s="472"/>
      <c r="U511" s="472"/>
      <c r="V511" s="472"/>
      <c r="W511" s="472"/>
      <c r="X511" s="472"/>
      <c r="Y511" s="472"/>
      <c r="Z511" s="472"/>
      <c r="AA511" s="472"/>
    </row>
    <row r="512" outlineLevel="1">
      <c r="A512" s="484">
        <f>IFERROR(__xludf.DUMMYFUNCTION("""COMPUTED_VALUE"""),7.5557009282E11)</f>
        <v>755570092820</v>
      </c>
      <c r="B512" s="485" t="str">
        <f>IFERROR(__xludf.DUMMYFUNCTION("""COMPUTED_VALUE"""),"BRENDA PINHEIRO EVANGELISTA")</f>
        <v>BRENDA PINHEIRO EVANGELISTA</v>
      </c>
      <c r="C512" s="486">
        <f>IFERROR(__xludf.DUMMYFUNCTION("""COMPUTED_VALUE"""),6.0)</f>
        <v>6</v>
      </c>
      <c r="D512" s="487"/>
      <c r="E512" s="486"/>
      <c r="F512" s="486"/>
      <c r="G512" s="472"/>
      <c r="H512" s="472"/>
      <c r="I512" s="472"/>
      <c r="J512" s="472"/>
      <c r="K512" s="472"/>
      <c r="L512" s="472"/>
      <c r="M512" s="472"/>
      <c r="N512" s="472"/>
      <c r="O512" s="472"/>
      <c r="P512" s="472"/>
      <c r="Q512" s="472"/>
      <c r="R512" s="472"/>
      <c r="S512" s="472"/>
      <c r="T512" s="472"/>
      <c r="U512" s="472"/>
      <c r="V512" s="472"/>
      <c r="W512" s="472"/>
      <c r="X512" s="472"/>
      <c r="Y512" s="472"/>
      <c r="Z512" s="472"/>
      <c r="AA512" s="472"/>
    </row>
    <row r="513">
      <c r="A513" s="478" t="str">
        <f>IFERROR(__xludf.DUMMYFUNCTION("""COMPUTED_VALUE"""),"VII - MES - VIOLÊNCIA COM ÊNFASE EM INFÂNCIA E ADOLESCÊNCIA")</f>
        <v>VII - MES - VIOLÊNCIA COM ÊNFASE EM INFÂNCIA E ADOLESCÊNCIA</v>
      </c>
      <c r="B513" s="479"/>
      <c r="C513" s="479"/>
      <c r="D513" s="479"/>
      <c r="E513" s="479"/>
      <c r="F513" s="480"/>
      <c r="G513" s="472"/>
      <c r="H513" s="472"/>
      <c r="I513" s="472"/>
      <c r="J513" s="472"/>
      <c r="K513" s="472"/>
      <c r="L513" s="472"/>
      <c r="M513" s="472"/>
      <c r="N513" s="472"/>
      <c r="O513" s="472"/>
      <c r="P513" s="472"/>
      <c r="Q513" s="472"/>
      <c r="R513" s="472"/>
      <c r="S513" s="472"/>
      <c r="T513" s="472"/>
      <c r="U513" s="472"/>
      <c r="V513" s="472"/>
      <c r="W513" s="472"/>
      <c r="X513" s="472"/>
      <c r="Y513" s="472"/>
      <c r="Z513" s="472"/>
      <c r="AA513" s="472"/>
    </row>
    <row r="514" outlineLevel="1">
      <c r="A514" s="481" t="str">
        <f>IFERROR(__xludf.DUMMYFUNCTION("""COMPUTED_VALUE"""),"INSCRIÇÃO")</f>
        <v>INSCRIÇÃO</v>
      </c>
      <c r="B514" s="482" t="str">
        <f>IFERROR(__xludf.DUMMYFUNCTION("""COMPUTED_VALUE"""),"CANDIDATOS")</f>
        <v>CANDIDATOS</v>
      </c>
      <c r="C514" s="481" t="str">
        <f>IFERROR(__xludf.DUMMYFUNCTION("""COMPUTED_VALUE"""),"NF")</f>
        <v>NF</v>
      </c>
      <c r="D514" s="483" t="str">
        <f>IFERROR(__xludf.DUMMYFUNCTION("""COMPUTED_VALUE"""),"CONVOCADO(A)")</f>
        <v>CONVOCADO(A)</v>
      </c>
      <c r="E514" s="483" t="str">
        <f>IFERROR(__xludf.DUMMYFUNCTION("""COMPUTED_VALUE"""),"HOMOLOGADO(A)")</f>
        <v>HOMOLOGADO(A)</v>
      </c>
      <c r="F514" s="483" t="str">
        <f>IFERROR(__xludf.DUMMYFUNCTION("""COMPUTED_VALUE"""),"GERÊNCIA")</f>
        <v>GERÊNCIA</v>
      </c>
      <c r="G514" s="472"/>
      <c r="H514" s="472"/>
      <c r="I514" s="472"/>
      <c r="J514" s="472"/>
      <c r="K514" s="472"/>
      <c r="L514" s="472"/>
      <c r="M514" s="472"/>
      <c r="N514" s="472"/>
      <c r="O514" s="472"/>
      <c r="P514" s="472"/>
      <c r="Q514" s="472"/>
      <c r="R514" s="472"/>
      <c r="S514" s="472"/>
      <c r="T514" s="472"/>
      <c r="U514" s="472"/>
      <c r="V514" s="472"/>
      <c r="W514" s="472"/>
      <c r="X514" s="472"/>
      <c r="Y514" s="472"/>
      <c r="Z514" s="472"/>
      <c r="AA514" s="472"/>
    </row>
    <row r="515" outlineLevel="1">
      <c r="A515" s="484">
        <f>IFERROR(__xludf.DUMMYFUNCTION("""COMPUTED_VALUE"""),8.22769093209E11)</f>
        <v>822769093209</v>
      </c>
      <c r="B515" s="485" t="str">
        <f>IFERROR(__xludf.DUMMYFUNCTION("""COMPUTED_VALUE"""),"GILMARA MARIA BATISTA TAVARES DA SILVA")</f>
        <v>GILMARA MARIA BATISTA TAVARES DA SILVA</v>
      </c>
      <c r="C515" s="486">
        <f>IFERROR(__xludf.DUMMYFUNCTION("""COMPUTED_VALUE"""),9.5)</f>
        <v>9.5</v>
      </c>
      <c r="D515" s="487"/>
      <c r="E515" s="486"/>
      <c r="F515" s="488"/>
      <c r="G515" s="472"/>
      <c r="H515" s="472"/>
      <c r="I515" s="472"/>
      <c r="J515" s="472"/>
      <c r="K515" s="472"/>
      <c r="L515" s="472"/>
      <c r="M515" s="472"/>
      <c r="N515" s="472"/>
      <c r="O515" s="472"/>
      <c r="P515" s="472"/>
      <c r="Q515" s="472"/>
      <c r="R515" s="472"/>
      <c r="S515" s="472"/>
      <c r="T515" s="472"/>
      <c r="U515" s="472"/>
      <c r="V515" s="472"/>
      <c r="W515" s="472"/>
      <c r="X515" s="472"/>
      <c r="Y515" s="472"/>
      <c r="Z515" s="472"/>
      <c r="AA515" s="472"/>
    </row>
    <row r="516" outlineLevel="1">
      <c r="A516" s="494">
        <f>IFERROR(__xludf.DUMMYFUNCTION("""COMPUTED_VALUE"""),4.7327093525E10)</f>
        <v>47327093525</v>
      </c>
      <c r="B516" s="485" t="str">
        <f>IFERROR(__xludf.DUMMYFUNCTION("""COMPUTED_VALUE"""),"MARIA NEURILANE VIANA NOGUEIRA")</f>
        <v>MARIA NEURILANE VIANA NOGUEIRA</v>
      </c>
      <c r="C516" s="486">
        <f>IFERROR(__xludf.DUMMYFUNCTION("""COMPUTED_VALUE"""),8.0)</f>
        <v>8</v>
      </c>
      <c r="D516" s="487"/>
      <c r="E516" s="486"/>
      <c r="F516" s="488"/>
      <c r="G516" s="472"/>
      <c r="H516" s="472"/>
      <c r="I516" s="472"/>
      <c r="J516" s="472"/>
      <c r="K516" s="472"/>
      <c r="L516" s="472"/>
      <c r="M516" s="472"/>
      <c r="N516" s="472"/>
      <c r="O516" s="472"/>
      <c r="P516" s="472"/>
      <c r="Q516" s="472"/>
      <c r="R516" s="472"/>
      <c r="S516" s="472"/>
      <c r="T516" s="472"/>
      <c r="U516" s="472"/>
      <c r="V516" s="472"/>
      <c r="W516" s="472"/>
      <c r="X516" s="472"/>
      <c r="Y516" s="472"/>
      <c r="Z516" s="472"/>
      <c r="AA516" s="472"/>
    </row>
    <row r="517" outlineLevel="1">
      <c r="A517" s="484">
        <f>IFERROR(__xludf.DUMMYFUNCTION("""COMPUTED_VALUE"""),5.48624092915E11)</f>
        <v>548624092915</v>
      </c>
      <c r="B517" s="485" t="str">
        <f>IFERROR(__xludf.DUMMYFUNCTION("""COMPUTED_VALUE"""),"JEFFERSON LOPES CUSTÓDIO")</f>
        <v>JEFFERSON LOPES CUSTÓDIO</v>
      </c>
      <c r="C517" s="486">
        <f>IFERROR(__xludf.DUMMYFUNCTION("""COMPUTED_VALUE"""),7.5)</f>
        <v>7.5</v>
      </c>
      <c r="D517" s="487"/>
      <c r="E517" s="486"/>
      <c r="F517" s="488"/>
      <c r="G517" s="472"/>
      <c r="H517" s="472"/>
      <c r="I517" s="472"/>
      <c r="J517" s="472"/>
      <c r="K517" s="472"/>
      <c r="L517" s="472"/>
      <c r="M517" s="472"/>
      <c r="N517" s="472"/>
      <c r="O517" s="472"/>
      <c r="P517" s="472"/>
      <c r="Q517" s="472"/>
      <c r="R517" s="472"/>
      <c r="S517" s="472"/>
      <c r="T517" s="472"/>
      <c r="U517" s="472"/>
      <c r="V517" s="472"/>
      <c r="W517" s="472"/>
      <c r="X517" s="472"/>
      <c r="Y517" s="472"/>
      <c r="Z517" s="472"/>
      <c r="AA517" s="472"/>
    </row>
    <row r="518" outlineLevel="1">
      <c r="A518" s="484">
        <f>IFERROR(__xludf.DUMMYFUNCTION("""COMPUTED_VALUE"""),2.17459092952E11)</f>
        <v>217459092952</v>
      </c>
      <c r="B518" s="485" t="str">
        <f>IFERROR(__xludf.DUMMYFUNCTION("""COMPUTED_VALUE"""),"ARIELLE ARRY CARVALHO")</f>
        <v>ARIELLE ARRY CARVALHO</v>
      </c>
      <c r="C518" s="486">
        <f>IFERROR(__xludf.DUMMYFUNCTION("""COMPUTED_VALUE"""),7.0)</f>
        <v>7</v>
      </c>
      <c r="D518" s="487"/>
      <c r="E518" s="486"/>
      <c r="F518" s="488"/>
      <c r="G518" s="472"/>
      <c r="H518" s="472"/>
      <c r="I518" s="472"/>
      <c r="J518" s="472"/>
      <c r="K518" s="472"/>
      <c r="L518" s="472"/>
      <c r="M518" s="472"/>
      <c r="N518" s="472"/>
      <c r="O518" s="472"/>
      <c r="P518" s="472"/>
      <c r="Q518" s="472"/>
      <c r="R518" s="472"/>
      <c r="S518" s="472"/>
      <c r="T518" s="472"/>
      <c r="U518" s="472"/>
      <c r="V518" s="472"/>
      <c r="W518" s="472"/>
      <c r="X518" s="472"/>
      <c r="Y518" s="472"/>
      <c r="Z518" s="472"/>
      <c r="AA518" s="472"/>
    </row>
    <row r="519" outlineLevel="1">
      <c r="A519" s="484">
        <f>IFERROR(__xludf.DUMMYFUNCTION("""COMPUTED_VALUE"""),2.73060091701E11)</f>
        <v>273060091701</v>
      </c>
      <c r="B519" s="485" t="str">
        <f>IFERROR(__xludf.DUMMYFUNCTION("""COMPUTED_VALUE"""),"ANA LARISSE SANTOS BARBOSA")</f>
        <v>ANA LARISSE SANTOS BARBOSA</v>
      </c>
      <c r="C519" s="486">
        <f>IFERROR(__xludf.DUMMYFUNCTION("""COMPUTED_VALUE"""),7.0)</f>
        <v>7</v>
      </c>
      <c r="D519" s="487"/>
      <c r="E519" s="486"/>
      <c r="F519" s="488"/>
      <c r="G519" s="472"/>
      <c r="H519" s="472"/>
      <c r="I519" s="472"/>
      <c r="J519" s="472"/>
      <c r="K519" s="472"/>
      <c r="L519" s="472"/>
      <c r="M519" s="472"/>
      <c r="N519" s="472"/>
      <c r="O519" s="472"/>
      <c r="P519" s="472"/>
      <c r="Q519" s="472"/>
      <c r="R519" s="472"/>
      <c r="S519" s="472"/>
      <c r="T519" s="472"/>
      <c r="U519" s="472"/>
      <c r="V519" s="472"/>
      <c r="W519" s="472"/>
      <c r="X519" s="472"/>
      <c r="Y519" s="472"/>
      <c r="Z519" s="472"/>
      <c r="AA519" s="472"/>
    </row>
    <row r="520" outlineLevel="1">
      <c r="A520" s="484">
        <f>IFERROR(__xludf.DUMMYFUNCTION("""COMPUTED_VALUE"""),1.91806092581E11)</f>
        <v>191806092581</v>
      </c>
      <c r="B520" s="485" t="str">
        <f>IFERROR(__xludf.DUMMYFUNCTION("""COMPUTED_VALUE"""),"ÍVINA ALESSA BISPO SILVA")</f>
        <v>ÍVINA ALESSA BISPO SILVA</v>
      </c>
      <c r="C520" s="486">
        <f>IFERROR(__xludf.DUMMYFUNCTION("""COMPUTED_VALUE"""),7.0)</f>
        <v>7</v>
      </c>
      <c r="D520" s="487"/>
      <c r="E520" s="486"/>
      <c r="F520" s="488"/>
      <c r="G520" s="472"/>
      <c r="H520" s="472"/>
      <c r="I520" s="472"/>
      <c r="J520" s="472"/>
      <c r="K520" s="472"/>
      <c r="L520" s="472"/>
      <c r="M520" s="472"/>
      <c r="N520" s="472"/>
      <c r="O520" s="472"/>
      <c r="P520" s="472"/>
      <c r="Q520" s="472"/>
      <c r="R520" s="472"/>
      <c r="S520" s="472"/>
      <c r="T520" s="472"/>
      <c r="U520" s="472"/>
      <c r="V520" s="472"/>
      <c r="W520" s="472"/>
      <c r="X520" s="472"/>
      <c r="Y520" s="472"/>
      <c r="Z520" s="472"/>
      <c r="AA520" s="472"/>
    </row>
    <row r="521" outlineLevel="1">
      <c r="A521" s="484">
        <f>IFERROR(__xludf.DUMMYFUNCTION("""COMPUTED_VALUE"""),7.54040090086E11)</f>
        <v>754040090086</v>
      </c>
      <c r="B521" s="485" t="str">
        <f>IFERROR(__xludf.DUMMYFUNCTION("""COMPUTED_VALUE"""),"LORENA LOIOLA BATISTA")</f>
        <v>LORENA LOIOLA BATISTA</v>
      </c>
      <c r="C521" s="486">
        <f>IFERROR(__xludf.DUMMYFUNCTION("""COMPUTED_VALUE"""),6.0)</f>
        <v>6</v>
      </c>
      <c r="D521" s="487"/>
      <c r="E521" s="486"/>
      <c r="F521" s="488"/>
      <c r="G521" s="472"/>
      <c r="H521" s="472"/>
      <c r="I521" s="472"/>
      <c r="J521" s="472"/>
      <c r="K521" s="472"/>
      <c r="L521" s="472"/>
      <c r="M521" s="472"/>
      <c r="N521" s="472"/>
      <c r="O521" s="472"/>
      <c r="P521" s="472"/>
      <c r="Q521" s="472"/>
      <c r="R521" s="472"/>
      <c r="S521" s="472"/>
      <c r="T521" s="472"/>
      <c r="U521" s="472"/>
      <c r="V521" s="472"/>
      <c r="W521" s="472"/>
      <c r="X521" s="472"/>
      <c r="Y521" s="472"/>
      <c r="Z521" s="472"/>
      <c r="AA521" s="472"/>
    </row>
    <row r="522" outlineLevel="1">
      <c r="A522" s="484">
        <f>IFERROR(__xludf.DUMMYFUNCTION("""COMPUTED_VALUE"""),5.15250090058E11)</f>
        <v>515250090058</v>
      </c>
      <c r="B522" s="485" t="str">
        <f>IFERROR(__xludf.DUMMYFUNCTION("""COMPUTED_VALUE"""),"PAULO DE TARSO XAVIER SOUSA JUNIOR")</f>
        <v>PAULO DE TARSO XAVIER SOUSA JUNIOR</v>
      </c>
      <c r="C522" s="486">
        <f>IFERROR(__xludf.DUMMYFUNCTION("""COMPUTED_VALUE"""),6.0)</f>
        <v>6</v>
      </c>
      <c r="D522" s="487"/>
      <c r="E522" s="486"/>
      <c r="F522" s="488"/>
      <c r="G522" s="472"/>
      <c r="H522" s="472"/>
      <c r="I522" s="472"/>
      <c r="J522" s="472"/>
      <c r="K522" s="472"/>
      <c r="L522" s="472"/>
      <c r="M522" s="472"/>
      <c r="N522" s="472"/>
      <c r="O522" s="472"/>
      <c r="P522" s="472"/>
      <c r="Q522" s="472"/>
      <c r="R522" s="472"/>
      <c r="S522" s="472"/>
      <c r="T522" s="472"/>
      <c r="U522" s="472"/>
      <c r="V522" s="472"/>
      <c r="W522" s="472"/>
      <c r="X522" s="472"/>
      <c r="Y522" s="472"/>
      <c r="Z522" s="472"/>
      <c r="AA522" s="472"/>
    </row>
    <row r="523">
      <c r="A523" s="478" t="str">
        <f>IFERROR(__xludf.DUMMYFUNCTION("""COMPUTED_VALUE"""),"VIII - MES - TRANSTORNO DO ESPECTRO AUTISTA (TEA)")</f>
        <v>VIII - MES - TRANSTORNO DO ESPECTRO AUTISTA (TEA)</v>
      </c>
      <c r="B523" s="479"/>
      <c r="C523" s="479"/>
      <c r="D523" s="479"/>
      <c r="E523" s="479"/>
      <c r="F523" s="480"/>
      <c r="G523" s="472"/>
      <c r="H523" s="472"/>
      <c r="I523" s="472"/>
      <c r="J523" s="472"/>
      <c r="K523" s="472"/>
      <c r="L523" s="472"/>
      <c r="M523" s="472"/>
      <c r="N523" s="472"/>
      <c r="O523" s="472"/>
      <c r="P523" s="472"/>
      <c r="Q523" s="472"/>
      <c r="R523" s="472"/>
      <c r="S523" s="472"/>
      <c r="T523" s="472"/>
      <c r="U523" s="472"/>
      <c r="V523" s="472"/>
      <c r="W523" s="472"/>
      <c r="X523" s="472"/>
      <c r="Y523" s="472"/>
      <c r="Z523" s="472"/>
      <c r="AA523" s="472"/>
    </row>
    <row r="524" outlineLevel="1">
      <c r="A524" s="481" t="str">
        <f>IFERROR(__xludf.DUMMYFUNCTION("""COMPUTED_VALUE"""),"INSCRIÇÃO")</f>
        <v>INSCRIÇÃO</v>
      </c>
      <c r="B524" s="482" t="str">
        <f>IFERROR(__xludf.DUMMYFUNCTION("""COMPUTED_VALUE"""),"CANDIDATOS")</f>
        <v>CANDIDATOS</v>
      </c>
      <c r="C524" s="481" t="str">
        <f>IFERROR(__xludf.DUMMYFUNCTION("""COMPUTED_VALUE"""),"NF")</f>
        <v>NF</v>
      </c>
      <c r="D524" s="483" t="str">
        <f>IFERROR(__xludf.DUMMYFUNCTION("""COMPUTED_VALUE"""),"CONVOCADO(A)")</f>
        <v>CONVOCADO(A)</v>
      </c>
      <c r="E524" s="483" t="str">
        <f>IFERROR(__xludf.DUMMYFUNCTION("""COMPUTED_VALUE"""),"HOMOLOGADO(A)")</f>
        <v>HOMOLOGADO(A)</v>
      </c>
      <c r="F524" s="483" t="str">
        <f>IFERROR(__xludf.DUMMYFUNCTION("""COMPUTED_VALUE"""),"GERÊNCIA")</f>
        <v>GERÊNCIA</v>
      </c>
      <c r="G524" s="472"/>
      <c r="H524" s="472"/>
      <c r="I524" s="472"/>
      <c r="J524" s="472"/>
      <c r="K524" s="472"/>
      <c r="L524" s="472"/>
      <c r="M524" s="472"/>
      <c r="N524" s="472"/>
      <c r="O524" s="472"/>
      <c r="P524" s="472"/>
      <c r="Q524" s="472"/>
      <c r="R524" s="472"/>
      <c r="S524" s="472"/>
      <c r="T524" s="472"/>
      <c r="U524" s="472"/>
      <c r="V524" s="472"/>
      <c r="W524" s="472"/>
      <c r="X524" s="472"/>
      <c r="Y524" s="472"/>
      <c r="Z524" s="472"/>
      <c r="AA524" s="472"/>
    </row>
    <row r="525" outlineLevel="1">
      <c r="A525" s="484">
        <f>IFERROR(__xludf.DUMMYFUNCTION("""COMPUTED_VALUE"""),5.96501090361E11)</f>
        <v>596501090361</v>
      </c>
      <c r="B525" s="485" t="str">
        <f>IFERROR(__xludf.DUMMYFUNCTION("""COMPUTED_VALUE"""),"JOSE HENRIQUE DE LACERDA FURTADO")</f>
        <v>JOSE HENRIQUE DE LACERDA FURTADO</v>
      </c>
      <c r="C525" s="486">
        <f>IFERROR(__xludf.DUMMYFUNCTION("""COMPUTED_VALUE"""),10.0)</f>
        <v>10</v>
      </c>
      <c r="D525" s="487"/>
      <c r="E525" s="486"/>
      <c r="F525" s="488"/>
      <c r="G525" s="472"/>
      <c r="H525" s="472"/>
      <c r="I525" s="472"/>
      <c r="J525" s="472"/>
      <c r="K525" s="472"/>
      <c r="L525" s="472"/>
      <c r="M525" s="472"/>
      <c r="N525" s="472"/>
      <c r="O525" s="472"/>
      <c r="P525" s="472"/>
      <c r="Q525" s="472"/>
      <c r="R525" s="472"/>
      <c r="S525" s="472"/>
      <c r="T525" s="472"/>
      <c r="U525" s="472"/>
      <c r="V525" s="472"/>
      <c r="W525" s="472"/>
      <c r="X525" s="472"/>
      <c r="Y525" s="472"/>
      <c r="Z525" s="472"/>
      <c r="AA525" s="472"/>
    </row>
    <row r="526" outlineLevel="1">
      <c r="A526" s="484">
        <f>IFERROR(__xludf.DUMMYFUNCTION("""COMPUTED_VALUE"""),3.14000090315E11)</f>
        <v>314000090315</v>
      </c>
      <c r="B526" s="485" t="str">
        <f>IFERROR(__xludf.DUMMYFUNCTION("""COMPUTED_VALUE"""),"AMANDA CAVALCANTE MAIA")</f>
        <v>AMANDA CAVALCANTE MAIA</v>
      </c>
      <c r="C526" s="486">
        <f>IFERROR(__xludf.DUMMYFUNCTION("""COMPUTED_VALUE"""),8.0)</f>
        <v>8</v>
      </c>
      <c r="D526" s="487"/>
      <c r="E526" s="486"/>
      <c r="F526" s="488"/>
      <c r="G526" s="472"/>
      <c r="H526" s="472"/>
      <c r="I526" s="472"/>
      <c r="J526" s="472"/>
      <c r="K526" s="472"/>
      <c r="L526" s="472"/>
      <c r="M526" s="472"/>
      <c r="N526" s="472"/>
      <c r="O526" s="472"/>
      <c r="P526" s="472"/>
      <c r="Q526" s="472"/>
      <c r="R526" s="472"/>
      <c r="S526" s="472"/>
      <c r="T526" s="472"/>
      <c r="U526" s="472"/>
      <c r="V526" s="472"/>
      <c r="W526" s="472"/>
      <c r="X526" s="472"/>
      <c r="Y526" s="472"/>
      <c r="Z526" s="472"/>
      <c r="AA526" s="472"/>
    </row>
    <row r="527" outlineLevel="1">
      <c r="A527" s="484">
        <f>IFERROR(__xludf.DUMMYFUNCTION("""COMPUTED_VALUE"""),6.34850090766E11)</f>
        <v>634850090766</v>
      </c>
      <c r="B527" s="485" t="str">
        <f>IFERROR(__xludf.DUMMYFUNCTION("""COMPUTED_VALUE"""),"BEATRIZ DA SILVA LIMA")</f>
        <v>BEATRIZ DA SILVA LIMA</v>
      </c>
      <c r="C527" s="486">
        <f>IFERROR(__xludf.DUMMYFUNCTION("""COMPUTED_VALUE"""),8.0)</f>
        <v>8</v>
      </c>
      <c r="D527" s="487"/>
      <c r="E527" s="486"/>
      <c r="F527" s="488"/>
      <c r="G527" s="472"/>
      <c r="H527" s="472"/>
      <c r="I527" s="472"/>
      <c r="J527" s="472"/>
      <c r="K527" s="472"/>
      <c r="L527" s="472"/>
      <c r="M527" s="472"/>
      <c r="N527" s="472"/>
      <c r="O527" s="472"/>
      <c r="P527" s="472"/>
      <c r="Q527" s="472"/>
      <c r="R527" s="472"/>
      <c r="S527" s="472"/>
      <c r="T527" s="472"/>
      <c r="U527" s="472"/>
      <c r="V527" s="472"/>
      <c r="W527" s="472"/>
      <c r="X527" s="472"/>
      <c r="Y527" s="472"/>
      <c r="Z527" s="472"/>
      <c r="AA527" s="472"/>
    </row>
    <row r="528" outlineLevel="1">
      <c r="A528" s="484">
        <f>IFERROR(__xludf.DUMMYFUNCTION("""COMPUTED_VALUE"""),8.9339009319E11)</f>
        <v>893390093190</v>
      </c>
      <c r="B528" s="485" t="str">
        <f>IFERROR(__xludf.DUMMYFUNCTION("""COMPUTED_VALUE"""),"JEAN CARLOS SOUZA SILVA")</f>
        <v>JEAN CARLOS SOUZA SILVA</v>
      </c>
      <c r="C528" s="486">
        <f>IFERROR(__xludf.DUMMYFUNCTION("""COMPUTED_VALUE"""),6.0)</f>
        <v>6</v>
      </c>
      <c r="D528" s="487"/>
      <c r="E528" s="486"/>
      <c r="F528" s="488"/>
      <c r="G528" s="472"/>
      <c r="H528" s="472"/>
      <c r="I528" s="472"/>
      <c r="J528" s="472"/>
      <c r="K528" s="472"/>
      <c r="L528" s="472"/>
      <c r="M528" s="472"/>
      <c r="N528" s="472"/>
      <c r="O528" s="472"/>
      <c r="P528" s="472"/>
      <c r="Q528" s="472"/>
      <c r="R528" s="472"/>
      <c r="S528" s="472"/>
      <c r="T528" s="472"/>
      <c r="U528" s="472"/>
      <c r="V528" s="472"/>
      <c r="W528" s="472"/>
      <c r="X528" s="472"/>
      <c r="Y528" s="472"/>
      <c r="Z528" s="472"/>
      <c r="AA528" s="472"/>
    </row>
    <row r="529">
      <c r="A529" s="478" t="str">
        <f>IFERROR(__xludf.DUMMYFUNCTION("""COMPUTED_VALUE"""),"IX - MES - URGÊNCIAS E EMERGÊNCIAS")</f>
        <v>IX - MES - URGÊNCIAS E EMERGÊNCIAS</v>
      </c>
      <c r="B529" s="479"/>
      <c r="C529" s="479"/>
      <c r="D529" s="479"/>
      <c r="E529" s="479"/>
      <c r="F529" s="480"/>
      <c r="G529" s="472"/>
      <c r="H529" s="472"/>
      <c r="I529" s="472"/>
      <c r="J529" s="472"/>
      <c r="K529" s="472"/>
      <c r="L529" s="472"/>
      <c r="M529" s="472"/>
      <c r="N529" s="472"/>
      <c r="O529" s="472"/>
      <c r="P529" s="472"/>
      <c r="Q529" s="472"/>
      <c r="R529" s="472"/>
      <c r="S529" s="472"/>
      <c r="T529" s="472"/>
      <c r="U529" s="472"/>
      <c r="V529" s="472"/>
      <c r="W529" s="472"/>
      <c r="X529" s="472"/>
      <c r="Y529" s="472"/>
      <c r="Z529" s="472"/>
      <c r="AA529" s="472"/>
    </row>
    <row r="530" outlineLevel="1">
      <c r="A530" s="481" t="str">
        <f>IFERROR(__xludf.DUMMYFUNCTION("""COMPUTED_VALUE"""),"INSCRIÇÃO")</f>
        <v>INSCRIÇÃO</v>
      </c>
      <c r="B530" s="482" t="str">
        <f>IFERROR(__xludf.DUMMYFUNCTION("""COMPUTED_VALUE"""),"CANDIDATOS")</f>
        <v>CANDIDATOS</v>
      </c>
      <c r="C530" s="481" t="str">
        <f>IFERROR(__xludf.DUMMYFUNCTION("""COMPUTED_VALUE"""),"NF")</f>
        <v>NF</v>
      </c>
      <c r="D530" s="483" t="str">
        <f>IFERROR(__xludf.DUMMYFUNCTION("""COMPUTED_VALUE"""),"CONVOCADO(A)")</f>
        <v>CONVOCADO(A)</v>
      </c>
      <c r="E530" s="483" t="str">
        <f>IFERROR(__xludf.DUMMYFUNCTION("""COMPUTED_VALUE"""),"HOMOLOGADO(A)")</f>
        <v>HOMOLOGADO(A)</v>
      </c>
      <c r="F530" s="483" t="str">
        <f>IFERROR(__xludf.DUMMYFUNCTION("""COMPUTED_VALUE"""),"GERÊNCIA")</f>
        <v>GERÊNCIA</v>
      </c>
      <c r="G530" s="472"/>
      <c r="H530" s="472"/>
      <c r="I530" s="472"/>
      <c r="J530" s="472"/>
      <c r="K530" s="472"/>
      <c r="L530" s="472"/>
      <c r="M530" s="472"/>
      <c r="N530" s="472"/>
      <c r="O530" s="472"/>
      <c r="P530" s="472"/>
      <c r="Q530" s="472"/>
      <c r="R530" s="472"/>
      <c r="S530" s="472"/>
      <c r="T530" s="472"/>
      <c r="U530" s="472"/>
      <c r="V530" s="472"/>
      <c r="W530" s="472"/>
      <c r="X530" s="472"/>
      <c r="Y530" s="472"/>
      <c r="Z530" s="472"/>
      <c r="AA530" s="472"/>
    </row>
    <row r="531" outlineLevel="1">
      <c r="A531" s="484">
        <f>IFERROR(__xludf.DUMMYFUNCTION("""COMPUTED_VALUE"""),4.32900091234E11)</f>
        <v>432900091234</v>
      </c>
      <c r="B531" s="485" t="str">
        <f>IFERROR(__xludf.DUMMYFUNCTION("""COMPUTED_VALUE"""),"JOSÉ DAMIÃO DA SILVA FILHO")</f>
        <v>JOSÉ DAMIÃO DA SILVA FILHO</v>
      </c>
      <c r="C531" s="486">
        <f>IFERROR(__xludf.DUMMYFUNCTION("""COMPUTED_VALUE"""),9.5)</f>
        <v>9.5</v>
      </c>
      <c r="D531" s="487" t="str">
        <f>IFERROR(__xludf.DUMMYFUNCTION("""COMPUTED_VALUE"""),"SIM")</f>
        <v>SIM</v>
      </c>
      <c r="E531" s="486" t="str">
        <f>IFERROR(__xludf.DUMMYFUNCTION("""COMPUTED_VALUE"""),"NÃO")</f>
        <v>NÃO</v>
      </c>
      <c r="F531" s="486" t="str">
        <f>IFERROR(__xludf.DUMMYFUNCTION("""COMPUTED_VALUE"""),"GEDUC")</f>
        <v>GEDUC</v>
      </c>
      <c r="G531" s="472"/>
      <c r="H531" s="472"/>
      <c r="I531" s="472"/>
      <c r="J531" s="472"/>
      <c r="K531" s="472"/>
      <c r="L531" s="472"/>
      <c r="M531" s="472"/>
      <c r="N531" s="472"/>
      <c r="O531" s="472"/>
      <c r="P531" s="472"/>
      <c r="Q531" s="472"/>
      <c r="R531" s="472"/>
      <c r="S531" s="472"/>
      <c r="T531" s="472"/>
      <c r="U531" s="472"/>
      <c r="V531" s="472"/>
      <c r="W531" s="472"/>
      <c r="X531" s="472"/>
      <c r="Y531" s="472"/>
      <c r="Z531" s="472"/>
      <c r="AA531" s="472"/>
    </row>
    <row r="532" outlineLevel="1">
      <c r="A532" s="484">
        <f>IFERROR(__xludf.DUMMYFUNCTION("""COMPUTED_VALUE"""),9.71698089068E11)</f>
        <v>971698089068</v>
      </c>
      <c r="B532" s="485" t="str">
        <f>IFERROR(__xludf.DUMMYFUNCTION("""COMPUTED_VALUE"""),"SHURA DO PRADO FARIAS BORGES")</f>
        <v>SHURA DO PRADO FARIAS BORGES</v>
      </c>
      <c r="C532" s="486">
        <f>IFERROR(__xludf.DUMMYFUNCTION("""COMPUTED_VALUE"""),9.0)</f>
        <v>9</v>
      </c>
      <c r="D532" s="487" t="str">
        <f>IFERROR(__xludf.DUMMYFUNCTION("""COMPUTED_VALUE"""),"SIM")</f>
        <v>SIM</v>
      </c>
      <c r="E532" s="486" t="str">
        <f>IFERROR(__xludf.DUMMYFUNCTION("""COMPUTED_VALUE"""),"SIM")</f>
        <v>SIM</v>
      </c>
      <c r="F532" s="486" t="str">
        <f>IFERROR(__xludf.DUMMYFUNCTION("""COMPUTED_VALUE"""),"GEDUC")</f>
        <v>GEDUC</v>
      </c>
      <c r="G532" s="472"/>
      <c r="H532" s="472"/>
      <c r="I532" s="472"/>
      <c r="J532" s="472"/>
      <c r="K532" s="472"/>
      <c r="L532" s="472"/>
      <c r="M532" s="472"/>
      <c r="N532" s="472"/>
      <c r="O532" s="472"/>
      <c r="P532" s="472"/>
      <c r="Q532" s="472"/>
      <c r="R532" s="472"/>
      <c r="S532" s="472"/>
      <c r="T532" s="472"/>
      <c r="U532" s="472"/>
      <c r="V532" s="472"/>
      <c r="W532" s="472"/>
      <c r="X532" s="472"/>
      <c r="Y532" s="472"/>
      <c r="Z532" s="472"/>
      <c r="AA532" s="472"/>
    </row>
    <row r="533" outlineLevel="1">
      <c r="A533" s="484">
        <f>IFERROR(__xludf.DUMMYFUNCTION("""COMPUTED_VALUE"""),8.22440088946E11)</f>
        <v>822440088946</v>
      </c>
      <c r="B533" s="485" t="str">
        <f>IFERROR(__xludf.DUMMYFUNCTION("""COMPUTED_VALUE"""),"RAISSA MAGALHÃES DE ALMEIDA")</f>
        <v>RAISSA MAGALHÃES DE ALMEIDA</v>
      </c>
      <c r="C533" s="486">
        <f>IFERROR(__xludf.DUMMYFUNCTION("""COMPUTED_VALUE"""),9.0)</f>
        <v>9</v>
      </c>
      <c r="D533" s="487" t="str">
        <f>IFERROR(__xludf.DUMMYFUNCTION("""COMPUTED_VALUE"""),"SIM")</f>
        <v>SIM</v>
      </c>
      <c r="E533" s="486" t="str">
        <f>IFERROR(__xludf.DUMMYFUNCTION("""COMPUTED_VALUE"""),"SIM")</f>
        <v>SIM</v>
      </c>
      <c r="F533" s="486" t="str">
        <f>IFERROR(__xludf.DUMMYFUNCTION("""COMPUTED_VALUE"""),"GEDUC")</f>
        <v>GEDUC</v>
      </c>
      <c r="G533" s="472"/>
      <c r="H533" s="472"/>
      <c r="I533" s="472"/>
      <c r="J533" s="472"/>
      <c r="K533" s="472"/>
      <c r="L533" s="472"/>
      <c r="M533" s="472"/>
      <c r="N533" s="472"/>
      <c r="O533" s="472"/>
      <c r="P533" s="472"/>
      <c r="Q533" s="472"/>
      <c r="R533" s="472"/>
      <c r="S533" s="472"/>
      <c r="T533" s="472"/>
      <c r="U533" s="472"/>
      <c r="V533" s="472"/>
      <c r="W533" s="472"/>
      <c r="X533" s="472"/>
      <c r="Y533" s="472"/>
      <c r="Z533" s="472"/>
      <c r="AA533" s="472"/>
    </row>
    <row r="534" outlineLevel="1">
      <c r="A534" s="484">
        <f>IFERROR(__xludf.DUMMYFUNCTION("""COMPUTED_VALUE"""),3.52720089943E11)</f>
        <v>352720089943</v>
      </c>
      <c r="B534" s="485" t="str">
        <f>IFERROR(__xludf.DUMMYFUNCTION("""COMPUTED_VALUE"""),"MARIA ELAINE SILVA DE MELO")</f>
        <v>MARIA ELAINE SILVA DE MELO</v>
      </c>
      <c r="C534" s="486">
        <f>IFERROR(__xludf.DUMMYFUNCTION("""COMPUTED_VALUE"""),8.5)</f>
        <v>8.5</v>
      </c>
      <c r="D534" s="487" t="str">
        <f>IFERROR(__xludf.DUMMYFUNCTION("""COMPUTED_VALUE"""),"SIM")</f>
        <v>SIM</v>
      </c>
      <c r="E534" s="486" t="str">
        <f>IFERROR(__xludf.DUMMYFUNCTION("""COMPUTED_VALUE"""),"NÃO")</f>
        <v>NÃO</v>
      </c>
      <c r="F534" s="486" t="str">
        <f>IFERROR(__xludf.DUMMYFUNCTION("""COMPUTED_VALUE"""),"GEDUC")</f>
        <v>GEDUC</v>
      </c>
      <c r="G534" s="472"/>
      <c r="H534" s="472"/>
      <c r="I534" s="472"/>
      <c r="J534" s="472"/>
      <c r="K534" s="472"/>
      <c r="L534" s="472"/>
      <c r="M534" s="472"/>
      <c r="N534" s="472"/>
      <c r="O534" s="472"/>
      <c r="P534" s="472"/>
      <c r="Q534" s="472"/>
      <c r="R534" s="472"/>
      <c r="S534" s="472"/>
      <c r="T534" s="472"/>
      <c r="U534" s="472"/>
      <c r="V534" s="472"/>
      <c r="W534" s="472"/>
      <c r="X534" s="472"/>
      <c r="Y534" s="472"/>
      <c r="Z534" s="472"/>
      <c r="AA534" s="472"/>
    </row>
    <row r="535" outlineLevel="1">
      <c r="A535" s="484">
        <f>IFERROR(__xludf.DUMMYFUNCTION("""COMPUTED_VALUE"""),5.06987092486E11)</f>
        <v>506987092486</v>
      </c>
      <c r="B535" s="485" t="str">
        <f>IFERROR(__xludf.DUMMYFUNCTION("""COMPUTED_VALUE"""),"WILCILENE OLIVEIRA DOS SANTOS")</f>
        <v>WILCILENE OLIVEIRA DOS SANTOS</v>
      </c>
      <c r="C535" s="486">
        <f>IFERROR(__xludf.DUMMYFUNCTION("""COMPUTED_VALUE"""),8.0)</f>
        <v>8</v>
      </c>
      <c r="D535" s="487" t="str">
        <f>IFERROR(__xludf.DUMMYFUNCTION("""COMPUTED_VALUE"""),"SIM")</f>
        <v>SIM</v>
      </c>
      <c r="E535" s="486" t="str">
        <f>IFERROR(__xludf.DUMMYFUNCTION("""COMPUTED_VALUE"""),"SIM")</f>
        <v>SIM</v>
      </c>
      <c r="F535" s="486" t="str">
        <f>IFERROR(__xludf.DUMMYFUNCTION("""COMPUTED_VALUE"""),"GEDUC")</f>
        <v>GEDUC</v>
      </c>
      <c r="G535" s="472"/>
      <c r="H535" s="472"/>
      <c r="I535" s="472"/>
      <c r="J535" s="472"/>
      <c r="K535" s="472"/>
      <c r="L535" s="472"/>
      <c r="M535" s="472"/>
      <c r="N535" s="472"/>
      <c r="O535" s="472"/>
      <c r="P535" s="472"/>
      <c r="Q535" s="472"/>
      <c r="R535" s="472"/>
      <c r="S535" s="472"/>
      <c r="T535" s="472"/>
      <c r="U535" s="472"/>
      <c r="V535" s="472"/>
      <c r="W535" s="472"/>
      <c r="X535" s="472"/>
      <c r="Y535" s="472"/>
      <c r="Z535" s="472"/>
      <c r="AA535" s="472"/>
    </row>
    <row r="536" outlineLevel="1">
      <c r="A536" s="484">
        <f>IFERROR(__xludf.DUMMYFUNCTION("""COMPUTED_VALUE"""),6.00210092572E11)</f>
        <v>600210092572</v>
      </c>
      <c r="B536" s="485" t="str">
        <f>IFERROR(__xludf.DUMMYFUNCTION("""COMPUTED_VALUE"""),"WILLIANE MORAIS DE JESUS GAZOS")</f>
        <v>WILLIANE MORAIS DE JESUS GAZOS</v>
      </c>
      <c r="C536" s="486">
        <f>IFERROR(__xludf.DUMMYFUNCTION("""COMPUTED_VALUE"""),7.5)</f>
        <v>7.5</v>
      </c>
      <c r="D536" s="487" t="str">
        <f>IFERROR(__xludf.DUMMYFUNCTION("""COMPUTED_VALUE"""),"SIM")</f>
        <v>SIM</v>
      </c>
      <c r="E536" s="486" t="str">
        <f>IFERROR(__xludf.DUMMYFUNCTION("""COMPUTED_VALUE"""),"SIM")</f>
        <v>SIM</v>
      </c>
      <c r="F536" s="486" t="str">
        <f>IFERROR(__xludf.DUMMYFUNCTION("""COMPUTED_VALUE"""),"GEDUC")</f>
        <v>GEDUC</v>
      </c>
      <c r="G536" s="472"/>
      <c r="H536" s="472"/>
      <c r="I536" s="472"/>
      <c r="J536" s="472"/>
      <c r="K536" s="472"/>
      <c r="L536" s="472"/>
      <c r="M536" s="472"/>
      <c r="N536" s="472"/>
      <c r="O536" s="472"/>
      <c r="P536" s="472"/>
      <c r="Q536" s="472"/>
      <c r="R536" s="472"/>
      <c r="S536" s="472"/>
      <c r="T536" s="472"/>
      <c r="U536" s="472"/>
      <c r="V536" s="472"/>
      <c r="W536" s="472"/>
      <c r="X536" s="472"/>
      <c r="Y536" s="472"/>
      <c r="Z536" s="472"/>
      <c r="AA536" s="472"/>
    </row>
    <row r="537" outlineLevel="1">
      <c r="A537" s="484">
        <f>IFERROR(__xludf.DUMMYFUNCTION("""COMPUTED_VALUE"""),4.64560089835E11)</f>
        <v>464560089835</v>
      </c>
      <c r="B537" s="485" t="str">
        <f>IFERROR(__xludf.DUMMYFUNCTION("""COMPUTED_VALUE"""),"JOSÉ HIAGO FEITOSA DE MATOS")</f>
        <v>JOSÉ HIAGO FEITOSA DE MATOS</v>
      </c>
      <c r="C537" s="486">
        <f>IFERROR(__xludf.DUMMYFUNCTION("""COMPUTED_VALUE"""),7.5)</f>
        <v>7.5</v>
      </c>
      <c r="D537" s="487" t="str">
        <f>IFERROR(__xludf.DUMMYFUNCTION("""COMPUTED_VALUE"""),"SIM")</f>
        <v>SIM</v>
      </c>
      <c r="E537" s="486" t="str">
        <f>IFERROR(__xludf.DUMMYFUNCTION("""COMPUTED_VALUE"""),"SIM")</f>
        <v>SIM</v>
      </c>
      <c r="F537" s="486" t="str">
        <f>IFERROR(__xludf.DUMMYFUNCTION("""COMPUTED_VALUE"""),"GEDUC")</f>
        <v>GEDUC</v>
      </c>
      <c r="G537" s="472"/>
      <c r="H537" s="472"/>
      <c r="I537" s="472"/>
      <c r="J537" s="472"/>
      <c r="K537" s="472"/>
      <c r="L537" s="472"/>
      <c r="M537" s="472"/>
      <c r="N537" s="472"/>
      <c r="O537" s="472"/>
      <c r="P537" s="472"/>
      <c r="Q537" s="472"/>
      <c r="R537" s="472"/>
      <c r="S537" s="472"/>
      <c r="T537" s="472"/>
      <c r="U537" s="472"/>
      <c r="V537" s="472"/>
      <c r="W537" s="472"/>
      <c r="X537" s="472"/>
      <c r="Y537" s="472"/>
      <c r="Z537" s="472"/>
      <c r="AA537" s="472"/>
    </row>
    <row r="538" outlineLevel="1">
      <c r="A538" s="484">
        <f>IFERROR(__xludf.DUMMYFUNCTION("""COMPUTED_VALUE"""),3.0839709111E11)</f>
        <v>308397091110</v>
      </c>
      <c r="B538" s="485" t="str">
        <f>IFERROR(__xludf.DUMMYFUNCTION("""COMPUTED_VALUE"""),"JOSE HERNEVIDES PONTES FERREIRA")</f>
        <v>JOSE HERNEVIDES PONTES FERREIRA</v>
      </c>
      <c r="C538" s="486">
        <f>IFERROR(__xludf.DUMMYFUNCTION("""COMPUTED_VALUE"""),6.0)</f>
        <v>6</v>
      </c>
      <c r="D538" s="487"/>
      <c r="E538" s="486"/>
      <c r="F538" s="486"/>
      <c r="G538" s="472"/>
      <c r="H538" s="472"/>
      <c r="I538" s="472"/>
      <c r="J538" s="472"/>
      <c r="K538" s="472"/>
      <c r="L538" s="472"/>
      <c r="M538" s="472"/>
      <c r="N538" s="472"/>
      <c r="O538" s="472"/>
      <c r="P538" s="472"/>
      <c r="Q538" s="472"/>
      <c r="R538" s="472"/>
      <c r="S538" s="472"/>
      <c r="T538" s="472"/>
      <c r="U538" s="472"/>
      <c r="V538" s="472"/>
      <c r="W538" s="472"/>
      <c r="X538" s="472"/>
      <c r="Y538" s="472"/>
      <c r="Z538" s="472"/>
      <c r="AA538" s="472"/>
    </row>
    <row r="539" outlineLevel="1">
      <c r="A539" s="484">
        <f>IFERROR(__xludf.DUMMYFUNCTION("""COMPUTED_VALUE"""),6.34850090768E11)</f>
        <v>634850090768</v>
      </c>
      <c r="B539" s="485" t="str">
        <f>IFERROR(__xludf.DUMMYFUNCTION("""COMPUTED_VALUE"""),"BEATRIZ DA SILVA LIMA")</f>
        <v>BEATRIZ DA SILVA LIMA</v>
      </c>
      <c r="C539" s="486">
        <f>IFERROR(__xludf.DUMMYFUNCTION("""COMPUTED_VALUE"""),6.0)</f>
        <v>6</v>
      </c>
      <c r="D539" s="487"/>
      <c r="E539" s="486"/>
      <c r="F539" s="486"/>
      <c r="G539" s="472"/>
      <c r="H539" s="472"/>
      <c r="I539" s="472"/>
      <c r="J539" s="472"/>
      <c r="K539" s="472"/>
      <c r="L539" s="472"/>
      <c r="M539" s="472"/>
      <c r="N539" s="472"/>
      <c r="O539" s="472"/>
      <c r="P539" s="472"/>
      <c r="Q539" s="472"/>
      <c r="R539" s="472"/>
      <c r="S539" s="472"/>
      <c r="T539" s="472"/>
      <c r="U539" s="472"/>
      <c r="V539" s="472"/>
      <c r="W539" s="472"/>
      <c r="X539" s="472"/>
      <c r="Y539" s="472"/>
      <c r="Z539" s="472"/>
      <c r="AA539" s="472"/>
    </row>
    <row r="540" outlineLevel="1">
      <c r="A540" s="484">
        <f>IFERROR(__xludf.DUMMYFUNCTION("""COMPUTED_VALUE"""),2.28070089824E11)</f>
        <v>228070089824</v>
      </c>
      <c r="B540" s="485" t="str">
        <f>IFERROR(__xludf.DUMMYFUNCTION("""COMPUTED_VALUE"""),"JOÃO CRUZ NETO")</f>
        <v>JOÃO CRUZ NETO</v>
      </c>
      <c r="C540" s="486">
        <f>IFERROR(__xludf.DUMMYFUNCTION("""COMPUTED_VALUE"""),6.0)</f>
        <v>6</v>
      </c>
      <c r="D540" s="487"/>
      <c r="E540" s="486"/>
      <c r="F540" s="486"/>
      <c r="G540" s="472"/>
      <c r="H540" s="472"/>
      <c r="I540" s="472"/>
      <c r="J540" s="472"/>
      <c r="K540" s="472"/>
      <c r="L540" s="472"/>
      <c r="M540" s="472"/>
      <c r="N540" s="472"/>
      <c r="O540" s="472"/>
      <c r="P540" s="472"/>
      <c r="Q540" s="472"/>
      <c r="R540" s="472"/>
      <c r="S540" s="472"/>
      <c r="T540" s="472"/>
      <c r="U540" s="472"/>
      <c r="V540" s="472"/>
      <c r="W540" s="472"/>
      <c r="X540" s="472"/>
      <c r="Y540" s="472"/>
      <c r="Z540" s="472"/>
      <c r="AA540" s="472"/>
    </row>
    <row r="541" outlineLevel="1">
      <c r="A541" s="484">
        <f>IFERROR(__xludf.DUMMYFUNCTION("""COMPUTED_VALUE"""),7.55570092817E11)</f>
        <v>755570092817</v>
      </c>
      <c r="B541" s="485" t="str">
        <f>IFERROR(__xludf.DUMMYFUNCTION("""COMPUTED_VALUE"""),"BRENDA PINHEIRO EVANGELISTA")</f>
        <v>BRENDA PINHEIRO EVANGELISTA</v>
      </c>
      <c r="C541" s="486">
        <f>IFERROR(__xludf.DUMMYFUNCTION("""COMPUTED_VALUE"""),6.0)</f>
        <v>6</v>
      </c>
      <c r="D541" s="487"/>
      <c r="E541" s="486"/>
      <c r="F541" s="486"/>
      <c r="G541" s="472"/>
      <c r="H541" s="472"/>
      <c r="I541" s="472"/>
      <c r="J541" s="472"/>
      <c r="K541" s="472"/>
      <c r="L541" s="472"/>
      <c r="M541" s="472"/>
      <c r="N541" s="472"/>
      <c r="O541" s="472"/>
      <c r="P541" s="472"/>
      <c r="Q541" s="472"/>
      <c r="R541" s="472"/>
      <c r="S541" s="472"/>
      <c r="T541" s="472"/>
      <c r="U541" s="472"/>
      <c r="V541" s="472"/>
      <c r="W541" s="472"/>
      <c r="X541" s="472"/>
      <c r="Y541" s="472"/>
      <c r="Z541" s="472"/>
      <c r="AA541" s="472"/>
    </row>
    <row r="542" outlineLevel="1">
      <c r="A542" s="484">
        <f>IFERROR(__xludf.DUMMYFUNCTION("""COMPUTED_VALUE"""),2.82489090518E11)</f>
        <v>282489090518</v>
      </c>
      <c r="B542" s="485" t="str">
        <f>IFERROR(__xludf.DUMMYFUNCTION("""COMPUTED_VALUE"""),"KAREN LOPES CUNHA")</f>
        <v>KAREN LOPES CUNHA</v>
      </c>
      <c r="C542" s="486">
        <f>IFERROR(__xludf.DUMMYFUNCTION("""COMPUTED_VALUE"""),9.0)</f>
        <v>9</v>
      </c>
      <c r="D542" s="487" t="str">
        <f>IFERROR(__xludf.DUMMYFUNCTION("""COMPUTED_VALUE"""),"SIM")</f>
        <v>SIM</v>
      </c>
      <c r="E542" s="486" t="str">
        <f>IFERROR(__xludf.DUMMYFUNCTION("""COMPUTED_VALUE"""),"POSTERGOU")</f>
        <v>POSTERGOU</v>
      </c>
      <c r="F542" s="486" t="str">
        <f>IFERROR(__xludf.DUMMYFUNCTION("""COMPUTED_VALUE"""),"GEDUC")</f>
        <v>GEDUC</v>
      </c>
      <c r="G542" s="472"/>
      <c r="H542" s="472"/>
      <c r="I542" s="472"/>
      <c r="J542" s="472"/>
      <c r="K542" s="472"/>
      <c r="L542" s="472"/>
      <c r="M542" s="472"/>
      <c r="N542" s="472"/>
      <c r="O542" s="472"/>
      <c r="P542" s="472"/>
      <c r="Q542" s="472"/>
      <c r="R542" s="472"/>
      <c r="S542" s="472"/>
      <c r="T542" s="472"/>
      <c r="U542" s="472"/>
      <c r="V542" s="472"/>
      <c r="W542" s="472"/>
      <c r="X542" s="472"/>
      <c r="Y542" s="472"/>
      <c r="Z542" s="472"/>
      <c r="AA542" s="472"/>
    </row>
    <row r="543" outlineLevel="1">
      <c r="A543" s="484">
        <f>IFERROR(__xludf.DUMMYFUNCTION("""COMPUTED_VALUE"""),4.08530093447E11)</f>
        <v>408530093447</v>
      </c>
      <c r="B543" s="485" t="str">
        <f>IFERROR(__xludf.DUMMYFUNCTION("""COMPUTED_VALUE"""),"YURY TAVARES DE LIMA")</f>
        <v>YURY TAVARES DE LIMA</v>
      </c>
      <c r="C543" s="486">
        <f>IFERROR(__xludf.DUMMYFUNCTION("""COMPUTED_VALUE"""),8.5)</f>
        <v>8.5</v>
      </c>
      <c r="D543" s="487" t="str">
        <f>IFERROR(__xludf.DUMMYFUNCTION("""COMPUTED_VALUE"""),"SIM")</f>
        <v>SIM</v>
      </c>
      <c r="E543" s="486" t="str">
        <f>IFERROR(__xludf.DUMMYFUNCTION("""COMPUTED_VALUE"""),"POSTERGOU")</f>
        <v>POSTERGOU</v>
      </c>
      <c r="F543" s="486" t="str">
        <f>IFERROR(__xludf.DUMMYFUNCTION("""COMPUTED_VALUE"""),"GEDUC")</f>
        <v>GEDUC</v>
      </c>
      <c r="G543" s="472"/>
      <c r="H543" s="472"/>
      <c r="I543" s="472"/>
      <c r="J543" s="472"/>
      <c r="K543" s="472"/>
      <c r="L543" s="472"/>
      <c r="M543" s="472"/>
      <c r="N543" s="472"/>
      <c r="O543" s="472"/>
      <c r="P543" s="472"/>
      <c r="Q543" s="472"/>
      <c r="R543" s="472"/>
      <c r="S543" s="472"/>
      <c r="T543" s="472"/>
      <c r="U543" s="472"/>
      <c r="V543" s="472"/>
      <c r="W543" s="472"/>
      <c r="X543" s="472"/>
      <c r="Y543" s="472"/>
      <c r="Z543" s="472"/>
      <c r="AA543" s="472"/>
    </row>
    <row r="544">
      <c r="A544" s="478" t="str">
        <f>IFERROR(__xludf.DUMMYFUNCTION("""COMPUTED_VALUE"""),"X - MES - TRANSPLANTES")</f>
        <v>X - MES - TRANSPLANTES</v>
      </c>
      <c r="B544" s="479"/>
      <c r="C544" s="479"/>
      <c r="D544" s="479"/>
      <c r="E544" s="479"/>
      <c r="F544" s="480"/>
      <c r="G544" s="472"/>
      <c r="H544" s="472"/>
      <c r="I544" s="472"/>
      <c r="J544" s="472"/>
      <c r="K544" s="472"/>
      <c r="L544" s="472"/>
      <c r="M544" s="472"/>
      <c r="N544" s="472"/>
      <c r="O544" s="472"/>
      <c r="P544" s="472"/>
      <c r="Q544" s="472"/>
      <c r="R544" s="472"/>
      <c r="S544" s="472"/>
      <c r="T544" s="472"/>
      <c r="U544" s="472"/>
      <c r="V544" s="472"/>
      <c r="W544" s="472"/>
      <c r="X544" s="472"/>
      <c r="Y544" s="472"/>
      <c r="Z544" s="472"/>
      <c r="AA544" s="472"/>
    </row>
    <row r="545" outlineLevel="1">
      <c r="A545" s="481" t="str">
        <f>IFERROR(__xludf.DUMMYFUNCTION("""COMPUTED_VALUE"""),"INSCRIÇÃO")</f>
        <v>INSCRIÇÃO</v>
      </c>
      <c r="B545" s="482" t="str">
        <f>IFERROR(__xludf.DUMMYFUNCTION("""COMPUTED_VALUE"""),"CANDIDATOS")</f>
        <v>CANDIDATOS</v>
      </c>
      <c r="C545" s="481" t="str">
        <f>IFERROR(__xludf.DUMMYFUNCTION("""COMPUTED_VALUE"""),"NF")</f>
        <v>NF</v>
      </c>
      <c r="D545" s="483" t="str">
        <f>IFERROR(__xludf.DUMMYFUNCTION("""COMPUTED_VALUE"""),"CONVOCADO(A)")</f>
        <v>CONVOCADO(A)</v>
      </c>
      <c r="E545" s="483" t="str">
        <f>IFERROR(__xludf.DUMMYFUNCTION("""COMPUTED_VALUE"""),"HOMOLOGADO(A)")</f>
        <v>HOMOLOGADO(A)</v>
      </c>
      <c r="F545" s="483" t="str">
        <f>IFERROR(__xludf.DUMMYFUNCTION("""COMPUTED_VALUE"""),"GERÊNCIA")</f>
        <v>GERÊNCIA</v>
      </c>
      <c r="G545" s="472"/>
      <c r="H545" s="472"/>
      <c r="I545" s="472"/>
      <c r="J545" s="472"/>
      <c r="K545" s="472"/>
      <c r="L545" s="472"/>
      <c r="M545" s="472"/>
      <c r="N545" s="472"/>
      <c r="O545" s="472"/>
      <c r="P545" s="472"/>
      <c r="Q545" s="472"/>
      <c r="R545" s="472"/>
      <c r="S545" s="472"/>
      <c r="T545" s="472"/>
      <c r="U545" s="472"/>
      <c r="V545" s="472"/>
      <c r="W545" s="472"/>
      <c r="X545" s="472"/>
      <c r="Y545" s="472"/>
      <c r="Z545" s="472"/>
      <c r="AA545" s="472"/>
    </row>
    <row r="546" outlineLevel="1">
      <c r="A546" s="484">
        <f>IFERROR(__xludf.DUMMYFUNCTION("""COMPUTED_VALUE"""),7.23350089846E11)</f>
        <v>723350089846</v>
      </c>
      <c r="B546" s="485" t="str">
        <f>IFERROR(__xludf.DUMMYFUNCTION("""COMPUTED_VALUE"""),"LUCIELMO FAUSTINO SOUZA")</f>
        <v>LUCIELMO FAUSTINO SOUZA</v>
      </c>
      <c r="C546" s="486">
        <f>IFERROR(__xludf.DUMMYFUNCTION("""COMPUTED_VALUE"""),10.0)</f>
        <v>10</v>
      </c>
      <c r="D546" s="487" t="str">
        <f>IFERROR(__xludf.DUMMYFUNCTION("""COMPUTED_VALUE"""),"SIM")</f>
        <v>SIM</v>
      </c>
      <c r="E546" s="486" t="str">
        <f>IFERROR(__xludf.DUMMYFUNCTION("""COMPUTED_VALUE"""),"SIM")</f>
        <v>SIM</v>
      </c>
      <c r="F546" s="486" t="str">
        <f>IFERROR(__xludf.DUMMYFUNCTION("""COMPUTED_VALUE"""),"GEDUC")</f>
        <v>GEDUC</v>
      </c>
      <c r="G546" s="472"/>
      <c r="H546" s="472"/>
      <c r="I546" s="472"/>
      <c r="J546" s="472"/>
      <c r="K546" s="472"/>
      <c r="L546" s="472"/>
      <c r="M546" s="472"/>
      <c r="N546" s="472"/>
      <c r="O546" s="472"/>
      <c r="P546" s="472"/>
      <c r="Q546" s="472"/>
      <c r="R546" s="472"/>
      <c r="S546" s="472"/>
      <c r="T546" s="472"/>
      <c r="U546" s="472"/>
      <c r="V546" s="472"/>
      <c r="W546" s="472"/>
      <c r="X546" s="472"/>
      <c r="Y546" s="472"/>
      <c r="Z546" s="472"/>
      <c r="AA546" s="472"/>
    </row>
    <row r="547" outlineLevel="1">
      <c r="A547" s="494">
        <f>IFERROR(__xludf.DUMMYFUNCTION("""COMPUTED_VALUE"""),9.4050093297E10)</f>
        <v>94050093297</v>
      </c>
      <c r="B547" s="485" t="str">
        <f>IFERROR(__xludf.DUMMYFUNCTION("""COMPUTED_VALUE"""),"JAMILA MOURA FRAGA")</f>
        <v>JAMILA MOURA FRAGA</v>
      </c>
      <c r="C547" s="486">
        <f>IFERROR(__xludf.DUMMYFUNCTION("""COMPUTED_VALUE"""),10.0)</f>
        <v>10</v>
      </c>
      <c r="D547" s="487" t="str">
        <f>IFERROR(__xludf.DUMMYFUNCTION("""COMPUTED_VALUE"""),"SIM")</f>
        <v>SIM</v>
      </c>
      <c r="E547" s="486" t="str">
        <f>IFERROR(__xludf.DUMMYFUNCTION("""COMPUTED_VALUE"""),"NÃO")</f>
        <v>NÃO</v>
      </c>
      <c r="F547" s="486" t="str">
        <f>IFERROR(__xludf.DUMMYFUNCTION("""COMPUTED_VALUE"""),"GEDUC")</f>
        <v>GEDUC</v>
      </c>
      <c r="G547" s="472"/>
      <c r="H547" s="472"/>
      <c r="I547" s="472"/>
      <c r="J547" s="472"/>
      <c r="K547" s="472"/>
      <c r="L547" s="472"/>
      <c r="M547" s="472"/>
      <c r="N547" s="472"/>
      <c r="O547" s="472"/>
      <c r="P547" s="472"/>
      <c r="Q547" s="472"/>
      <c r="R547" s="472"/>
      <c r="S547" s="472"/>
      <c r="T547" s="472"/>
      <c r="U547" s="472"/>
      <c r="V547" s="472"/>
      <c r="W547" s="472"/>
      <c r="X547" s="472"/>
      <c r="Y547" s="472"/>
      <c r="Z547" s="472"/>
      <c r="AA547" s="472"/>
    </row>
    <row r="548" outlineLevel="1">
      <c r="A548" s="484">
        <f>IFERROR(__xludf.DUMMYFUNCTION("""COMPUTED_VALUE"""),6.43056089344E11)</f>
        <v>643056089344</v>
      </c>
      <c r="B548" s="485" t="str">
        <f>IFERROR(__xludf.DUMMYFUNCTION("""COMPUTED_VALUE"""),"BRUNA BANDEIRA OLIVEIRA MARINHO")</f>
        <v>BRUNA BANDEIRA OLIVEIRA MARINHO</v>
      </c>
      <c r="C548" s="486">
        <f>IFERROR(__xludf.DUMMYFUNCTION("""COMPUTED_VALUE"""),9.0)</f>
        <v>9</v>
      </c>
      <c r="D548" s="487" t="str">
        <f>IFERROR(__xludf.DUMMYFUNCTION("""COMPUTED_VALUE"""),"SIM")</f>
        <v>SIM</v>
      </c>
      <c r="E548" s="486" t="str">
        <f>IFERROR(__xludf.DUMMYFUNCTION("""COMPUTED_VALUE"""),"NÃO")</f>
        <v>NÃO</v>
      </c>
      <c r="F548" s="486" t="str">
        <f>IFERROR(__xludf.DUMMYFUNCTION("""COMPUTED_VALUE"""),"GEDUC")</f>
        <v>GEDUC</v>
      </c>
      <c r="G548" s="472"/>
      <c r="H548" s="472"/>
      <c r="I548" s="472"/>
      <c r="J548" s="472"/>
      <c r="K548" s="472"/>
      <c r="L548" s="472"/>
      <c r="M548" s="472"/>
      <c r="N548" s="472"/>
      <c r="O548" s="472"/>
      <c r="P548" s="472"/>
      <c r="Q548" s="472"/>
      <c r="R548" s="472"/>
      <c r="S548" s="472"/>
      <c r="T548" s="472"/>
      <c r="U548" s="472"/>
      <c r="V548" s="472"/>
      <c r="W548" s="472"/>
      <c r="X548" s="472"/>
      <c r="Y548" s="472"/>
      <c r="Z548" s="472"/>
      <c r="AA548" s="472"/>
    </row>
    <row r="549" outlineLevel="1">
      <c r="A549" s="484">
        <f>IFERROR(__xludf.DUMMYFUNCTION("""COMPUTED_VALUE"""),3.77746093671E11)</f>
        <v>377746093671</v>
      </c>
      <c r="B549" s="485" t="str">
        <f>IFERROR(__xludf.DUMMYFUNCTION("""COMPUTED_VALUE"""),"ANNA YASKARA CAVALCANTE CARVALHO DE ARAUJO")</f>
        <v>ANNA YASKARA CAVALCANTE CARVALHO DE ARAUJO</v>
      </c>
      <c r="C549" s="486">
        <f>IFERROR(__xludf.DUMMYFUNCTION("""COMPUTED_VALUE"""),9.0)</f>
        <v>9</v>
      </c>
      <c r="D549" s="487" t="str">
        <f>IFERROR(__xludf.DUMMYFUNCTION("""COMPUTED_VALUE"""),"SIM")</f>
        <v>SIM</v>
      </c>
      <c r="E549" s="486" t="str">
        <f>IFERROR(__xludf.DUMMYFUNCTION("""COMPUTED_VALUE"""),"SIM")</f>
        <v>SIM</v>
      </c>
      <c r="F549" s="486" t="str">
        <f>IFERROR(__xludf.DUMMYFUNCTION("""COMPUTED_VALUE"""),"GEDUC")</f>
        <v>GEDUC</v>
      </c>
      <c r="G549" s="472"/>
      <c r="H549" s="472"/>
      <c r="I549" s="472"/>
      <c r="J549" s="472"/>
      <c r="K549" s="472"/>
      <c r="L549" s="472"/>
      <c r="M549" s="472"/>
      <c r="N549" s="472"/>
      <c r="O549" s="472"/>
      <c r="P549" s="472"/>
      <c r="Q549" s="472"/>
      <c r="R549" s="472"/>
      <c r="S549" s="472"/>
      <c r="T549" s="472"/>
      <c r="U549" s="472"/>
      <c r="V549" s="472"/>
      <c r="W549" s="472"/>
      <c r="X549" s="472"/>
      <c r="Y549" s="472"/>
      <c r="Z549" s="472"/>
      <c r="AA549" s="472"/>
    </row>
    <row r="550" outlineLevel="1">
      <c r="A550" s="484">
        <f>IFERROR(__xludf.DUMMYFUNCTION("""COMPUTED_VALUE"""),8.99930093365E11)</f>
        <v>899930093365</v>
      </c>
      <c r="B550" s="485" t="str">
        <f>IFERROR(__xludf.DUMMYFUNCTION("""COMPUTED_VALUE"""),"ISAKELLY DE OLIVEIRA RAMOS")</f>
        <v>ISAKELLY DE OLIVEIRA RAMOS</v>
      </c>
      <c r="C550" s="486">
        <f>IFERROR(__xludf.DUMMYFUNCTION("""COMPUTED_VALUE"""),9.0)</f>
        <v>9</v>
      </c>
      <c r="D550" s="487" t="str">
        <f>IFERROR(__xludf.DUMMYFUNCTION("""COMPUTED_VALUE"""),"SIM")</f>
        <v>SIM</v>
      </c>
      <c r="E550" s="486" t="str">
        <f>IFERROR(__xludf.DUMMYFUNCTION("""COMPUTED_VALUE"""),"SIM")</f>
        <v>SIM</v>
      </c>
      <c r="F550" s="486" t="str">
        <f>IFERROR(__xludf.DUMMYFUNCTION("""COMPUTED_VALUE"""),"GEDUC")</f>
        <v>GEDUC</v>
      </c>
      <c r="G550" s="472"/>
      <c r="H550" s="472"/>
      <c r="I550" s="472"/>
      <c r="J550" s="472"/>
      <c r="K550" s="472"/>
      <c r="L550" s="472"/>
      <c r="M550" s="472"/>
      <c r="N550" s="472"/>
      <c r="O550" s="472"/>
      <c r="P550" s="472"/>
      <c r="Q550" s="472"/>
      <c r="R550" s="472"/>
      <c r="S550" s="472"/>
      <c r="T550" s="472"/>
      <c r="U550" s="472"/>
      <c r="V550" s="472"/>
      <c r="W550" s="472"/>
      <c r="X550" s="472"/>
      <c r="Y550" s="472"/>
      <c r="Z550" s="472"/>
      <c r="AA550" s="472"/>
    </row>
    <row r="551" outlineLevel="1">
      <c r="A551" s="484">
        <f>IFERROR(__xludf.DUMMYFUNCTION("""COMPUTED_VALUE"""),7.88223091952E11)</f>
        <v>788223091952</v>
      </c>
      <c r="B551" s="485" t="str">
        <f>IFERROR(__xludf.DUMMYFUNCTION("""COMPUTED_VALUE"""),"ELIANA REGIA BARBOSA DE ALMEIDA")</f>
        <v>ELIANA REGIA BARBOSA DE ALMEIDA</v>
      </c>
      <c r="C551" s="486">
        <f>IFERROR(__xludf.DUMMYFUNCTION("""COMPUTED_VALUE"""),8.0)</f>
        <v>8</v>
      </c>
      <c r="D551" s="487" t="str">
        <f>IFERROR(__xludf.DUMMYFUNCTION("""COMPUTED_VALUE"""),"SIM")</f>
        <v>SIM</v>
      </c>
      <c r="E551" s="486" t="str">
        <f>IFERROR(__xludf.DUMMYFUNCTION("""COMPUTED_VALUE"""),"SIM")</f>
        <v>SIM</v>
      </c>
      <c r="F551" s="486" t="str">
        <f>IFERROR(__xludf.DUMMYFUNCTION("""COMPUTED_VALUE"""),"GEDUC")</f>
        <v>GEDUC</v>
      </c>
      <c r="G551" s="472"/>
      <c r="H551" s="472"/>
      <c r="I551" s="472"/>
      <c r="J551" s="472"/>
      <c r="K551" s="472"/>
      <c r="L551" s="472"/>
      <c r="M551" s="472"/>
      <c r="N551" s="472"/>
      <c r="O551" s="472"/>
      <c r="P551" s="472"/>
      <c r="Q551" s="472"/>
      <c r="R551" s="472"/>
      <c r="S551" s="472"/>
      <c r="T551" s="472"/>
      <c r="U551" s="472"/>
      <c r="V551" s="472"/>
      <c r="W551" s="472"/>
      <c r="X551" s="472"/>
      <c r="Y551" s="472"/>
      <c r="Z551" s="472"/>
      <c r="AA551" s="472"/>
    </row>
    <row r="552" outlineLevel="1">
      <c r="A552" s="484">
        <f>IFERROR(__xludf.DUMMYFUNCTION("""COMPUTED_VALUE"""),6.22020093108E11)</f>
        <v>622020093108</v>
      </c>
      <c r="B552" s="485" t="str">
        <f>IFERROR(__xludf.DUMMYFUNCTION("""COMPUTED_VALUE"""),"ALINE ALVES BRAGA SOLON")</f>
        <v>ALINE ALVES BRAGA SOLON</v>
      </c>
      <c r="C552" s="486">
        <f>IFERROR(__xludf.DUMMYFUNCTION("""COMPUTED_VALUE"""),8.0)</f>
        <v>8</v>
      </c>
      <c r="D552" s="487" t="str">
        <f>IFERROR(__xludf.DUMMYFUNCTION("""COMPUTED_VALUE"""),"SIM")</f>
        <v>SIM</v>
      </c>
      <c r="E552" s="486" t="str">
        <f>IFERROR(__xludf.DUMMYFUNCTION("""COMPUTED_VALUE"""),"SIM")</f>
        <v>SIM</v>
      </c>
      <c r="F552" s="486" t="str">
        <f>IFERROR(__xludf.DUMMYFUNCTION("""COMPUTED_VALUE"""),"GEDUC")</f>
        <v>GEDUC</v>
      </c>
      <c r="G552" s="472"/>
      <c r="H552" s="472"/>
      <c r="I552" s="472"/>
      <c r="J552" s="472"/>
      <c r="K552" s="472"/>
      <c r="L552" s="472"/>
      <c r="M552" s="472"/>
      <c r="N552" s="472"/>
      <c r="O552" s="472"/>
      <c r="P552" s="472"/>
      <c r="Q552" s="472"/>
      <c r="R552" s="472"/>
      <c r="S552" s="472"/>
      <c r="T552" s="472"/>
      <c r="U552" s="472"/>
      <c r="V552" s="472"/>
      <c r="W552" s="472"/>
      <c r="X552" s="472"/>
      <c r="Y552" s="472"/>
      <c r="Z552" s="472"/>
      <c r="AA552" s="472"/>
    </row>
    <row r="553" outlineLevel="1">
      <c r="A553" s="484">
        <f>IFERROR(__xludf.DUMMYFUNCTION("""COMPUTED_VALUE"""),8.94880093079E11)</f>
        <v>894880093079</v>
      </c>
      <c r="B553" s="485" t="str">
        <f>IFERROR(__xludf.DUMMYFUNCTION("""COMPUTED_VALUE"""),"MONICA MARIA PAIVA LIMA")</f>
        <v>MONICA MARIA PAIVA LIMA</v>
      </c>
      <c r="C553" s="486">
        <f>IFERROR(__xludf.DUMMYFUNCTION("""COMPUTED_VALUE"""),7.5)</f>
        <v>7.5</v>
      </c>
      <c r="D553" s="487" t="str">
        <f>IFERROR(__xludf.DUMMYFUNCTION("""COMPUTED_VALUE"""),"SIM")</f>
        <v>SIM</v>
      </c>
      <c r="E553" s="486" t="str">
        <f>IFERROR(__xludf.DUMMYFUNCTION("""COMPUTED_VALUE"""),"SIM")</f>
        <v>SIM</v>
      </c>
      <c r="F553" s="486" t="str">
        <f>IFERROR(__xludf.DUMMYFUNCTION("""COMPUTED_VALUE"""),"GEDUC")</f>
        <v>GEDUC</v>
      </c>
      <c r="G553" s="472"/>
      <c r="H553" s="472"/>
      <c r="I553" s="472"/>
      <c r="J553" s="472"/>
      <c r="K553" s="472"/>
      <c r="L553" s="472"/>
      <c r="M553" s="472"/>
      <c r="N553" s="472"/>
      <c r="O553" s="472"/>
      <c r="P553" s="472"/>
      <c r="Q553" s="472"/>
      <c r="R553" s="472"/>
      <c r="S553" s="472"/>
      <c r="T553" s="472"/>
      <c r="U553" s="472"/>
      <c r="V553" s="472"/>
      <c r="W553" s="472"/>
      <c r="X553" s="472"/>
      <c r="Y553" s="472"/>
      <c r="Z553" s="472"/>
      <c r="AA553" s="472"/>
    </row>
    <row r="554" outlineLevel="1">
      <c r="A554" s="484">
        <f>IFERROR(__xludf.DUMMYFUNCTION("""COMPUTED_VALUE"""),1.54682089657E11)</f>
        <v>154682089657</v>
      </c>
      <c r="B554" s="485" t="str">
        <f>IFERROR(__xludf.DUMMYFUNCTION("""COMPUTED_VALUE"""),"DEIVIS ROGERIO MIRKAI")</f>
        <v>DEIVIS ROGERIO MIRKAI</v>
      </c>
      <c r="C554" s="486">
        <f>IFERROR(__xludf.DUMMYFUNCTION("""COMPUTED_VALUE"""),6.5)</f>
        <v>6.5</v>
      </c>
      <c r="D554" s="487" t="str">
        <f>IFERROR(__xludf.DUMMYFUNCTION("""COMPUTED_VALUE"""),"SIM")</f>
        <v>SIM</v>
      </c>
      <c r="E554" s="486" t="str">
        <f>IFERROR(__xludf.DUMMYFUNCTION("""COMPUTED_VALUE"""),"SIM")</f>
        <v>SIM</v>
      </c>
      <c r="F554" s="486" t="str">
        <f>IFERROR(__xludf.DUMMYFUNCTION("""COMPUTED_VALUE"""),"GEDUC")</f>
        <v>GEDUC</v>
      </c>
      <c r="G554" s="472"/>
      <c r="H554" s="472"/>
      <c r="I554" s="472"/>
      <c r="J554" s="472"/>
      <c r="K554" s="472"/>
      <c r="L554" s="472"/>
      <c r="M554" s="472"/>
      <c r="N554" s="472"/>
      <c r="O554" s="472"/>
      <c r="P554" s="472"/>
      <c r="Q554" s="472"/>
      <c r="R554" s="472"/>
      <c r="S554" s="472"/>
      <c r="T554" s="472"/>
      <c r="U554" s="472"/>
      <c r="V554" s="472"/>
      <c r="W554" s="472"/>
      <c r="X554" s="472"/>
      <c r="Y554" s="472"/>
      <c r="Z554" s="472"/>
      <c r="AA554" s="472"/>
    </row>
    <row r="555">
      <c r="A555" s="478" t="str">
        <f>IFERROR(__xludf.DUMMYFUNCTION("""COMPUTED_VALUE"""),"XI - MES - MATERNO-INFANTIL")</f>
        <v>XI - MES - MATERNO-INFANTIL</v>
      </c>
      <c r="B555" s="479"/>
      <c r="C555" s="479"/>
      <c r="D555" s="479"/>
      <c r="E555" s="479"/>
      <c r="F555" s="480"/>
      <c r="G555" s="472"/>
      <c r="H555" s="472"/>
      <c r="I555" s="472"/>
      <c r="J555" s="472"/>
      <c r="K555" s="472"/>
      <c r="L555" s="472"/>
      <c r="M555" s="472"/>
      <c r="N555" s="472"/>
      <c r="O555" s="472"/>
      <c r="P555" s="472"/>
      <c r="Q555" s="472"/>
      <c r="R555" s="472"/>
      <c r="S555" s="472"/>
      <c r="T555" s="472"/>
      <c r="U555" s="472"/>
      <c r="V555" s="472"/>
      <c r="W555" s="472"/>
      <c r="X555" s="472"/>
      <c r="Y555" s="472"/>
      <c r="Z555" s="472"/>
      <c r="AA555" s="472"/>
    </row>
    <row r="556" outlineLevel="1">
      <c r="A556" s="481" t="str">
        <f>IFERROR(__xludf.DUMMYFUNCTION("""COMPUTED_VALUE"""),"INSCRIÇÃO")</f>
        <v>INSCRIÇÃO</v>
      </c>
      <c r="B556" s="482" t="str">
        <f>IFERROR(__xludf.DUMMYFUNCTION("""COMPUTED_VALUE"""),"CANDIDATOS")</f>
        <v>CANDIDATOS</v>
      </c>
      <c r="C556" s="481" t="str">
        <f>IFERROR(__xludf.DUMMYFUNCTION("""COMPUTED_VALUE"""),"NF")</f>
        <v>NF</v>
      </c>
      <c r="D556" s="483" t="str">
        <f>IFERROR(__xludf.DUMMYFUNCTION("""COMPUTED_VALUE"""),"CONVOCADO(A)")</f>
        <v>CONVOCADO(A)</v>
      </c>
      <c r="E556" s="483" t="str">
        <f>IFERROR(__xludf.DUMMYFUNCTION("""COMPUTED_VALUE"""),"HOMOLOGADO(A)")</f>
        <v>HOMOLOGADO(A)</v>
      </c>
      <c r="F556" s="483" t="str">
        <f>IFERROR(__xludf.DUMMYFUNCTION("""COMPUTED_VALUE"""),"GERÊNCIA")</f>
        <v>GERÊNCIA</v>
      </c>
      <c r="G556" s="472"/>
      <c r="H556" s="472"/>
      <c r="I556" s="472"/>
      <c r="J556" s="472"/>
      <c r="K556" s="472"/>
      <c r="L556" s="472"/>
      <c r="M556" s="472"/>
      <c r="N556" s="472"/>
      <c r="O556" s="472"/>
      <c r="P556" s="472"/>
      <c r="Q556" s="472"/>
      <c r="R556" s="472"/>
      <c r="S556" s="472"/>
      <c r="T556" s="472"/>
      <c r="U556" s="472"/>
      <c r="V556" s="472"/>
      <c r="W556" s="472"/>
      <c r="X556" s="472"/>
      <c r="Y556" s="472"/>
      <c r="Z556" s="472"/>
      <c r="AA556" s="472"/>
    </row>
    <row r="557" outlineLevel="1">
      <c r="A557" s="494">
        <f>IFERROR(__xludf.DUMMYFUNCTION("""COMPUTED_VALUE"""),8.75608956E9)</f>
        <v>8756089560</v>
      </c>
      <c r="B557" s="485" t="str">
        <f>IFERROR(__xludf.DUMMYFUNCTION("""COMPUTED_VALUE"""),"HELLOISE BARBOSA NERY")</f>
        <v>HELLOISE BARBOSA NERY</v>
      </c>
      <c r="C557" s="486">
        <f>IFERROR(__xludf.DUMMYFUNCTION("""COMPUTED_VALUE"""),10.0)</f>
        <v>10</v>
      </c>
      <c r="D557" s="487"/>
      <c r="E557" s="486"/>
      <c r="F557" s="488"/>
      <c r="G557" s="472"/>
      <c r="H557" s="472"/>
      <c r="I557" s="472"/>
      <c r="J557" s="472"/>
      <c r="K557" s="472"/>
      <c r="L557" s="472"/>
      <c r="M557" s="472"/>
      <c r="N557" s="472"/>
      <c r="O557" s="472"/>
      <c r="P557" s="472"/>
      <c r="Q557" s="472"/>
      <c r="R557" s="472"/>
      <c r="S557" s="472"/>
      <c r="T557" s="472"/>
      <c r="U557" s="472"/>
      <c r="V557" s="472"/>
      <c r="W557" s="472"/>
      <c r="X557" s="472"/>
      <c r="Y557" s="472"/>
      <c r="Z557" s="472"/>
      <c r="AA557" s="472"/>
    </row>
    <row r="558" outlineLevel="1">
      <c r="A558" s="484">
        <f>IFERROR(__xludf.DUMMYFUNCTION("""COMPUTED_VALUE"""),3.68300093637E11)</f>
        <v>368300093637</v>
      </c>
      <c r="B558" s="485" t="str">
        <f>IFERROR(__xludf.DUMMYFUNCTION("""COMPUTED_VALUE"""),"GLÁUCIA PORTO DE FREITAS")</f>
        <v>GLÁUCIA PORTO DE FREITAS</v>
      </c>
      <c r="C558" s="486">
        <f>IFERROR(__xludf.DUMMYFUNCTION("""COMPUTED_VALUE"""),10.0)</f>
        <v>10</v>
      </c>
      <c r="D558" s="487"/>
      <c r="E558" s="486"/>
      <c r="F558" s="488"/>
      <c r="G558" s="472"/>
      <c r="H558" s="472"/>
      <c r="I558" s="472"/>
      <c r="J558" s="472"/>
      <c r="K558" s="472"/>
      <c r="L558" s="472"/>
      <c r="M558" s="472"/>
      <c r="N558" s="472"/>
      <c r="O558" s="472"/>
      <c r="P558" s="472"/>
      <c r="Q558" s="472"/>
      <c r="R558" s="472"/>
      <c r="S558" s="472"/>
      <c r="T558" s="472"/>
      <c r="U558" s="472"/>
      <c r="V558" s="472"/>
      <c r="W558" s="472"/>
      <c r="X558" s="472"/>
      <c r="Y558" s="472"/>
      <c r="Z558" s="472"/>
      <c r="AA558" s="472"/>
    </row>
    <row r="559" outlineLevel="1">
      <c r="A559" s="484">
        <f>IFERROR(__xludf.DUMMYFUNCTION("""COMPUTED_VALUE"""),2.81299090375E11)</f>
        <v>281299090375</v>
      </c>
      <c r="B559" s="485" t="str">
        <f>IFERROR(__xludf.DUMMYFUNCTION("""COMPUTED_VALUE"""),"IDACLECE RODRIGUES DE MATOS")</f>
        <v>IDACLECE RODRIGUES DE MATOS</v>
      </c>
      <c r="C559" s="486">
        <f>IFERROR(__xludf.DUMMYFUNCTION("""COMPUTED_VALUE"""),10.0)</f>
        <v>10</v>
      </c>
      <c r="D559" s="487"/>
      <c r="E559" s="486"/>
      <c r="F559" s="488"/>
      <c r="G559" s="472"/>
      <c r="H559" s="472"/>
      <c r="I559" s="472"/>
      <c r="J559" s="472"/>
      <c r="K559" s="472"/>
      <c r="L559" s="472"/>
      <c r="M559" s="472"/>
      <c r="N559" s="472"/>
      <c r="O559" s="472"/>
      <c r="P559" s="472"/>
      <c r="Q559" s="472"/>
      <c r="R559" s="472"/>
      <c r="S559" s="472"/>
      <c r="T559" s="472"/>
      <c r="U559" s="472"/>
      <c r="V559" s="472"/>
      <c r="W559" s="472"/>
      <c r="X559" s="472"/>
      <c r="Y559" s="472"/>
      <c r="Z559" s="472"/>
      <c r="AA559" s="472"/>
    </row>
    <row r="560" outlineLevel="1">
      <c r="A560" s="484">
        <f>IFERROR(__xludf.DUMMYFUNCTION("""COMPUTED_VALUE"""),6.02800089977E11)</f>
        <v>602800089977</v>
      </c>
      <c r="B560" s="485" t="str">
        <f>IFERROR(__xludf.DUMMYFUNCTION("""COMPUTED_VALUE"""),"LORENNA COSTA MALAQUIAS")</f>
        <v>LORENNA COSTA MALAQUIAS</v>
      </c>
      <c r="C560" s="486">
        <f>IFERROR(__xludf.DUMMYFUNCTION("""COMPUTED_VALUE"""),10.0)</f>
        <v>10</v>
      </c>
      <c r="D560" s="487"/>
      <c r="E560" s="486"/>
      <c r="F560" s="488"/>
      <c r="G560" s="472"/>
      <c r="H560" s="472"/>
      <c r="I560" s="472"/>
      <c r="J560" s="472"/>
      <c r="K560" s="472"/>
      <c r="L560" s="472"/>
      <c r="M560" s="472"/>
      <c r="N560" s="472"/>
      <c r="O560" s="472"/>
      <c r="P560" s="472"/>
      <c r="Q560" s="472"/>
      <c r="R560" s="472"/>
      <c r="S560" s="472"/>
      <c r="T560" s="472"/>
      <c r="U560" s="472"/>
      <c r="V560" s="472"/>
      <c r="W560" s="472"/>
      <c r="X560" s="472"/>
      <c r="Y560" s="472"/>
      <c r="Z560" s="472"/>
      <c r="AA560" s="472"/>
    </row>
    <row r="561" outlineLevel="1">
      <c r="A561" s="484">
        <f>IFERROR(__xludf.DUMMYFUNCTION("""COMPUTED_VALUE"""),8.22769093207E11)</f>
        <v>822769093207</v>
      </c>
      <c r="B561" s="485" t="str">
        <f>IFERROR(__xludf.DUMMYFUNCTION("""COMPUTED_VALUE"""),"GILMARA MARIA BATISTA TAVARES DA SILVA")</f>
        <v>GILMARA MARIA BATISTA TAVARES DA SILVA</v>
      </c>
      <c r="C561" s="486">
        <f>IFERROR(__xludf.DUMMYFUNCTION("""COMPUTED_VALUE"""),9.5)</f>
        <v>9.5</v>
      </c>
      <c r="D561" s="487"/>
      <c r="E561" s="486"/>
      <c r="F561" s="488"/>
      <c r="G561" s="472"/>
      <c r="H561" s="472"/>
      <c r="I561" s="472"/>
      <c r="J561" s="472"/>
      <c r="K561" s="472"/>
      <c r="L561" s="472"/>
      <c r="M561" s="472"/>
      <c r="N561" s="472"/>
      <c r="O561" s="472"/>
      <c r="P561" s="472"/>
      <c r="Q561" s="472"/>
      <c r="R561" s="472"/>
      <c r="S561" s="472"/>
      <c r="T561" s="472"/>
      <c r="U561" s="472"/>
      <c r="V561" s="472"/>
      <c r="W561" s="472"/>
      <c r="X561" s="472"/>
      <c r="Y561" s="472"/>
      <c r="Z561" s="472"/>
      <c r="AA561" s="472"/>
    </row>
    <row r="562" outlineLevel="1">
      <c r="A562" s="484">
        <f>IFERROR(__xludf.DUMMYFUNCTION("""COMPUTED_VALUE"""),8.2244008895E11)</f>
        <v>822440088950</v>
      </c>
      <c r="B562" s="485" t="str">
        <f>IFERROR(__xludf.DUMMYFUNCTION("""COMPUTED_VALUE"""),"RAISSA MAGALHÃES DE ALMEIDA")</f>
        <v>RAISSA MAGALHÃES DE ALMEIDA</v>
      </c>
      <c r="C562" s="486">
        <f>IFERROR(__xludf.DUMMYFUNCTION("""COMPUTED_VALUE"""),9.0)</f>
        <v>9</v>
      </c>
      <c r="D562" s="487"/>
      <c r="E562" s="486"/>
      <c r="F562" s="488"/>
      <c r="G562" s="472"/>
      <c r="H562" s="472"/>
      <c r="I562" s="472"/>
      <c r="J562" s="472"/>
      <c r="K562" s="472"/>
      <c r="L562" s="472"/>
      <c r="M562" s="472"/>
      <c r="N562" s="472"/>
      <c r="O562" s="472"/>
      <c r="P562" s="472"/>
      <c r="Q562" s="472"/>
      <c r="R562" s="472"/>
      <c r="S562" s="472"/>
      <c r="T562" s="472"/>
      <c r="U562" s="472"/>
      <c r="V562" s="472"/>
      <c r="W562" s="472"/>
      <c r="X562" s="472"/>
      <c r="Y562" s="472"/>
      <c r="Z562" s="472"/>
      <c r="AA562" s="472"/>
    </row>
    <row r="563" outlineLevel="1">
      <c r="A563" s="484">
        <f>IFERROR(__xludf.DUMMYFUNCTION("""COMPUTED_VALUE"""),3.42840093452E11)</f>
        <v>342840093452</v>
      </c>
      <c r="B563" s="485" t="str">
        <f>IFERROR(__xludf.DUMMYFUNCTION("""COMPUTED_VALUE"""),"LUANA SILVA DE SOUSA")</f>
        <v>LUANA SILVA DE SOUSA</v>
      </c>
      <c r="C563" s="486">
        <f>IFERROR(__xludf.DUMMYFUNCTION("""COMPUTED_VALUE"""),9.0)</f>
        <v>9</v>
      </c>
      <c r="D563" s="487"/>
      <c r="E563" s="486"/>
      <c r="F563" s="488"/>
      <c r="G563" s="472"/>
      <c r="H563" s="472"/>
      <c r="I563" s="472"/>
      <c r="J563" s="472"/>
      <c r="K563" s="472"/>
      <c r="L563" s="472"/>
      <c r="M563" s="472"/>
      <c r="N563" s="472"/>
      <c r="O563" s="472"/>
      <c r="P563" s="472"/>
      <c r="Q563" s="472"/>
      <c r="R563" s="472"/>
      <c r="S563" s="472"/>
      <c r="T563" s="472"/>
      <c r="U563" s="472"/>
      <c r="V563" s="472"/>
      <c r="W563" s="472"/>
      <c r="X563" s="472"/>
      <c r="Y563" s="472"/>
      <c r="Z563" s="472"/>
      <c r="AA563" s="472"/>
    </row>
    <row r="564" outlineLevel="1">
      <c r="A564" s="484">
        <f>IFERROR(__xludf.DUMMYFUNCTION("""COMPUTED_VALUE"""),4.44040093498E11)</f>
        <v>444040093498</v>
      </c>
      <c r="B564" s="485" t="str">
        <f>IFERROR(__xludf.DUMMYFUNCTION("""COMPUTED_VALUE"""),"GILCE HELEN AMORIM DA SILVA")</f>
        <v>GILCE HELEN AMORIM DA SILVA</v>
      </c>
      <c r="C564" s="486">
        <f>IFERROR(__xludf.DUMMYFUNCTION("""COMPUTED_VALUE"""),9.0)</f>
        <v>9</v>
      </c>
      <c r="D564" s="487"/>
      <c r="E564" s="486"/>
      <c r="F564" s="488"/>
      <c r="G564" s="472"/>
      <c r="H564" s="472"/>
      <c r="I564" s="472"/>
      <c r="J564" s="472"/>
      <c r="K564" s="472"/>
      <c r="L564" s="472"/>
      <c r="M564" s="472"/>
      <c r="N564" s="472"/>
      <c r="O564" s="472"/>
      <c r="P564" s="472"/>
      <c r="Q564" s="472"/>
      <c r="R564" s="472"/>
      <c r="S564" s="472"/>
      <c r="T564" s="472"/>
      <c r="U564" s="472"/>
      <c r="V564" s="472"/>
      <c r="W564" s="472"/>
      <c r="X564" s="472"/>
      <c r="Y564" s="472"/>
      <c r="Z564" s="472"/>
      <c r="AA564" s="472"/>
    </row>
    <row r="565" outlineLevel="1">
      <c r="A565" s="484">
        <f>IFERROR(__xludf.DUMMYFUNCTION("""COMPUTED_VALUE"""),5.10837091206E11)</f>
        <v>510837091206</v>
      </c>
      <c r="B565" s="485" t="str">
        <f>IFERROR(__xludf.DUMMYFUNCTION("""COMPUTED_VALUE"""),"FABIANNE FERREIRA COSTA RÓSEO")</f>
        <v>FABIANNE FERREIRA COSTA RÓSEO</v>
      </c>
      <c r="C565" s="486">
        <f>IFERROR(__xludf.DUMMYFUNCTION("""COMPUTED_VALUE"""),8.0)</f>
        <v>8</v>
      </c>
      <c r="D565" s="487"/>
      <c r="E565" s="486"/>
      <c r="F565" s="488"/>
      <c r="G565" s="472"/>
      <c r="H565" s="472"/>
      <c r="I565" s="472"/>
      <c r="J565" s="472"/>
      <c r="K565" s="472"/>
      <c r="L565" s="472"/>
      <c r="M565" s="472"/>
      <c r="N565" s="472"/>
      <c r="O565" s="472"/>
      <c r="P565" s="472"/>
      <c r="Q565" s="472"/>
      <c r="R565" s="472"/>
      <c r="S565" s="472"/>
      <c r="T565" s="472"/>
      <c r="U565" s="472"/>
      <c r="V565" s="472"/>
      <c r="W565" s="472"/>
      <c r="X565" s="472"/>
      <c r="Y565" s="472"/>
      <c r="Z565" s="472"/>
      <c r="AA565" s="472"/>
    </row>
    <row r="566" outlineLevel="1">
      <c r="A566" s="494">
        <f>IFERROR(__xludf.DUMMYFUNCTION("""COMPUTED_VALUE"""),9.3909089949E10)</f>
        <v>93909089949</v>
      </c>
      <c r="B566" s="485" t="str">
        <f>IFERROR(__xludf.DUMMYFUNCTION("""COMPUTED_VALUE"""),"KARLA BRANDAO DE ARAUJO")</f>
        <v>KARLA BRANDAO DE ARAUJO</v>
      </c>
      <c r="C566" s="486">
        <f>IFERROR(__xludf.DUMMYFUNCTION("""COMPUTED_VALUE"""),8.0)</f>
        <v>8</v>
      </c>
      <c r="D566" s="487"/>
      <c r="E566" s="486"/>
      <c r="F566" s="488"/>
      <c r="G566" s="472"/>
      <c r="H566" s="472"/>
      <c r="I566" s="472"/>
      <c r="J566" s="472"/>
      <c r="K566" s="472"/>
      <c r="L566" s="472"/>
      <c r="M566" s="472"/>
      <c r="N566" s="472"/>
      <c r="O566" s="472"/>
      <c r="P566" s="472"/>
      <c r="Q566" s="472"/>
      <c r="R566" s="472"/>
      <c r="S566" s="472"/>
      <c r="T566" s="472"/>
      <c r="U566" s="472"/>
      <c r="V566" s="472"/>
      <c r="W566" s="472"/>
      <c r="X566" s="472"/>
      <c r="Y566" s="472"/>
      <c r="Z566" s="472"/>
      <c r="AA566" s="472"/>
    </row>
    <row r="567" outlineLevel="1">
      <c r="A567" s="494">
        <f>IFERROR(__xludf.DUMMYFUNCTION("""COMPUTED_VALUE"""),3.9620090072E10)</f>
        <v>39620090072</v>
      </c>
      <c r="B567" s="485" t="str">
        <f>IFERROR(__xludf.DUMMYFUNCTION("""COMPUTED_VALUE"""),"RAFAELLE DANTAS BEZERRA")</f>
        <v>RAFAELLE DANTAS BEZERRA</v>
      </c>
      <c r="C567" s="486">
        <f>IFERROR(__xludf.DUMMYFUNCTION("""COMPUTED_VALUE"""),8.0)</f>
        <v>8</v>
      </c>
      <c r="D567" s="487"/>
      <c r="E567" s="486"/>
      <c r="F567" s="488"/>
      <c r="G567" s="472"/>
      <c r="H567" s="472"/>
      <c r="I567" s="472"/>
      <c r="J567" s="472"/>
      <c r="K567" s="472"/>
      <c r="L567" s="472"/>
      <c r="M567" s="472"/>
      <c r="N567" s="472"/>
      <c r="O567" s="472"/>
      <c r="P567" s="472"/>
      <c r="Q567" s="472"/>
      <c r="R567" s="472"/>
      <c r="S567" s="472"/>
      <c r="T567" s="472"/>
      <c r="U567" s="472"/>
      <c r="V567" s="472"/>
      <c r="W567" s="472"/>
      <c r="X567" s="472"/>
      <c r="Y567" s="472"/>
      <c r="Z567" s="472"/>
      <c r="AA567" s="472"/>
    </row>
    <row r="568" outlineLevel="1">
      <c r="A568" s="484">
        <f>IFERROR(__xludf.DUMMYFUNCTION("""COMPUTED_VALUE"""),8.80040090631E11)</f>
        <v>880040090631</v>
      </c>
      <c r="B568" s="485" t="str">
        <f>IFERROR(__xludf.DUMMYFUNCTION("""COMPUTED_VALUE"""),"LOHANNA VALESKA DE SOUSA TAVARES")</f>
        <v>LOHANNA VALESKA DE SOUSA TAVARES</v>
      </c>
      <c r="C568" s="486">
        <f>IFERROR(__xludf.DUMMYFUNCTION("""COMPUTED_VALUE"""),7.5)</f>
        <v>7.5</v>
      </c>
      <c r="D568" s="487"/>
      <c r="E568" s="486"/>
      <c r="F568" s="488"/>
      <c r="G568" s="472"/>
      <c r="H568" s="472"/>
      <c r="I568" s="472"/>
      <c r="J568" s="472"/>
      <c r="K568" s="472"/>
      <c r="L568" s="472"/>
      <c r="M568" s="472"/>
      <c r="N568" s="472"/>
      <c r="O568" s="472"/>
      <c r="P568" s="472"/>
      <c r="Q568" s="472"/>
      <c r="R568" s="472"/>
      <c r="S568" s="472"/>
      <c r="T568" s="472"/>
      <c r="U568" s="472"/>
      <c r="V568" s="472"/>
      <c r="W568" s="472"/>
      <c r="X568" s="472"/>
      <c r="Y568" s="472"/>
      <c r="Z568" s="472"/>
      <c r="AA568" s="472"/>
    </row>
    <row r="569" outlineLevel="1">
      <c r="A569" s="484">
        <f>IFERROR(__xludf.DUMMYFUNCTION("""COMPUTED_VALUE"""),4.20200090395E11)</f>
        <v>420200090395</v>
      </c>
      <c r="B569" s="485" t="str">
        <f>IFERROR(__xludf.DUMMYFUNCTION("""COMPUTED_VALUE"""),"ROSIMARY DA SILVA BARBOSA")</f>
        <v>ROSIMARY DA SILVA BARBOSA</v>
      </c>
      <c r="C569" s="486">
        <f>IFERROR(__xludf.DUMMYFUNCTION("""COMPUTED_VALUE"""),6.0)</f>
        <v>6</v>
      </c>
      <c r="D569" s="487"/>
      <c r="E569" s="486"/>
      <c r="F569" s="488"/>
      <c r="G569" s="472"/>
      <c r="H569" s="472"/>
      <c r="I569" s="472"/>
      <c r="J569" s="472"/>
      <c r="K569" s="472"/>
      <c r="L569" s="472"/>
      <c r="M569" s="472"/>
      <c r="N569" s="472"/>
      <c r="O569" s="472"/>
      <c r="P569" s="472"/>
      <c r="Q569" s="472"/>
      <c r="R569" s="472"/>
      <c r="S569" s="472"/>
      <c r="T569" s="472"/>
      <c r="U569" s="472"/>
      <c r="V569" s="472"/>
      <c r="W569" s="472"/>
      <c r="X569" s="472"/>
      <c r="Y569" s="472"/>
      <c r="Z569" s="472"/>
      <c r="AA569" s="472"/>
    </row>
    <row r="570" outlineLevel="1">
      <c r="A570" s="484">
        <f>IFERROR(__xludf.DUMMYFUNCTION("""COMPUTED_VALUE"""),6.34850090767E11)</f>
        <v>634850090767</v>
      </c>
      <c r="B570" s="485" t="str">
        <f>IFERROR(__xludf.DUMMYFUNCTION("""COMPUTED_VALUE"""),"BEATRIZ DA SILVA LIMA")</f>
        <v>BEATRIZ DA SILVA LIMA</v>
      </c>
      <c r="C570" s="486">
        <f>IFERROR(__xludf.DUMMYFUNCTION("""COMPUTED_VALUE"""),6.0)</f>
        <v>6</v>
      </c>
      <c r="D570" s="487"/>
      <c r="E570" s="486"/>
      <c r="F570" s="488"/>
      <c r="G570" s="472"/>
      <c r="H570" s="472"/>
      <c r="I570" s="472"/>
      <c r="J570" s="472"/>
      <c r="K570" s="472"/>
      <c r="L570" s="472"/>
      <c r="M570" s="472"/>
      <c r="N570" s="472"/>
      <c r="O570" s="472"/>
      <c r="P570" s="472"/>
      <c r="Q570" s="472"/>
      <c r="R570" s="472"/>
      <c r="S570" s="472"/>
      <c r="T570" s="472"/>
      <c r="U570" s="472"/>
      <c r="V570" s="472"/>
      <c r="W570" s="472"/>
      <c r="X570" s="472"/>
      <c r="Y570" s="472"/>
      <c r="Z570" s="472"/>
      <c r="AA570" s="472"/>
    </row>
    <row r="571" outlineLevel="1">
      <c r="A571" s="484">
        <f>IFERROR(__xludf.DUMMYFUNCTION("""COMPUTED_VALUE"""),4.78016092402E11)</f>
        <v>478016092402</v>
      </c>
      <c r="B571" s="485" t="str">
        <f>IFERROR(__xludf.DUMMYFUNCTION("""COMPUTED_VALUE"""),"ANTONIA TAINÁ BEZERRA CASTRO")</f>
        <v>ANTONIA TAINÁ BEZERRA CASTRO</v>
      </c>
      <c r="C571" s="486">
        <f>IFERROR(__xludf.DUMMYFUNCTION("""COMPUTED_VALUE"""),6.0)</f>
        <v>6</v>
      </c>
      <c r="D571" s="487"/>
      <c r="E571" s="486"/>
      <c r="F571" s="488"/>
      <c r="G571" s="472"/>
      <c r="H571" s="472"/>
      <c r="I571" s="472"/>
      <c r="J571" s="472"/>
      <c r="K571" s="472"/>
      <c r="L571" s="472"/>
      <c r="M571" s="472"/>
      <c r="N571" s="472"/>
      <c r="O571" s="472"/>
      <c r="P571" s="472"/>
      <c r="Q571" s="472"/>
      <c r="R571" s="472"/>
      <c r="S571" s="472"/>
      <c r="T571" s="472"/>
      <c r="U571" s="472"/>
      <c r="V571" s="472"/>
      <c r="W571" s="472"/>
      <c r="X571" s="472"/>
      <c r="Y571" s="472"/>
      <c r="Z571" s="472"/>
      <c r="AA571" s="472"/>
    </row>
    <row r="572" outlineLevel="1">
      <c r="A572" s="484">
        <f>IFERROR(__xludf.DUMMYFUNCTION("""COMPUTED_VALUE"""),4.50511088562E11)</f>
        <v>450511088562</v>
      </c>
      <c r="B572" s="485" t="str">
        <f>IFERROR(__xludf.DUMMYFUNCTION("""COMPUTED_VALUE"""),"MARIA VALÉRIA CHAVES DE LIMA")</f>
        <v>MARIA VALÉRIA CHAVES DE LIMA</v>
      </c>
      <c r="C572" s="486">
        <f>IFERROR(__xludf.DUMMYFUNCTION("""COMPUTED_VALUE"""),6.0)</f>
        <v>6</v>
      </c>
      <c r="D572" s="487"/>
      <c r="E572" s="486"/>
      <c r="F572" s="488"/>
      <c r="G572" s="472"/>
      <c r="H572" s="472"/>
      <c r="I572" s="472"/>
      <c r="J572" s="472"/>
      <c r="K572" s="472"/>
      <c r="L572" s="472"/>
      <c r="M572" s="472"/>
      <c r="N572" s="472"/>
      <c r="O572" s="472"/>
      <c r="P572" s="472"/>
      <c r="Q572" s="472"/>
      <c r="R572" s="472"/>
      <c r="S572" s="472"/>
      <c r="T572" s="472"/>
      <c r="U572" s="472"/>
      <c r="V572" s="472"/>
      <c r="W572" s="472"/>
      <c r="X572" s="472"/>
      <c r="Y572" s="472"/>
      <c r="Z572" s="472"/>
      <c r="AA572" s="472"/>
    </row>
    <row r="573">
      <c r="A573" s="478" t="str">
        <f>IFERROR(__xludf.DUMMYFUNCTION("""COMPUTED_VALUE"""),"XII - MES - CARDIOVASCULAR")</f>
        <v>XII - MES - CARDIOVASCULAR</v>
      </c>
      <c r="B573" s="479"/>
      <c r="C573" s="479"/>
      <c r="D573" s="479"/>
      <c r="E573" s="479"/>
      <c r="F573" s="480"/>
      <c r="G573" s="472"/>
      <c r="H573" s="472"/>
      <c r="I573" s="472"/>
      <c r="J573" s="472"/>
      <c r="K573" s="472"/>
      <c r="L573" s="472"/>
      <c r="M573" s="472"/>
      <c r="N573" s="472"/>
      <c r="O573" s="472"/>
      <c r="P573" s="472"/>
      <c r="Q573" s="472"/>
      <c r="R573" s="472"/>
      <c r="S573" s="472"/>
      <c r="T573" s="472"/>
      <c r="U573" s="472"/>
      <c r="V573" s="472"/>
      <c r="W573" s="472"/>
      <c r="X573" s="472"/>
      <c r="Y573" s="472"/>
      <c r="Z573" s="472"/>
      <c r="AA573" s="472"/>
    </row>
    <row r="574" outlineLevel="1">
      <c r="A574" s="481" t="str">
        <f>IFERROR(__xludf.DUMMYFUNCTION("""COMPUTED_VALUE"""),"INSCRIÇÃO")</f>
        <v>INSCRIÇÃO</v>
      </c>
      <c r="B574" s="482" t="str">
        <f>IFERROR(__xludf.DUMMYFUNCTION("""COMPUTED_VALUE"""),"CANDIDATOS")</f>
        <v>CANDIDATOS</v>
      </c>
      <c r="C574" s="481" t="str">
        <f>IFERROR(__xludf.DUMMYFUNCTION("""COMPUTED_VALUE"""),"NF")</f>
        <v>NF</v>
      </c>
      <c r="D574" s="483" t="str">
        <f>IFERROR(__xludf.DUMMYFUNCTION("""COMPUTED_VALUE"""),"CONVOCADO(A)")</f>
        <v>CONVOCADO(A)</v>
      </c>
      <c r="E574" s="483" t="str">
        <f>IFERROR(__xludf.DUMMYFUNCTION("""COMPUTED_VALUE"""),"HOMOLOGADO(A)")</f>
        <v>HOMOLOGADO(A)</v>
      </c>
      <c r="F574" s="483" t="str">
        <f>IFERROR(__xludf.DUMMYFUNCTION("""COMPUTED_VALUE"""),"GERÊNCIA")</f>
        <v>GERÊNCIA</v>
      </c>
      <c r="G574" s="472"/>
      <c r="H574" s="472"/>
      <c r="I574" s="472"/>
      <c r="J574" s="472"/>
      <c r="K574" s="472"/>
      <c r="L574" s="472"/>
      <c r="M574" s="472"/>
      <c r="N574" s="472"/>
      <c r="O574" s="472"/>
      <c r="P574" s="472"/>
      <c r="Q574" s="472"/>
      <c r="R574" s="472"/>
      <c r="S574" s="472"/>
      <c r="T574" s="472"/>
      <c r="U574" s="472"/>
      <c r="V574" s="472"/>
      <c r="W574" s="472"/>
      <c r="X574" s="472"/>
      <c r="Y574" s="472"/>
      <c r="Z574" s="472"/>
      <c r="AA574" s="472"/>
    </row>
    <row r="575" outlineLevel="1">
      <c r="A575" s="484">
        <f>IFERROR(__xludf.DUMMYFUNCTION("""COMPUTED_VALUE"""),9.24238089797E11)</f>
        <v>924238089797</v>
      </c>
      <c r="B575" s="485" t="str">
        <f>IFERROR(__xludf.DUMMYFUNCTION("""COMPUTED_VALUE"""),"SOFIA MACHADO NOGUEIRA DE OLIVEIRA")</f>
        <v>SOFIA MACHADO NOGUEIRA DE OLIVEIRA</v>
      </c>
      <c r="C575" s="486">
        <f>IFERROR(__xludf.DUMMYFUNCTION("""COMPUTED_VALUE"""),7.5)</f>
        <v>7.5</v>
      </c>
      <c r="D575" s="487"/>
      <c r="E575" s="486"/>
      <c r="F575" s="488"/>
      <c r="G575" s="472"/>
      <c r="H575" s="472"/>
      <c r="I575" s="472"/>
      <c r="J575" s="472"/>
      <c r="K575" s="472"/>
      <c r="L575" s="472"/>
      <c r="M575" s="472"/>
      <c r="N575" s="472"/>
      <c r="O575" s="472"/>
      <c r="P575" s="472"/>
      <c r="Q575" s="472"/>
      <c r="R575" s="472"/>
      <c r="S575" s="472"/>
      <c r="T575" s="472"/>
      <c r="U575" s="472"/>
      <c r="V575" s="472"/>
      <c r="W575" s="472"/>
      <c r="X575" s="472"/>
      <c r="Y575" s="472"/>
      <c r="Z575" s="472"/>
      <c r="AA575" s="472"/>
    </row>
    <row r="576" outlineLevel="1">
      <c r="A576" s="494">
        <f>IFERROR(__xludf.DUMMYFUNCTION("""COMPUTED_VALUE"""),1.18500932E10)</f>
        <v>11850093200</v>
      </c>
      <c r="B576" s="485" t="str">
        <f>IFERROR(__xludf.DUMMYFUNCTION("""COMPUTED_VALUE"""),"LAÍLA CÂNDIDA ZACARIAS")</f>
        <v>LAÍLA CÂNDIDA ZACARIAS</v>
      </c>
      <c r="C576" s="486">
        <f>IFERROR(__xludf.DUMMYFUNCTION("""COMPUTED_VALUE"""),7.5)</f>
        <v>7.5</v>
      </c>
      <c r="D576" s="487"/>
      <c r="E576" s="486"/>
      <c r="F576" s="488"/>
      <c r="G576" s="472"/>
      <c r="H576" s="472"/>
      <c r="I576" s="472"/>
      <c r="J576" s="472"/>
      <c r="K576" s="472"/>
      <c r="L576" s="472"/>
      <c r="M576" s="472"/>
      <c r="N576" s="472"/>
      <c r="O576" s="472"/>
      <c r="P576" s="472"/>
      <c r="Q576" s="472"/>
      <c r="R576" s="472"/>
      <c r="S576" s="472"/>
      <c r="T576" s="472"/>
      <c r="U576" s="472"/>
      <c r="V576" s="472"/>
      <c r="W576" s="472"/>
      <c r="X576" s="472"/>
      <c r="Y576" s="472"/>
      <c r="Z576" s="472"/>
      <c r="AA576" s="472"/>
    </row>
    <row r="577">
      <c r="A577" s="478" t="str">
        <f>IFERROR(__xludf.DUMMYFUNCTION("""COMPUTED_VALUE"""),"XIII - MES - DIABETES")</f>
        <v>XIII - MES - DIABETES</v>
      </c>
      <c r="B577" s="479"/>
      <c r="C577" s="479"/>
      <c r="D577" s="479"/>
      <c r="E577" s="479"/>
      <c r="F577" s="480"/>
      <c r="G577" s="472"/>
      <c r="H577" s="472"/>
      <c r="I577" s="472"/>
      <c r="J577" s="472"/>
      <c r="K577" s="472"/>
      <c r="L577" s="472"/>
      <c r="M577" s="472"/>
      <c r="N577" s="472"/>
      <c r="O577" s="472"/>
      <c r="P577" s="472"/>
      <c r="Q577" s="472"/>
      <c r="R577" s="472"/>
      <c r="S577" s="472"/>
      <c r="T577" s="472"/>
      <c r="U577" s="472"/>
      <c r="V577" s="472"/>
      <c r="W577" s="472"/>
      <c r="X577" s="472"/>
      <c r="Y577" s="472"/>
      <c r="Z577" s="472"/>
      <c r="AA577" s="472"/>
    </row>
    <row r="578" outlineLevel="1">
      <c r="A578" s="481" t="str">
        <f>IFERROR(__xludf.DUMMYFUNCTION("""COMPUTED_VALUE"""),"INSCRIÇÃO")</f>
        <v>INSCRIÇÃO</v>
      </c>
      <c r="B578" s="482" t="str">
        <f>IFERROR(__xludf.DUMMYFUNCTION("""COMPUTED_VALUE"""),"CANDIDATOS")</f>
        <v>CANDIDATOS</v>
      </c>
      <c r="C578" s="481" t="str">
        <f>IFERROR(__xludf.DUMMYFUNCTION("""COMPUTED_VALUE"""),"NF")</f>
        <v>NF</v>
      </c>
      <c r="D578" s="483" t="str">
        <f>IFERROR(__xludf.DUMMYFUNCTION("""COMPUTED_VALUE"""),"CONVOCADO(A)")</f>
        <v>CONVOCADO(A)</v>
      </c>
      <c r="E578" s="483" t="str">
        <f>IFERROR(__xludf.DUMMYFUNCTION("""COMPUTED_VALUE"""),"HOMOLOGADO(A)")</f>
        <v>HOMOLOGADO(A)</v>
      </c>
      <c r="F578" s="483" t="str">
        <f>IFERROR(__xludf.DUMMYFUNCTION("""COMPUTED_VALUE"""),"GERÊNCIA")</f>
        <v>GERÊNCIA</v>
      </c>
      <c r="G578" s="472"/>
      <c r="H578" s="472"/>
      <c r="I578" s="472"/>
      <c r="J578" s="472"/>
      <c r="K578" s="472"/>
      <c r="L578" s="472"/>
      <c r="M578" s="472"/>
      <c r="N578" s="472"/>
      <c r="O578" s="472"/>
      <c r="P578" s="472"/>
      <c r="Q578" s="472"/>
      <c r="R578" s="472"/>
      <c r="S578" s="472"/>
      <c r="T578" s="472"/>
      <c r="U578" s="472"/>
      <c r="V578" s="472"/>
      <c r="W578" s="472"/>
      <c r="X578" s="472"/>
      <c r="Y578" s="472"/>
      <c r="Z578" s="472"/>
      <c r="AA578" s="472"/>
    </row>
    <row r="579" outlineLevel="1">
      <c r="A579" s="494">
        <f>IFERROR(__xludf.DUMMYFUNCTION("""COMPUTED_VALUE"""),8.2572091579E10)</f>
        <v>82572091579</v>
      </c>
      <c r="B579" s="485" t="str">
        <f>IFERROR(__xludf.DUMMYFUNCTION("""COMPUTED_VALUE"""),"CARLA CRISTINA DE SORDI")</f>
        <v>CARLA CRISTINA DE SORDI</v>
      </c>
      <c r="C579" s="486">
        <f>IFERROR(__xludf.DUMMYFUNCTION("""COMPUTED_VALUE"""),10.0)</f>
        <v>10</v>
      </c>
      <c r="D579" s="487"/>
      <c r="E579" s="486"/>
      <c r="F579" s="488"/>
      <c r="G579" s="472"/>
      <c r="H579" s="472"/>
      <c r="I579" s="472"/>
      <c r="J579" s="472"/>
      <c r="K579" s="472"/>
      <c r="L579" s="472"/>
      <c r="M579" s="472"/>
      <c r="N579" s="472"/>
      <c r="O579" s="472"/>
      <c r="P579" s="472"/>
      <c r="Q579" s="472"/>
      <c r="R579" s="472"/>
      <c r="S579" s="472"/>
      <c r="T579" s="472"/>
      <c r="U579" s="472"/>
      <c r="V579" s="472"/>
      <c r="W579" s="472"/>
      <c r="X579" s="472"/>
      <c r="Y579" s="472"/>
      <c r="Z579" s="472"/>
      <c r="AA579" s="472"/>
    </row>
    <row r="580" outlineLevel="1">
      <c r="A580" s="484">
        <f>IFERROR(__xludf.DUMMYFUNCTION("""COMPUTED_VALUE"""),4.32900091235E11)</f>
        <v>432900091235</v>
      </c>
      <c r="B580" s="485" t="str">
        <f>IFERROR(__xludf.DUMMYFUNCTION("""COMPUTED_VALUE"""),"JOSÉ DAMIÃO DA SILVA FILHO")</f>
        <v>JOSÉ DAMIÃO DA SILVA FILHO</v>
      </c>
      <c r="C580" s="486">
        <f>IFERROR(__xludf.DUMMYFUNCTION("""COMPUTED_VALUE"""),9.5)</f>
        <v>9.5</v>
      </c>
      <c r="D580" s="487"/>
      <c r="E580" s="486"/>
      <c r="F580" s="488"/>
      <c r="G580" s="472"/>
      <c r="H580" s="472"/>
      <c r="I580" s="472"/>
      <c r="J580" s="472"/>
      <c r="K580" s="472"/>
      <c r="L580" s="472"/>
      <c r="M580" s="472"/>
      <c r="N580" s="472"/>
      <c r="O580" s="472"/>
      <c r="P580" s="472"/>
      <c r="Q580" s="472"/>
      <c r="R580" s="472"/>
      <c r="S580" s="472"/>
      <c r="T580" s="472"/>
      <c r="U580" s="472"/>
      <c r="V580" s="472"/>
      <c r="W580" s="472"/>
      <c r="X580" s="472"/>
      <c r="Y580" s="472"/>
      <c r="Z580" s="472"/>
      <c r="AA580" s="472"/>
    </row>
    <row r="581" outlineLevel="1">
      <c r="A581" s="484">
        <f>IFERROR(__xludf.DUMMYFUNCTION("""COMPUTED_VALUE"""),8.72430093238E11)</f>
        <v>872430093238</v>
      </c>
      <c r="B581" s="485" t="str">
        <f>IFERROR(__xludf.DUMMYFUNCTION("""COMPUTED_VALUE"""),"KARINE DA SILVA OLIVEIRA")</f>
        <v>KARINE DA SILVA OLIVEIRA</v>
      </c>
      <c r="C581" s="486">
        <f>IFERROR(__xludf.DUMMYFUNCTION("""COMPUTED_VALUE"""),9.0)</f>
        <v>9</v>
      </c>
      <c r="D581" s="487"/>
      <c r="E581" s="486"/>
      <c r="F581" s="488"/>
      <c r="G581" s="472"/>
      <c r="H581" s="472"/>
      <c r="I581" s="472"/>
      <c r="J581" s="472"/>
      <c r="K581" s="472"/>
      <c r="L581" s="472"/>
      <c r="M581" s="472"/>
      <c r="N581" s="472"/>
      <c r="O581" s="472"/>
      <c r="P581" s="472"/>
      <c r="Q581" s="472"/>
      <c r="R581" s="472"/>
      <c r="S581" s="472"/>
      <c r="T581" s="472"/>
      <c r="U581" s="472"/>
      <c r="V581" s="472"/>
      <c r="W581" s="472"/>
      <c r="X581" s="472"/>
      <c r="Y581" s="472"/>
      <c r="Z581" s="472"/>
      <c r="AA581" s="472"/>
    </row>
    <row r="582" outlineLevel="1">
      <c r="A582" s="484">
        <f>IFERROR(__xludf.DUMMYFUNCTION("""COMPUTED_VALUE"""),6.29240090389E11)</f>
        <v>629240090389</v>
      </c>
      <c r="B582" s="485" t="str">
        <f>IFERROR(__xludf.DUMMYFUNCTION("""COMPUTED_VALUE"""),"CAMILA FERREIRA FREIRE")</f>
        <v>CAMILA FERREIRA FREIRE</v>
      </c>
      <c r="C582" s="486">
        <f>IFERROR(__xludf.DUMMYFUNCTION("""COMPUTED_VALUE"""),7.0)</f>
        <v>7</v>
      </c>
      <c r="D582" s="487"/>
      <c r="E582" s="486"/>
      <c r="F582" s="488"/>
      <c r="G582" s="472"/>
      <c r="H582" s="472"/>
      <c r="I582" s="472"/>
      <c r="J582" s="472"/>
      <c r="K582" s="472"/>
      <c r="L582" s="472"/>
      <c r="M582" s="472"/>
      <c r="N582" s="472"/>
      <c r="O582" s="472"/>
      <c r="P582" s="472"/>
      <c r="Q582" s="472"/>
      <c r="R582" s="472"/>
      <c r="S582" s="472"/>
      <c r="T582" s="472"/>
      <c r="U582" s="472"/>
      <c r="V582" s="472"/>
      <c r="W582" s="472"/>
      <c r="X582" s="472"/>
      <c r="Y582" s="472"/>
      <c r="Z582" s="472"/>
      <c r="AA582" s="472"/>
    </row>
    <row r="583" outlineLevel="1">
      <c r="A583" s="484">
        <f>IFERROR(__xludf.DUMMYFUNCTION("""COMPUTED_VALUE"""),8.40440088808E11)</f>
        <v>840440088808</v>
      </c>
      <c r="B583" s="485" t="str">
        <f>IFERROR(__xludf.DUMMYFUNCTION("""COMPUTED_VALUE"""),"JULIANA MINEU PEREIRA")</f>
        <v>JULIANA MINEU PEREIRA</v>
      </c>
      <c r="C583" s="486">
        <f>IFERROR(__xludf.DUMMYFUNCTION("""COMPUTED_VALUE"""),6.0)</f>
        <v>6</v>
      </c>
      <c r="D583" s="487"/>
      <c r="E583" s="486"/>
      <c r="F583" s="488"/>
      <c r="G583" s="472"/>
      <c r="H583" s="472"/>
      <c r="I583" s="472"/>
      <c r="J583" s="472"/>
      <c r="K583" s="472"/>
      <c r="L583" s="472"/>
      <c r="M583" s="472"/>
      <c r="N583" s="472"/>
      <c r="O583" s="472"/>
      <c r="P583" s="472"/>
      <c r="Q583" s="472"/>
      <c r="R583" s="472"/>
      <c r="S583" s="472"/>
      <c r="T583" s="472"/>
      <c r="U583" s="472"/>
      <c r="V583" s="472"/>
      <c r="W583" s="472"/>
      <c r="X583" s="472"/>
      <c r="Y583" s="472"/>
      <c r="Z583" s="472"/>
      <c r="AA583" s="472"/>
    </row>
    <row r="584" outlineLevel="1">
      <c r="A584" s="484">
        <f>IFERROR(__xludf.DUMMYFUNCTION("""COMPUTED_VALUE"""),4.34250093057E11)</f>
        <v>434250093057</v>
      </c>
      <c r="B584" s="485" t="str">
        <f>IFERROR(__xludf.DUMMYFUNCTION("""COMPUTED_VALUE"""),"PAULO IURY GOMES NUNES")</f>
        <v>PAULO IURY GOMES NUNES</v>
      </c>
      <c r="C584" s="486">
        <f>IFERROR(__xludf.DUMMYFUNCTION("""COMPUTED_VALUE"""),6.0)</f>
        <v>6</v>
      </c>
      <c r="D584" s="487"/>
      <c r="E584" s="486"/>
      <c r="F584" s="488"/>
      <c r="G584" s="472"/>
      <c r="H584" s="472"/>
      <c r="I584" s="472"/>
      <c r="J584" s="472"/>
      <c r="K584" s="472"/>
      <c r="L584" s="472"/>
      <c r="M584" s="472"/>
      <c r="N584" s="472"/>
      <c r="O584" s="472"/>
      <c r="P584" s="472"/>
      <c r="Q584" s="472"/>
      <c r="R584" s="472"/>
      <c r="S584" s="472"/>
      <c r="T584" s="472"/>
      <c r="U584" s="472"/>
      <c r="V584" s="472"/>
      <c r="W584" s="472"/>
      <c r="X584" s="472"/>
      <c r="Y584" s="472"/>
      <c r="Z584" s="472"/>
      <c r="AA584" s="472"/>
    </row>
    <row r="585">
      <c r="A585" s="478" t="str">
        <f>IFERROR(__xludf.DUMMYFUNCTION("""COMPUTED_VALUE"""),"XIV - MES - ONCOLOGIA")</f>
        <v>XIV - MES - ONCOLOGIA</v>
      </c>
      <c r="B585" s="479"/>
      <c r="C585" s="479"/>
      <c r="D585" s="479"/>
      <c r="E585" s="479"/>
      <c r="F585" s="480"/>
      <c r="G585" s="472"/>
      <c r="H585" s="472"/>
      <c r="I585" s="472"/>
      <c r="J585" s="472"/>
      <c r="K585" s="472"/>
      <c r="L585" s="472"/>
      <c r="M585" s="472"/>
      <c r="N585" s="472"/>
      <c r="O585" s="472"/>
      <c r="P585" s="472"/>
      <c r="Q585" s="472"/>
      <c r="R585" s="472"/>
      <c r="S585" s="472"/>
      <c r="T585" s="472"/>
      <c r="U585" s="472"/>
      <c r="V585" s="472"/>
      <c r="W585" s="472"/>
      <c r="X585" s="472"/>
      <c r="Y585" s="472"/>
      <c r="Z585" s="472"/>
      <c r="AA585" s="472"/>
    </row>
    <row r="586" outlineLevel="1">
      <c r="A586" s="481" t="str">
        <f>IFERROR(__xludf.DUMMYFUNCTION("""COMPUTED_VALUE"""),"INSCRIÇÃO")</f>
        <v>INSCRIÇÃO</v>
      </c>
      <c r="B586" s="482" t="str">
        <f>IFERROR(__xludf.DUMMYFUNCTION("""COMPUTED_VALUE"""),"CANDIDATOS")</f>
        <v>CANDIDATOS</v>
      </c>
      <c r="C586" s="481" t="str">
        <f>IFERROR(__xludf.DUMMYFUNCTION("""COMPUTED_VALUE"""),"NF")</f>
        <v>NF</v>
      </c>
      <c r="D586" s="483" t="str">
        <f>IFERROR(__xludf.DUMMYFUNCTION("""COMPUTED_VALUE"""),"CONVOCADO(A)")</f>
        <v>CONVOCADO(A)</v>
      </c>
      <c r="E586" s="483" t="str">
        <f>IFERROR(__xludf.DUMMYFUNCTION("""COMPUTED_VALUE"""),"HOMOLOGADO(A)")</f>
        <v>HOMOLOGADO(A)</v>
      </c>
      <c r="F586" s="483" t="str">
        <f>IFERROR(__xludf.DUMMYFUNCTION("""COMPUTED_VALUE"""),"GERÊNCIA")</f>
        <v>GERÊNCIA</v>
      </c>
      <c r="G586" s="472"/>
      <c r="H586" s="472"/>
      <c r="I586" s="472"/>
      <c r="J586" s="472"/>
      <c r="K586" s="472"/>
      <c r="L586" s="472"/>
      <c r="M586" s="472"/>
      <c r="N586" s="472"/>
      <c r="O586" s="472"/>
      <c r="P586" s="472"/>
      <c r="Q586" s="472"/>
      <c r="R586" s="472"/>
      <c r="S586" s="472"/>
      <c r="T586" s="472"/>
      <c r="U586" s="472"/>
      <c r="V586" s="472"/>
      <c r="W586" s="472"/>
      <c r="X586" s="472"/>
      <c r="Y586" s="472"/>
      <c r="Z586" s="472"/>
      <c r="AA586" s="472"/>
    </row>
    <row r="587" outlineLevel="1">
      <c r="A587" s="484">
        <f>IFERROR(__xludf.DUMMYFUNCTION("""COMPUTED_VALUE"""),5.705500902E11)</f>
        <v>570550090200</v>
      </c>
      <c r="B587" s="485" t="str">
        <f>IFERROR(__xludf.DUMMYFUNCTION("""COMPUTED_VALUE"""),"JULIENE LIMA MESQUITA")</f>
        <v>JULIENE LIMA MESQUITA</v>
      </c>
      <c r="C587" s="486">
        <f>IFERROR(__xludf.DUMMYFUNCTION("""COMPUTED_VALUE"""),9.5)</f>
        <v>9.5</v>
      </c>
      <c r="D587" s="487"/>
      <c r="E587" s="486"/>
      <c r="F587" s="488"/>
      <c r="G587" s="472"/>
      <c r="H587" s="472"/>
      <c r="I587" s="472"/>
      <c r="J587" s="472"/>
      <c r="K587" s="472"/>
      <c r="L587" s="472"/>
      <c r="M587" s="472"/>
      <c r="N587" s="472"/>
      <c r="O587" s="472"/>
      <c r="P587" s="472"/>
      <c r="Q587" s="472"/>
      <c r="R587" s="472"/>
      <c r="S587" s="472"/>
      <c r="T587" s="472"/>
      <c r="U587" s="472"/>
      <c r="V587" s="472"/>
      <c r="W587" s="472"/>
      <c r="X587" s="472"/>
      <c r="Y587" s="472"/>
      <c r="Z587" s="472"/>
      <c r="AA587" s="472"/>
    </row>
    <row r="588" outlineLevel="1">
      <c r="A588" s="494">
        <f>IFERROR(__xludf.DUMMYFUNCTION("""COMPUTED_VALUE"""),7.2240090889E10)</f>
        <v>72240090889</v>
      </c>
      <c r="B588" s="485" t="str">
        <f>IFERROR(__xludf.DUMMYFUNCTION("""COMPUTED_VALUE"""),"ALINE ALBUQUERQUE BARROS HOLANDA")</f>
        <v>ALINE ALBUQUERQUE BARROS HOLANDA</v>
      </c>
      <c r="C588" s="486">
        <f>IFERROR(__xludf.DUMMYFUNCTION("""COMPUTED_VALUE"""),6.0)</f>
        <v>6</v>
      </c>
      <c r="D588" s="487"/>
      <c r="E588" s="486"/>
      <c r="F588" s="488"/>
      <c r="G588" s="472"/>
      <c r="H588" s="472"/>
      <c r="I588" s="472"/>
      <c r="J588" s="472"/>
      <c r="K588" s="472"/>
      <c r="L588" s="472"/>
      <c r="M588" s="472"/>
      <c r="N588" s="472"/>
      <c r="O588" s="472"/>
      <c r="P588" s="472"/>
      <c r="Q588" s="472"/>
      <c r="R588" s="472"/>
      <c r="S588" s="472"/>
      <c r="T588" s="472"/>
      <c r="U588" s="472"/>
      <c r="V588" s="472"/>
      <c r="W588" s="472"/>
      <c r="X588" s="472"/>
      <c r="Y588" s="472"/>
      <c r="Z588" s="472"/>
      <c r="AA588" s="472"/>
    </row>
    <row r="589">
      <c r="A589" s="478" t="str">
        <f>IFERROR(__xludf.DUMMYFUNCTION("""COMPUTED_VALUE"""),"XV - MES - PNEUMOLOGIA")</f>
        <v>XV - MES - PNEUMOLOGIA</v>
      </c>
      <c r="B589" s="479"/>
      <c r="C589" s="479"/>
      <c r="D589" s="479"/>
      <c r="E589" s="479"/>
      <c r="F589" s="480"/>
      <c r="G589" s="472"/>
      <c r="H589" s="472"/>
      <c r="I589" s="472"/>
      <c r="J589" s="472"/>
      <c r="K589" s="472"/>
      <c r="L589" s="472"/>
      <c r="M589" s="472"/>
      <c r="N589" s="472"/>
      <c r="O589" s="472"/>
      <c r="P589" s="472"/>
      <c r="Q589" s="472"/>
      <c r="R589" s="472"/>
      <c r="S589" s="472"/>
      <c r="T589" s="472"/>
      <c r="U589" s="472"/>
      <c r="V589" s="472"/>
      <c r="W589" s="472"/>
      <c r="X589" s="472"/>
      <c r="Y589" s="472"/>
      <c r="Z589" s="472"/>
      <c r="AA589" s="472"/>
    </row>
    <row r="590" outlineLevel="1">
      <c r="A590" s="481" t="str">
        <f>IFERROR(__xludf.DUMMYFUNCTION("""COMPUTED_VALUE"""),"INSCRIÇÃO")</f>
        <v>INSCRIÇÃO</v>
      </c>
      <c r="B590" s="482" t="str">
        <f>IFERROR(__xludf.DUMMYFUNCTION("""COMPUTED_VALUE"""),"CANDIDATOS")</f>
        <v>CANDIDATOS</v>
      </c>
      <c r="C590" s="481" t="str">
        <f>IFERROR(__xludf.DUMMYFUNCTION("""COMPUTED_VALUE"""),"NF")</f>
        <v>NF</v>
      </c>
      <c r="D590" s="483" t="str">
        <f>IFERROR(__xludf.DUMMYFUNCTION("""COMPUTED_VALUE"""),"CONVOCADO(A)")</f>
        <v>CONVOCADO(A)</v>
      </c>
      <c r="E590" s="483" t="str">
        <f>IFERROR(__xludf.DUMMYFUNCTION("""COMPUTED_VALUE"""),"HOMOLOGADO(A)")</f>
        <v>HOMOLOGADO(A)</v>
      </c>
      <c r="F590" s="483" t="str">
        <f>IFERROR(__xludf.DUMMYFUNCTION("""COMPUTED_VALUE"""),"GERÊNCIA")</f>
        <v>GERÊNCIA</v>
      </c>
      <c r="G590" s="472"/>
      <c r="H590" s="472"/>
      <c r="I590" s="472"/>
      <c r="J590" s="472"/>
      <c r="K590" s="472"/>
      <c r="L590" s="472"/>
      <c r="M590" s="472"/>
      <c r="N590" s="472"/>
      <c r="O590" s="472"/>
      <c r="P590" s="472"/>
      <c r="Q590" s="472"/>
      <c r="R590" s="472"/>
      <c r="S590" s="472"/>
      <c r="T590" s="472"/>
      <c r="U590" s="472"/>
      <c r="V590" s="472"/>
      <c r="W590" s="472"/>
      <c r="X590" s="472"/>
      <c r="Y590" s="472"/>
      <c r="Z590" s="472"/>
      <c r="AA590" s="472"/>
    </row>
    <row r="591" outlineLevel="1">
      <c r="A591" s="484">
        <f>IFERROR(__xludf.DUMMYFUNCTION("""COMPUTED_VALUE"""),8.22440088949E11)</f>
        <v>822440088949</v>
      </c>
      <c r="B591" s="485" t="str">
        <f>IFERROR(__xludf.DUMMYFUNCTION("""COMPUTED_VALUE"""),"RAISSA MAGALHÃES DE ALMEIDA")</f>
        <v>RAISSA MAGALHÃES DE ALMEIDA</v>
      </c>
      <c r="C591" s="486">
        <f>IFERROR(__xludf.DUMMYFUNCTION("""COMPUTED_VALUE"""),8.0)</f>
        <v>8</v>
      </c>
      <c r="D591" s="487"/>
      <c r="E591" s="486"/>
      <c r="F591" s="488"/>
      <c r="G591" s="472"/>
      <c r="H591" s="472"/>
      <c r="I591" s="472"/>
      <c r="J591" s="472"/>
      <c r="K591" s="472"/>
      <c r="L591" s="472"/>
      <c r="M591" s="472"/>
      <c r="N591" s="472"/>
      <c r="O591" s="472"/>
      <c r="P591" s="472"/>
      <c r="Q591" s="472"/>
      <c r="R591" s="472"/>
      <c r="S591" s="472"/>
      <c r="T591" s="472"/>
      <c r="U591" s="472"/>
      <c r="V591" s="472"/>
      <c r="W591" s="472"/>
      <c r="X591" s="472"/>
      <c r="Y591" s="472"/>
      <c r="Z591" s="472"/>
      <c r="AA591" s="472"/>
    </row>
    <row r="592" outlineLevel="1">
      <c r="A592" s="494">
        <f>IFERROR(__xludf.DUMMYFUNCTION("""COMPUTED_VALUE"""),1.1850093201E10)</f>
        <v>11850093201</v>
      </c>
      <c r="B592" s="485" t="str">
        <f>IFERROR(__xludf.DUMMYFUNCTION("""COMPUTED_VALUE"""),"LAÍLA CÂNDIDA ZACARIAS")</f>
        <v>LAÍLA CÂNDIDA ZACARIAS</v>
      </c>
      <c r="C592" s="486">
        <f>IFERROR(__xludf.DUMMYFUNCTION("""COMPUTED_VALUE"""),8.0)</f>
        <v>8</v>
      </c>
      <c r="D592" s="487"/>
      <c r="E592" s="486"/>
      <c r="F592" s="488"/>
      <c r="G592" s="472"/>
      <c r="H592" s="472"/>
      <c r="I592" s="472"/>
      <c r="J592" s="472"/>
      <c r="K592" s="472"/>
      <c r="L592" s="472"/>
      <c r="M592" s="472"/>
      <c r="N592" s="472"/>
      <c r="O592" s="472"/>
      <c r="P592" s="472"/>
      <c r="Q592" s="472"/>
      <c r="R592" s="472"/>
      <c r="S592" s="472"/>
      <c r="T592" s="472"/>
      <c r="U592" s="472"/>
      <c r="V592" s="472"/>
      <c r="W592" s="472"/>
      <c r="X592" s="472"/>
      <c r="Y592" s="472"/>
      <c r="Z592" s="472"/>
      <c r="AA592" s="472"/>
    </row>
    <row r="593" outlineLevel="1">
      <c r="A593" s="494">
        <f>IFERROR(__xludf.DUMMYFUNCTION("""COMPUTED_VALUE"""),4.9070092034E10)</f>
        <v>49070092034</v>
      </c>
      <c r="B593" s="485" t="str">
        <f>IFERROR(__xludf.DUMMYFUNCTION("""COMPUTED_VALUE"""),"JEFFERSON NASCIMENTO DOS SANTOS")</f>
        <v>JEFFERSON NASCIMENTO DOS SANTOS</v>
      </c>
      <c r="C593" s="486">
        <f>IFERROR(__xludf.DUMMYFUNCTION("""COMPUTED_VALUE"""),7.0)</f>
        <v>7</v>
      </c>
      <c r="D593" s="487"/>
      <c r="E593" s="486"/>
      <c r="F593" s="488"/>
      <c r="G593" s="472"/>
      <c r="H593" s="472"/>
      <c r="I593" s="472"/>
      <c r="J593" s="472"/>
      <c r="K593" s="472"/>
      <c r="L593" s="472"/>
      <c r="M593" s="472"/>
      <c r="N593" s="472"/>
      <c r="O593" s="472"/>
      <c r="P593" s="472"/>
      <c r="Q593" s="472"/>
      <c r="R593" s="472"/>
      <c r="S593" s="472"/>
      <c r="T593" s="472"/>
      <c r="U593" s="472"/>
      <c r="V593" s="472"/>
      <c r="W593" s="472"/>
      <c r="X593" s="472"/>
      <c r="Y593" s="472"/>
      <c r="Z593" s="472"/>
      <c r="AA593" s="472"/>
    </row>
    <row r="594">
      <c r="A594" s="478" t="str">
        <f>IFERROR(__xludf.DUMMYFUNCTION("""COMPUTED_VALUE"""),"XVI - MES - INFECTOLOGIA")</f>
        <v>XVI - MES - INFECTOLOGIA</v>
      </c>
      <c r="B594" s="479"/>
      <c r="C594" s="479"/>
      <c r="D594" s="479"/>
      <c r="E594" s="479"/>
      <c r="F594" s="480"/>
      <c r="G594" s="472"/>
      <c r="H594" s="472"/>
      <c r="I594" s="472"/>
      <c r="J594" s="472"/>
      <c r="K594" s="472"/>
      <c r="L594" s="472"/>
      <c r="M594" s="472"/>
      <c r="N594" s="472"/>
      <c r="O594" s="472"/>
      <c r="P594" s="472"/>
      <c r="Q594" s="472"/>
      <c r="R594" s="472"/>
      <c r="S594" s="472"/>
      <c r="T594" s="472"/>
      <c r="U594" s="472"/>
      <c r="V594" s="472"/>
      <c r="W594" s="472"/>
      <c r="X594" s="472"/>
      <c r="Y594" s="472"/>
      <c r="Z594" s="472"/>
      <c r="AA594" s="472"/>
    </row>
    <row r="595" outlineLevel="1">
      <c r="A595" s="481" t="str">
        <f>IFERROR(__xludf.DUMMYFUNCTION("""COMPUTED_VALUE"""),"INSCRIÇÃO")</f>
        <v>INSCRIÇÃO</v>
      </c>
      <c r="B595" s="482" t="str">
        <f>IFERROR(__xludf.DUMMYFUNCTION("""COMPUTED_VALUE"""),"CANDIDATOS")</f>
        <v>CANDIDATOS</v>
      </c>
      <c r="C595" s="481" t="str">
        <f>IFERROR(__xludf.DUMMYFUNCTION("""COMPUTED_VALUE"""),"NF")</f>
        <v>NF</v>
      </c>
      <c r="D595" s="483" t="str">
        <f>IFERROR(__xludf.DUMMYFUNCTION("""COMPUTED_VALUE"""),"CONVOCADO(A)")</f>
        <v>CONVOCADO(A)</v>
      </c>
      <c r="E595" s="483" t="str">
        <f>IFERROR(__xludf.DUMMYFUNCTION("""COMPUTED_VALUE"""),"HOMOLOGADO(A)")</f>
        <v>HOMOLOGADO(A)</v>
      </c>
      <c r="F595" s="483" t="str">
        <f>IFERROR(__xludf.DUMMYFUNCTION("""COMPUTED_VALUE"""),"GERÊNCIA")</f>
        <v>GERÊNCIA</v>
      </c>
      <c r="G595" s="472"/>
      <c r="H595" s="472"/>
      <c r="I595" s="472"/>
      <c r="J595" s="472"/>
      <c r="K595" s="472"/>
      <c r="L595" s="472"/>
      <c r="M595" s="472"/>
      <c r="N595" s="472"/>
      <c r="O595" s="472"/>
      <c r="P595" s="472"/>
      <c r="Q595" s="472"/>
      <c r="R595" s="472"/>
      <c r="S595" s="472"/>
      <c r="T595" s="472"/>
      <c r="U595" s="472"/>
      <c r="V595" s="472"/>
      <c r="W595" s="472"/>
      <c r="X595" s="472"/>
      <c r="Y595" s="472"/>
      <c r="Z595" s="472"/>
      <c r="AA595" s="472"/>
    </row>
    <row r="596" outlineLevel="1">
      <c r="A596" s="484">
        <f>IFERROR(__xludf.DUMMYFUNCTION("""COMPUTED_VALUE"""),7.23350089845E11)</f>
        <v>723350089845</v>
      </c>
      <c r="B596" s="485" t="str">
        <f>IFERROR(__xludf.DUMMYFUNCTION("""COMPUTED_VALUE"""),"LUCIELMO FAUSTINO SOUZA")</f>
        <v>LUCIELMO FAUSTINO SOUZA</v>
      </c>
      <c r="C596" s="486">
        <f>IFERROR(__xludf.DUMMYFUNCTION("""COMPUTED_VALUE"""),10.0)</f>
        <v>10</v>
      </c>
      <c r="D596" s="487"/>
      <c r="E596" s="486"/>
      <c r="F596" s="488"/>
      <c r="G596" s="472"/>
      <c r="H596" s="472"/>
      <c r="I596" s="472"/>
      <c r="J596" s="472"/>
      <c r="K596" s="472"/>
      <c r="L596" s="472"/>
      <c r="M596" s="472"/>
      <c r="N596" s="472"/>
      <c r="O596" s="472"/>
      <c r="P596" s="472"/>
      <c r="Q596" s="472"/>
      <c r="R596" s="472"/>
      <c r="S596" s="472"/>
      <c r="T596" s="472"/>
      <c r="U596" s="472"/>
      <c r="V596" s="472"/>
      <c r="W596" s="472"/>
      <c r="X596" s="472"/>
      <c r="Y596" s="472"/>
      <c r="Z596" s="472"/>
      <c r="AA596" s="472"/>
    </row>
    <row r="597" outlineLevel="1">
      <c r="A597" s="484">
        <f>IFERROR(__xludf.DUMMYFUNCTION("""COMPUTED_VALUE"""),5.08916093552E11)</f>
        <v>508916093552</v>
      </c>
      <c r="B597" s="485" t="str">
        <f>IFERROR(__xludf.DUMMYFUNCTION("""COMPUTED_VALUE"""),"ADEMAR MAIA FILHO")</f>
        <v>ADEMAR MAIA FILHO</v>
      </c>
      <c r="C597" s="486">
        <f>IFERROR(__xludf.DUMMYFUNCTION("""COMPUTED_VALUE"""),8.0)</f>
        <v>8</v>
      </c>
      <c r="D597" s="487"/>
      <c r="E597" s="486"/>
      <c r="F597" s="488"/>
      <c r="G597" s="472"/>
      <c r="H597" s="472"/>
      <c r="I597" s="472"/>
      <c r="J597" s="472"/>
      <c r="K597" s="472"/>
      <c r="L597" s="472"/>
      <c r="M597" s="472"/>
      <c r="N597" s="472"/>
      <c r="O597" s="472"/>
      <c r="P597" s="472"/>
      <c r="Q597" s="472"/>
      <c r="R597" s="472"/>
      <c r="S597" s="472"/>
      <c r="T597" s="472"/>
      <c r="U597" s="472"/>
      <c r="V597" s="472"/>
      <c r="W597" s="472"/>
      <c r="X597" s="472"/>
      <c r="Y597" s="472"/>
      <c r="Z597" s="472"/>
      <c r="AA597" s="472"/>
    </row>
    <row r="598" outlineLevel="1">
      <c r="A598" s="484">
        <f>IFERROR(__xludf.DUMMYFUNCTION("""COMPUTED_VALUE"""),1.82720092945E11)</f>
        <v>182720092945</v>
      </c>
      <c r="B598" s="485" t="str">
        <f>IFERROR(__xludf.DUMMYFUNCTION("""COMPUTED_VALUE"""),"JOSÉ DAVI JOVINO FARIAS")</f>
        <v>JOSÉ DAVI JOVINO FARIAS</v>
      </c>
      <c r="C598" s="486">
        <f>IFERROR(__xludf.DUMMYFUNCTION("""COMPUTED_VALUE"""),8.0)</f>
        <v>8</v>
      </c>
      <c r="D598" s="487"/>
      <c r="E598" s="486"/>
      <c r="F598" s="488"/>
      <c r="G598" s="472"/>
      <c r="H598" s="472"/>
      <c r="I598" s="472"/>
      <c r="J598" s="472"/>
      <c r="K598" s="472"/>
      <c r="L598" s="472"/>
      <c r="M598" s="472"/>
      <c r="N598" s="472"/>
      <c r="O598" s="472"/>
      <c r="P598" s="472"/>
      <c r="Q598" s="472"/>
      <c r="R598" s="472"/>
      <c r="S598" s="472"/>
      <c r="T598" s="472"/>
      <c r="U598" s="472"/>
      <c r="V598" s="472"/>
      <c r="W598" s="472"/>
      <c r="X598" s="472"/>
      <c r="Y598" s="472"/>
      <c r="Z598" s="472"/>
      <c r="AA598" s="472"/>
    </row>
    <row r="599" outlineLevel="1">
      <c r="A599" s="484">
        <f>IFERROR(__xludf.DUMMYFUNCTION("""COMPUTED_VALUE"""),8.8004009063E11)</f>
        <v>880040090630</v>
      </c>
      <c r="B599" s="485" t="str">
        <f>IFERROR(__xludf.DUMMYFUNCTION("""COMPUTED_VALUE"""),"LOHANNA VALESKA DE SOUSA TAVARES")</f>
        <v>LOHANNA VALESKA DE SOUSA TAVARES</v>
      </c>
      <c r="C599" s="486">
        <f>IFERROR(__xludf.DUMMYFUNCTION("""COMPUTED_VALUE"""),8.0)</f>
        <v>8</v>
      </c>
      <c r="D599" s="487"/>
      <c r="E599" s="486"/>
      <c r="F599" s="488"/>
      <c r="G599" s="472"/>
      <c r="H599" s="472"/>
      <c r="I599" s="472"/>
      <c r="J599" s="472"/>
      <c r="K599" s="472"/>
      <c r="L599" s="472"/>
      <c r="M599" s="472"/>
      <c r="N599" s="472"/>
      <c r="O599" s="472"/>
      <c r="P599" s="472"/>
      <c r="Q599" s="472"/>
      <c r="R599" s="472"/>
      <c r="S599" s="472"/>
      <c r="T599" s="472"/>
      <c r="U599" s="472"/>
      <c r="V599" s="472"/>
      <c r="W599" s="472"/>
      <c r="X599" s="472"/>
      <c r="Y599" s="472"/>
      <c r="Z599" s="472"/>
      <c r="AA599" s="472"/>
    </row>
    <row r="600" outlineLevel="1">
      <c r="A600" s="484">
        <f>IFERROR(__xludf.DUMMYFUNCTION("""COMPUTED_VALUE"""),6.2890009202E11)</f>
        <v>628900092020</v>
      </c>
      <c r="B600" s="485" t="str">
        <f>IFERROR(__xludf.DUMMYFUNCTION("""COMPUTED_VALUE"""),"NERCI DE SA CAVALCANTE CIARLINI")</f>
        <v>NERCI DE SA CAVALCANTE CIARLINI</v>
      </c>
      <c r="C600" s="486">
        <f>IFERROR(__xludf.DUMMYFUNCTION("""COMPUTED_VALUE"""),7.0)</f>
        <v>7</v>
      </c>
      <c r="D600" s="487"/>
      <c r="E600" s="486"/>
      <c r="F600" s="488"/>
      <c r="G600" s="472"/>
      <c r="H600" s="472"/>
      <c r="I600" s="472"/>
      <c r="J600" s="472"/>
      <c r="K600" s="472"/>
      <c r="L600" s="472"/>
      <c r="M600" s="472"/>
      <c r="N600" s="472"/>
      <c r="O600" s="472"/>
      <c r="P600" s="472"/>
      <c r="Q600" s="472"/>
      <c r="R600" s="472"/>
      <c r="S600" s="472"/>
      <c r="T600" s="472"/>
      <c r="U600" s="472"/>
      <c r="V600" s="472"/>
      <c r="W600" s="472"/>
      <c r="X600" s="472"/>
      <c r="Y600" s="472"/>
      <c r="Z600" s="472"/>
      <c r="AA600" s="472"/>
    </row>
    <row r="601" outlineLevel="1">
      <c r="A601" s="484">
        <f>IFERROR(__xludf.DUMMYFUNCTION("""COMPUTED_VALUE"""),1.63006093502E11)</f>
        <v>163006093502</v>
      </c>
      <c r="B601" s="485" t="str">
        <f>IFERROR(__xludf.DUMMYFUNCTION("""COMPUTED_VALUE"""),"THIAGO NOBRE GOMES")</f>
        <v>THIAGO NOBRE GOMES</v>
      </c>
      <c r="C601" s="486">
        <f>IFERROR(__xludf.DUMMYFUNCTION("""COMPUTED_VALUE"""),6.0)</f>
        <v>6</v>
      </c>
      <c r="D601" s="487"/>
      <c r="E601" s="486"/>
      <c r="F601" s="488"/>
      <c r="G601" s="472"/>
      <c r="H601" s="472"/>
      <c r="I601" s="472"/>
      <c r="J601" s="472"/>
      <c r="K601" s="472"/>
      <c r="L601" s="472"/>
      <c r="M601" s="472"/>
      <c r="N601" s="472"/>
      <c r="O601" s="472"/>
      <c r="P601" s="472"/>
      <c r="Q601" s="472"/>
      <c r="R601" s="472"/>
      <c r="S601" s="472"/>
      <c r="T601" s="472"/>
      <c r="U601" s="472"/>
      <c r="V601" s="472"/>
      <c r="W601" s="472"/>
      <c r="X601" s="472"/>
      <c r="Y601" s="472"/>
      <c r="Z601" s="472"/>
      <c r="AA601" s="472"/>
    </row>
    <row r="602">
      <c r="A602" s="478" t="str">
        <f>IFERROR(__xludf.DUMMYFUNCTION("""COMPUTED_VALUE"""),"XVII - MES - SAÚDE BUCAL")</f>
        <v>XVII - MES - SAÚDE BUCAL</v>
      </c>
      <c r="B602" s="479"/>
      <c r="C602" s="479"/>
      <c r="D602" s="479"/>
      <c r="E602" s="479"/>
      <c r="F602" s="480"/>
      <c r="G602" s="472"/>
      <c r="H602" s="472"/>
      <c r="I602" s="472"/>
      <c r="J602" s="472"/>
      <c r="K602" s="472"/>
      <c r="L602" s="472"/>
      <c r="M602" s="472"/>
      <c r="N602" s="472"/>
      <c r="O602" s="472"/>
      <c r="P602" s="472"/>
      <c r="Q602" s="472"/>
      <c r="R602" s="472"/>
      <c r="S602" s="472"/>
      <c r="T602" s="472"/>
      <c r="U602" s="472"/>
      <c r="V602" s="472"/>
      <c r="W602" s="472"/>
      <c r="X602" s="472"/>
      <c r="Y602" s="472"/>
      <c r="Z602" s="472"/>
      <c r="AA602" s="472"/>
    </row>
    <row r="603" outlineLevel="1">
      <c r="A603" s="481" t="str">
        <f>IFERROR(__xludf.DUMMYFUNCTION("""COMPUTED_VALUE"""),"INSCRIÇÃO")</f>
        <v>INSCRIÇÃO</v>
      </c>
      <c r="B603" s="482" t="str">
        <f>IFERROR(__xludf.DUMMYFUNCTION("""COMPUTED_VALUE"""),"CANDIDATOS")</f>
        <v>CANDIDATOS</v>
      </c>
      <c r="C603" s="481" t="str">
        <f>IFERROR(__xludf.DUMMYFUNCTION("""COMPUTED_VALUE"""),"NF")</f>
        <v>NF</v>
      </c>
      <c r="D603" s="483" t="str">
        <f>IFERROR(__xludf.DUMMYFUNCTION("""COMPUTED_VALUE"""),"CONVOCADO(A)")</f>
        <v>CONVOCADO(A)</v>
      </c>
      <c r="E603" s="483" t="str">
        <f>IFERROR(__xludf.DUMMYFUNCTION("""COMPUTED_VALUE"""),"HOMOLOGADO(A)")</f>
        <v>HOMOLOGADO(A)</v>
      </c>
      <c r="F603" s="483" t="str">
        <f>IFERROR(__xludf.DUMMYFUNCTION("""COMPUTED_VALUE"""),"GERÊNCIA")</f>
        <v>GERÊNCIA</v>
      </c>
      <c r="G603" s="472"/>
      <c r="H603" s="472"/>
      <c r="I603" s="472"/>
      <c r="J603" s="472"/>
      <c r="K603" s="472"/>
      <c r="L603" s="472"/>
      <c r="M603" s="472"/>
      <c r="N603" s="472"/>
      <c r="O603" s="472"/>
      <c r="P603" s="472"/>
      <c r="Q603" s="472"/>
      <c r="R603" s="472"/>
      <c r="S603" s="472"/>
      <c r="T603" s="472"/>
      <c r="U603" s="472"/>
      <c r="V603" s="472"/>
      <c r="W603" s="472"/>
      <c r="X603" s="472"/>
      <c r="Y603" s="472"/>
      <c r="Z603" s="472"/>
      <c r="AA603" s="472"/>
    </row>
    <row r="604" outlineLevel="1">
      <c r="A604" s="484">
        <f>IFERROR(__xludf.DUMMYFUNCTION("""COMPUTED_VALUE"""),8.73400090083E11)</f>
        <v>873400090083</v>
      </c>
      <c r="B604" s="485" t="str">
        <f>IFERROR(__xludf.DUMMYFUNCTION("""COMPUTED_VALUE"""),"LILIAN FERNANDES AMARANTE")</f>
        <v>LILIAN FERNANDES AMARANTE</v>
      </c>
      <c r="C604" s="486">
        <f>IFERROR(__xludf.DUMMYFUNCTION("""COMPUTED_VALUE"""),10.0)</f>
        <v>10</v>
      </c>
      <c r="D604" s="487"/>
      <c r="E604" s="486"/>
      <c r="F604" s="488"/>
      <c r="G604" s="472"/>
      <c r="H604" s="472"/>
      <c r="I604" s="472"/>
      <c r="J604" s="472"/>
      <c r="K604" s="472"/>
      <c r="L604" s="472"/>
      <c r="M604" s="472"/>
      <c r="N604" s="472"/>
      <c r="O604" s="472"/>
      <c r="P604" s="472"/>
      <c r="Q604" s="472"/>
      <c r="R604" s="472"/>
      <c r="S604" s="472"/>
      <c r="T604" s="472"/>
      <c r="U604" s="472"/>
      <c r="V604" s="472"/>
      <c r="W604" s="472"/>
      <c r="X604" s="472"/>
      <c r="Y604" s="472"/>
      <c r="Z604" s="472"/>
      <c r="AA604" s="472"/>
    </row>
    <row r="605" outlineLevel="1">
      <c r="A605" s="484">
        <f>IFERROR(__xludf.DUMMYFUNCTION("""COMPUTED_VALUE"""),3.82250092042E11)</f>
        <v>382250092042</v>
      </c>
      <c r="B605" s="485" t="str">
        <f>IFERROR(__xludf.DUMMYFUNCTION("""COMPUTED_VALUE"""),"NEYLIANE MARIA BRITO COSTA")</f>
        <v>NEYLIANE MARIA BRITO COSTA</v>
      </c>
      <c r="C605" s="486">
        <f>IFERROR(__xludf.DUMMYFUNCTION("""COMPUTED_VALUE"""),10.0)</f>
        <v>10</v>
      </c>
      <c r="D605" s="487"/>
      <c r="E605" s="486"/>
      <c r="F605" s="488"/>
      <c r="G605" s="472"/>
      <c r="H605" s="472"/>
      <c r="I605" s="472"/>
      <c r="J605" s="472"/>
      <c r="K605" s="472"/>
      <c r="L605" s="472"/>
      <c r="M605" s="472"/>
      <c r="N605" s="472"/>
      <c r="O605" s="472"/>
      <c r="P605" s="472"/>
      <c r="Q605" s="472"/>
      <c r="R605" s="472"/>
      <c r="S605" s="472"/>
      <c r="T605" s="472"/>
      <c r="U605" s="472"/>
      <c r="V605" s="472"/>
      <c r="W605" s="472"/>
      <c r="X605" s="472"/>
      <c r="Y605" s="472"/>
      <c r="Z605" s="472"/>
      <c r="AA605" s="472"/>
    </row>
    <row r="606" outlineLevel="1">
      <c r="A606" s="484">
        <f>IFERROR(__xludf.DUMMYFUNCTION("""COMPUTED_VALUE"""),8.88540092366E11)</f>
        <v>888540092366</v>
      </c>
      <c r="B606" s="485" t="str">
        <f>IFERROR(__xludf.DUMMYFUNCTION("""COMPUTED_VALUE"""),"GEMAKSON MIKAEL MENDES")</f>
        <v>GEMAKSON MIKAEL MENDES</v>
      </c>
      <c r="C606" s="486">
        <f>IFERROR(__xludf.DUMMYFUNCTION("""COMPUTED_VALUE"""),10.0)</f>
        <v>10</v>
      </c>
      <c r="D606" s="487"/>
      <c r="E606" s="486"/>
      <c r="F606" s="488"/>
      <c r="G606" s="472"/>
      <c r="H606" s="472"/>
      <c r="I606" s="472"/>
      <c r="J606" s="472"/>
      <c r="K606" s="472"/>
      <c r="L606" s="472"/>
      <c r="M606" s="472"/>
      <c r="N606" s="472"/>
      <c r="O606" s="472"/>
      <c r="P606" s="472"/>
      <c r="Q606" s="472"/>
      <c r="R606" s="472"/>
      <c r="S606" s="472"/>
      <c r="T606" s="472"/>
      <c r="U606" s="472"/>
      <c r="V606" s="472"/>
      <c r="W606" s="472"/>
      <c r="X606" s="472"/>
      <c r="Y606" s="472"/>
      <c r="Z606" s="472"/>
      <c r="AA606" s="472"/>
    </row>
    <row r="607" outlineLevel="1">
      <c r="A607" s="484">
        <f>IFERROR(__xludf.DUMMYFUNCTION("""COMPUTED_VALUE"""),9.81710089981E11)</f>
        <v>981710089981</v>
      </c>
      <c r="B607" s="485" t="str">
        <f>IFERROR(__xludf.DUMMYFUNCTION("""COMPUTED_VALUE"""),"DAMIAO MAROTO GOMES JUNIOR")</f>
        <v>DAMIAO MAROTO GOMES JUNIOR</v>
      </c>
      <c r="C607" s="486">
        <f>IFERROR(__xludf.DUMMYFUNCTION("""COMPUTED_VALUE"""),9.0)</f>
        <v>9</v>
      </c>
      <c r="D607" s="487"/>
      <c r="E607" s="486"/>
      <c r="F607" s="488"/>
      <c r="G607" s="472"/>
      <c r="H607" s="472"/>
      <c r="I607" s="472"/>
      <c r="J607" s="472"/>
      <c r="K607" s="472"/>
      <c r="L607" s="472"/>
      <c r="M607" s="472"/>
      <c r="N607" s="472"/>
      <c r="O607" s="472"/>
      <c r="P607" s="472"/>
      <c r="Q607" s="472"/>
      <c r="R607" s="472"/>
      <c r="S607" s="472"/>
      <c r="T607" s="472"/>
      <c r="U607" s="472"/>
      <c r="V607" s="472"/>
      <c r="W607" s="472"/>
      <c r="X607" s="472"/>
      <c r="Y607" s="472"/>
      <c r="Z607" s="472"/>
      <c r="AA607" s="472"/>
    </row>
    <row r="608" outlineLevel="1">
      <c r="A608" s="484">
        <f>IFERROR(__xludf.DUMMYFUNCTION("""COMPUTED_VALUE"""),5.29710092871E11)</f>
        <v>529710092871</v>
      </c>
      <c r="B608" s="485" t="str">
        <f>IFERROR(__xludf.DUMMYFUNCTION("""COMPUTED_VALUE"""),"NARJARA MONTEIRO DE CARVALHO FERREIRA")</f>
        <v>NARJARA MONTEIRO DE CARVALHO FERREIRA</v>
      </c>
      <c r="C608" s="486">
        <f>IFERROR(__xludf.DUMMYFUNCTION("""COMPUTED_VALUE"""),9.0)</f>
        <v>9</v>
      </c>
      <c r="D608" s="487"/>
      <c r="E608" s="486"/>
      <c r="F608" s="488"/>
      <c r="G608" s="472"/>
      <c r="H608" s="472"/>
      <c r="I608" s="472"/>
      <c r="J608" s="472"/>
      <c r="K608" s="472"/>
      <c r="L608" s="472"/>
      <c r="M608" s="472"/>
      <c r="N608" s="472"/>
      <c r="O608" s="472"/>
      <c r="P608" s="472"/>
      <c r="Q608" s="472"/>
      <c r="R608" s="472"/>
      <c r="S608" s="472"/>
      <c r="T608" s="472"/>
      <c r="U608" s="472"/>
      <c r="V608" s="472"/>
      <c r="W608" s="472"/>
      <c r="X608" s="472"/>
      <c r="Y608" s="472"/>
      <c r="Z608" s="472"/>
      <c r="AA608" s="472"/>
    </row>
    <row r="609" outlineLevel="1">
      <c r="A609" s="494">
        <f>IFERROR(__xludf.DUMMYFUNCTION("""COMPUTED_VALUE"""),5.5840092151E10)</f>
        <v>55840092151</v>
      </c>
      <c r="B609" s="485" t="str">
        <f>IFERROR(__xludf.DUMMYFUNCTION("""COMPUTED_VALUE"""),"ISABELLY RIBEIRO ARAÚJO")</f>
        <v>ISABELLY RIBEIRO ARAÚJO</v>
      </c>
      <c r="C609" s="486">
        <f>IFERROR(__xludf.DUMMYFUNCTION("""COMPUTED_VALUE"""),9.0)</f>
        <v>9</v>
      </c>
      <c r="D609" s="487"/>
      <c r="E609" s="486"/>
      <c r="F609" s="488"/>
      <c r="G609" s="472"/>
      <c r="H609" s="472"/>
      <c r="I609" s="472"/>
      <c r="J609" s="472"/>
      <c r="K609" s="472"/>
      <c r="L609" s="472"/>
      <c r="M609" s="472"/>
      <c r="N609" s="472"/>
      <c r="O609" s="472"/>
      <c r="P609" s="472"/>
      <c r="Q609" s="472"/>
      <c r="R609" s="472"/>
      <c r="S609" s="472"/>
      <c r="T609" s="472"/>
      <c r="U609" s="472"/>
      <c r="V609" s="472"/>
      <c r="W609" s="472"/>
      <c r="X609" s="472"/>
      <c r="Y609" s="472"/>
      <c r="Z609" s="472"/>
      <c r="AA609" s="472"/>
    </row>
    <row r="610" outlineLevel="1">
      <c r="A610" s="484">
        <f>IFERROR(__xludf.DUMMYFUNCTION("""COMPUTED_VALUE"""),4.74210089406E11)</f>
        <v>474210089406</v>
      </c>
      <c r="B610" s="485" t="str">
        <f>IFERROR(__xludf.DUMMYFUNCTION("""COMPUTED_VALUE"""),"PRISCILLA ROLIM MENDONÇA")</f>
        <v>PRISCILLA ROLIM MENDONÇA</v>
      </c>
      <c r="C610" s="486">
        <f>IFERROR(__xludf.DUMMYFUNCTION("""COMPUTED_VALUE"""),8.0)</f>
        <v>8</v>
      </c>
      <c r="D610" s="487"/>
      <c r="E610" s="486"/>
      <c r="F610" s="488"/>
      <c r="G610" s="472"/>
      <c r="H610" s="472"/>
      <c r="I610" s="472"/>
      <c r="J610" s="472"/>
      <c r="K610" s="472"/>
      <c r="L610" s="472"/>
      <c r="M610" s="472"/>
      <c r="N610" s="472"/>
      <c r="O610" s="472"/>
      <c r="P610" s="472"/>
      <c r="Q610" s="472"/>
      <c r="R610" s="472"/>
      <c r="S610" s="472"/>
      <c r="T610" s="472"/>
      <c r="U610" s="472"/>
      <c r="V610" s="472"/>
      <c r="W610" s="472"/>
      <c r="X610" s="472"/>
      <c r="Y610" s="472"/>
      <c r="Z610" s="472"/>
      <c r="AA610" s="472"/>
    </row>
    <row r="611" outlineLevel="1">
      <c r="A611" s="484">
        <f>IFERROR(__xludf.DUMMYFUNCTION("""COMPUTED_VALUE"""),5.41190090862E11)</f>
        <v>541190090862</v>
      </c>
      <c r="B611" s="485" t="str">
        <f>IFERROR(__xludf.DUMMYFUNCTION("""COMPUTED_VALUE"""),"JADSON ARAUJO DA SILVA")</f>
        <v>JADSON ARAUJO DA SILVA</v>
      </c>
      <c r="C611" s="486">
        <f>IFERROR(__xludf.DUMMYFUNCTION("""COMPUTED_VALUE"""),7.5)</f>
        <v>7.5</v>
      </c>
      <c r="D611" s="487"/>
      <c r="E611" s="486"/>
      <c r="F611" s="488"/>
      <c r="G611" s="472"/>
      <c r="H611" s="472"/>
      <c r="I611" s="472"/>
      <c r="J611" s="472"/>
      <c r="K611" s="472"/>
      <c r="L611" s="472"/>
      <c r="M611" s="472"/>
      <c r="N611" s="472"/>
      <c r="O611" s="472"/>
      <c r="P611" s="472"/>
      <c r="Q611" s="472"/>
      <c r="R611" s="472"/>
      <c r="S611" s="472"/>
      <c r="T611" s="472"/>
      <c r="U611" s="472"/>
      <c r="V611" s="472"/>
      <c r="W611" s="472"/>
      <c r="X611" s="472"/>
      <c r="Y611" s="472"/>
      <c r="Z611" s="472"/>
      <c r="AA611" s="472"/>
    </row>
    <row r="612" outlineLevel="1">
      <c r="A612" s="484">
        <f>IFERROR(__xludf.DUMMYFUNCTION("""COMPUTED_VALUE"""),4.10754092536E11)</f>
        <v>410754092536</v>
      </c>
      <c r="B612" s="485" t="str">
        <f>IFERROR(__xludf.DUMMYFUNCTION("""COMPUTED_VALUE"""),"MANOEL EDUARDO DOS SANTOS JÚNIOR")</f>
        <v>MANOEL EDUARDO DOS SANTOS JÚNIOR</v>
      </c>
      <c r="C612" s="486">
        <f>IFERROR(__xludf.DUMMYFUNCTION("""COMPUTED_VALUE"""),6.5)</f>
        <v>6.5</v>
      </c>
      <c r="D612" s="487"/>
      <c r="E612" s="486"/>
      <c r="F612" s="488"/>
      <c r="G612" s="472"/>
      <c r="H612" s="472"/>
      <c r="I612" s="472"/>
      <c r="J612" s="472"/>
      <c r="K612" s="472"/>
      <c r="L612" s="472"/>
      <c r="M612" s="472"/>
      <c r="N612" s="472"/>
      <c r="O612" s="472"/>
      <c r="P612" s="472"/>
      <c r="Q612" s="472"/>
      <c r="R612" s="472"/>
      <c r="S612" s="472"/>
      <c r="T612" s="472"/>
      <c r="U612" s="472"/>
      <c r="V612" s="472"/>
      <c r="W612" s="472"/>
      <c r="X612" s="472"/>
      <c r="Y612" s="472"/>
      <c r="Z612" s="472"/>
      <c r="AA612" s="472"/>
    </row>
    <row r="613">
      <c r="A613" s="478" t="str">
        <f>IFERROR(__xludf.DUMMYFUNCTION("""COMPUTED_VALUE"""),"XVIII - MES - ANÁLISES CLÍNICAS")</f>
        <v>XVIII - MES - ANÁLISES CLÍNICAS</v>
      </c>
      <c r="B613" s="479"/>
      <c r="C613" s="479"/>
      <c r="D613" s="479"/>
      <c r="E613" s="479"/>
      <c r="F613" s="480"/>
      <c r="G613" s="472"/>
      <c r="H613" s="472"/>
      <c r="I613" s="472"/>
      <c r="J613" s="472"/>
      <c r="K613" s="472"/>
      <c r="L613" s="472"/>
      <c r="M613" s="472"/>
      <c r="N613" s="472"/>
      <c r="O613" s="472"/>
      <c r="P613" s="472"/>
      <c r="Q613" s="472"/>
      <c r="R613" s="472"/>
      <c r="S613" s="472"/>
      <c r="T613" s="472"/>
      <c r="U613" s="472"/>
      <c r="V613" s="472"/>
      <c r="W613" s="472"/>
      <c r="X613" s="472"/>
      <c r="Y613" s="472"/>
      <c r="Z613" s="472"/>
      <c r="AA613" s="472"/>
    </row>
    <row r="614" outlineLevel="1">
      <c r="A614" s="481" t="str">
        <f>IFERROR(__xludf.DUMMYFUNCTION("""COMPUTED_VALUE"""),"INSCRIÇÃO")</f>
        <v>INSCRIÇÃO</v>
      </c>
      <c r="B614" s="482" t="str">
        <f>IFERROR(__xludf.DUMMYFUNCTION("""COMPUTED_VALUE"""),"CANDIDATOS")</f>
        <v>CANDIDATOS</v>
      </c>
      <c r="C614" s="481" t="str">
        <f>IFERROR(__xludf.DUMMYFUNCTION("""COMPUTED_VALUE"""),"NF")</f>
        <v>NF</v>
      </c>
      <c r="D614" s="483" t="str">
        <f>IFERROR(__xludf.DUMMYFUNCTION("""COMPUTED_VALUE"""),"CONVOCADO(A)")</f>
        <v>CONVOCADO(A)</v>
      </c>
      <c r="E614" s="483" t="str">
        <f>IFERROR(__xludf.DUMMYFUNCTION("""COMPUTED_VALUE"""),"HOMOLOGADO(A)")</f>
        <v>HOMOLOGADO(A)</v>
      </c>
      <c r="F614" s="483" t="str">
        <f>IFERROR(__xludf.DUMMYFUNCTION("""COMPUTED_VALUE"""),"GERÊNCIA")</f>
        <v>GERÊNCIA</v>
      </c>
      <c r="G614" s="472"/>
      <c r="H614" s="472"/>
      <c r="I614" s="472"/>
      <c r="J614" s="472"/>
      <c r="K614" s="472"/>
      <c r="L614" s="472"/>
      <c r="M614" s="472"/>
      <c r="N614" s="472"/>
      <c r="O614" s="472"/>
      <c r="P614" s="472"/>
      <c r="Q614" s="472"/>
      <c r="R614" s="472"/>
      <c r="S614" s="472"/>
      <c r="T614" s="472"/>
      <c r="U614" s="472"/>
      <c r="V614" s="472"/>
      <c r="W614" s="472"/>
      <c r="X614" s="472"/>
      <c r="Y614" s="472"/>
      <c r="Z614" s="472"/>
      <c r="AA614" s="472"/>
    </row>
    <row r="615" outlineLevel="1">
      <c r="A615" s="484">
        <f>IFERROR(__xludf.DUMMYFUNCTION("""COMPUTED_VALUE"""),7.23350089848E11)</f>
        <v>723350089848</v>
      </c>
      <c r="B615" s="485" t="str">
        <f>IFERROR(__xludf.DUMMYFUNCTION("""COMPUTED_VALUE"""),"LUCIELMO FAUSTINO SOUZA")</f>
        <v>LUCIELMO FAUSTINO SOUZA</v>
      </c>
      <c r="C615" s="486">
        <f>IFERROR(__xludf.DUMMYFUNCTION("""COMPUTED_VALUE"""),10.0)</f>
        <v>10</v>
      </c>
      <c r="D615" s="487"/>
      <c r="E615" s="486"/>
      <c r="F615" s="488"/>
      <c r="G615" s="472"/>
      <c r="H615" s="472"/>
      <c r="I615" s="472"/>
      <c r="J615" s="472"/>
      <c r="K615" s="472"/>
      <c r="L615" s="472"/>
      <c r="M615" s="472"/>
      <c r="N615" s="472"/>
      <c r="O615" s="472"/>
      <c r="P615" s="472"/>
      <c r="Q615" s="472"/>
      <c r="R615" s="472"/>
      <c r="S615" s="472"/>
      <c r="T615" s="472"/>
      <c r="U615" s="472"/>
      <c r="V615" s="472"/>
      <c r="W615" s="472"/>
      <c r="X615" s="472"/>
      <c r="Y615" s="472"/>
      <c r="Z615" s="472"/>
      <c r="AA615" s="472"/>
    </row>
    <row r="616" outlineLevel="1">
      <c r="A616" s="484">
        <f>IFERROR(__xludf.DUMMYFUNCTION("""COMPUTED_VALUE"""),4.32900091231E11)</f>
        <v>432900091231</v>
      </c>
      <c r="B616" s="485" t="str">
        <f>IFERROR(__xludf.DUMMYFUNCTION("""COMPUTED_VALUE"""),"JOSÉ DAMIÃO DA SILVA FILHO")</f>
        <v>JOSÉ DAMIÃO DA SILVA FILHO</v>
      </c>
      <c r="C616" s="486">
        <f>IFERROR(__xludf.DUMMYFUNCTION("""COMPUTED_VALUE"""),9.5)</f>
        <v>9.5</v>
      </c>
      <c r="D616" s="487"/>
      <c r="E616" s="486"/>
      <c r="F616" s="488"/>
      <c r="G616" s="472"/>
      <c r="H616" s="472"/>
      <c r="I616" s="472"/>
      <c r="J616" s="472"/>
      <c r="K616" s="472"/>
      <c r="L616" s="472"/>
      <c r="M616" s="472"/>
      <c r="N616" s="472"/>
      <c r="O616" s="472"/>
      <c r="P616" s="472"/>
      <c r="Q616" s="472"/>
      <c r="R616" s="472"/>
      <c r="S616" s="472"/>
      <c r="T616" s="472"/>
      <c r="U616" s="472"/>
      <c r="V616" s="472"/>
      <c r="W616" s="472"/>
      <c r="X616" s="472"/>
      <c r="Y616" s="472"/>
      <c r="Z616" s="472"/>
      <c r="AA616" s="472"/>
    </row>
    <row r="617" outlineLevel="1">
      <c r="A617" s="484">
        <f>IFERROR(__xludf.DUMMYFUNCTION("""COMPUTED_VALUE"""),5.08916093551E11)</f>
        <v>508916093551</v>
      </c>
      <c r="B617" s="485" t="str">
        <f>IFERROR(__xludf.DUMMYFUNCTION("""COMPUTED_VALUE"""),"ADEMAR MAIA FILHO")</f>
        <v>ADEMAR MAIA FILHO</v>
      </c>
      <c r="C617" s="486">
        <f>IFERROR(__xludf.DUMMYFUNCTION("""COMPUTED_VALUE"""),8.0)</f>
        <v>8</v>
      </c>
      <c r="D617" s="487"/>
      <c r="E617" s="486"/>
      <c r="F617" s="488"/>
      <c r="G617" s="472"/>
      <c r="H617" s="472"/>
      <c r="I617" s="472"/>
      <c r="J617" s="472"/>
      <c r="K617" s="472"/>
      <c r="L617" s="472"/>
      <c r="M617" s="472"/>
      <c r="N617" s="472"/>
      <c r="O617" s="472"/>
      <c r="P617" s="472"/>
      <c r="Q617" s="472"/>
      <c r="R617" s="472"/>
      <c r="S617" s="472"/>
      <c r="T617" s="472"/>
      <c r="U617" s="472"/>
      <c r="V617" s="472"/>
      <c r="W617" s="472"/>
      <c r="X617" s="472"/>
      <c r="Y617" s="472"/>
      <c r="Z617" s="472"/>
      <c r="AA617" s="472"/>
    </row>
    <row r="618" outlineLevel="1">
      <c r="A618" s="484">
        <f>IFERROR(__xludf.DUMMYFUNCTION("""COMPUTED_VALUE"""),3.74020092919E11)</f>
        <v>374020092919</v>
      </c>
      <c r="B618" s="485" t="str">
        <f>IFERROR(__xludf.DUMMYFUNCTION("""COMPUTED_VALUE"""),"NARA JULIANA SANTOS ARAÚJO")</f>
        <v>NARA JULIANA SANTOS ARAÚJO</v>
      </c>
      <c r="C618" s="486">
        <f>IFERROR(__xludf.DUMMYFUNCTION("""COMPUTED_VALUE"""),8.0)</f>
        <v>8</v>
      </c>
      <c r="D618" s="487"/>
      <c r="E618" s="486"/>
      <c r="F618" s="488"/>
      <c r="G618" s="472"/>
      <c r="H618" s="472"/>
      <c r="I618" s="472"/>
      <c r="J618" s="472"/>
      <c r="K618" s="472"/>
      <c r="L618" s="472"/>
      <c r="M618" s="472"/>
      <c r="N618" s="472"/>
      <c r="O618" s="472"/>
      <c r="P618" s="472"/>
      <c r="Q618" s="472"/>
      <c r="R618" s="472"/>
      <c r="S618" s="472"/>
      <c r="T618" s="472"/>
      <c r="U618" s="472"/>
      <c r="V618" s="472"/>
      <c r="W618" s="472"/>
      <c r="X618" s="472"/>
      <c r="Y618" s="472"/>
      <c r="Z618" s="472"/>
      <c r="AA618" s="472"/>
    </row>
    <row r="619" outlineLevel="1">
      <c r="A619" s="484">
        <f>IFERROR(__xludf.DUMMYFUNCTION("""COMPUTED_VALUE"""),8.80040090634E11)</f>
        <v>880040090634</v>
      </c>
      <c r="B619" s="485" t="str">
        <f>IFERROR(__xludf.DUMMYFUNCTION("""COMPUTED_VALUE"""),"LOHANNA VALESKA DE SOUSA TAVARES")</f>
        <v>LOHANNA VALESKA DE SOUSA TAVARES</v>
      </c>
      <c r="C619" s="486">
        <f>IFERROR(__xludf.DUMMYFUNCTION("""COMPUTED_VALUE"""),7.0)</f>
        <v>7</v>
      </c>
      <c r="D619" s="487"/>
      <c r="E619" s="486"/>
      <c r="F619" s="488"/>
      <c r="G619" s="472"/>
      <c r="H619" s="472"/>
      <c r="I619" s="472"/>
      <c r="J619" s="472"/>
      <c r="K619" s="472"/>
      <c r="L619" s="472"/>
      <c r="M619" s="472"/>
      <c r="N619" s="472"/>
      <c r="O619" s="472"/>
      <c r="P619" s="472"/>
      <c r="Q619" s="472"/>
      <c r="R619" s="472"/>
      <c r="S619" s="472"/>
      <c r="T619" s="472"/>
      <c r="U619" s="472"/>
      <c r="V619" s="472"/>
      <c r="W619" s="472"/>
      <c r="X619" s="472"/>
      <c r="Y619" s="472"/>
      <c r="Z619" s="472"/>
      <c r="AA619" s="472"/>
    </row>
    <row r="620" outlineLevel="1">
      <c r="A620" s="484">
        <f>IFERROR(__xludf.DUMMYFUNCTION("""COMPUTED_VALUE"""),1.63006093501E11)</f>
        <v>163006093501</v>
      </c>
      <c r="B620" s="485" t="str">
        <f>IFERROR(__xludf.DUMMYFUNCTION("""COMPUTED_VALUE"""),"THIAGO NOBRE GOMES")</f>
        <v>THIAGO NOBRE GOMES</v>
      </c>
      <c r="C620" s="486">
        <f>IFERROR(__xludf.DUMMYFUNCTION("""COMPUTED_VALUE"""),6.0)</f>
        <v>6</v>
      </c>
      <c r="D620" s="487"/>
      <c r="E620" s="486"/>
      <c r="F620" s="488"/>
      <c r="G620" s="472"/>
      <c r="H620" s="472"/>
      <c r="I620" s="472"/>
      <c r="J620" s="472"/>
      <c r="K620" s="472"/>
      <c r="L620" s="472"/>
      <c r="M620" s="472"/>
      <c r="N620" s="472"/>
      <c r="O620" s="472"/>
      <c r="P620" s="472"/>
      <c r="Q620" s="472"/>
      <c r="R620" s="472"/>
      <c r="S620" s="472"/>
      <c r="T620" s="472"/>
      <c r="U620" s="472"/>
      <c r="V620" s="472"/>
      <c r="W620" s="472"/>
      <c r="X620" s="472"/>
      <c r="Y620" s="472"/>
      <c r="Z620" s="472"/>
      <c r="AA620" s="472"/>
    </row>
    <row r="621" outlineLevel="1">
      <c r="A621" s="484">
        <f>IFERROR(__xludf.DUMMYFUNCTION("""COMPUTED_VALUE"""),4.34250093058E11)</f>
        <v>434250093058</v>
      </c>
      <c r="B621" s="485" t="str">
        <f>IFERROR(__xludf.DUMMYFUNCTION("""COMPUTED_VALUE"""),"PAULO IURY GOMES NUNES")</f>
        <v>PAULO IURY GOMES NUNES</v>
      </c>
      <c r="C621" s="486">
        <f>IFERROR(__xludf.DUMMYFUNCTION("""COMPUTED_VALUE"""),6.0)</f>
        <v>6</v>
      </c>
      <c r="D621" s="487"/>
      <c r="E621" s="486"/>
      <c r="F621" s="488"/>
      <c r="G621" s="472"/>
      <c r="H621" s="472"/>
      <c r="I621" s="472"/>
      <c r="J621" s="472"/>
      <c r="K621" s="472"/>
      <c r="L621" s="472"/>
      <c r="M621" s="472"/>
      <c r="N621" s="472"/>
      <c r="O621" s="472"/>
      <c r="P621" s="472"/>
      <c r="Q621" s="472"/>
      <c r="R621" s="472"/>
      <c r="S621" s="472"/>
      <c r="T621" s="472"/>
      <c r="U621" s="472"/>
      <c r="V621" s="472"/>
      <c r="W621" s="472"/>
      <c r="X621" s="472"/>
      <c r="Y621" s="472"/>
      <c r="Z621" s="472"/>
      <c r="AA621" s="472"/>
    </row>
    <row r="622" outlineLevel="1">
      <c r="A622" s="484">
        <f>IFERROR(__xludf.DUMMYFUNCTION("""COMPUTED_VALUE"""),9.94760091502E11)</f>
        <v>994760091502</v>
      </c>
      <c r="B622" s="485" t="str">
        <f>IFERROR(__xludf.DUMMYFUNCTION("""COMPUTED_VALUE"""),"MARIA GABRIELA ARAÚJO MENDES")</f>
        <v>MARIA GABRIELA ARAÚJO MENDES</v>
      </c>
      <c r="C622" s="486">
        <f>IFERROR(__xludf.DUMMYFUNCTION("""COMPUTED_VALUE"""),6.0)</f>
        <v>6</v>
      </c>
      <c r="D622" s="487"/>
      <c r="E622" s="486"/>
      <c r="F622" s="488"/>
      <c r="G622" s="472"/>
      <c r="H622" s="472"/>
      <c r="I622" s="472"/>
      <c r="J622" s="472"/>
      <c r="K622" s="472"/>
      <c r="L622" s="472"/>
      <c r="M622" s="472"/>
      <c r="N622" s="472"/>
      <c r="O622" s="472"/>
      <c r="P622" s="472"/>
      <c r="Q622" s="472"/>
      <c r="R622" s="472"/>
      <c r="S622" s="472"/>
      <c r="T622" s="472"/>
      <c r="U622" s="472"/>
      <c r="V622" s="472"/>
      <c r="W622" s="472"/>
      <c r="X622" s="472"/>
      <c r="Y622" s="472"/>
      <c r="Z622" s="472"/>
      <c r="AA622" s="472"/>
    </row>
    <row r="623">
      <c r="A623" s="478" t="str">
        <f>IFERROR(__xludf.DUMMYFUNCTION("""COMPUTED_VALUE"""),"XIX - MES - SAÚDE PRISIONAL")</f>
        <v>XIX - MES - SAÚDE PRISIONAL</v>
      </c>
      <c r="B623" s="479"/>
      <c r="C623" s="479"/>
      <c r="D623" s="479"/>
      <c r="E623" s="479"/>
      <c r="F623" s="480"/>
      <c r="G623" s="472"/>
      <c r="H623" s="472"/>
      <c r="I623" s="472"/>
      <c r="J623" s="472"/>
      <c r="K623" s="472"/>
      <c r="L623" s="472"/>
      <c r="M623" s="472"/>
      <c r="N623" s="472"/>
      <c r="O623" s="472"/>
      <c r="P623" s="472"/>
      <c r="Q623" s="472"/>
      <c r="R623" s="472"/>
      <c r="S623" s="472"/>
      <c r="T623" s="472"/>
      <c r="U623" s="472"/>
      <c r="V623" s="472"/>
      <c r="W623" s="472"/>
      <c r="X623" s="472"/>
      <c r="Y623" s="472"/>
      <c r="Z623" s="472"/>
      <c r="AA623" s="472"/>
    </row>
    <row r="624" outlineLevel="1">
      <c r="A624" s="481" t="str">
        <f>IFERROR(__xludf.DUMMYFUNCTION("""COMPUTED_VALUE"""),"INSCRIÇÃO")</f>
        <v>INSCRIÇÃO</v>
      </c>
      <c r="B624" s="482" t="str">
        <f>IFERROR(__xludf.DUMMYFUNCTION("""COMPUTED_VALUE"""),"CANDIDATOS")</f>
        <v>CANDIDATOS</v>
      </c>
      <c r="C624" s="481" t="str">
        <f>IFERROR(__xludf.DUMMYFUNCTION("""COMPUTED_VALUE"""),"NF")</f>
        <v>NF</v>
      </c>
      <c r="D624" s="483" t="str">
        <f>IFERROR(__xludf.DUMMYFUNCTION("""COMPUTED_VALUE"""),"CONVOCADO(A)")</f>
        <v>CONVOCADO(A)</v>
      </c>
      <c r="E624" s="483" t="str">
        <f>IFERROR(__xludf.DUMMYFUNCTION("""COMPUTED_VALUE"""),"HOMOLOGADO(A)")</f>
        <v>HOMOLOGADO(A)</v>
      </c>
      <c r="F624" s="483" t="str">
        <f>IFERROR(__xludf.DUMMYFUNCTION("""COMPUTED_VALUE"""),"GERÊNCIA")</f>
        <v>GERÊNCIA</v>
      </c>
      <c r="G624" s="472"/>
      <c r="H624" s="472"/>
      <c r="I624" s="472"/>
      <c r="J624" s="472"/>
      <c r="K624" s="472"/>
      <c r="L624" s="472"/>
      <c r="M624" s="472"/>
      <c r="N624" s="472"/>
      <c r="O624" s="472"/>
      <c r="P624" s="472"/>
      <c r="Q624" s="472"/>
      <c r="R624" s="472"/>
      <c r="S624" s="472"/>
      <c r="T624" s="472"/>
      <c r="U624" s="472"/>
      <c r="V624" s="472"/>
      <c r="W624" s="472"/>
      <c r="X624" s="472"/>
      <c r="Y624" s="472"/>
      <c r="Z624" s="472"/>
      <c r="AA624" s="472"/>
    </row>
    <row r="625" outlineLevel="1">
      <c r="A625" s="484">
        <f>IFERROR(__xludf.DUMMYFUNCTION("""COMPUTED_VALUE"""),9.19650089148E11)</f>
        <v>919650089148</v>
      </c>
      <c r="B625" s="485" t="str">
        <f>IFERROR(__xludf.DUMMYFUNCTION("""COMPUTED_VALUE"""),"DIEGO KEDSON DOS SANTOS")</f>
        <v>DIEGO KEDSON DOS SANTOS</v>
      </c>
      <c r="C625" s="486">
        <f>IFERROR(__xludf.DUMMYFUNCTION("""COMPUTED_VALUE"""),9.5)</f>
        <v>9.5</v>
      </c>
      <c r="D625" s="487"/>
      <c r="E625" s="486"/>
      <c r="F625" s="488"/>
      <c r="G625" s="472"/>
      <c r="H625" s="472"/>
      <c r="I625" s="472"/>
      <c r="J625" s="472"/>
      <c r="K625" s="472"/>
      <c r="L625" s="472"/>
      <c r="M625" s="472"/>
      <c r="N625" s="472"/>
      <c r="O625" s="472"/>
      <c r="P625" s="472"/>
      <c r="Q625" s="472"/>
      <c r="R625" s="472"/>
      <c r="S625" s="472"/>
      <c r="T625" s="472"/>
      <c r="U625" s="472"/>
      <c r="V625" s="472"/>
      <c r="W625" s="472"/>
      <c r="X625" s="472"/>
      <c r="Y625" s="472"/>
      <c r="Z625" s="472"/>
      <c r="AA625" s="472"/>
    </row>
    <row r="626" outlineLevel="1">
      <c r="A626" s="484">
        <f>IFERROR(__xludf.DUMMYFUNCTION("""COMPUTED_VALUE"""),5.48624092916E11)</f>
        <v>548624092916</v>
      </c>
      <c r="B626" s="485" t="str">
        <f>IFERROR(__xludf.DUMMYFUNCTION("""COMPUTED_VALUE"""),"JEFFERSON LOPES CUSTÓDIO")</f>
        <v>JEFFERSON LOPES CUSTÓDIO</v>
      </c>
      <c r="C626" s="486">
        <f>IFERROR(__xludf.DUMMYFUNCTION("""COMPUTED_VALUE"""),7.0)</f>
        <v>7</v>
      </c>
      <c r="D626" s="487"/>
      <c r="E626" s="486"/>
      <c r="F626" s="488"/>
      <c r="G626" s="472"/>
      <c r="H626" s="472"/>
      <c r="I626" s="472"/>
      <c r="J626" s="472"/>
      <c r="K626" s="472"/>
      <c r="L626" s="472"/>
      <c r="M626" s="472"/>
      <c r="N626" s="472"/>
      <c r="O626" s="472"/>
      <c r="P626" s="472"/>
      <c r="Q626" s="472"/>
      <c r="R626" s="472"/>
      <c r="S626" s="472"/>
      <c r="T626" s="472"/>
      <c r="U626" s="472"/>
      <c r="V626" s="472"/>
      <c r="W626" s="472"/>
      <c r="X626" s="472"/>
      <c r="Y626" s="472"/>
      <c r="Z626" s="472"/>
      <c r="AA626" s="472"/>
    </row>
    <row r="627">
      <c r="A627" s="478" t="str">
        <f>IFERROR(__xludf.DUMMYFUNCTION("""COMPUTED_VALUE"""),"XX - MES - RELAÇÕES ÉTNICO-RACIAIS")</f>
        <v>XX - MES - RELAÇÕES ÉTNICO-RACIAIS</v>
      </c>
      <c r="B627" s="479"/>
      <c r="C627" s="479"/>
      <c r="D627" s="479"/>
      <c r="E627" s="479"/>
      <c r="F627" s="480"/>
      <c r="G627" s="472"/>
      <c r="H627" s="472"/>
      <c r="I627" s="472"/>
      <c r="J627" s="472"/>
      <c r="K627" s="472"/>
      <c r="L627" s="472"/>
      <c r="M627" s="472"/>
      <c r="N627" s="472"/>
      <c r="O627" s="472"/>
      <c r="P627" s="472"/>
      <c r="Q627" s="472"/>
      <c r="R627" s="472"/>
      <c r="S627" s="472"/>
      <c r="T627" s="472"/>
      <c r="U627" s="472"/>
      <c r="V627" s="472"/>
      <c r="W627" s="472"/>
      <c r="X627" s="472"/>
      <c r="Y627" s="472"/>
      <c r="Z627" s="472"/>
      <c r="AA627" s="472"/>
    </row>
    <row r="628" outlineLevel="1">
      <c r="A628" s="481" t="str">
        <f>IFERROR(__xludf.DUMMYFUNCTION("""COMPUTED_VALUE"""),"INSCRIÇÃO")</f>
        <v>INSCRIÇÃO</v>
      </c>
      <c r="B628" s="482" t="str">
        <f>IFERROR(__xludf.DUMMYFUNCTION("""COMPUTED_VALUE"""),"CANDIDATOS")</f>
        <v>CANDIDATOS</v>
      </c>
      <c r="C628" s="481" t="str">
        <f>IFERROR(__xludf.DUMMYFUNCTION("""COMPUTED_VALUE"""),"NF")</f>
        <v>NF</v>
      </c>
      <c r="D628" s="483" t="str">
        <f>IFERROR(__xludf.DUMMYFUNCTION("""COMPUTED_VALUE"""),"CONVOCADO(A)")</f>
        <v>CONVOCADO(A)</v>
      </c>
      <c r="E628" s="483" t="str">
        <f>IFERROR(__xludf.DUMMYFUNCTION("""COMPUTED_VALUE"""),"HOMOLOGADO(A)")</f>
        <v>HOMOLOGADO(A)</v>
      </c>
      <c r="F628" s="483" t="str">
        <f>IFERROR(__xludf.DUMMYFUNCTION("""COMPUTED_VALUE"""),"GERÊNCIA")</f>
        <v>GERÊNCIA</v>
      </c>
      <c r="G628" s="472"/>
      <c r="H628" s="472"/>
      <c r="I628" s="472"/>
      <c r="J628" s="472"/>
      <c r="K628" s="472"/>
      <c r="L628" s="472"/>
      <c r="M628" s="472"/>
      <c r="N628" s="472"/>
      <c r="O628" s="472"/>
      <c r="P628" s="472"/>
      <c r="Q628" s="472"/>
      <c r="R628" s="472"/>
      <c r="S628" s="472"/>
      <c r="T628" s="472"/>
      <c r="U628" s="472"/>
      <c r="V628" s="472"/>
      <c r="W628" s="472"/>
      <c r="X628" s="472"/>
      <c r="Y628" s="472"/>
      <c r="Z628" s="472"/>
      <c r="AA628" s="472"/>
    </row>
    <row r="629" outlineLevel="1">
      <c r="A629" s="484">
        <f>IFERROR(__xludf.DUMMYFUNCTION("""COMPUTED_VALUE"""),6.23916092897E11)</f>
        <v>623916092897</v>
      </c>
      <c r="B629" s="485" t="str">
        <f>IFERROR(__xludf.DUMMYFUNCTION("""COMPUTED_VALUE"""),"FRANCISCO ANDERSON CARVALHO DE LIMA")</f>
        <v>FRANCISCO ANDERSON CARVALHO DE LIMA</v>
      </c>
      <c r="C629" s="486">
        <f>IFERROR(__xludf.DUMMYFUNCTION("""COMPUTED_VALUE"""),8.5)</f>
        <v>8.5</v>
      </c>
      <c r="D629" s="487" t="str">
        <f>IFERROR(__xludf.DUMMYFUNCTION("""COMPUTED_VALUE"""),"SIM")</f>
        <v>SIM</v>
      </c>
      <c r="E629" s="486" t="str">
        <f>IFERROR(__xludf.DUMMYFUNCTION("""COMPUTED_VALUE"""),"SIM")</f>
        <v>SIM</v>
      </c>
      <c r="F629" s="488" t="str">
        <f>IFERROR(__xludf.DUMMYFUNCTION("""COMPUTED_VALUE"""),"GEDUC")</f>
        <v>GEDUC</v>
      </c>
      <c r="G629" s="472"/>
      <c r="H629" s="472"/>
      <c r="I629" s="472"/>
      <c r="J629" s="472"/>
      <c r="K629" s="472"/>
      <c r="L629" s="472"/>
      <c r="M629" s="472"/>
      <c r="N629" s="472"/>
      <c r="O629" s="472"/>
      <c r="P629" s="472"/>
      <c r="Q629" s="472"/>
      <c r="R629" s="472"/>
      <c r="S629" s="472"/>
      <c r="T629" s="472"/>
      <c r="U629" s="472"/>
      <c r="V629" s="472"/>
      <c r="W629" s="472"/>
      <c r="X629" s="472"/>
      <c r="Y629" s="472"/>
      <c r="Z629" s="472"/>
      <c r="AA629" s="472"/>
    </row>
    <row r="630" outlineLevel="1">
      <c r="A630" s="484">
        <f>IFERROR(__xludf.DUMMYFUNCTION("""COMPUTED_VALUE"""),9.77530093041E11)</f>
        <v>977530093041</v>
      </c>
      <c r="B630" s="485" t="str">
        <f>IFERROR(__xludf.DUMMYFUNCTION("""COMPUTED_VALUE"""),"LIVIA ALVES DIAS RIBEIRO")</f>
        <v>LIVIA ALVES DIAS RIBEIRO</v>
      </c>
      <c r="C630" s="486">
        <f>IFERROR(__xludf.DUMMYFUNCTION("""COMPUTED_VALUE"""),8.0)</f>
        <v>8</v>
      </c>
      <c r="D630" s="487" t="str">
        <f>IFERROR(__xludf.DUMMYFUNCTION("""COMPUTED_VALUE"""),"SIM")</f>
        <v>SIM</v>
      </c>
      <c r="E630" s="486" t="str">
        <f>IFERROR(__xludf.DUMMYFUNCTION("""COMPUTED_VALUE"""),"SIM")</f>
        <v>SIM</v>
      </c>
      <c r="F630" s="488" t="str">
        <f>IFERROR(__xludf.DUMMYFUNCTION("""COMPUTED_VALUE"""),"GEDUC")</f>
        <v>GEDUC</v>
      </c>
      <c r="G630" s="472"/>
      <c r="H630" s="472"/>
      <c r="I630" s="472"/>
      <c r="J630" s="472"/>
      <c r="K630" s="472"/>
      <c r="L630" s="472"/>
      <c r="M630" s="472"/>
      <c r="N630" s="472"/>
      <c r="O630" s="472"/>
      <c r="P630" s="472"/>
      <c r="Q630" s="472"/>
      <c r="R630" s="472"/>
      <c r="S630" s="472"/>
      <c r="T630" s="472"/>
      <c r="U630" s="472"/>
      <c r="V630" s="472"/>
      <c r="W630" s="472"/>
      <c r="X630" s="472"/>
      <c r="Y630" s="472"/>
      <c r="Z630" s="472"/>
      <c r="AA630" s="472"/>
    </row>
    <row r="631" outlineLevel="1">
      <c r="A631" s="484">
        <f>IFERROR(__xludf.DUMMYFUNCTION("""COMPUTED_VALUE"""),2.73060091698E11)</f>
        <v>273060091698</v>
      </c>
      <c r="B631" s="485" t="str">
        <f>IFERROR(__xludf.DUMMYFUNCTION("""COMPUTED_VALUE"""),"ANA LARISSE SANTOS BARBOSA")</f>
        <v>ANA LARISSE SANTOS BARBOSA</v>
      </c>
      <c r="C631" s="486">
        <f>IFERROR(__xludf.DUMMYFUNCTION("""COMPUTED_VALUE"""),8.0)</f>
        <v>8</v>
      </c>
      <c r="D631" s="487" t="str">
        <f>IFERROR(__xludf.DUMMYFUNCTION("""COMPUTED_VALUE"""),"SIM")</f>
        <v>SIM</v>
      </c>
      <c r="E631" s="486" t="str">
        <f>IFERROR(__xludf.DUMMYFUNCTION("""COMPUTED_VALUE"""),"SIM")</f>
        <v>SIM</v>
      </c>
      <c r="F631" s="488" t="str">
        <f>IFERROR(__xludf.DUMMYFUNCTION("""COMPUTED_VALUE"""),"GEDUC")</f>
        <v>GEDUC</v>
      </c>
      <c r="G631" s="472"/>
      <c r="H631" s="472"/>
      <c r="I631" s="472"/>
      <c r="J631" s="472"/>
      <c r="K631" s="472"/>
      <c r="L631" s="472"/>
      <c r="M631" s="472"/>
      <c r="N631" s="472"/>
      <c r="O631" s="472"/>
      <c r="P631" s="472"/>
      <c r="Q631" s="472"/>
      <c r="R631" s="472"/>
      <c r="S631" s="472"/>
      <c r="T631" s="472"/>
      <c r="U631" s="472"/>
      <c r="V631" s="472"/>
      <c r="W631" s="472"/>
      <c r="X631" s="472"/>
      <c r="Y631" s="472"/>
      <c r="Z631" s="472"/>
      <c r="AA631" s="472"/>
    </row>
    <row r="632" outlineLevel="1">
      <c r="A632" s="484">
        <f>IFERROR(__xludf.DUMMYFUNCTION("""COMPUTED_VALUE"""),9.37300090702E11)</f>
        <v>937300090702</v>
      </c>
      <c r="B632" s="485" t="str">
        <f>IFERROR(__xludf.DUMMYFUNCTION("""COMPUTED_VALUE"""),"MAYANA DE AZEVEDO DANTAS")</f>
        <v>MAYANA DE AZEVEDO DANTAS</v>
      </c>
      <c r="C632" s="486">
        <f>IFERROR(__xludf.DUMMYFUNCTION("""COMPUTED_VALUE"""),7.5)</f>
        <v>7.5</v>
      </c>
      <c r="D632" s="487" t="str">
        <f>IFERROR(__xludf.DUMMYFUNCTION("""COMPUTED_VALUE"""),"SIM")</f>
        <v>SIM</v>
      </c>
      <c r="E632" s="486" t="str">
        <f>IFERROR(__xludf.DUMMYFUNCTION("""COMPUTED_VALUE"""),"SIM")</f>
        <v>SIM</v>
      </c>
      <c r="F632" s="488" t="str">
        <f>IFERROR(__xludf.DUMMYFUNCTION("""COMPUTED_VALUE"""),"GEDUC")</f>
        <v>GEDUC</v>
      </c>
      <c r="G632" s="472"/>
      <c r="H632" s="472"/>
      <c r="I632" s="472"/>
      <c r="J632" s="472"/>
      <c r="K632" s="472"/>
      <c r="L632" s="472"/>
      <c r="M632" s="472"/>
      <c r="N632" s="472"/>
      <c r="O632" s="472"/>
      <c r="P632" s="472"/>
      <c r="Q632" s="472"/>
      <c r="R632" s="472"/>
      <c r="S632" s="472"/>
      <c r="T632" s="472"/>
      <c r="U632" s="472"/>
      <c r="V632" s="472"/>
      <c r="W632" s="472"/>
      <c r="X632" s="472"/>
      <c r="Y632" s="472"/>
      <c r="Z632" s="472"/>
      <c r="AA632" s="472"/>
    </row>
    <row r="633" outlineLevel="1">
      <c r="A633" s="484">
        <f>IFERROR(__xludf.DUMMYFUNCTION("""COMPUTED_VALUE"""),2.75660088993E11)</f>
        <v>275660088993</v>
      </c>
      <c r="B633" s="485" t="str">
        <f>IFERROR(__xludf.DUMMYFUNCTION("""COMPUTED_VALUE"""),"RAFAEL DIAS DE MELO")</f>
        <v>RAFAEL DIAS DE MELO</v>
      </c>
      <c r="C633" s="486">
        <f>IFERROR(__xludf.DUMMYFUNCTION("""COMPUTED_VALUE"""),7.0)</f>
        <v>7</v>
      </c>
      <c r="D633" s="487" t="str">
        <f>IFERROR(__xludf.DUMMYFUNCTION("""COMPUTED_VALUE"""),"SIM")</f>
        <v>SIM</v>
      </c>
      <c r="E633" s="486" t="str">
        <f>IFERROR(__xludf.DUMMYFUNCTION("""COMPUTED_VALUE"""),"SIM")</f>
        <v>SIM</v>
      </c>
      <c r="F633" s="488" t="str">
        <f>IFERROR(__xludf.DUMMYFUNCTION("""COMPUTED_VALUE"""),"GEDUC")</f>
        <v>GEDUC</v>
      </c>
      <c r="G633" s="472"/>
      <c r="H633" s="472"/>
      <c r="I633" s="472"/>
      <c r="J633" s="472"/>
      <c r="K633" s="472"/>
      <c r="L633" s="472"/>
      <c r="M633" s="472"/>
      <c r="N633" s="472"/>
      <c r="O633" s="472"/>
      <c r="P633" s="472"/>
      <c r="Q633" s="472"/>
      <c r="R633" s="472"/>
      <c r="S633" s="472"/>
      <c r="T633" s="472"/>
      <c r="U633" s="472"/>
      <c r="V633" s="472"/>
      <c r="W633" s="472"/>
      <c r="X633" s="472"/>
      <c r="Y633" s="472"/>
      <c r="Z633" s="472"/>
      <c r="AA633" s="472"/>
    </row>
    <row r="634" outlineLevel="1">
      <c r="A634" s="494">
        <f>IFERROR(__xludf.DUMMYFUNCTION("""COMPUTED_VALUE"""),4.7327093522E10)</f>
        <v>47327093522</v>
      </c>
      <c r="B634" s="485" t="str">
        <f>IFERROR(__xludf.DUMMYFUNCTION("""COMPUTED_VALUE"""),"MARIA NEURILANE VIANA NOGUEIRA")</f>
        <v>MARIA NEURILANE VIANA NOGUEIRA</v>
      </c>
      <c r="C634" s="486">
        <f>IFERROR(__xludf.DUMMYFUNCTION("""COMPUTED_VALUE"""),6.5)</f>
        <v>6.5</v>
      </c>
      <c r="D634" s="487"/>
      <c r="E634" s="486"/>
      <c r="F634" s="488"/>
      <c r="G634" s="472"/>
      <c r="H634" s="472"/>
      <c r="I634" s="472"/>
      <c r="J634" s="472"/>
      <c r="K634" s="472"/>
      <c r="L634" s="472"/>
      <c r="M634" s="472"/>
      <c r="N634" s="472"/>
      <c r="O634" s="472"/>
      <c r="P634" s="472"/>
      <c r="Q634" s="472"/>
      <c r="R634" s="472"/>
      <c r="S634" s="472"/>
      <c r="T634" s="472"/>
      <c r="U634" s="472"/>
      <c r="V634" s="472"/>
      <c r="W634" s="472"/>
      <c r="X634" s="472"/>
      <c r="Y634" s="472"/>
      <c r="Z634" s="472"/>
      <c r="AA634" s="472"/>
    </row>
    <row r="635">
      <c r="A635" s="478" t="str">
        <f>IFERROR(__xludf.DUMMYFUNCTION("""COMPUTED_VALUE"""),"XXI - MES - EQUIDADE DE GÊNERO NO CAMPO DA SAÚDE")</f>
        <v>XXI - MES - EQUIDADE DE GÊNERO NO CAMPO DA SAÚDE</v>
      </c>
      <c r="B635" s="479"/>
      <c r="C635" s="479"/>
      <c r="D635" s="479"/>
      <c r="E635" s="479"/>
      <c r="F635" s="480"/>
      <c r="G635" s="472"/>
      <c r="H635" s="472"/>
      <c r="I635" s="472"/>
      <c r="J635" s="472"/>
      <c r="K635" s="472"/>
      <c r="L635" s="472"/>
      <c r="M635" s="472"/>
      <c r="N635" s="472"/>
      <c r="O635" s="472"/>
      <c r="P635" s="472"/>
      <c r="Q635" s="472"/>
      <c r="R635" s="472"/>
      <c r="S635" s="472"/>
      <c r="T635" s="472"/>
      <c r="U635" s="472"/>
      <c r="V635" s="472"/>
      <c r="W635" s="472"/>
      <c r="X635" s="472"/>
      <c r="Y635" s="472"/>
      <c r="Z635" s="472"/>
      <c r="AA635" s="472"/>
    </row>
    <row r="636" outlineLevel="1">
      <c r="A636" s="481" t="str">
        <f>IFERROR(__xludf.DUMMYFUNCTION("""COMPUTED_VALUE"""),"INSCRIÇÃO")</f>
        <v>INSCRIÇÃO</v>
      </c>
      <c r="B636" s="482" t="str">
        <f>IFERROR(__xludf.DUMMYFUNCTION("""COMPUTED_VALUE"""),"CANDIDATOS")</f>
        <v>CANDIDATOS</v>
      </c>
      <c r="C636" s="481" t="str">
        <f>IFERROR(__xludf.DUMMYFUNCTION("""COMPUTED_VALUE"""),"NF")</f>
        <v>NF</v>
      </c>
      <c r="D636" s="483" t="str">
        <f>IFERROR(__xludf.DUMMYFUNCTION("""COMPUTED_VALUE"""),"CONVOCADO(A)")</f>
        <v>CONVOCADO(A)</v>
      </c>
      <c r="E636" s="483" t="str">
        <f>IFERROR(__xludf.DUMMYFUNCTION("""COMPUTED_VALUE"""),"HOMOLOGADO(A)")</f>
        <v>HOMOLOGADO(A)</v>
      </c>
      <c r="F636" s="483" t="str">
        <f>IFERROR(__xludf.DUMMYFUNCTION("""COMPUTED_VALUE"""),"GERÊNCIA")</f>
        <v>GERÊNCIA</v>
      </c>
      <c r="G636" s="472"/>
      <c r="H636" s="472"/>
      <c r="I636" s="472"/>
      <c r="J636" s="472"/>
      <c r="K636" s="472"/>
      <c r="L636" s="472"/>
      <c r="M636" s="472"/>
      <c r="N636" s="472"/>
      <c r="O636" s="472"/>
      <c r="P636" s="472"/>
      <c r="Q636" s="472"/>
      <c r="R636" s="472"/>
      <c r="S636" s="472"/>
      <c r="T636" s="472"/>
      <c r="U636" s="472"/>
      <c r="V636" s="472"/>
      <c r="W636" s="472"/>
      <c r="X636" s="472"/>
      <c r="Y636" s="472"/>
      <c r="Z636" s="472"/>
      <c r="AA636" s="472"/>
    </row>
    <row r="637" outlineLevel="1">
      <c r="A637" s="494">
        <f>IFERROR(__xludf.DUMMYFUNCTION("""COMPUTED_VALUE"""),3.9620090071E10)</f>
        <v>39620090071</v>
      </c>
      <c r="B637" s="485" t="str">
        <f>IFERROR(__xludf.DUMMYFUNCTION("""COMPUTED_VALUE"""),"RAFAELLE DANTAS BEZERRA")</f>
        <v>RAFAELLE DANTAS BEZERRA</v>
      </c>
      <c r="C637" s="486">
        <f>IFERROR(__xludf.DUMMYFUNCTION("""COMPUTED_VALUE"""),8.0)</f>
        <v>8</v>
      </c>
      <c r="D637" s="487"/>
      <c r="E637" s="486"/>
      <c r="F637" s="488"/>
      <c r="G637" s="472"/>
      <c r="H637" s="472"/>
      <c r="I637" s="472"/>
      <c r="J637" s="472"/>
      <c r="K637" s="472"/>
      <c r="L637" s="472"/>
      <c r="M637" s="472"/>
      <c r="N637" s="472"/>
      <c r="O637" s="472"/>
      <c r="P637" s="472"/>
      <c r="Q637" s="472"/>
      <c r="R637" s="472"/>
      <c r="S637" s="472"/>
      <c r="T637" s="472"/>
      <c r="U637" s="472"/>
      <c r="V637" s="472"/>
      <c r="W637" s="472"/>
      <c r="X637" s="472"/>
      <c r="Y637" s="472"/>
      <c r="Z637" s="472"/>
      <c r="AA637" s="472"/>
    </row>
    <row r="638" outlineLevel="1">
      <c r="A638" s="484">
        <f>IFERROR(__xludf.DUMMYFUNCTION("""COMPUTED_VALUE"""),9.19650089149E11)</f>
        <v>919650089149</v>
      </c>
      <c r="B638" s="485" t="str">
        <f>IFERROR(__xludf.DUMMYFUNCTION("""COMPUTED_VALUE"""),"DIEGO KEDSON DOS SANTOS")</f>
        <v>DIEGO KEDSON DOS SANTOS</v>
      </c>
      <c r="C638" s="486">
        <f>IFERROR(__xludf.DUMMYFUNCTION("""COMPUTED_VALUE"""),7.5)</f>
        <v>7.5</v>
      </c>
      <c r="D638" s="487"/>
      <c r="E638" s="486"/>
      <c r="F638" s="488"/>
      <c r="G638" s="472"/>
      <c r="H638" s="472"/>
      <c r="I638" s="472"/>
      <c r="J638" s="472"/>
      <c r="K638" s="472"/>
      <c r="L638" s="472"/>
      <c r="M638" s="472"/>
      <c r="N638" s="472"/>
      <c r="O638" s="472"/>
      <c r="P638" s="472"/>
      <c r="Q638" s="472"/>
      <c r="R638" s="472"/>
      <c r="S638" s="472"/>
      <c r="T638" s="472"/>
      <c r="U638" s="472"/>
      <c r="V638" s="472"/>
      <c r="W638" s="472"/>
      <c r="X638" s="472"/>
      <c r="Y638" s="472"/>
      <c r="Z638" s="472"/>
      <c r="AA638" s="472"/>
    </row>
    <row r="639" outlineLevel="1">
      <c r="A639" s="484">
        <f>IFERROR(__xludf.DUMMYFUNCTION("""COMPUTED_VALUE"""),2.75660088994E11)</f>
        <v>275660088994</v>
      </c>
      <c r="B639" s="485" t="str">
        <f>IFERROR(__xludf.DUMMYFUNCTION("""COMPUTED_VALUE"""),"RAFAEL DIAS DE MELO")</f>
        <v>RAFAEL DIAS DE MELO</v>
      </c>
      <c r="C639" s="486">
        <f>IFERROR(__xludf.DUMMYFUNCTION("""COMPUTED_VALUE"""),7.0)</f>
        <v>7</v>
      </c>
      <c r="D639" s="487"/>
      <c r="E639" s="486"/>
      <c r="F639" s="488"/>
      <c r="G639" s="472"/>
      <c r="H639" s="472"/>
      <c r="I639" s="472"/>
      <c r="J639" s="472"/>
      <c r="K639" s="472"/>
      <c r="L639" s="472"/>
      <c r="M639" s="472"/>
      <c r="N639" s="472"/>
      <c r="O639" s="472"/>
      <c r="P639" s="472"/>
      <c r="Q639" s="472"/>
      <c r="R639" s="472"/>
      <c r="S639" s="472"/>
      <c r="T639" s="472"/>
      <c r="U639" s="472"/>
      <c r="V639" s="472"/>
      <c r="W639" s="472"/>
      <c r="X639" s="472"/>
      <c r="Y639" s="472"/>
      <c r="Z639" s="472"/>
      <c r="AA639" s="472"/>
    </row>
    <row r="640" outlineLevel="1">
      <c r="A640" s="484">
        <f>IFERROR(__xludf.DUMMYFUNCTION("""COMPUTED_VALUE"""),9.37300090703E11)</f>
        <v>937300090703</v>
      </c>
      <c r="B640" s="485" t="str">
        <f>IFERROR(__xludf.DUMMYFUNCTION("""COMPUTED_VALUE"""),"MAYANA DE AZEVEDO DANTAS")</f>
        <v>MAYANA DE AZEVEDO DANTAS</v>
      </c>
      <c r="C640" s="486">
        <f>IFERROR(__xludf.DUMMYFUNCTION("""COMPUTED_VALUE"""),6.5)</f>
        <v>6.5</v>
      </c>
      <c r="D640" s="487"/>
      <c r="E640" s="486"/>
      <c r="F640" s="488"/>
      <c r="G640" s="472"/>
      <c r="H640" s="472"/>
      <c r="I640" s="472"/>
      <c r="J640" s="472"/>
      <c r="K640" s="472"/>
      <c r="L640" s="472"/>
      <c r="M640" s="472"/>
      <c r="N640" s="472"/>
      <c r="O640" s="472"/>
      <c r="P640" s="472"/>
      <c r="Q640" s="472"/>
      <c r="R640" s="472"/>
      <c r="S640" s="472"/>
      <c r="T640" s="472"/>
      <c r="U640" s="472"/>
      <c r="V640" s="472"/>
      <c r="W640" s="472"/>
      <c r="X640" s="472"/>
      <c r="Y640" s="472"/>
      <c r="Z640" s="472"/>
      <c r="AA640" s="472"/>
    </row>
    <row r="641" outlineLevel="1">
      <c r="A641" s="484">
        <f>IFERROR(__xludf.DUMMYFUNCTION("""COMPUTED_VALUE"""),6.51440091979E11)</f>
        <v>651440091979</v>
      </c>
      <c r="B641" s="485" t="str">
        <f>IFERROR(__xludf.DUMMYFUNCTION("""COMPUTED_VALUE"""),"CHARLLIANE FERNANDES GONÇALVES RIBEIRO")</f>
        <v>CHARLLIANE FERNANDES GONÇALVES RIBEIRO</v>
      </c>
      <c r="C641" s="486">
        <f>IFERROR(__xludf.DUMMYFUNCTION("""COMPUTED_VALUE"""),6.0)</f>
        <v>6</v>
      </c>
      <c r="D641" s="487"/>
      <c r="E641" s="486"/>
      <c r="F641" s="488"/>
      <c r="G641" s="472"/>
      <c r="H641" s="472"/>
      <c r="I641" s="472"/>
      <c r="J641" s="472"/>
      <c r="K641" s="472"/>
      <c r="L641" s="472"/>
      <c r="M641" s="472"/>
      <c r="N641" s="472"/>
      <c r="O641" s="472"/>
      <c r="P641" s="472"/>
      <c r="Q641" s="472"/>
      <c r="R641" s="472"/>
      <c r="S641" s="472"/>
      <c r="T641" s="472"/>
      <c r="U641" s="472"/>
      <c r="V641" s="472"/>
      <c r="W641" s="472"/>
      <c r="X641" s="472"/>
      <c r="Y641" s="472"/>
      <c r="Z641" s="472"/>
      <c r="AA641" s="472"/>
    </row>
    <row r="642">
      <c r="A642" s="478" t="str">
        <f>IFERROR(__xludf.DUMMYFUNCTION("""COMPUTED_VALUE"""),"XXII - MES - SAÚDE INDÍGENA")</f>
        <v>XXII - MES - SAÚDE INDÍGENA</v>
      </c>
      <c r="B642" s="479"/>
      <c r="C642" s="479"/>
      <c r="D642" s="479"/>
      <c r="E642" s="479"/>
      <c r="F642" s="480"/>
      <c r="G642" s="472"/>
      <c r="H642" s="472"/>
      <c r="I642" s="472"/>
      <c r="J642" s="472"/>
      <c r="K642" s="472"/>
      <c r="L642" s="472"/>
      <c r="M642" s="472"/>
      <c r="N642" s="472"/>
      <c r="O642" s="472"/>
      <c r="P642" s="472"/>
      <c r="Q642" s="472"/>
      <c r="R642" s="472"/>
      <c r="S642" s="472"/>
      <c r="T642" s="472"/>
      <c r="U642" s="472"/>
      <c r="V642" s="472"/>
      <c r="W642" s="472"/>
      <c r="X642" s="472"/>
      <c r="Y642" s="472"/>
      <c r="Z642" s="472"/>
      <c r="AA642" s="472"/>
    </row>
    <row r="643" outlineLevel="1">
      <c r="A643" s="481" t="str">
        <f>IFERROR(__xludf.DUMMYFUNCTION("""COMPUTED_VALUE"""),"INSCRIÇÃO")</f>
        <v>INSCRIÇÃO</v>
      </c>
      <c r="B643" s="482" t="str">
        <f>IFERROR(__xludf.DUMMYFUNCTION("""COMPUTED_VALUE"""),"CANDIDATOS")</f>
        <v>CANDIDATOS</v>
      </c>
      <c r="C643" s="481" t="str">
        <f>IFERROR(__xludf.DUMMYFUNCTION("""COMPUTED_VALUE"""),"NF")</f>
        <v>NF</v>
      </c>
      <c r="D643" s="483" t="str">
        <f>IFERROR(__xludf.DUMMYFUNCTION("""COMPUTED_VALUE"""),"CONVOCADO(A)")</f>
        <v>CONVOCADO(A)</v>
      </c>
      <c r="E643" s="483" t="str">
        <f>IFERROR(__xludf.DUMMYFUNCTION("""COMPUTED_VALUE"""),"HOMOLOGADO(A)")</f>
        <v>HOMOLOGADO(A)</v>
      </c>
      <c r="F643" s="483" t="str">
        <f>IFERROR(__xludf.DUMMYFUNCTION("""COMPUTED_VALUE"""),"GERÊNCIA")</f>
        <v>GERÊNCIA</v>
      </c>
      <c r="G643" s="472"/>
      <c r="H643" s="472"/>
      <c r="I643" s="472"/>
      <c r="J643" s="472"/>
      <c r="K643" s="472"/>
      <c r="L643" s="472"/>
      <c r="M643" s="472"/>
      <c r="N643" s="472"/>
      <c r="O643" s="472"/>
      <c r="P643" s="472"/>
      <c r="Q643" s="472"/>
      <c r="R643" s="472"/>
      <c r="S643" s="472"/>
      <c r="T643" s="472"/>
      <c r="U643" s="472"/>
      <c r="V643" s="472"/>
      <c r="W643" s="472"/>
      <c r="X643" s="472"/>
      <c r="Y643" s="472"/>
      <c r="Z643" s="472"/>
      <c r="AA643" s="472"/>
    </row>
    <row r="644" outlineLevel="1">
      <c r="A644" s="484">
        <f>IFERROR(__xludf.DUMMYFUNCTION("""COMPUTED_VALUE"""),9.37300090706E11)</f>
        <v>937300090706</v>
      </c>
      <c r="B644" s="485" t="str">
        <f>IFERROR(__xludf.DUMMYFUNCTION("""COMPUTED_VALUE"""),"MAYANA DE AZEVEDO DANTAS")</f>
        <v>MAYANA DE AZEVEDO DANTAS</v>
      </c>
      <c r="C644" s="486">
        <f>IFERROR(__xludf.DUMMYFUNCTION("""COMPUTED_VALUE"""),8.5)</f>
        <v>8.5</v>
      </c>
      <c r="D644" s="487"/>
      <c r="E644" s="486"/>
      <c r="F644" s="488"/>
      <c r="G644" s="472"/>
      <c r="H644" s="472"/>
      <c r="I644" s="472"/>
      <c r="J644" s="472"/>
      <c r="K644" s="472"/>
      <c r="L644" s="472"/>
      <c r="M644" s="472"/>
      <c r="N644" s="472"/>
      <c r="O644" s="472"/>
      <c r="P644" s="472"/>
      <c r="Q644" s="472"/>
      <c r="R644" s="472"/>
      <c r="S644" s="472"/>
      <c r="T644" s="472"/>
      <c r="U644" s="472"/>
      <c r="V644" s="472"/>
      <c r="W644" s="472"/>
      <c r="X644" s="472"/>
      <c r="Y644" s="472"/>
      <c r="Z644" s="472"/>
      <c r="AA644" s="472"/>
    </row>
    <row r="645" outlineLevel="1">
      <c r="A645" s="484">
        <f>IFERROR(__xludf.DUMMYFUNCTION("""COMPUTED_VALUE"""),9.77530093043E11)</f>
        <v>977530093043</v>
      </c>
      <c r="B645" s="485" t="str">
        <f>IFERROR(__xludf.DUMMYFUNCTION("""COMPUTED_VALUE"""),"LIVIA ALVES DIAS RIBEIRO")</f>
        <v>LIVIA ALVES DIAS RIBEIRO</v>
      </c>
      <c r="C645" s="486">
        <f>IFERROR(__xludf.DUMMYFUNCTION("""COMPUTED_VALUE"""),7.0)</f>
        <v>7</v>
      </c>
      <c r="D645" s="487"/>
      <c r="E645" s="486"/>
      <c r="F645" s="488"/>
      <c r="G645" s="472"/>
      <c r="H645" s="472"/>
      <c r="I645" s="472"/>
      <c r="J645" s="472"/>
      <c r="K645" s="472"/>
      <c r="L645" s="472"/>
      <c r="M645" s="472"/>
      <c r="N645" s="472"/>
      <c r="O645" s="472"/>
      <c r="P645" s="472"/>
      <c r="Q645" s="472"/>
      <c r="R645" s="472"/>
      <c r="S645" s="472"/>
      <c r="T645" s="472"/>
      <c r="U645" s="472"/>
      <c r="V645" s="472"/>
      <c r="W645" s="472"/>
      <c r="X645" s="472"/>
      <c r="Y645" s="472"/>
      <c r="Z645" s="472"/>
      <c r="AA645" s="472"/>
    </row>
    <row r="646" outlineLevel="1">
      <c r="A646" s="484">
        <f>IFERROR(__xludf.DUMMYFUNCTION("""COMPUTED_VALUE"""),8.4545009009E11)</f>
        <v>845450090090</v>
      </c>
      <c r="B646" s="485" t="str">
        <f>IFERROR(__xludf.DUMMYFUNCTION("""COMPUTED_VALUE"""),"ANTONIO EDSON RIBEIRO DE ALMADA")</f>
        <v>ANTONIO EDSON RIBEIRO DE ALMADA</v>
      </c>
      <c r="C646" s="486">
        <f>IFERROR(__xludf.DUMMYFUNCTION("""COMPUTED_VALUE"""),6.5)</f>
        <v>6.5</v>
      </c>
      <c r="D646" s="487"/>
      <c r="E646" s="486"/>
      <c r="F646" s="488"/>
      <c r="G646" s="472"/>
      <c r="H646" s="472"/>
      <c r="I646" s="472"/>
      <c r="J646" s="472"/>
      <c r="K646" s="472"/>
      <c r="L646" s="472"/>
      <c r="M646" s="472"/>
      <c r="N646" s="472"/>
      <c r="O646" s="472"/>
      <c r="P646" s="472"/>
      <c r="Q646" s="472"/>
      <c r="R646" s="472"/>
      <c r="S646" s="472"/>
      <c r="T646" s="472"/>
      <c r="U646" s="472"/>
      <c r="V646" s="472"/>
      <c r="W646" s="472"/>
      <c r="X646" s="472"/>
      <c r="Y646" s="472"/>
      <c r="Z646" s="472"/>
      <c r="AA646" s="472"/>
    </row>
    <row r="647" outlineLevel="1">
      <c r="A647" s="484">
        <f>IFERROR(__xludf.DUMMYFUNCTION("""COMPUTED_VALUE"""),6.46624091408E11)</f>
        <v>646624091408</v>
      </c>
      <c r="B647" s="485" t="str">
        <f>IFERROR(__xludf.DUMMYFUNCTION("""COMPUTED_VALUE"""),"ANA MARIA MELO DE PINHO")</f>
        <v>ANA MARIA MELO DE PINHO</v>
      </c>
      <c r="C647" s="486">
        <f>IFERROR(__xludf.DUMMYFUNCTION("""COMPUTED_VALUE"""),6.0)</f>
        <v>6</v>
      </c>
      <c r="D647" s="487"/>
      <c r="E647" s="486"/>
      <c r="F647" s="488"/>
      <c r="G647" s="472"/>
      <c r="H647" s="472"/>
      <c r="I647" s="472"/>
      <c r="J647" s="472"/>
      <c r="K647" s="472"/>
      <c r="L647" s="472"/>
      <c r="M647" s="472"/>
      <c r="N647" s="472"/>
      <c r="O647" s="472"/>
      <c r="P647" s="472"/>
      <c r="Q647" s="472"/>
      <c r="R647" s="472"/>
      <c r="S647" s="472"/>
      <c r="T647" s="472"/>
      <c r="U647" s="472"/>
      <c r="V647" s="472"/>
      <c r="W647" s="472"/>
      <c r="X647" s="472"/>
      <c r="Y647" s="472"/>
      <c r="Z647" s="472"/>
      <c r="AA647" s="472"/>
    </row>
    <row r="648" outlineLevel="1">
      <c r="A648" s="484">
        <f>IFERROR(__xludf.DUMMYFUNCTION("""COMPUTED_VALUE"""),5.59820093169E11)</f>
        <v>559820093169</v>
      </c>
      <c r="B648" s="485" t="str">
        <f>IFERROR(__xludf.DUMMYFUNCTION("""COMPUTED_VALUE"""),"JÉSSICA ARAÚJO DE CARVALHO")</f>
        <v>JÉSSICA ARAÚJO DE CARVALHO</v>
      </c>
      <c r="C648" s="486">
        <f>IFERROR(__xludf.DUMMYFUNCTION("""COMPUTED_VALUE"""),6.0)</f>
        <v>6</v>
      </c>
      <c r="D648" s="487"/>
      <c r="E648" s="486"/>
      <c r="F648" s="488"/>
      <c r="G648" s="472"/>
      <c r="H648" s="472"/>
      <c r="I648" s="472"/>
      <c r="J648" s="472"/>
      <c r="K648" s="472"/>
      <c r="L648" s="472"/>
      <c r="M648" s="472"/>
      <c r="N648" s="472"/>
      <c r="O648" s="472"/>
      <c r="P648" s="472"/>
      <c r="Q648" s="472"/>
      <c r="R648" s="472"/>
      <c r="S648" s="472"/>
      <c r="T648" s="472"/>
      <c r="U648" s="472"/>
      <c r="V648" s="472"/>
      <c r="W648" s="472"/>
      <c r="X648" s="472"/>
      <c r="Y648" s="472"/>
      <c r="Z648" s="472"/>
      <c r="AA648" s="472"/>
    </row>
    <row r="649">
      <c r="A649" s="478" t="str">
        <f>IFERROR(__xludf.DUMMYFUNCTION("""COMPUTED_VALUE"""),"XXIII - MES - VIOLÊNCIAS E SAÚDE")</f>
        <v>XXIII - MES - VIOLÊNCIAS E SAÚDE</v>
      </c>
      <c r="B649" s="479"/>
      <c r="C649" s="479"/>
      <c r="D649" s="479"/>
      <c r="E649" s="479"/>
      <c r="F649" s="480"/>
      <c r="G649" s="472"/>
      <c r="H649" s="472"/>
      <c r="I649" s="472"/>
      <c r="J649" s="472"/>
      <c r="K649" s="472"/>
      <c r="L649" s="472"/>
      <c r="M649" s="472"/>
      <c r="N649" s="472"/>
      <c r="O649" s="472"/>
      <c r="P649" s="472"/>
      <c r="Q649" s="472"/>
      <c r="R649" s="472"/>
      <c r="S649" s="472"/>
      <c r="T649" s="472"/>
      <c r="U649" s="472"/>
      <c r="V649" s="472"/>
      <c r="W649" s="472"/>
      <c r="X649" s="472"/>
      <c r="Y649" s="472"/>
      <c r="Z649" s="472"/>
      <c r="AA649" s="472"/>
    </row>
    <row r="650" outlineLevel="1">
      <c r="A650" s="481" t="str">
        <f>IFERROR(__xludf.DUMMYFUNCTION("""COMPUTED_VALUE"""),"INSCRIÇÃO")</f>
        <v>INSCRIÇÃO</v>
      </c>
      <c r="B650" s="482" t="str">
        <f>IFERROR(__xludf.DUMMYFUNCTION("""COMPUTED_VALUE"""),"CANDIDATOS")</f>
        <v>CANDIDATOS</v>
      </c>
      <c r="C650" s="481" t="str">
        <f>IFERROR(__xludf.DUMMYFUNCTION("""COMPUTED_VALUE"""),"NF")</f>
        <v>NF</v>
      </c>
      <c r="D650" s="483" t="str">
        <f>IFERROR(__xludf.DUMMYFUNCTION("""COMPUTED_VALUE"""),"CONVOCADO(A)")</f>
        <v>CONVOCADO(A)</v>
      </c>
      <c r="E650" s="483" t="str">
        <f>IFERROR(__xludf.DUMMYFUNCTION("""COMPUTED_VALUE"""),"HOMOLOGADO(A)")</f>
        <v>HOMOLOGADO(A)</v>
      </c>
      <c r="F650" s="483" t="str">
        <f>IFERROR(__xludf.DUMMYFUNCTION("""COMPUTED_VALUE"""),"GERÊNCIA")</f>
        <v>GERÊNCIA</v>
      </c>
      <c r="G650" s="472"/>
      <c r="H650" s="472"/>
      <c r="I650" s="472"/>
      <c r="J650" s="472"/>
      <c r="K650" s="472"/>
      <c r="L650" s="472"/>
      <c r="M650" s="472"/>
      <c r="N650" s="472"/>
      <c r="O650" s="472"/>
      <c r="P650" s="472"/>
      <c r="Q650" s="472"/>
      <c r="R650" s="472"/>
      <c r="S650" s="472"/>
      <c r="T650" s="472"/>
      <c r="U650" s="472"/>
      <c r="V650" s="472"/>
      <c r="W650" s="472"/>
      <c r="X650" s="472"/>
      <c r="Y650" s="472"/>
      <c r="Z650" s="472"/>
      <c r="AA650" s="472"/>
    </row>
    <row r="651" outlineLevel="1">
      <c r="A651" s="494">
        <f>IFERROR(__xludf.DUMMYFUNCTION("""COMPUTED_VALUE"""),4.7327093524E10)</f>
        <v>47327093524</v>
      </c>
      <c r="B651" s="485" t="str">
        <f>IFERROR(__xludf.DUMMYFUNCTION("""COMPUTED_VALUE"""),"MARIA NEURILANE VIANA NOGUEIRA")</f>
        <v>MARIA NEURILANE VIANA NOGUEIRA</v>
      </c>
      <c r="C651" s="486">
        <f>IFERROR(__xludf.DUMMYFUNCTION("""COMPUTED_VALUE"""),8.5)</f>
        <v>8.5</v>
      </c>
      <c r="D651" s="487"/>
      <c r="E651" s="486"/>
      <c r="F651" s="488"/>
      <c r="G651" s="472"/>
      <c r="H651" s="472"/>
      <c r="I651" s="472"/>
      <c r="J651" s="472"/>
      <c r="K651" s="472"/>
      <c r="L651" s="472"/>
      <c r="M651" s="472"/>
      <c r="N651" s="472"/>
      <c r="O651" s="472"/>
      <c r="P651" s="472"/>
      <c r="Q651" s="472"/>
      <c r="R651" s="472"/>
      <c r="S651" s="472"/>
      <c r="T651" s="472"/>
      <c r="U651" s="472"/>
      <c r="V651" s="472"/>
      <c r="W651" s="472"/>
      <c r="X651" s="472"/>
      <c r="Y651" s="472"/>
      <c r="Z651" s="472"/>
      <c r="AA651" s="472"/>
    </row>
    <row r="652" outlineLevel="1">
      <c r="A652" s="484">
        <f>IFERROR(__xludf.DUMMYFUNCTION("""COMPUTED_VALUE"""),6.63710090026E11)</f>
        <v>663710090026</v>
      </c>
      <c r="B652" s="485" t="str">
        <f>IFERROR(__xludf.DUMMYFUNCTION("""COMPUTED_VALUE"""),"LUIS LOPES SOMBRA NETO")</f>
        <v>LUIS LOPES SOMBRA NETO</v>
      </c>
      <c r="C652" s="486">
        <f>IFERROR(__xludf.DUMMYFUNCTION("""COMPUTED_VALUE"""),8.0)</f>
        <v>8</v>
      </c>
      <c r="D652" s="487"/>
      <c r="E652" s="486"/>
      <c r="F652" s="488"/>
      <c r="G652" s="472"/>
      <c r="H652" s="472"/>
      <c r="I652" s="472"/>
      <c r="J652" s="472"/>
      <c r="K652" s="472"/>
      <c r="L652" s="472"/>
      <c r="M652" s="472"/>
      <c r="N652" s="472"/>
      <c r="O652" s="472"/>
      <c r="P652" s="472"/>
      <c r="Q652" s="472"/>
      <c r="R652" s="472"/>
      <c r="S652" s="472"/>
      <c r="T652" s="472"/>
      <c r="U652" s="472"/>
      <c r="V652" s="472"/>
      <c r="W652" s="472"/>
      <c r="X652" s="472"/>
      <c r="Y652" s="472"/>
      <c r="Z652" s="472"/>
      <c r="AA652" s="472"/>
    </row>
    <row r="653" outlineLevel="1">
      <c r="A653" s="494">
        <f>IFERROR(__xludf.DUMMYFUNCTION("""COMPUTED_VALUE"""),3.962009007E10)</f>
        <v>39620090070</v>
      </c>
      <c r="B653" s="485" t="str">
        <f>IFERROR(__xludf.DUMMYFUNCTION("""COMPUTED_VALUE"""),"RAFAELLE DANTAS BEZERRA")</f>
        <v>RAFAELLE DANTAS BEZERRA</v>
      </c>
      <c r="C653" s="486">
        <f>IFERROR(__xludf.DUMMYFUNCTION("""COMPUTED_VALUE"""),8.0)</f>
        <v>8</v>
      </c>
      <c r="D653" s="487"/>
      <c r="E653" s="486"/>
      <c r="F653" s="488"/>
      <c r="G653" s="472"/>
      <c r="H653" s="472"/>
      <c r="I653" s="472"/>
      <c r="J653" s="472"/>
      <c r="K653" s="472"/>
      <c r="L653" s="472"/>
      <c r="M653" s="472"/>
      <c r="N653" s="472"/>
      <c r="O653" s="472"/>
      <c r="P653" s="472"/>
      <c r="Q653" s="472"/>
      <c r="R653" s="472"/>
      <c r="S653" s="472"/>
      <c r="T653" s="472"/>
      <c r="U653" s="472"/>
      <c r="V653" s="472"/>
      <c r="W653" s="472"/>
      <c r="X653" s="472"/>
      <c r="Y653" s="472"/>
      <c r="Z653" s="472"/>
      <c r="AA653" s="472"/>
    </row>
    <row r="654" outlineLevel="1">
      <c r="A654" s="484">
        <f>IFERROR(__xludf.DUMMYFUNCTION("""COMPUTED_VALUE"""),2.75660088995E11)</f>
        <v>275660088995</v>
      </c>
      <c r="B654" s="485" t="str">
        <f>IFERROR(__xludf.DUMMYFUNCTION("""COMPUTED_VALUE"""),"RAFAEL DIAS DE MELO")</f>
        <v>RAFAEL DIAS DE MELO</v>
      </c>
      <c r="C654" s="486">
        <f>IFERROR(__xludf.DUMMYFUNCTION("""COMPUTED_VALUE"""),7.0)</f>
        <v>7</v>
      </c>
      <c r="D654" s="487"/>
      <c r="E654" s="486"/>
      <c r="F654" s="488"/>
      <c r="G654" s="472"/>
      <c r="H654" s="472"/>
      <c r="I654" s="472"/>
      <c r="J654" s="472"/>
      <c r="K654" s="472"/>
      <c r="L654" s="472"/>
      <c r="M654" s="472"/>
      <c r="N654" s="472"/>
      <c r="O654" s="472"/>
      <c r="P654" s="472"/>
      <c r="Q654" s="472"/>
      <c r="R654" s="472"/>
      <c r="S654" s="472"/>
      <c r="T654" s="472"/>
      <c r="U654" s="472"/>
      <c r="V654" s="472"/>
      <c r="W654" s="472"/>
      <c r="X654" s="472"/>
      <c r="Y654" s="472"/>
      <c r="Z654" s="472"/>
      <c r="AA654" s="472"/>
    </row>
    <row r="655" outlineLevel="1">
      <c r="A655" s="484">
        <f>IFERROR(__xludf.DUMMYFUNCTION("""COMPUTED_VALUE"""),9.2486709354E11)</f>
        <v>924867093540</v>
      </c>
      <c r="B655" s="485" t="str">
        <f>IFERROR(__xludf.DUMMYFUNCTION("""COMPUTED_VALUE"""),"EMANUEL MOURA GOMES")</f>
        <v>EMANUEL MOURA GOMES</v>
      </c>
      <c r="C655" s="486">
        <f>IFERROR(__xludf.DUMMYFUNCTION("""COMPUTED_VALUE"""),6.5)</f>
        <v>6.5</v>
      </c>
      <c r="D655" s="487"/>
      <c r="E655" s="486"/>
      <c r="F655" s="488"/>
      <c r="G655" s="472"/>
      <c r="H655" s="472"/>
      <c r="I655" s="472"/>
      <c r="J655" s="472"/>
      <c r="K655" s="472"/>
      <c r="L655" s="472"/>
      <c r="M655" s="472"/>
      <c r="N655" s="472"/>
      <c r="O655" s="472"/>
      <c r="P655" s="472"/>
      <c r="Q655" s="472"/>
      <c r="R655" s="472"/>
      <c r="S655" s="472"/>
      <c r="T655" s="472"/>
      <c r="U655" s="472"/>
      <c r="V655" s="472"/>
      <c r="W655" s="472"/>
      <c r="X655" s="472"/>
      <c r="Y655" s="472"/>
      <c r="Z655" s="472"/>
      <c r="AA655" s="472"/>
    </row>
    <row r="656" outlineLevel="1">
      <c r="A656" s="484">
        <f>IFERROR(__xludf.DUMMYFUNCTION("""COMPUTED_VALUE"""),9.37300090704E11)</f>
        <v>937300090704</v>
      </c>
      <c r="B656" s="485" t="str">
        <f>IFERROR(__xludf.DUMMYFUNCTION("""COMPUTED_VALUE"""),"MAYANA DE AZEVEDO DANTAS")</f>
        <v>MAYANA DE AZEVEDO DANTAS</v>
      </c>
      <c r="C656" s="486">
        <f>IFERROR(__xludf.DUMMYFUNCTION("""COMPUTED_VALUE"""),6.5)</f>
        <v>6.5</v>
      </c>
      <c r="D656" s="487"/>
      <c r="E656" s="486"/>
      <c r="F656" s="488"/>
      <c r="G656" s="472"/>
      <c r="H656" s="472"/>
      <c r="I656" s="472"/>
      <c r="J656" s="472"/>
      <c r="K656" s="472"/>
      <c r="L656" s="472"/>
      <c r="M656" s="472"/>
      <c r="N656" s="472"/>
      <c r="O656" s="472"/>
      <c r="P656" s="472"/>
      <c r="Q656" s="472"/>
      <c r="R656" s="472"/>
      <c r="S656" s="472"/>
      <c r="T656" s="472"/>
      <c r="U656" s="472"/>
      <c r="V656" s="472"/>
      <c r="W656" s="472"/>
      <c r="X656" s="472"/>
      <c r="Y656" s="472"/>
      <c r="Z656" s="472"/>
      <c r="AA656" s="472"/>
    </row>
    <row r="657" outlineLevel="1">
      <c r="A657" s="484">
        <f>IFERROR(__xludf.DUMMYFUNCTION("""COMPUTED_VALUE"""),8.8912009122E11)</f>
        <v>889120091220</v>
      </c>
      <c r="B657" s="485" t="str">
        <f>IFERROR(__xludf.DUMMYFUNCTION("""COMPUTED_VALUE"""),"RAQUEL CERDEIRA DE LIMA")</f>
        <v>RAQUEL CERDEIRA DE LIMA</v>
      </c>
      <c r="C657" s="486">
        <f>IFERROR(__xludf.DUMMYFUNCTION("""COMPUTED_VALUE"""),6.0)</f>
        <v>6</v>
      </c>
      <c r="D657" s="487"/>
      <c r="E657" s="486"/>
      <c r="F657" s="488"/>
      <c r="G657" s="472"/>
      <c r="H657" s="472"/>
      <c r="I657" s="472"/>
      <c r="J657" s="472"/>
      <c r="K657" s="472"/>
      <c r="L657" s="472"/>
      <c r="M657" s="472"/>
      <c r="N657" s="472"/>
      <c r="O657" s="472"/>
      <c r="P657" s="472"/>
      <c r="Q657" s="472"/>
      <c r="R657" s="472"/>
      <c r="S657" s="472"/>
      <c r="T657" s="472"/>
      <c r="U657" s="472"/>
      <c r="V657" s="472"/>
      <c r="W657" s="472"/>
      <c r="X657" s="472"/>
      <c r="Y657" s="472"/>
      <c r="Z657" s="472"/>
      <c r="AA657" s="472"/>
    </row>
    <row r="658" outlineLevel="1">
      <c r="A658" s="484">
        <f>IFERROR(__xludf.DUMMYFUNCTION("""COMPUTED_VALUE"""),8.45450090091E11)</f>
        <v>845450090091</v>
      </c>
      <c r="B658" s="485" t="str">
        <f>IFERROR(__xludf.DUMMYFUNCTION("""COMPUTED_VALUE"""),"ANTONIO EDSON RIBEIRO DE ALMADA")</f>
        <v>ANTONIO EDSON RIBEIRO DE ALMADA</v>
      </c>
      <c r="C658" s="486">
        <f>IFERROR(__xludf.DUMMYFUNCTION("""COMPUTED_VALUE"""),6.0)</f>
        <v>6</v>
      </c>
      <c r="D658" s="487"/>
      <c r="E658" s="486"/>
      <c r="F658" s="488"/>
      <c r="G658" s="472"/>
      <c r="H658" s="472"/>
      <c r="I658" s="472"/>
      <c r="J658" s="472"/>
      <c r="K658" s="472"/>
      <c r="L658" s="472"/>
      <c r="M658" s="472"/>
      <c r="N658" s="472"/>
      <c r="O658" s="472"/>
      <c r="P658" s="472"/>
      <c r="Q658" s="472"/>
      <c r="R658" s="472"/>
      <c r="S658" s="472"/>
      <c r="T658" s="472"/>
      <c r="U658" s="472"/>
      <c r="V658" s="472"/>
      <c r="W658" s="472"/>
      <c r="X658" s="472"/>
      <c r="Y658" s="472"/>
      <c r="Z658" s="472"/>
      <c r="AA658" s="472"/>
    </row>
    <row r="659" outlineLevel="1">
      <c r="A659" s="489">
        <f>IFERROR(__xludf.DUMMYFUNCTION("""COMPUTED_VALUE"""),2.73060091702E11)</f>
        <v>273060091702</v>
      </c>
      <c r="B659" s="490" t="str">
        <f>IFERROR(__xludf.DUMMYFUNCTION("""COMPUTED_VALUE"""),"ANA LARISSE SANTOS BARBOSA")</f>
        <v>ANA LARISSE SANTOS BARBOSA</v>
      </c>
      <c r="C659" s="491">
        <f>IFERROR(__xludf.DUMMYFUNCTION("""COMPUTED_VALUE"""),6.0)</f>
        <v>6</v>
      </c>
      <c r="D659" s="492"/>
      <c r="E659" s="493"/>
      <c r="F659" s="493"/>
      <c r="G659" s="472"/>
      <c r="H659" s="472"/>
      <c r="I659" s="472"/>
      <c r="J659" s="472"/>
      <c r="K659" s="472"/>
      <c r="L659" s="472"/>
      <c r="M659" s="472"/>
      <c r="N659" s="472"/>
      <c r="O659" s="472"/>
      <c r="P659" s="472"/>
      <c r="Q659" s="472"/>
      <c r="R659" s="472"/>
      <c r="S659" s="472"/>
      <c r="T659" s="472"/>
      <c r="U659" s="472"/>
      <c r="V659" s="472"/>
      <c r="W659" s="472"/>
      <c r="X659" s="472"/>
      <c r="Y659" s="472"/>
      <c r="Z659" s="472"/>
      <c r="AA659" s="472"/>
    </row>
    <row r="660">
      <c r="A660" s="472"/>
      <c r="B660" s="472"/>
      <c r="C660" s="472"/>
      <c r="D660" s="472"/>
      <c r="E660" s="472"/>
      <c r="F660" s="472"/>
      <c r="G660" s="472"/>
      <c r="H660" s="472"/>
      <c r="I660" s="472"/>
      <c r="J660" s="472"/>
      <c r="K660" s="472"/>
      <c r="L660" s="472"/>
      <c r="M660" s="472"/>
      <c r="N660" s="472"/>
      <c r="O660" s="472"/>
      <c r="P660" s="472"/>
      <c r="Q660" s="472"/>
      <c r="R660" s="472"/>
      <c r="S660" s="472"/>
      <c r="T660" s="472"/>
      <c r="U660" s="472"/>
      <c r="V660" s="472"/>
      <c r="W660" s="472"/>
      <c r="X660" s="472"/>
      <c r="Y660" s="472"/>
      <c r="Z660" s="472"/>
      <c r="AA660" s="472"/>
    </row>
    <row r="661">
      <c r="A661" s="475" t="str">
        <f>IFERROR(__xludf.DUMMYFUNCTION("IMPORTRANGE(""https://docs.google.com/spreadsheets/d/1bZfKD3fMqGkr4zlt8PWm8kvhnhcpEqpWdmEG9qrEuJk/edit?usp=sharing"",""DOUTORADO!A2:F232"")"),"BOLSA DE PROFESSOR-VISITANTE - DOUTORADO")</f>
        <v>BOLSA DE PROFESSOR-VISITANTE - DOUTORADO</v>
      </c>
      <c r="B661" s="476"/>
      <c r="C661" s="476"/>
      <c r="D661" s="476"/>
      <c r="E661" s="476"/>
      <c r="F661" s="477"/>
      <c r="G661" s="472"/>
      <c r="H661" s="472"/>
      <c r="I661" s="472"/>
      <c r="J661" s="472"/>
      <c r="K661" s="472"/>
      <c r="L661" s="472"/>
      <c r="M661" s="472"/>
      <c r="N661" s="472"/>
      <c r="O661" s="472"/>
      <c r="P661" s="472"/>
      <c r="Q661" s="472"/>
      <c r="R661" s="472"/>
      <c r="S661" s="472"/>
      <c r="T661" s="472"/>
      <c r="U661" s="472"/>
      <c r="V661" s="472"/>
      <c r="W661" s="472"/>
      <c r="X661" s="472"/>
      <c r="Y661" s="472"/>
      <c r="Z661" s="472"/>
      <c r="AA661" s="472"/>
    </row>
    <row r="662">
      <c r="A662" s="478" t="str">
        <f>IFERROR(__xludf.DUMMYFUNCTION("""COMPUTED_VALUE"""),"I - DOU - VIGILÂNCIA EM SAÚDE")</f>
        <v>I - DOU - VIGILÂNCIA EM SAÚDE</v>
      </c>
      <c r="B662" s="479"/>
      <c r="C662" s="479"/>
      <c r="D662" s="479"/>
      <c r="E662" s="479"/>
      <c r="F662" s="480"/>
      <c r="G662" s="472"/>
      <c r="H662" s="472"/>
      <c r="I662" s="472"/>
      <c r="J662" s="472"/>
      <c r="K662" s="472"/>
      <c r="L662" s="472"/>
      <c r="M662" s="472"/>
      <c r="N662" s="472"/>
      <c r="O662" s="472"/>
      <c r="P662" s="472"/>
      <c r="Q662" s="472"/>
      <c r="R662" s="472"/>
      <c r="S662" s="472"/>
      <c r="T662" s="472"/>
      <c r="U662" s="472"/>
      <c r="V662" s="472"/>
      <c r="W662" s="472"/>
      <c r="X662" s="472"/>
      <c r="Y662" s="472"/>
      <c r="Z662" s="472"/>
      <c r="AA662" s="472"/>
    </row>
    <row r="663" outlineLevel="1">
      <c r="A663" s="481" t="str">
        <f>IFERROR(__xludf.DUMMYFUNCTION("""COMPUTED_VALUE"""),"INSCRIÇÃO")</f>
        <v>INSCRIÇÃO</v>
      </c>
      <c r="B663" s="482" t="str">
        <f>IFERROR(__xludf.DUMMYFUNCTION("""COMPUTED_VALUE"""),"CANDIDATOS")</f>
        <v>CANDIDATOS</v>
      </c>
      <c r="C663" s="481" t="str">
        <f>IFERROR(__xludf.DUMMYFUNCTION("""COMPUTED_VALUE"""),"NF")</f>
        <v>NF</v>
      </c>
      <c r="D663" s="483" t="str">
        <f>IFERROR(__xludf.DUMMYFUNCTION("""COMPUTED_VALUE"""),"CONVOCADO(A)")</f>
        <v>CONVOCADO(A)</v>
      </c>
      <c r="E663" s="483" t="str">
        <f>IFERROR(__xludf.DUMMYFUNCTION("""COMPUTED_VALUE"""),"HOMOLOGADO(A)")</f>
        <v>HOMOLOGADO(A)</v>
      </c>
      <c r="F663" s="483" t="str">
        <f>IFERROR(__xludf.DUMMYFUNCTION("""COMPUTED_VALUE"""),"GERÊNCIA")</f>
        <v>GERÊNCIA</v>
      </c>
      <c r="G663" s="472"/>
      <c r="H663" s="472"/>
      <c r="I663" s="472"/>
      <c r="J663" s="472"/>
      <c r="K663" s="472"/>
      <c r="L663" s="472"/>
      <c r="M663" s="472"/>
      <c r="N663" s="472"/>
      <c r="O663" s="472"/>
      <c r="P663" s="472"/>
      <c r="Q663" s="472"/>
      <c r="R663" s="472"/>
      <c r="S663" s="472"/>
      <c r="T663" s="472"/>
      <c r="U663" s="472"/>
      <c r="V663" s="472"/>
      <c r="W663" s="472"/>
      <c r="X663" s="472"/>
      <c r="Y663" s="472"/>
      <c r="Z663" s="472"/>
      <c r="AA663" s="472"/>
    </row>
    <row r="664" outlineLevel="1">
      <c r="A664" s="484">
        <f>IFERROR(__xludf.DUMMYFUNCTION("""COMPUTED_VALUE"""),8.76077091546E11)</f>
        <v>876077091546</v>
      </c>
      <c r="B664" s="485" t="str">
        <f>IFERROR(__xludf.DUMMYFUNCTION("""COMPUTED_VALUE"""),"CLAUDIA MENDONÇA BEZERRA")</f>
        <v>CLAUDIA MENDONÇA BEZERRA</v>
      </c>
      <c r="C664" s="486">
        <f>IFERROR(__xludf.DUMMYFUNCTION("""COMPUTED_VALUE"""),10.0)</f>
        <v>10</v>
      </c>
      <c r="D664" s="487" t="str">
        <f>IFERROR(__xludf.DUMMYFUNCTION("""COMPUTED_VALUE"""),"SIM")</f>
        <v>SIM</v>
      </c>
      <c r="E664" s="486" t="str">
        <f>IFERROR(__xludf.DUMMYFUNCTION("""COMPUTED_VALUE"""),"SIM")</f>
        <v>SIM</v>
      </c>
      <c r="F664" s="486" t="str">
        <f>IFERROR(__xludf.DUMMYFUNCTION("""COMPUTED_VALUE"""),"GEDUC")</f>
        <v>GEDUC</v>
      </c>
      <c r="G664" s="472"/>
      <c r="H664" s="472"/>
      <c r="I664" s="472"/>
      <c r="J664" s="472"/>
      <c r="K664" s="472"/>
      <c r="L664" s="472"/>
      <c r="M664" s="472"/>
      <c r="N664" s="472"/>
      <c r="O664" s="472"/>
      <c r="P664" s="472"/>
      <c r="Q664" s="472"/>
      <c r="R664" s="472"/>
      <c r="S664" s="472"/>
      <c r="T664" s="472"/>
      <c r="U664" s="472"/>
      <c r="V664" s="472"/>
      <c r="W664" s="472"/>
      <c r="X664" s="472"/>
      <c r="Y664" s="472"/>
      <c r="Z664" s="472"/>
      <c r="AA664" s="472"/>
    </row>
    <row r="665" outlineLevel="1">
      <c r="A665" s="484">
        <f>IFERROR(__xludf.DUMMYFUNCTION("""COMPUTED_VALUE"""),7.55819091685E11)</f>
        <v>755819091685</v>
      </c>
      <c r="B665" s="485" t="str">
        <f>IFERROR(__xludf.DUMMYFUNCTION("""COMPUTED_VALUE"""),"JULIANA ALENCAR MOREIRA BORGES")</f>
        <v>JULIANA ALENCAR MOREIRA BORGES</v>
      </c>
      <c r="C665" s="486">
        <f>IFERROR(__xludf.DUMMYFUNCTION("""COMPUTED_VALUE"""),10.0)</f>
        <v>10</v>
      </c>
      <c r="D665" s="487" t="str">
        <f>IFERROR(__xludf.DUMMYFUNCTION("""COMPUTED_VALUE"""),"SIM")</f>
        <v>SIM</v>
      </c>
      <c r="E665" s="486" t="str">
        <f>IFERROR(__xludf.DUMMYFUNCTION("""COMPUTED_VALUE"""),"SIM")</f>
        <v>SIM</v>
      </c>
      <c r="F665" s="486" t="str">
        <f>IFERROR(__xludf.DUMMYFUNCTION("""COMPUTED_VALUE"""),"GEDUC")</f>
        <v>GEDUC</v>
      </c>
      <c r="G665" s="472"/>
      <c r="H665" s="472"/>
      <c r="I665" s="472"/>
      <c r="J665" s="472"/>
      <c r="K665" s="472"/>
      <c r="L665" s="472"/>
      <c r="M665" s="472"/>
      <c r="N665" s="472"/>
      <c r="O665" s="472"/>
      <c r="P665" s="472"/>
      <c r="Q665" s="472"/>
      <c r="R665" s="472"/>
      <c r="S665" s="472"/>
      <c r="T665" s="472"/>
      <c r="U665" s="472"/>
      <c r="V665" s="472"/>
      <c r="W665" s="472"/>
      <c r="X665" s="472"/>
      <c r="Y665" s="472"/>
      <c r="Z665" s="472"/>
      <c r="AA665" s="472"/>
    </row>
    <row r="666" outlineLevel="1">
      <c r="A666" s="484">
        <f>IFERROR(__xludf.DUMMYFUNCTION("""COMPUTED_VALUE"""),8.69816088488E11)</f>
        <v>869816088488</v>
      </c>
      <c r="B666" s="485" t="str">
        <f>IFERROR(__xludf.DUMMYFUNCTION("""COMPUTED_VALUE"""),"KELLYN KESSIENE DE SOUSA CAVALCANTE")</f>
        <v>KELLYN KESSIENE DE SOUSA CAVALCANTE</v>
      </c>
      <c r="C666" s="486">
        <f>IFERROR(__xludf.DUMMYFUNCTION("""COMPUTED_VALUE"""),10.0)</f>
        <v>10</v>
      </c>
      <c r="D666" s="487" t="str">
        <f>IFERROR(__xludf.DUMMYFUNCTION("""COMPUTED_VALUE"""),"SIM")</f>
        <v>SIM</v>
      </c>
      <c r="E666" s="486" t="str">
        <f>IFERROR(__xludf.DUMMYFUNCTION("""COMPUTED_VALUE"""),"SIM")</f>
        <v>SIM</v>
      </c>
      <c r="F666" s="486" t="str">
        <f>IFERROR(__xludf.DUMMYFUNCTION("""COMPUTED_VALUE"""),"GEDUC")</f>
        <v>GEDUC</v>
      </c>
      <c r="G666" s="472"/>
      <c r="H666" s="472"/>
      <c r="I666" s="472"/>
      <c r="J666" s="472"/>
      <c r="K666" s="472"/>
      <c r="L666" s="472"/>
      <c r="M666" s="472"/>
      <c r="N666" s="472"/>
      <c r="O666" s="472"/>
      <c r="P666" s="472"/>
      <c r="Q666" s="472"/>
      <c r="R666" s="472"/>
      <c r="S666" s="472"/>
      <c r="T666" s="472"/>
      <c r="U666" s="472"/>
      <c r="V666" s="472"/>
      <c r="W666" s="472"/>
      <c r="X666" s="472"/>
      <c r="Y666" s="472"/>
      <c r="Z666" s="472"/>
      <c r="AA666" s="472"/>
    </row>
    <row r="667" outlineLevel="1">
      <c r="A667" s="484">
        <f>IFERROR(__xludf.DUMMYFUNCTION("""COMPUTED_VALUE"""),9.96310089579E11)</f>
        <v>996310089579</v>
      </c>
      <c r="B667" s="485" t="str">
        <f>IFERROR(__xludf.DUMMYFUNCTION("""COMPUTED_VALUE"""),"ALYNE MARA RODRIGUES DE CARVALHO")</f>
        <v>ALYNE MARA RODRIGUES DE CARVALHO</v>
      </c>
      <c r="C667" s="486">
        <f>IFERROR(__xludf.DUMMYFUNCTION("""COMPUTED_VALUE"""),10.0)</f>
        <v>10</v>
      </c>
      <c r="D667" s="487"/>
      <c r="E667" s="486"/>
      <c r="F667" s="486"/>
      <c r="G667" s="472"/>
      <c r="H667" s="472"/>
      <c r="I667" s="472"/>
      <c r="J667" s="472"/>
      <c r="K667" s="472"/>
      <c r="L667" s="472"/>
      <c r="M667" s="472"/>
      <c r="N667" s="472"/>
      <c r="O667" s="472"/>
      <c r="P667" s="472"/>
      <c r="Q667" s="472"/>
      <c r="R667" s="472"/>
      <c r="S667" s="472"/>
      <c r="T667" s="472"/>
      <c r="U667" s="472"/>
      <c r="V667" s="472"/>
      <c r="W667" s="472"/>
      <c r="X667" s="472"/>
      <c r="Y667" s="472"/>
      <c r="Z667" s="472"/>
      <c r="AA667" s="472"/>
    </row>
    <row r="668" outlineLevel="1">
      <c r="A668" s="494">
        <f>IFERROR(__xludf.DUMMYFUNCTION("""COMPUTED_VALUE"""),8.2514092757E10)</f>
        <v>82514092757</v>
      </c>
      <c r="B668" s="485" t="str">
        <f>IFERROR(__xludf.DUMMYFUNCTION("""COMPUTED_VALUE"""),"SURAMA VALENA ELARRAT CANTO")</f>
        <v>SURAMA VALENA ELARRAT CANTO</v>
      </c>
      <c r="C668" s="486">
        <f>IFERROR(__xludf.DUMMYFUNCTION("""COMPUTED_VALUE"""),9.5)</f>
        <v>9.5</v>
      </c>
      <c r="D668" s="487"/>
      <c r="E668" s="486"/>
      <c r="F668" s="486"/>
      <c r="G668" s="472"/>
      <c r="H668" s="472"/>
      <c r="I668" s="472"/>
      <c r="J668" s="472"/>
      <c r="K668" s="472"/>
      <c r="L668" s="472"/>
      <c r="M668" s="472"/>
      <c r="N668" s="472"/>
      <c r="O668" s="472"/>
      <c r="P668" s="472"/>
      <c r="Q668" s="472"/>
      <c r="R668" s="472"/>
      <c r="S668" s="472"/>
      <c r="T668" s="472"/>
      <c r="U668" s="472"/>
      <c r="V668" s="472"/>
      <c r="W668" s="472"/>
      <c r="X668" s="472"/>
      <c r="Y668" s="472"/>
      <c r="Z668" s="472"/>
      <c r="AA668" s="472"/>
    </row>
    <row r="669" outlineLevel="1">
      <c r="A669" s="484">
        <f>IFERROR(__xludf.DUMMYFUNCTION("""COMPUTED_VALUE"""),6.55579093045E11)</f>
        <v>655579093045</v>
      </c>
      <c r="B669" s="485" t="str">
        <f>IFERROR(__xludf.DUMMYFUNCTION("""COMPUTED_VALUE"""),"SONIA SAMARA FONSECA DE MORAIS")</f>
        <v>SONIA SAMARA FONSECA DE MORAIS</v>
      </c>
      <c r="C669" s="486">
        <f>IFERROR(__xludf.DUMMYFUNCTION("""COMPUTED_VALUE"""),9.5)</f>
        <v>9.5</v>
      </c>
      <c r="D669" s="487"/>
      <c r="E669" s="486"/>
      <c r="F669" s="486"/>
      <c r="G669" s="472"/>
      <c r="H669" s="472"/>
      <c r="I669" s="472"/>
      <c r="J669" s="472"/>
      <c r="K669" s="472"/>
      <c r="L669" s="472"/>
      <c r="M669" s="472"/>
      <c r="N669" s="472"/>
      <c r="O669" s="472"/>
      <c r="P669" s="472"/>
      <c r="Q669" s="472"/>
      <c r="R669" s="472"/>
      <c r="S669" s="472"/>
      <c r="T669" s="472"/>
      <c r="U669" s="472"/>
      <c r="V669" s="472"/>
      <c r="W669" s="472"/>
      <c r="X669" s="472"/>
      <c r="Y669" s="472"/>
      <c r="Z669" s="472"/>
      <c r="AA669" s="472"/>
    </row>
    <row r="670" outlineLevel="1">
      <c r="A670" s="484">
        <f>IFERROR(__xludf.DUMMYFUNCTION("""COMPUTED_VALUE"""),7.43415089905E11)</f>
        <v>743415089905</v>
      </c>
      <c r="B670" s="485" t="str">
        <f>IFERROR(__xludf.DUMMYFUNCTION("""COMPUTED_VALUE"""),"SHIRLENE TELMOS SILVA DE LIMA")</f>
        <v>SHIRLENE TELMOS SILVA DE LIMA</v>
      </c>
      <c r="C670" s="486">
        <f>IFERROR(__xludf.DUMMYFUNCTION("""COMPUTED_VALUE"""),9.0)</f>
        <v>9</v>
      </c>
      <c r="D670" s="487"/>
      <c r="E670" s="486"/>
      <c r="F670" s="486"/>
      <c r="G670" s="472"/>
      <c r="H670" s="472"/>
      <c r="I670" s="472"/>
      <c r="J670" s="472"/>
      <c r="K670" s="472"/>
      <c r="L670" s="472"/>
      <c r="M670" s="472"/>
      <c r="N670" s="472"/>
      <c r="O670" s="472"/>
      <c r="P670" s="472"/>
      <c r="Q670" s="472"/>
      <c r="R670" s="472"/>
      <c r="S670" s="472"/>
      <c r="T670" s="472"/>
      <c r="U670" s="472"/>
      <c r="V670" s="472"/>
      <c r="W670" s="472"/>
      <c r="X670" s="472"/>
      <c r="Y670" s="472"/>
      <c r="Z670" s="472"/>
      <c r="AA670" s="472"/>
    </row>
    <row r="671" outlineLevel="1">
      <c r="A671" s="494">
        <f>IFERROR(__xludf.DUMMYFUNCTION("""COMPUTED_VALUE"""),8.5017089269E10)</f>
        <v>85017089269</v>
      </c>
      <c r="B671" s="485" t="str">
        <f>IFERROR(__xludf.DUMMYFUNCTION("""COMPUTED_VALUE"""),"JANE CRIS DE LIMA CUNHA")</f>
        <v>JANE CRIS DE LIMA CUNHA</v>
      </c>
      <c r="C671" s="486">
        <f>IFERROR(__xludf.DUMMYFUNCTION("""COMPUTED_VALUE"""),9.0)</f>
        <v>9</v>
      </c>
      <c r="D671" s="487"/>
      <c r="E671" s="486"/>
      <c r="F671" s="486"/>
      <c r="G671" s="472"/>
      <c r="H671" s="472"/>
      <c r="I671" s="472"/>
      <c r="J671" s="472"/>
      <c r="K671" s="472"/>
      <c r="L671" s="472"/>
      <c r="M671" s="472"/>
      <c r="N671" s="472"/>
      <c r="O671" s="472"/>
      <c r="P671" s="472"/>
      <c r="Q671" s="472"/>
      <c r="R671" s="472"/>
      <c r="S671" s="472"/>
      <c r="T671" s="472"/>
      <c r="U671" s="472"/>
      <c r="V671" s="472"/>
      <c r="W671" s="472"/>
      <c r="X671" s="472"/>
      <c r="Y671" s="472"/>
      <c r="Z671" s="472"/>
      <c r="AA671" s="472"/>
    </row>
    <row r="672" outlineLevel="1">
      <c r="A672" s="494">
        <f>IFERROR(__xludf.DUMMYFUNCTION("""COMPUTED_VALUE"""),6.5845089451E10)</f>
        <v>65845089451</v>
      </c>
      <c r="B672" s="485" t="str">
        <f>IFERROR(__xludf.DUMMYFUNCTION("""COMPUTED_VALUE"""),"GEZIEL DOS SANTOS DE SOUSA")</f>
        <v>GEZIEL DOS SANTOS DE SOUSA</v>
      </c>
      <c r="C672" s="486">
        <f>IFERROR(__xludf.DUMMYFUNCTION("""COMPUTED_VALUE"""),9.0)</f>
        <v>9</v>
      </c>
      <c r="D672" s="487"/>
      <c r="E672" s="486"/>
      <c r="F672" s="486"/>
      <c r="G672" s="472"/>
      <c r="H672" s="472"/>
      <c r="I672" s="472"/>
      <c r="J672" s="472"/>
      <c r="K672" s="472"/>
      <c r="L672" s="472"/>
      <c r="M672" s="472"/>
      <c r="N672" s="472"/>
      <c r="O672" s="472"/>
      <c r="P672" s="472"/>
      <c r="Q672" s="472"/>
      <c r="R672" s="472"/>
      <c r="S672" s="472"/>
      <c r="T672" s="472"/>
      <c r="U672" s="472"/>
      <c r="V672" s="472"/>
      <c r="W672" s="472"/>
      <c r="X672" s="472"/>
      <c r="Y672" s="472"/>
      <c r="Z672" s="472"/>
      <c r="AA672" s="472"/>
    </row>
    <row r="673" outlineLevel="1">
      <c r="A673" s="484">
        <f>IFERROR(__xludf.DUMMYFUNCTION("""COMPUTED_VALUE"""),5.88420092068E11)</f>
        <v>588420092068</v>
      </c>
      <c r="B673" s="485" t="str">
        <f>IFERROR(__xludf.DUMMYFUNCTION("""COMPUTED_VALUE"""),"COSMO HELDER FERREIRA DA SILVA")</f>
        <v>COSMO HELDER FERREIRA DA SILVA</v>
      </c>
      <c r="C673" s="486">
        <f>IFERROR(__xludf.DUMMYFUNCTION("""COMPUTED_VALUE"""),9.0)</f>
        <v>9</v>
      </c>
      <c r="D673" s="487"/>
      <c r="E673" s="486"/>
      <c r="F673" s="486"/>
      <c r="G673" s="472"/>
      <c r="H673" s="472"/>
      <c r="I673" s="472"/>
      <c r="J673" s="472"/>
      <c r="K673" s="472"/>
      <c r="L673" s="472"/>
      <c r="M673" s="472"/>
      <c r="N673" s="472"/>
      <c r="O673" s="472"/>
      <c r="P673" s="472"/>
      <c r="Q673" s="472"/>
      <c r="R673" s="472"/>
      <c r="S673" s="472"/>
      <c r="T673" s="472"/>
      <c r="U673" s="472"/>
      <c r="V673" s="472"/>
      <c r="W673" s="472"/>
      <c r="X673" s="472"/>
      <c r="Y673" s="472"/>
      <c r="Z673" s="472"/>
      <c r="AA673" s="472"/>
    </row>
    <row r="674" outlineLevel="1">
      <c r="A674" s="484">
        <f>IFERROR(__xludf.DUMMYFUNCTION("""COMPUTED_VALUE"""),6.16250091032E11)</f>
        <v>616250091032</v>
      </c>
      <c r="B674" s="485" t="str">
        <f>IFERROR(__xludf.DUMMYFUNCTION("""COMPUTED_VALUE"""),"CATIA MARTINEZ MINTO")</f>
        <v>CATIA MARTINEZ MINTO</v>
      </c>
      <c r="C674" s="486">
        <f>IFERROR(__xludf.DUMMYFUNCTION("""COMPUTED_VALUE"""),8.5)</f>
        <v>8.5</v>
      </c>
      <c r="D674" s="487"/>
      <c r="E674" s="486"/>
      <c r="F674" s="486"/>
      <c r="G674" s="472"/>
      <c r="H674" s="472"/>
      <c r="I674" s="472"/>
      <c r="J674" s="472"/>
      <c r="K674" s="472"/>
      <c r="L674" s="472"/>
      <c r="M674" s="472"/>
      <c r="N674" s="472"/>
      <c r="O674" s="472"/>
      <c r="P674" s="472"/>
      <c r="Q674" s="472"/>
      <c r="R674" s="472"/>
      <c r="S674" s="472"/>
      <c r="T674" s="472"/>
      <c r="U674" s="472"/>
      <c r="V674" s="472"/>
      <c r="W674" s="472"/>
      <c r="X674" s="472"/>
      <c r="Y674" s="472"/>
      <c r="Z674" s="472"/>
      <c r="AA674" s="472"/>
    </row>
    <row r="675" outlineLevel="1">
      <c r="A675" s="484">
        <f>IFERROR(__xludf.DUMMYFUNCTION("""COMPUTED_VALUE"""),6.5307709229E11)</f>
        <v>653077092290</v>
      </c>
      <c r="B675" s="485" t="str">
        <f>IFERROR(__xludf.DUMMYFUNCTION("""COMPUTED_VALUE"""),"ANA PATRÍCIA OLIVEIRA MOURA LIMA")</f>
        <v>ANA PATRÍCIA OLIVEIRA MOURA LIMA</v>
      </c>
      <c r="C675" s="486">
        <f>IFERROR(__xludf.DUMMYFUNCTION("""COMPUTED_VALUE"""),7.5)</f>
        <v>7.5</v>
      </c>
      <c r="D675" s="487"/>
      <c r="E675" s="486"/>
      <c r="F675" s="486"/>
      <c r="G675" s="472"/>
      <c r="H675" s="472"/>
      <c r="I675" s="472"/>
      <c r="J675" s="472"/>
      <c r="K675" s="472"/>
      <c r="L675" s="472"/>
      <c r="M675" s="472"/>
      <c r="N675" s="472"/>
      <c r="O675" s="472"/>
      <c r="P675" s="472"/>
      <c r="Q675" s="472"/>
      <c r="R675" s="472"/>
      <c r="S675" s="472"/>
      <c r="T675" s="472"/>
      <c r="U675" s="472"/>
      <c r="V675" s="472"/>
      <c r="W675" s="472"/>
      <c r="X675" s="472"/>
      <c r="Y675" s="472"/>
      <c r="Z675" s="472"/>
      <c r="AA675" s="472"/>
    </row>
    <row r="676" outlineLevel="1">
      <c r="A676" s="494">
        <f>IFERROR(__xludf.DUMMYFUNCTION("""COMPUTED_VALUE"""),2.275809015E10)</f>
        <v>22758090150</v>
      </c>
      <c r="B676" s="485" t="str">
        <f>IFERROR(__xludf.DUMMYFUNCTION("""COMPUTED_VALUE"""),"ANA CAROLINA MONTENEGRO CAVALCANTE")</f>
        <v>ANA CAROLINA MONTENEGRO CAVALCANTE</v>
      </c>
      <c r="C676" s="486">
        <f>IFERROR(__xludf.DUMMYFUNCTION("""COMPUTED_VALUE"""),7.5)</f>
        <v>7.5</v>
      </c>
      <c r="D676" s="487"/>
      <c r="E676" s="486"/>
      <c r="F676" s="486"/>
      <c r="G676" s="472"/>
      <c r="H676" s="472"/>
      <c r="I676" s="472"/>
      <c r="J676" s="472"/>
      <c r="K676" s="472"/>
      <c r="L676" s="472"/>
      <c r="M676" s="472"/>
      <c r="N676" s="472"/>
      <c r="O676" s="472"/>
      <c r="P676" s="472"/>
      <c r="Q676" s="472"/>
      <c r="R676" s="472"/>
      <c r="S676" s="472"/>
      <c r="T676" s="472"/>
      <c r="U676" s="472"/>
      <c r="V676" s="472"/>
      <c r="W676" s="472"/>
      <c r="X676" s="472"/>
      <c r="Y676" s="472"/>
      <c r="Z676" s="472"/>
      <c r="AA676" s="472"/>
    </row>
    <row r="677" outlineLevel="1">
      <c r="A677" s="484">
        <f>IFERROR(__xludf.DUMMYFUNCTION("""COMPUTED_VALUE"""),5.1765009077E11)</f>
        <v>517650090770</v>
      </c>
      <c r="B677" s="485" t="str">
        <f>IFERROR(__xludf.DUMMYFUNCTION("""COMPUTED_VALUE"""),"RAUL AZEVEDO")</f>
        <v>RAUL AZEVEDO</v>
      </c>
      <c r="C677" s="486">
        <f>IFERROR(__xludf.DUMMYFUNCTION("""COMPUTED_VALUE"""),7.5)</f>
        <v>7.5</v>
      </c>
      <c r="D677" s="487"/>
      <c r="E677" s="486"/>
      <c r="F677" s="486"/>
      <c r="G677" s="472"/>
      <c r="H677" s="472"/>
      <c r="I677" s="472"/>
      <c r="J677" s="472"/>
      <c r="K677" s="472"/>
      <c r="L677" s="472"/>
      <c r="M677" s="472"/>
      <c r="N677" s="472"/>
      <c r="O677" s="472"/>
      <c r="P677" s="472"/>
      <c r="Q677" s="472"/>
      <c r="R677" s="472"/>
      <c r="S677" s="472"/>
      <c r="T677" s="472"/>
      <c r="U677" s="472"/>
      <c r="V677" s="472"/>
      <c r="W677" s="472"/>
      <c r="X677" s="472"/>
      <c r="Y677" s="472"/>
      <c r="Z677" s="472"/>
      <c r="AA677" s="472"/>
    </row>
    <row r="678" outlineLevel="1">
      <c r="A678" s="484">
        <f>IFERROR(__xludf.DUMMYFUNCTION("""COMPUTED_VALUE"""),9.45158088464E11)</f>
        <v>945158088464</v>
      </c>
      <c r="B678" s="485" t="str">
        <f>IFERROR(__xludf.DUMMYFUNCTION("""COMPUTED_VALUE"""),"MARCELO JOSÉ MONTEIRO FERREIRA")</f>
        <v>MARCELO JOSÉ MONTEIRO FERREIRA</v>
      </c>
      <c r="C678" s="486">
        <f>IFERROR(__xludf.DUMMYFUNCTION("""COMPUTED_VALUE"""),7.0)</f>
        <v>7</v>
      </c>
      <c r="D678" s="487"/>
      <c r="E678" s="486"/>
      <c r="F678" s="486"/>
      <c r="G678" s="472"/>
      <c r="H678" s="472"/>
      <c r="I678" s="472"/>
      <c r="J678" s="472"/>
      <c r="K678" s="472"/>
      <c r="L678" s="472"/>
      <c r="M678" s="472"/>
      <c r="N678" s="472"/>
      <c r="O678" s="472"/>
      <c r="P678" s="472"/>
      <c r="Q678" s="472"/>
      <c r="R678" s="472"/>
      <c r="S678" s="472"/>
      <c r="T678" s="472"/>
      <c r="U678" s="472"/>
      <c r="V678" s="472"/>
      <c r="W678" s="472"/>
      <c r="X678" s="472"/>
      <c r="Y678" s="472"/>
      <c r="Z678" s="472"/>
      <c r="AA678" s="472"/>
    </row>
    <row r="679" outlineLevel="1">
      <c r="A679" s="484">
        <f>IFERROR(__xludf.DUMMYFUNCTION("""COMPUTED_VALUE"""),4.34240092435E11)</f>
        <v>434240092435</v>
      </c>
      <c r="B679" s="485" t="str">
        <f>IFERROR(__xludf.DUMMYFUNCTION("""COMPUTED_VALUE"""),"IGOR CORDEIRO MENDES")</f>
        <v>IGOR CORDEIRO MENDES</v>
      </c>
      <c r="C679" s="486">
        <f>IFERROR(__xludf.DUMMYFUNCTION("""COMPUTED_VALUE"""),6.5)</f>
        <v>6.5</v>
      </c>
      <c r="D679" s="487"/>
      <c r="E679" s="486"/>
      <c r="F679" s="486"/>
      <c r="G679" s="472"/>
      <c r="H679" s="472"/>
      <c r="I679" s="472"/>
      <c r="J679" s="472"/>
      <c r="K679" s="472"/>
      <c r="L679" s="472"/>
      <c r="M679" s="472"/>
      <c r="N679" s="472"/>
      <c r="O679" s="472"/>
      <c r="P679" s="472"/>
      <c r="Q679" s="472"/>
      <c r="R679" s="472"/>
      <c r="S679" s="472"/>
      <c r="T679" s="472"/>
      <c r="U679" s="472"/>
      <c r="V679" s="472"/>
      <c r="W679" s="472"/>
      <c r="X679" s="472"/>
      <c r="Y679" s="472"/>
      <c r="Z679" s="472"/>
      <c r="AA679" s="472"/>
    </row>
    <row r="680" outlineLevel="1">
      <c r="A680" s="484">
        <f>IFERROR(__xludf.DUMMYFUNCTION("""COMPUTED_VALUE"""),2.13169092191E11)</f>
        <v>213169092191</v>
      </c>
      <c r="B680" s="485" t="str">
        <f>IFERROR(__xludf.DUMMYFUNCTION("""COMPUTED_VALUE"""),"FERNANDO FERREIRA CARNEIRO")</f>
        <v>FERNANDO FERREIRA CARNEIRO</v>
      </c>
      <c r="C680" s="486">
        <f>IFERROR(__xludf.DUMMYFUNCTION("""COMPUTED_VALUE"""),6.0)</f>
        <v>6</v>
      </c>
      <c r="D680" s="487"/>
      <c r="E680" s="486"/>
      <c r="F680" s="486"/>
      <c r="G680" s="472"/>
      <c r="H680" s="472"/>
      <c r="I680" s="472"/>
      <c r="J680" s="472"/>
      <c r="K680" s="472"/>
      <c r="L680" s="472"/>
      <c r="M680" s="472"/>
      <c r="N680" s="472"/>
      <c r="O680" s="472"/>
      <c r="P680" s="472"/>
      <c r="Q680" s="472"/>
      <c r="R680" s="472"/>
      <c r="S680" s="472"/>
      <c r="T680" s="472"/>
      <c r="U680" s="472"/>
      <c r="V680" s="472"/>
      <c r="W680" s="472"/>
      <c r="X680" s="472"/>
      <c r="Y680" s="472"/>
      <c r="Z680" s="472"/>
      <c r="AA680" s="472"/>
    </row>
    <row r="681" outlineLevel="1">
      <c r="A681" s="484">
        <f>IFERROR(__xludf.DUMMYFUNCTION("""COMPUTED_VALUE"""),1.22647093126E11)</f>
        <v>122647093126</v>
      </c>
      <c r="B681" s="485" t="str">
        <f>IFERROR(__xludf.DUMMYFUNCTION("""COMPUTED_VALUE"""),"HELENIRA FONSECA DE ALENCAR")</f>
        <v>HELENIRA FONSECA DE ALENCAR</v>
      </c>
      <c r="C681" s="486">
        <f>IFERROR(__xludf.DUMMYFUNCTION("""COMPUTED_VALUE"""),6.0)</f>
        <v>6</v>
      </c>
      <c r="D681" s="487"/>
      <c r="E681" s="486"/>
      <c r="F681" s="486"/>
      <c r="G681" s="472"/>
      <c r="H681" s="472"/>
      <c r="I681" s="472"/>
      <c r="J681" s="472"/>
      <c r="K681" s="472"/>
      <c r="L681" s="472"/>
      <c r="M681" s="472"/>
      <c r="N681" s="472"/>
      <c r="O681" s="472"/>
      <c r="P681" s="472"/>
      <c r="Q681" s="472"/>
      <c r="R681" s="472"/>
      <c r="S681" s="472"/>
      <c r="T681" s="472"/>
      <c r="U681" s="472"/>
      <c r="V681" s="472"/>
      <c r="W681" s="472"/>
      <c r="X681" s="472"/>
      <c r="Y681" s="472"/>
      <c r="Z681" s="472"/>
      <c r="AA681" s="472"/>
    </row>
    <row r="682" outlineLevel="1">
      <c r="A682" s="484">
        <f>IFERROR(__xludf.DUMMYFUNCTION("""COMPUTED_VALUE"""),9.73220091194E11)</f>
        <v>973220091194</v>
      </c>
      <c r="B682" s="485" t="str">
        <f>IFERROR(__xludf.DUMMYFUNCTION("""COMPUTED_VALUE"""),"CAMILA ANDRADE MENDES MEDEIROS")</f>
        <v>CAMILA ANDRADE MENDES MEDEIROS</v>
      </c>
      <c r="C682" s="486">
        <f>IFERROR(__xludf.DUMMYFUNCTION("""COMPUTED_VALUE"""),6.0)</f>
        <v>6</v>
      </c>
      <c r="D682" s="487"/>
      <c r="E682" s="486"/>
      <c r="F682" s="486"/>
      <c r="G682" s="472"/>
      <c r="H682" s="472"/>
      <c r="I682" s="472"/>
      <c r="J682" s="472"/>
      <c r="K682" s="472"/>
      <c r="L682" s="472"/>
      <c r="M682" s="472"/>
      <c r="N682" s="472"/>
      <c r="O682" s="472"/>
      <c r="P682" s="472"/>
      <c r="Q682" s="472"/>
      <c r="R682" s="472"/>
      <c r="S682" s="472"/>
      <c r="T682" s="472"/>
      <c r="U682" s="472"/>
      <c r="V682" s="472"/>
      <c r="W682" s="472"/>
      <c r="X682" s="472"/>
      <c r="Y682" s="472"/>
      <c r="Z682" s="472"/>
      <c r="AA682" s="472"/>
    </row>
    <row r="683" outlineLevel="1">
      <c r="A683" s="484">
        <f>IFERROR(__xludf.DUMMYFUNCTION("""COMPUTED_VALUE"""),5.17400089457E11)</f>
        <v>517400089457</v>
      </c>
      <c r="B683" s="485" t="str">
        <f>IFERROR(__xludf.DUMMYFUNCTION("""COMPUTED_VALUE"""),"RAFAELLA MARIA MONTEIRO SAMPAIO")</f>
        <v>RAFAELLA MARIA MONTEIRO SAMPAIO</v>
      </c>
      <c r="C683" s="486">
        <f>IFERROR(__xludf.DUMMYFUNCTION("""COMPUTED_VALUE"""),6.0)</f>
        <v>6</v>
      </c>
      <c r="D683" s="487"/>
      <c r="E683" s="486"/>
      <c r="F683" s="486"/>
      <c r="G683" s="472"/>
      <c r="H683" s="472"/>
      <c r="I683" s="472"/>
      <c r="J683" s="472"/>
      <c r="K683" s="472"/>
      <c r="L683" s="472"/>
      <c r="M683" s="472"/>
      <c r="N683" s="472"/>
      <c r="O683" s="472"/>
      <c r="P683" s="472"/>
      <c r="Q683" s="472"/>
      <c r="R683" s="472"/>
      <c r="S683" s="472"/>
      <c r="T683" s="472"/>
      <c r="U683" s="472"/>
      <c r="V683" s="472"/>
      <c r="W683" s="472"/>
      <c r="X683" s="472"/>
      <c r="Y683" s="472"/>
      <c r="Z683" s="472"/>
      <c r="AA683" s="472"/>
    </row>
    <row r="684">
      <c r="A684" s="478" t="str">
        <f>IFERROR(__xludf.DUMMYFUNCTION("""COMPUTED_VALUE"""),"II - DOU - ATENÇÃO PRIMÁRIA À SAÚDE")</f>
        <v>II - DOU - ATENÇÃO PRIMÁRIA À SAÚDE</v>
      </c>
      <c r="B684" s="479"/>
      <c r="C684" s="479"/>
      <c r="D684" s="479"/>
      <c r="E684" s="479"/>
      <c r="F684" s="480"/>
      <c r="G684" s="472"/>
      <c r="H684" s="472"/>
      <c r="I684" s="472"/>
      <c r="J684" s="472"/>
      <c r="K684" s="472"/>
      <c r="L684" s="472"/>
      <c r="M684" s="472"/>
      <c r="N684" s="472"/>
      <c r="O684" s="472"/>
      <c r="P684" s="472"/>
      <c r="Q684" s="472"/>
      <c r="R684" s="472"/>
      <c r="S684" s="472"/>
      <c r="T684" s="472"/>
      <c r="U684" s="472"/>
      <c r="V684" s="472"/>
      <c r="W684" s="472"/>
      <c r="X684" s="472"/>
      <c r="Y684" s="472"/>
      <c r="Z684" s="472"/>
      <c r="AA684" s="472"/>
    </row>
    <row r="685" outlineLevel="1">
      <c r="A685" s="481" t="str">
        <f>IFERROR(__xludf.DUMMYFUNCTION("""COMPUTED_VALUE"""),"INSCRIÇÃO")</f>
        <v>INSCRIÇÃO</v>
      </c>
      <c r="B685" s="482" t="str">
        <f>IFERROR(__xludf.DUMMYFUNCTION("""COMPUTED_VALUE"""),"CANDIDATOS")</f>
        <v>CANDIDATOS</v>
      </c>
      <c r="C685" s="481" t="str">
        <f>IFERROR(__xludf.DUMMYFUNCTION("""COMPUTED_VALUE"""),"NF")</f>
        <v>NF</v>
      </c>
      <c r="D685" s="483" t="str">
        <f>IFERROR(__xludf.DUMMYFUNCTION("""COMPUTED_VALUE"""),"CONVOCADO(A)")</f>
        <v>CONVOCADO(A)</v>
      </c>
      <c r="E685" s="483" t="str">
        <f>IFERROR(__xludf.DUMMYFUNCTION("""COMPUTED_VALUE"""),"HOMOLOGADO(A)")</f>
        <v>HOMOLOGADO(A)</v>
      </c>
      <c r="F685" s="483" t="str">
        <f>IFERROR(__xludf.DUMMYFUNCTION("""COMPUTED_VALUE"""),"GERÊNCIA")</f>
        <v>GERÊNCIA</v>
      </c>
      <c r="G685" s="472"/>
      <c r="H685" s="472"/>
      <c r="I685" s="472"/>
      <c r="J685" s="472"/>
      <c r="K685" s="472"/>
      <c r="L685" s="472"/>
      <c r="M685" s="472"/>
      <c r="N685" s="472"/>
      <c r="O685" s="472"/>
      <c r="P685" s="472"/>
      <c r="Q685" s="472"/>
      <c r="R685" s="472"/>
      <c r="S685" s="472"/>
      <c r="T685" s="472"/>
      <c r="U685" s="472"/>
      <c r="V685" s="472"/>
      <c r="W685" s="472"/>
      <c r="X685" s="472"/>
      <c r="Y685" s="472"/>
      <c r="Z685" s="472"/>
      <c r="AA685" s="472"/>
    </row>
    <row r="686" outlineLevel="1">
      <c r="A686" s="484">
        <f>IFERROR(__xludf.DUMMYFUNCTION("""COMPUTED_VALUE"""),1.59283091044E11)</f>
        <v>159283091044</v>
      </c>
      <c r="B686" s="485" t="str">
        <f>IFERROR(__xludf.DUMMYFUNCTION("""COMPUTED_VALUE"""),"RICARDO BURG CECCIM")</f>
        <v>RICARDO BURG CECCIM</v>
      </c>
      <c r="C686" s="486">
        <f>IFERROR(__xludf.DUMMYFUNCTION("""COMPUTED_VALUE"""),10.0)</f>
        <v>10</v>
      </c>
      <c r="D686" s="487"/>
      <c r="E686" s="486"/>
      <c r="F686" s="488"/>
      <c r="G686" s="472"/>
      <c r="H686" s="472"/>
      <c r="I686" s="472"/>
      <c r="J686" s="472"/>
      <c r="K686" s="472"/>
      <c r="L686" s="472"/>
      <c r="M686" s="472"/>
      <c r="N686" s="472"/>
      <c r="O686" s="472"/>
      <c r="P686" s="472"/>
      <c r="Q686" s="472"/>
      <c r="R686" s="472"/>
      <c r="S686" s="472"/>
      <c r="T686" s="472"/>
      <c r="U686" s="472"/>
      <c r="V686" s="472"/>
      <c r="W686" s="472"/>
      <c r="X686" s="472"/>
      <c r="Y686" s="472"/>
      <c r="Z686" s="472"/>
      <c r="AA686" s="472"/>
    </row>
    <row r="687" outlineLevel="1">
      <c r="A687" s="484">
        <f>IFERROR(__xludf.DUMMYFUNCTION("""COMPUTED_VALUE"""),2.25232089713E11)</f>
        <v>225232089713</v>
      </c>
      <c r="B687" s="485" t="str">
        <f>IFERROR(__xludf.DUMMYFUNCTION("""COMPUTED_VALUE"""),"ANA PAULA CAVALCANTE RAMALHO BRILHANTE")</f>
        <v>ANA PAULA CAVALCANTE RAMALHO BRILHANTE</v>
      </c>
      <c r="C687" s="486">
        <f>IFERROR(__xludf.DUMMYFUNCTION("""COMPUTED_VALUE"""),10.0)</f>
        <v>10</v>
      </c>
      <c r="D687" s="487"/>
      <c r="E687" s="486"/>
      <c r="F687" s="488"/>
      <c r="G687" s="472"/>
      <c r="H687" s="472"/>
      <c r="I687" s="472"/>
      <c r="J687" s="472"/>
      <c r="K687" s="472"/>
      <c r="L687" s="472"/>
      <c r="M687" s="472"/>
      <c r="N687" s="472"/>
      <c r="O687" s="472"/>
      <c r="P687" s="472"/>
      <c r="Q687" s="472"/>
      <c r="R687" s="472"/>
      <c r="S687" s="472"/>
      <c r="T687" s="472"/>
      <c r="U687" s="472"/>
      <c r="V687" s="472"/>
      <c r="W687" s="472"/>
      <c r="X687" s="472"/>
      <c r="Y687" s="472"/>
      <c r="Z687" s="472"/>
      <c r="AA687" s="472"/>
    </row>
    <row r="688" outlineLevel="1">
      <c r="A688" s="484">
        <f>IFERROR(__xludf.DUMMYFUNCTION("""COMPUTED_VALUE"""),3.78135089582E11)</f>
        <v>378135089582</v>
      </c>
      <c r="B688" s="485" t="str">
        <f>IFERROR(__xludf.DUMMYFUNCTION("""COMPUTED_VALUE"""),"ALINE MARIA BARBOSA DOMÍCIO SOUSA")</f>
        <v>ALINE MARIA BARBOSA DOMÍCIO SOUSA</v>
      </c>
      <c r="C688" s="486">
        <f>IFERROR(__xludf.DUMMYFUNCTION("""COMPUTED_VALUE"""),10.0)</f>
        <v>10</v>
      </c>
      <c r="D688" s="487"/>
      <c r="E688" s="486"/>
      <c r="F688" s="488"/>
      <c r="G688" s="472"/>
      <c r="H688" s="472"/>
      <c r="I688" s="472"/>
      <c r="J688" s="472"/>
      <c r="K688" s="472"/>
      <c r="L688" s="472"/>
      <c r="M688" s="472"/>
      <c r="N688" s="472"/>
      <c r="O688" s="472"/>
      <c r="P688" s="472"/>
      <c r="Q688" s="472"/>
      <c r="R688" s="472"/>
      <c r="S688" s="472"/>
      <c r="T688" s="472"/>
      <c r="U688" s="472"/>
      <c r="V688" s="472"/>
      <c r="W688" s="472"/>
      <c r="X688" s="472"/>
      <c r="Y688" s="472"/>
      <c r="Z688" s="472"/>
      <c r="AA688" s="472"/>
    </row>
    <row r="689" outlineLevel="1">
      <c r="A689" s="484">
        <f>IFERROR(__xludf.DUMMYFUNCTION("""COMPUTED_VALUE"""),8.76077091547E11)</f>
        <v>876077091547</v>
      </c>
      <c r="B689" s="485" t="str">
        <f>IFERROR(__xludf.DUMMYFUNCTION("""COMPUTED_VALUE"""),"CLAUDIA MENDONÇA BEZERRA")</f>
        <v>CLAUDIA MENDONÇA BEZERRA</v>
      </c>
      <c r="C689" s="486">
        <f>IFERROR(__xludf.DUMMYFUNCTION("""COMPUTED_VALUE"""),10.0)</f>
        <v>10</v>
      </c>
      <c r="D689" s="487"/>
      <c r="E689" s="486"/>
      <c r="F689" s="488"/>
      <c r="G689" s="472"/>
      <c r="H689" s="472"/>
      <c r="I689" s="472"/>
      <c r="J689" s="472"/>
      <c r="K689" s="472"/>
      <c r="L689" s="472"/>
      <c r="M689" s="472"/>
      <c r="N689" s="472"/>
      <c r="O689" s="472"/>
      <c r="P689" s="472"/>
      <c r="Q689" s="472"/>
      <c r="R689" s="472"/>
      <c r="S689" s="472"/>
      <c r="T689" s="472"/>
      <c r="U689" s="472"/>
      <c r="V689" s="472"/>
      <c r="W689" s="472"/>
      <c r="X689" s="472"/>
      <c r="Y689" s="472"/>
      <c r="Z689" s="472"/>
      <c r="AA689" s="472"/>
    </row>
    <row r="690" outlineLevel="1">
      <c r="A690" s="484">
        <f>IFERROR(__xludf.DUMMYFUNCTION("""COMPUTED_VALUE"""),8.69816088491E11)</f>
        <v>869816088491</v>
      </c>
      <c r="B690" s="485" t="str">
        <f>IFERROR(__xludf.DUMMYFUNCTION("""COMPUTED_VALUE"""),"KELLYN KESSIENE DE SOUSA CAVALCANTE")</f>
        <v>KELLYN KESSIENE DE SOUSA CAVALCANTE</v>
      </c>
      <c r="C690" s="486">
        <f>IFERROR(__xludf.DUMMYFUNCTION("""COMPUTED_VALUE"""),10.0)</f>
        <v>10</v>
      </c>
      <c r="D690" s="487"/>
      <c r="E690" s="486"/>
      <c r="F690" s="488"/>
      <c r="G690" s="472"/>
      <c r="H690" s="472"/>
      <c r="I690" s="472"/>
      <c r="J690" s="472"/>
      <c r="K690" s="472"/>
      <c r="L690" s="472"/>
      <c r="M690" s="472"/>
      <c r="N690" s="472"/>
      <c r="O690" s="472"/>
      <c r="P690" s="472"/>
      <c r="Q690" s="472"/>
      <c r="R690" s="472"/>
      <c r="S690" s="472"/>
      <c r="T690" s="472"/>
      <c r="U690" s="472"/>
      <c r="V690" s="472"/>
      <c r="W690" s="472"/>
      <c r="X690" s="472"/>
      <c r="Y690" s="472"/>
      <c r="Z690" s="472"/>
      <c r="AA690" s="472"/>
    </row>
    <row r="691" outlineLevel="1">
      <c r="A691" s="484">
        <f>IFERROR(__xludf.DUMMYFUNCTION("""COMPUTED_VALUE"""),4.82450092752E11)</f>
        <v>482450092752</v>
      </c>
      <c r="B691" s="485" t="str">
        <f>IFERROR(__xludf.DUMMYFUNCTION("""COMPUTED_VALUE"""),"ANA SUELEN PEDROZA CAVALCANTE")</f>
        <v>ANA SUELEN PEDROZA CAVALCANTE</v>
      </c>
      <c r="C691" s="486">
        <f>IFERROR(__xludf.DUMMYFUNCTION("""COMPUTED_VALUE"""),10.0)</f>
        <v>10</v>
      </c>
      <c r="D691" s="487"/>
      <c r="E691" s="486"/>
      <c r="F691" s="488"/>
      <c r="G691" s="472"/>
      <c r="H691" s="472"/>
      <c r="I691" s="472"/>
      <c r="J691" s="472"/>
      <c r="K691" s="472"/>
      <c r="L691" s="472"/>
      <c r="M691" s="472"/>
      <c r="N691" s="472"/>
      <c r="O691" s="472"/>
      <c r="P691" s="472"/>
      <c r="Q691" s="472"/>
      <c r="R691" s="472"/>
      <c r="S691" s="472"/>
      <c r="T691" s="472"/>
      <c r="U691" s="472"/>
      <c r="V691" s="472"/>
      <c r="W691" s="472"/>
      <c r="X691" s="472"/>
      <c r="Y691" s="472"/>
      <c r="Z691" s="472"/>
      <c r="AA691" s="472"/>
    </row>
    <row r="692" outlineLevel="1">
      <c r="A692" s="484">
        <f>IFERROR(__xludf.DUMMYFUNCTION("""COMPUTED_VALUE"""),6.03132092387E11)</f>
        <v>603132092387</v>
      </c>
      <c r="B692" s="485" t="str">
        <f>IFERROR(__xludf.DUMMYFUNCTION("""COMPUTED_VALUE"""),"EUGÊNIO  DE MOURA CAMPOS")</f>
        <v>EUGÊNIO  DE MOURA CAMPOS</v>
      </c>
      <c r="C692" s="486">
        <f>IFERROR(__xludf.DUMMYFUNCTION("""COMPUTED_VALUE"""),9.5)</f>
        <v>9.5</v>
      </c>
      <c r="D692" s="487"/>
      <c r="E692" s="486"/>
      <c r="F692" s="488"/>
      <c r="G692" s="472"/>
      <c r="H692" s="472"/>
      <c r="I692" s="472"/>
      <c r="J692" s="472"/>
      <c r="K692" s="472"/>
      <c r="L692" s="472"/>
      <c r="M692" s="472"/>
      <c r="N692" s="472"/>
      <c r="O692" s="472"/>
      <c r="P692" s="472"/>
      <c r="Q692" s="472"/>
      <c r="R692" s="472"/>
      <c r="S692" s="472"/>
      <c r="T692" s="472"/>
      <c r="U692" s="472"/>
      <c r="V692" s="472"/>
      <c r="W692" s="472"/>
      <c r="X692" s="472"/>
      <c r="Y692" s="472"/>
      <c r="Z692" s="472"/>
      <c r="AA692" s="472"/>
    </row>
    <row r="693" outlineLevel="1">
      <c r="A693" s="494">
        <f>IFERROR(__xludf.DUMMYFUNCTION("""COMPUTED_VALUE"""),2.2758090149E10)</f>
        <v>22758090149</v>
      </c>
      <c r="B693" s="485" t="str">
        <f>IFERROR(__xludf.DUMMYFUNCTION("""COMPUTED_VALUE"""),"ANA CAROLINA MONTENEGRO CAVALCANTE")</f>
        <v>ANA CAROLINA MONTENEGRO CAVALCANTE</v>
      </c>
      <c r="C693" s="486">
        <f>IFERROR(__xludf.DUMMYFUNCTION("""COMPUTED_VALUE"""),9.5)</f>
        <v>9.5</v>
      </c>
      <c r="D693" s="487"/>
      <c r="E693" s="486"/>
      <c r="F693" s="488"/>
      <c r="G693" s="472"/>
      <c r="H693" s="472"/>
      <c r="I693" s="472"/>
      <c r="J693" s="472"/>
      <c r="K693" s="472"/>
      <c r="L693" s="472"/>
      <c r="M693" s="472"/>
      <c r="N693" s="472"/>
      <c r="O693" s="472"/>
      <c r="P693" s="472"/>
      <c r="Q693" s="472"/>
      <c r="R693" s="472"/>
      <c r="S693" s="472"/>
      <c r="T693" s="472"/>
      <c r="U693" s="472"/>
      <c r="V693" s="472"/>
      <c r="W693" s="472"/>
      <c r="X693" s="472"/>
      <c r="Y693" s="472"/>
      <c r="Z693" s="472"/>
      <c r="AA693" s="472"/>
    </row>
    <row r="694" outlineLevel="1">
      <c r="A694" s="484">
        <f>IFERROR(__xludf.DUMMYFUNCTION("""COMPUTED_VALUE"""),5.59920091495E11)</f>
        <v>559920091495</v>
      </c>
      <c r="B694" s="485" t="str">
        <f>IFERROR(__xludf.DUMMYFUNCTION("""COMPUTED_VALUE"""),"FRANCISCA KALLINE DE ALMEIDA BARRETO")</f>
        <v>FRANCISCA KALLINE DE ALMEIDA BARRETO</v>
      </c>
      <c r="C694" s="486">
        <f>IFERROR(__xludf.DUMMYFUNCTION("""COMPUTED_VALUE"""),9.5)</f>
        <v>9.5</v>
      </c>
      <c r="D694" s="487"/>
      <c r="E694" s="486"/>
      <c r="F694" s="488"/>
      <c r="G694" s="472"/>
      <c r="H694" s="472"/>
      <c r="I694" s="472"/>
      <c r="J694" s="472"/>
      <c r="K694" s="472"/>
      <c r="L694" s="472"/>
      <c r="M694" s="472"/>
      <c r="N694" s="472"/>
      <c r="O694" s="472"/>
      <c r="P694" s="472"/>
      <c r="Q694" s="472"/>
      <c r="R694" s="472"/>
      <c r="S694" s="472"/>
      <c r="T694" s="472"/>
      <c r="U694" s="472"/>
      <c r="V694" s="472"/>
      <c r="W694" s="472"/>
      <c r="X694" s="472"/>
      <c r="Y694" s="472"/>
      <c r="Z694" s="472"/>
      <c r="AA694" s="472"/>
    </row>
    <row r="695" outlineLevel="1">
      <c r="A695" s="484">
        <f>IFERROR(__xludf.DUMMYFUNCTION("""COMPUTED_VALUE"""),2.24854093486E11)</f>
        <v>224854093486</v>
      </c>
      <c r="B695" s="485" t="str">
        <f>IFERROR(__xludf.DUMMYFUNCTION("""COMPUTED_VALUE"""),"MARIA NIZETE TAVARES ALVES")</f>
        <v>MARIA NIZETE TAVARES ALVES</v>
      </c>
      <c r="C695" s="486">
        <f>IFERROR(__xludf.DUMMYFUNCTION("""COMPUTED_VALUE"""),9.0)</f>
        <v>9</v>
      </c>
      <c r="D695" s="487"/>
      <c r="E695" s="486"/>
      <c r="F695" s="488"/>
      <c r="G695" s="472"/>
      <c r="H695" s="472"/>
      <c r="I695" s="472"/>
      <c r="J695" s="472"/>
      <c r="K695" s="472"/>
      <c r="L695" s="472"/>
      <c r="M695" s="472"/>
      <c r="N695" s="472"/>
      <c r="O695" s="472"/>
      <c r="P695" s="472"/>
      <c r="Q695" s="472"/>
      <c r="R695" s="472"/>
      <c r="S695" s="472"/>
      <c r="T695" s="472"/>
      <c r="U695" s="472"/>
      <c r="V695" s="472"/>
      <c r="W695" s="472"/>
      <c r="X695" s="472"/>
      <c r="Y695" s="472"/>
      <c r="Z695" s="472"/>
      <c r="AA695" s="472"/>
    </row>
    <row r="696" outlineLevel="1">
      <c r="A696" s="484">
        <f>IFERROR(__xludf.DUMMYFUNCTION("""COMPUTED_VALUE"""),8.09093091191E11)</f>
        <v>809093091191</v>
      </c>
      <c r="B696" s="485" t="str">
        <f>IFERROR(__xludf.DUMMYFUNCTION("""COMPUTED_VALUE"""),"ALEXANDRE SEMERARO DE ALCÂNTARA NOGUEIRA")</f>
        <v>ALEXANDRE SEMERARO DE ALCÂNTARA NOGUEIRA</v>
      </c>
      <c r="C696" s="486">
        <f>IFERROR(__xludf.DUMMYFUNCTION("""COMPUTED_VALUE"""),9.0)</f>
        <v>9</v>
      </c>
      <c r="D696" s="487"/>
      <c r="E696" s="486"/>
      <c r="F696" s="488"/>
      <c r="G696" s="472"/>
      <c r="H696" s="472"/>
      <c r="I696" s="472"/>
      <c r="J696" s="472"/>
      <c r="K696" s="472"/>
      <c r="L696" s="472"/>
      <c r="M696" s="472"/>
      <c r="N696" s="472"/>
      <c r="O696" s="472"/>
      <c r="P696" s="472"/>
      <c r="Q696" s="472"/>
      <c r="R696" s="472"/>
      <c r="S696" s="472"/>
      <c r="T696" s="472"/>
      <c r="U696" s="472"/>
      <c r="V696" s="472"/>
      <c r="W696" s="472"/>
      <c r="X696" s="472"/>
      <c r="Y696" s="472"/>
      <c r="Z696" s="472"/>
      <c r="AA696" s="472"/>
    </row>
    <row r="697" outlineLevel="1">
      <c r="A697" s="484">
        <f>IFERROR(__xludf.DUMMYFUNCTION("""COMPUTED_VALUE"""),9.6063409195E11)</f>
        <v>960634091950</v>
      </c>
      <c r="B697" s="485" t="str">
        <f>IFERROR(__xludf.DUMMYFUNCTION("""COMPUTED_VALUE"""),"MARIA DO SOCORRO LITAIFF RODRIGUES DANTAS")</f>
        <v>MARIA DO SOCORRO LITAIFF RODRIGUES DANTAS</v>
      </c>
      <c r="C697" s="486">
        <f>IFERROR(__xludf.DUMMYFUNCTION("""COMPUTED_VALUE"""),9.0)</f>
        <v>9</v>
      </c>
      <c r="D697" s="487"/>
      <c r="E697" s="486"/>
      <c r="F697" s="488"/>
      <c r="G697" s="472"/>
      <c r="H697" s="472"/>
      <c r="I697" s="472"/>
      <c r="J697" s="472"/>
      <c r="K697" s="472"/>
      <c r="L697" s="472"/>
      <c r="M697" s="472"/>
      <c r="N697" s="472"/>
      <c r="O697" s="472"/>
      <c r="P697" s="472"/>
      <c r="Q697" s="472"/>
      <c r="R697" s="472"/>
      <c r="S697" s="472"/>
      <c r="T697" s="472"/>
      <c r="U697" s="472"/>
      <c r="V697" s="472"/>
      <c r="W697" s="472"/>
      <c r="X697" s="472"/>
      <c r="Y697" s="472"/>
      <c r="Z697" s="472"/>
      <c r="AA697" s="472"/>
    </row>
    <row r="698" outlineLevel="1">
      <c r="A698" s="494">
        <f>IFERROR(__xludf.DUMMYFUNCTION("""COMPUTED_VALUE"""),8.5017089272E10)</f>
        <v>85017089272</v>
      </c>
      <c r="B698" s="485" t="str">
        <f>IFERROR(__xludf.DUMMYFUNCTION("""COMPUTED_VALUE"""),"JANE CRIS DE LIMA CUNHA")</f>
        <v>JANE CRIS DE LIMA CUNHA</v>
      </c>
      <c r="C698" s="486">
        <f>IFERROR(__xludf.DUMMYFUNCTION("""COMPUTED_VALUE"""),9.0)</f>
        <v>9</v>
      </c>
      <c r="D698" s="487"/>
      <c r="E698" s="486"/>
      <c r="F698" s="488"/>
      <c r="G698" s="472"/>
      <c r="H698" s="472"/>
      <c r="I698" s="472"/>
      <c r="J698" s="472"/>
      <c r="K698" s="472"/>
      <c r="L698" s="472"/>
      <c r="M698" s="472"/>
      <c r="N698" s="472"/>
      <c r="O698" s="472"/>
      <c r="P698" s="472"/>
      <c r="Q698" s="472"/>
      <c r="R698" s="472"/>
      <c r="S698" s="472"/>
      <c r="T698" s="472"/>
      <c r="U698" s="472"/>
      <c r="V698" s="472"/>
      <c r="W698" s="472"/>
      <c r="X698" s="472"/>
      <c r="Y698" s="472"/>
      <c r="Z698" s="472"/>
      <c r="AA698" s="472"/>
    </row>
    <row r="699" outlineLevel="1">
      <c r="A699" s="484">
        <f>IFERROR(__xludf.DUMMYFUNCTION("""COMPUTED_VALUE"""),1.8905609135E11)</f>
        <v>189056091350</v>
      </c>
      <c r="B699" s="485" t="str">
        <f>IFERROR(__xludf.DUMMYFUNCTION("""COMPUTED_VALUE"""),"NADJA MARA DE SOUSA LOPES")</f>
        <v>NADJA MARA DE SOUSA LOPES</v>
      </c>
      <c r="C699" s="486">
        <f>IFERROR(__xludf.DUMMYFUNCTION("""COMPUTED_VALUE"""),9.0)</f>
        <v>9</v>
      </c>
      <c r="D699" s="487"/>
      <c r="E699" s="486"/>
      <c r="F699" s="488"/>
      <c r="G699" s="472"/>
      <c r="H699" s="472"/>
      <c r="I699" s="472"/>
      <c r="J699" s="472"/>
      <c r="K699" s="472"/>
      <c r="L699" s="472"/>
      <c r="M699" s="472"/>
      <c r="N699" s="472"/>
      <c r="O699" s="472"/>
      <c r="P699" s="472"/>
      <c r="Q699" s="472"/>
      <c r="R699" s="472"/>
      <c r="S699" s="472"/>
      <c r="T699" s="472"/>
      <c r="U699" s="472"/>
      <c r="V699" s="472"/>
      <c r="W699" s="472"/>
      <c r="X699" s="472"/>
      <c r="Y699" s="472"/>
      <c r="Z699" s="472"/>
      <c r="AA699" s="472"/>
    </row>
    <row r="700" outlineLevel="1">
      <c r="A700" s="484">
        <f>IFERROR(__xludf.DUMMYFUNCTION("""COMPUTED_VALUE"""),1.67010091283E11)</f>
        <v>167010091283</v>
      </c>
      <c r="B700" s="485" t="str">
        <f>IFERROR(__xludf.DUMMYFUNCTION("""COMPUTED_VALUE"""),"GEILSON GONÇALVES DE LIMA")</f>
        <v>GEILSON GONÇALVES DE LIMA</v>
      </c>
      <c r="C700" s="486">
        <f>IFERROR(__xludf.DUMMYFUNCTION("""COMPUTED_VALUE"""),9.0)</f>
        <v>9</v>
      </c>
      <c r="D700" s="487"/>
      <c r="E700" s="486"/>
      <c r="F700" s="488"/>
      <c r="G700" s="472"/>
      <c r="H700" s="472"/>
      <c r="I700" s="472"/>
      <c r="J700" s="472"/>
      <c r="K700" s="472"/>
      <c r="L700" s="472"/>
      <c r="M700" s="472"/>
      <c r="N700" s="472"/>
      <c r="O700" s="472"/>
      <c r="P700" s="472"/>
      <c r="Q700" s="472"/>
      <c r="R700" s="472"/>
      <c r="S700" s="472"/>
      <c r="T700" s="472"/>
      <c r="U700" s="472"/>
      <c r="V700" s="472"/>
      <c r="W700" s="472"/>
      <c r="X700" s="472"/>
      <c r="Y700" s="472"/>
      <c r="Z700" s="472"/>
      <c r="AA700" s="472"/>
    </row>
    <row r="701" outlineLevel="1">
      <c r="A701" s="484">
        <f>IFERROR(__xludf.DUMMYFUNCTION("""COMPUTED_VALUE"""),5.88420092066E11)</f>
        <v>588420092066</v>
      </c>
      <c r="B701" s="485" t="str">
        <f>IFERROR(__xludf.DUMMYFUNCTION("""COMPUTED_VALUE"""),"COSMO HELDER FERREIRA DA SILVA")</f>
        <v>COSMO HELDER FERREIRA DA SILVA</v>
      </c>
      <c r="C701" s="486">
        <f>IFERROR(__xludf.DUMMYFUNCTION("""COMPUTED_VALUE"""),9.0)</f>
        <v>9</v>
      </c>
      <c r="D701" s="487"/>
      <c r="E701" s="486"/>
      <c r="F701" s="488"/>
      <c r="G701" s="472"/>
      <c r="H701" s="472"/>
      <c r="I701" s="472"/>
      <c r="J701" s="472"/>
      <c r="K701" s="472"/>
      <c r="L701" s="472"/>
      <c r="M701" s="472"/>
      <c r="N701" s="472"/>
      <c r="O701" s="472"/>
      <c r="P701" s="472"/>
      <c r="Q701" s="472"/>
      <c r="R701" s="472"/>
      <c r="S701" s="472"/>
      <c r="T701" s="472"/>
      <c r="U701" s="472"/>
      <c r="V701" s="472"/>
      <c r="W701" s="472"/>
      <c r="X701" s="472"/>
      <c r="Y701" s="472"/>
      <c r="Z701" s="472"/>
      <c r="AA701" s="472"/>
    </row>
    <row r="702" outlineLevel="1">
      <c r="A702" s="484">
        <f>IFERROR(__xludf.DUMMYFUNCTION("""COMPUTED_VALUE"""),4.83230090832E11)</f>
        <v>483230090832</v>
      </c>
      <c r="B702" s="485" t="str">
        <f>IFERROR(__xludf.DUMMYFUNCTION("""COMPUTED_VALUE"""),"LOURDES SUELEN PONTES COSTA")</f>
        <v>LOURDES SUELEN PONTES COSTA</v>
      </c>
      <c r="C702" s="486">
        <f>IFERROR(__xludf.DUMMYFUNCTION("""COMPUTED_VALUE"""),8.5)</f>
        <v>8.5</v>
      </c>
      <c r="D702" s="487"/>
      <c r="E702" s="486"/>
      <c r="F702" s="488"/>
      <c r="G702" s="472"/>
      <c r="H702" s="472"/>
      <c r="I702" s="472"/>
      <c r="J702" s="472"/>
      <c r="K702" s="472"/>
      <c r="L702" s="472"/>
      <c r="M702" s="472"/>
      <c r="N702" s="472"/>
      <c r="O702" s="472"/>
      <c r="P702" s="472"/>
      <c r="Q702" s="472"/>
      <c r="R702" s="472"/>
      <c r="S702" s="472"/>
      <c r="T702" s="472"/>
      <c r="U702" s="472"/>
      <c r="V702" s="472"/>
      <c r="W702" s="472"/>
      <c r="X702" s="472"/>
      <c r="Y702" s="472"/>
      <c r="Z702" s="472"/>
      <c r="AA702" s="472"/>
    </row>
    <row r="703" outlineLevel="1">
      <c r="A703" s="484">
        <f>IFERROR(__xludf.DUMMYFUNCTION("""COMPUTED_VALUE"""),9.45158088463E11)</f>
        <v>945158088463</v>
      </c>
      <c r="B703" s="485" t="str">
        <f>IFERROR(__xludf.DUMMYFUNCTION("""COMPUTED_VALUE"""),"MARCELO JOSÉ MONTEIRO FERREIRA")</f>
        <v>MARCELO JOSÉ MONTEIRO FERREIRA</v>
      </c>
      <c r="C703" s="486">
        <f>IFERROR(__xludf.DUMMYFUNCTION("""COMPUTED_VALUE"""),8.0)</f>
        <v>8</v>
      </c>
      <c r="D703" s="487"/>
      <c r="E703" s="486"/>
      <c r="F703" s="488"/>
      <c r="G703" s="472"/>
      <c r="H703" s="472"/>
      <c r="I703" s="472"/>
      <c r="J703" s="472"/>
      <c r="K703" s="472"/>
      <c r="L703" s="472"/>
      <c r="M703" s="472"/>
      <c r="N703" s="472"/>
      <c r="O703" s="472"/>
      <c r="P703" s="472"/>
      <c r="Q703" s="472"/>
      <c r="R703" s="472"/>
      <c r="S703" s="472"/>
      <c r="T703" s="472"/>
      <c r="U703" s="472"/>
      <c r="V703" s="472"/>
      <c r="W703" s="472"/>
      <c r="X703" s="472"/>
      <c r="Y703" s="472"/>
      <c r="Z703" s="472"/>
      <c r="AA703" s="472"/>
    </row>
    <row r="704" outlineLevel="1">
      <c r="A704" s="484">
        <f>IFERROR(__xludf.DUMMYFUNCTION("""COMPUTED_VALUE"""),2.45105089873E11)</f>
        <v>245105089873</v>
      </c>
      <c r="B704" s="485" t="str">
        <f>IFERROR(__xludf.DUMMYFUNCTION("""COMPUTED_VALUE"""),"MÁRCIA ANDRÉA GONÇALVES LEITE")</f>
        <v>MÁRCIA ANDRÉA GONÇALVES LEITE</v>
      </c>
      <c r="C704" s="486">
        <f>IFERROR(__xludf.DUMMYFUNCTION("""COMPUTED_VALUE"""),7.5)</f>
        <v>7.5</v>
      </c>
      <c r="D704" s="487"/>
      <c r="E704" s="486"/>
      <c r="F704" s="488"/>
      <c r="G704" s="472"/>
      <c r="H704" s="472"/>
      <c r="I704" s="472"/>
      <c r="J704" s="472"/>
      <c r="K704" s="472"/>
      <c r="L704" s="472"/>
      <c r="M704" s="472"/>
      <c r="N704" s="472"/>
      <c r="O704" s="472"/>
      <c r="P704" s="472"/>
      <c r="Q704" s="472"/>
      <c r="R704" s="472"/>
      <c r="S704" s="472"/>
      <c r="T704" s="472"/>
      <c r="U704" s="472"/>
      <c r="V704" s="472"/>
      <c r="W704" s="472"/>
      <c r="X704" s="472"/>
      <c r="Y704" s="472"/>
      <c r="Z704" s="472"/>
      <c r="AA704" s="472"/>
    </row>
    <row r="705" outlineLevel="1">
      <c r="A705" s="484">
        <f>IFERROR(__xludf.DUMMYFUNCTION("""COMPUTED_VALUE"""),8.08514088441E11)</f>
        <v>808514088441</v>
      </c>
      <c r="B705" s="485" t="str">
        <f>IFERROR(__xludf.DUMMYFUNCTION("""COMPUTED_VALUE"""),"EMYLIO CÉSAR SANTOS DA SILVA")</f>
        <v>EMYLIO CÉSAR SANTOS DA SILVA</v>
      </c>
      <c r="C705" s="486">
        <f>IFERROR(__xludf.DUMMYFUNCTION("""COMPUTED_VALUE"""),7.0)</f>
        <v>7</v>
      </c>
      <c r="D705" s="487"/>
      <c r="E705" s="486"/>
      <c r="F705" s="488"/>
      <c r="G705" s="472"/>
      <c r="H705" s="472"/>
      <c r="I705" s="472"/>
      <c r="J705" s="472"/>
      <c r="K705" s="472"/>
      <c r="L705" s="472"/>
      <c r="M705" s="472"/>
      <c r="N705" s="472"/>
      <c r="O705" s="472"/>
      <c r="P705" s="472"/>
      <c r="Q705" s="472"/>
      <c r="R705" s="472"/>
      <c r="S705" s="472"/>
      <c r="T705" s="472"/>
      <c r="U705" s="472"/>
      <c r="V705" s="472"/>
      <c r="W705" s="472"/>
      <c r="X705" s="472"/>
      <c r="Y705" s="472"/>
      <c r="Z705" s="472"/>
      <c r="AA705" s="472"/>
    </row>
    <row r="706" outlineLevel="1">
      <c r="A706" s="484">
        <f>IFERROR(__xludf.DUMMYFUNCTION("""COMPUTED_VALUE"""),2.42800091851E11)</f>
        <v>242800091851</v>
      </c>
      <c r="B706" s="485" t="str">
        <f>IFERROR(__xludf.DUMMYFUNCTION("""COMPUTED_VALUE"""),"RAQUEL APARECIDA FERREIRA")</f>
        <v>RAQUEL APARECIDA FERREIRA</v>
      </c>
      <c r="C706" s="486">
        <f>IFERROR(__xludf.DUMMYFUNCTION("""COMPUTED_VALUE"""),7.0)</f>
        <v>7</v>
      </c>
      <c r="D706" s="487"/>
      <c r="E706" s="486"/>
      <c r="F706" s="488"/>
      <c r="G706" s="472"/>
      <c r="H706" s="472"/>
      <c r="I706" s="472"/>
      <c r="J706" s="472"/>
      <c r="K706" s="472"/>
      <c r="L706" s="472"/>
      <c r="M706" s="472"/>
      <c r="N706" s="472"/>
      <c r="O706" s="472"/>
      <c r="P706" s="472"/>
      <c r="Q706" s="472"/>
      <c r="R706" s="472"/>
      <c r="S706" s="472"/>
      <c r="T706" s="472"/>
      <c r="U706" s="472"/>
      <c r="V706" s="472"/>
      <c r="W706" s="472"/>
      <c r="X706" s="472"/>
      <c r="Y706" s="472"/>
      <c r="Z706" s="472"/>
      <c r="AA706" s="472"/>
    </row>
    <row r="707" outlineLevel="1">
      <c r="A707" s="484">
        <f>IFERROR(__xludf.DUMMYFUNCTION("""COMPUTED_VALUE"""),5.7732009211E11)</f>
        <v>577320092110</v>
      </c>
      <c r="B707" s="485" t="str">
        <f>IFERROR(__xludf.DUMMYFUNCTION("""COMPUTED_VALUE"""),"LEIDY DAYANE PAIVA DE ABREU")</f>
        <v>LEIDY DAYANE PAIVA DE ABREU</v>
      </c>
      <c r="C707" s="486">
        <f>IFERROR(__xludf.DUMMYFUNCTION("""COMPUTED_VALUE"""),7.0)</f>
        <v>7</v>
      </c>
      <c r="D707" s="487"/>
      <c r="E707" s="486"/>
      <c r="F707" s="488"/>
      <c r="G707" s="472"/>
      <c r="H707" s="472"/>
      <c r="I707" s="472"/>
      <c r="J707" s="472"/>
      <c r="K707" s="472"/>
      <c r="L707" s="472"/>
      <c r="M707" s="472"/>
      <c r="N707" s="472"/>
      <c r="O707" s="472"/>
      <c r="P707" s="472"/>
      <c r="Q707" s="472"/>
      <c r="R707" s="472"/>
      <c r="S707" s="472"/>
      <c r="T707" s="472"/>
      <c r="U707" s="472"/>
      <c r="V707" s="472"/>
      <c r="W707" s="472"/>
      <c r="X707" s="472"/>
      <c r="Y707" s="472"/>
      <c r="Z707" s="472"/>
      <c r="AA707" s="472"/>
    </row>
    <row r="708" outlineLevel="1">
      <c r="A708" s="484">
        <f>IFERROR(__xludf.DUMMYFUNCTION("""COMPUTED_VALUE"""),4.34240092436E11)</f>
        <v>434240092436</v>
      </c>
      <c r="B708" s="485" t="str">
        <f>IFERROR(__xludf.DUMMYFUNCTION("""COMPUTED_VALUE"""),"IGOR CORDEIRO MENDES")</f>
        <v>IGOR CORDEIRO MENDES</v>
      </c>
      <c r="C708" s="486">
        <f>IFERROR(__xludf.DUMMYFUNCTION("""COMPUTED_VALUE"""),7.0)</f>
        <v>7</v>
      </c>
      <c r="D708" s="487"/>
      <c r="E708" s="486"/>
      <c r="F708" s="488"/>
      <c r="G708" s="472"/>
      <c r="H708" s="472"/>
      <c r="I708" s="472"/>
      <c r="J708" s="472"/>
      <c r="K708" s="472"/>
      <c r="L708" s="472"/>
      <c r="M708" s="472"/>
      <c r="N708" s="472"/>
      <c r="O708" s="472"/>
      <c r="P708" s="472"/>
      <c r="Q708" s="472"/>
      <c r="R708" s="472"/>
      <c r="S708" s="472"/>
      <c r="T708" s="472"/>
      <c r="U708" s="472"/>
      <c r="V708" s="472"/>
      <c r="W708" s="472"/>
      <c r="X708" s="472"/>
      <c r="Y708" s="472"/>
      <c r="Z708" s="472"/>
      <c r="AA708" s="472"/>
    </row>
    <row r="709" outlineLevel="1">
      <c r="A709" s="484">
        <f>IFERROR(__xludf.DUMMYFUNCTION("""COMPUTED_VALUE"""),8.39592090371E11)</f>
        <v>839592090371</v>
      </c>
      <c r="B709" s="485" t="str">
        <f>IFERROR(__xludf.DUMMYFUNCTION("""COMPUTED_VALUE"""),"MARIA SÔNIA LIMA NOGUEIRA")</f>
        <v>MARIA SÔNIA LIMA NOGUEIRA</v>
      </c>
      <c r="C709" s="486">
        <f>IFERROR(__xludf.DUMMYFUNCTION("""COMPUTED_VALUE"""),6.0)</f>
        <v>6</v>
      </c>
      <c r="D709" s="487"/>
      <c r="E709" s="486"/>
      <c r="F709" s="488"/>
      <c r="G709" s="472"/>
      <c r="H709" s="472"/>
      <c r="I709" s="472"/>
      <c r="J709" s="472"/>
      <c r="K709" s="472"/>
      <c r="L709" s="472"/>
      <c r="M709" s="472"/>
      <c r="N709" s="472"/>
      <c r="O709" s="472"/>
      <c r="P709" s="472"/>
      <c r="Q709" s="472"/>
      <c r="R709" s="472"/>
      <c r="S709" s="472"/>
      <c r="T709" s="472"/>
      <c r="U709" s="472"/>
      <c r="V709" s="472"/>
      <c r="W709" s="472"/>
      <c r="X709" s="472"/>
      <c r="Y709" s="472"/>
      <c r="Z709" s="472"/>
      <c r="AA709" s="472"/>
    </row>
    <row r="710" outlineLevel="1">
      <c r="A710" s="494">
        <f>IFERROR(__xludf.DUMMYFUNCTION("""COMPUTED_VALUE"""),5.9085093507E10)</f>
        <v>59085093507</v>
      </c>
      <c r="B710" s="485" t="str">
        <f>IFERROR(__xludf.DUMMYFUNCTION("""COMPUTED_VALUE"""),"KILVIA HELANE CARDOSO MESQUITA")</f>
        <v>KILVIA HELANE CARDOSO MESQUITA</v>
      </c>
      <c r="C710" s="486">
        <f>IFERROR(__xludf.DUMMYFUNCTION("""COMPUTED_VALUE"""),6.0)</f>
        <v>6</v>
      </c>
      <c r="D710" s="487"/>
      <c r="E710" s="486"/>
      <c r="F710" s="488"/>
      <c r="G710" s="472"/>
      <c r="H710" s="472"/>
      <c r="I710" s="472"/>
      <c r="J710" s="472"/>
      <c r="K710" s="472"/>
      <c r="L710" s="472"/>
      <c r="M710" s="472"/>
      <c r="N710" s="472"/>
      <c r="O710" s="472"/>
      <c r="P710" s="472"/>
      <c r="Q710" s="472"/>
      <c r="R710" s="472"/>
      <c r="S710" s="472"/>
      <c r="T710" s="472"/>
      <c r="U710" s="472"/>
      <c r="V710" s="472"/>
      <c r="W710" s="472"/>
      <c r="X710" s="472"/>
      <c r="Y710" s="472"/>
      <c r="Z710" s="472"/>
      <c r="AA710" s="472"/>
    </row>
    <row r="711" outlineLevel="1">
      <c r="A711" s="484">
        <f>IFERROR(__xludf.DUMMYFUNCTION("""COMPUTED_VALUE"""),5.36579091082E11)</f>
        <v>536579091082</v>
      </c>
      <c r="B711" s="485" t="str">
        <f>IFERROR(__xludf.DUMMYFUNCTION("""COMPUTED_VALUE"""),"ALISSAN KARINE LIMA MARTINS")</f>
        <v>ALISSAN KARINE LIMA MARTINS</v>
      </c>
      <c r="C711" s="486">
        <f>IFERROR(__xludf.DUMMYFUNCTION("""COMPUTED_VALUE"""),6.0)</f>
        <v>6</v>
      </c>
      <c r="D711" s="487"/>
      <c r="E711" s="486"/>
      <c r="F711" s="488"/>
      <c r="G711" s="472"/>
      <c r="H711" s="472"/>
      <c r="I711" s="472"/>
      <c r="J711" s="472"/>
      <c r="K711" s="472"/>
      <c r="L711" s="472"/>
      <c r="M711" s="472"/>
      <c r="N711" s="472"/>
      <c r="O711" s="472"/>
      <c r="P711" s="472"/>
      <c r="Q711" s="472"/>
      <c r="R711" s="472"/>
      <c r="S711" s="472"/>
      <c r="T711" s="472"/>
      <c r="U711" s="472"/>
      <c r="V711" s="472"/>
      <c r="W711" s="472"/>
      <c r="X711" s="472"/>
      <c r="Y711" s="472"/>
      <c r="Z711" s="472"/>
      <c r="AA711" s="472"/>
    </row>
    <row r="712" outlineLevel="1">
      <c r="A712" s="484">
        <f>IFERROR(__xludf.DUMMYFUNCTION("""COMPUTED_VALUE"""),5.17400089458E11)</f>
        <v>517400089458</v>
      </c>
      <c r="B712" s="485" t="str">
        <f>IFERROR(__xludf.DUMMYFUNCTION("""COMPUTED_VALUE"""),"RAFAELLA MARIA MONTEIRO SAMPAIO")</f>
        <v>RAFAELLA MARIA MONTEIRO SAMPAIO</v>
      </c>
      <c r="C712" s="486">
        <f>IFERROR(__xludf.DUMMYFUNCTION("""COMPUTED_VALUE"""),6.0)</f>
        <v>6</v>
      </c>
      <c r="D712" s="487"/>
      <c r="E712" s="486"/>
      <c r="F712" s="488"/>
      <c r="G712" s="472"/>
      <c r="H712" s="472"/>
      <c r="I712" s="472"/>
      <c r="J712" s="472"/>
      <c r="K712" s="472"/>
      <c r="L712" s="472"/>
      <c r="M712" s="472"/>
      <c r="N712" s="472"/>
      <c r="O712" s="472"/>
      <c r="P712" s="472"/>
      <c r="Q712" s="472"/>
      <c r="R712" s="472"/>
      <c r="S712" s="472"/>
      <c r="T712" s="472"/>
      <c r="U712" s="472"/>
      <c r="V712" s="472"/>
      <c r="W712" s="472"/>
      <c r="X712" s="472"/>
      <c r="Y712" s="472"/>
      <c r="Z712" s="472"/>
      <c r="AA712" s="472"/>
    </row>
    <row r="713" outlineLevel="1">
      <c r="A713" s="484">
        <f>IFERROR(__xludf.DUMMYFUNCTION("""COMPUTED_VALUE"""),2.8701008852E11)</f>
        <v>287010088520</v>
      </c>
      <c r="B713" s="485" t="str">
        <f>IFERROR(__xludf.DUMMYFUNCTION("""COMPUTED_VALUE"""),"ILEANA PITOMBEIRA GOMES")</f>
        <v>ILEANA PITOMBEIRA GOMES</v>
      </c>
      <c r="C713" s="486">
        <f>IFERROR(__xludf.DUMMYFUNCTION("""COMPUTED_VALUE"""),6.0)</f>
        <v>6</v>
      </c>
      <c r="D713" s="487"/>
      <c r="E713" s="486"/>
      <c r="F713" s="488"/>
      <c r="G713" s="472"/>
      <c r="H713" s="472"/>
      <c r="I713" s="472"/>
      <c r="J713" s="472"/>
      <c r="K713" s="472"/>
      <c r="L713" s="472"/>
      <c r="M713" s="472"/>
      <c r="N713" s="472"/>
      <c r="O713" s="472"/>
      <c r="P713" s="472"/>
      <c r="Q713" s="472"/>
      <c r="R713" s="472"/>
      <c r="S713" s="472"/>
      <c r="T713" s="472"/>
      <c r="U713" s="472"/>
      <c r="V713" s="472"/>
      <c r="W713" s="472"/>
      <c r="X713" s="472"/>
      <c r="Y713" s="472"/>
      <c r="Z713" s="472"/>
      <c r="AA713" s="472"/>
    </row>
    <row r="714">
      <c r="A714" s="478" t="str">
        <f>IFERROR(__xludf.DUMMYFUNCTION("""COMPUTED_VALUE"""),"III - DOU - ATENÇÃO SAÚDE MENTAL")</f>
        <v>III - DOU - ATENÇÃO SAÚDE MENTAL</v>
      </c>
      <c r="B714" s="479"/>
      <c r="C714" s="479"/>
      <c r="D714" s="479"/>
      <c r="E714" s="479"/>
      <c r="F714" s="480"/>
      <c r="G714" s="472"/>
      <c r="H714" s="472"/>
      <c r="I714" s="472"/>
      <c r="J714" s="472"/>
      <c r="K714" s="472"/>
      <c r="L714" s="472"/>
      <c r="M714" s="472"/>
      <c r="N714" s="472"/>
      <c r="O714" s="472"/>
      <c r="P714" s="472"/>
      <c r="Q714" s="472"/>
      <c r="R714" s="472"/>
      <c r="S714" s="472"/>
      <c r="T714" s="472"/>
      <c r="U714" s="472"/>
      <c r="V714" s="472"/>
      <c r="W714" s="472"/>
      <c r="X714" s="472"/>
      <c r="Y714" s="472"/>
      <c r="Z714" s="472"/>
      <c r="AA714" s="472"/>
    </row>
    <row r="715" outlineLevel="1">
      <c r="A715" s="481" t="str">
        <f>IFERROR(__xludf.DUMMYFUNCTION("""COMPUTED_VALUE"""),"INSCRIÇÃO")</f>
        <v>INSCRIÇÃO</v>
      </c>
      <c r="B715" s="482" t="str">
        <f>IFERROR(__xludf.DUMMYFUNCTION("""COMPUTED_VALUE"""),"CANDIDATOS")</f>
        <v>CANDIDATOS</v>
      </c>
      <c r="C715" s="481" t="str">
        <f>IFERROR(__xludf.DUMMYFUNCTION("""COMPUTED_VALUE"""),"NF")</f>
        <v>NF</v>
      </c>
      <c r="D715" s="483" t="str">
        <f>IFERROR(__xludf.DUMMYFUNCTION("""COMPUTED_VALUE"""),"CONVOCADO(A)")</f>
        <v>CONVOCADO(A)</v>
      </c>
      <c r="E715" s="483" t="str">
        <f>IFERROR(__xludf.DUMMYFUNCTION("""COMPUTED_VALUE"""),"HOMOLOGADO(A)")</f>
        <v>HOMOLOGADO(A)</v>
      </c>
      <c r="F715" s="483" t="str">
        <f>IFERROR(__xludf.DUMMYFUNCTION("""COMPUTED_VALUE"""),"GERÊNCIA")</f>
        <v>GERÊNCIA</v>
      </c>
      <c r="G715" s="472"/>
      <c r="H715" s="472"/>
      <c r="I715" s="472"/>
      <c r="J715" s="472"/>
      <c r="K715" s="472"/>
      <c r="L715" s="472"/>
      <c r="M715" s="472"/>
      <c r="N715" s="472"/>
      <c r="O715" s="472"/>
      <c r="P715" s="472"/>
      <c r="Q715" s="472"/>
      <c r="R715" s="472"/>
      <c r="S715" s="472"/>
      <c r="T715" s="472"/>
      <c r="U715" s="472"/>
      <c r="V715" s="472"/>
      <c r="W715" s="472"/>
      <c r="X715" s="472"/>
      <c r="Y715" s="472"/>
      <c r="Z715" s="472"/>
      <c r="AA715" s="472"/>
    </row>
    <row r="716" outlineLevel="1">
      <c r="A716" s="484">
        <f>IFERROR(__xludf.DUMMYFUNCTION("""COMPUTED_VALUE"""),3.78135089581E11)</f>
        <v>378135089581</v>
      </c>
      <c r="B716" s="485" t="str">
        <f>IFERROR(__xludf.DUMMYFUNCTION("""COMPUTED_VALUE"""),"ALINE MARIA BARBOSA DOMÍCIO SOUSA")</f>
        <v>ALINE MARIA BARBOSA DOMÍCIO SOUSA</v>
      </c>
      <c r="C716" s="486">
        <f>IFERROR(__xludf.DUMMYFUNCTION("""COMPUTED_VALUE"""),10.0)</f>
        <v>10</v>
      </c>
      <c r="D716" s="487" t="str">
        <f>IFERROR(__xludf.DUMMYFUNCTION("""COMPUTED_VALUE"""),"SIM")</f>
        <v>SIM</v>
      </c>
      <c r="E716" s="486" t="str">
        <f>IFERROR(__xludf.DUMMYFUNCTION("""COMPUTED_VALUE"""),"SIM")</f>
        <v>SIM</v>
      </c>
      <c r="F716" s="488" t="str">
        <f>IFERROR(__xludf.DUMMYFUNCTION("""COMPUTED_VALUE"""),"GEDUC")</f>
        <v>GEDUC</v>
      </c>
      <c r="G716" s="472"/>
      <c r="H716" s="472"/>
      <c r="I716" s="472"/>
      <c r="J716" s="472"/>
      <c r="K716" s="472"/>
      <c r="L716" s="472"/>
      <c r="M716" s="472"/>
      <c r="N716" s="472"/>
      <c r="O716" s="472"/>
      <c r="P716" s="472"/>
      <c r="Q716" s="472"/>
      <c r="R716" s="472"/>
      <c r="S716" s="472"/>
      <c r="T716" s="472"/>
      <c r="U716" s="472"/>
      <c r="V716" s="472"/>
      <c r="W716" s="472"/>
      <c r="X716" s="472"/>
      <c r="Y716" s="472"/>
      <c r="Z716" s="472"/>
      <c r="AA716" s="472"/>
    </row>
    <row r="717" outlineLevel="1">
      <c r="A717" s="484">
        <f>IFERROR(__xludf.DUMMYFUNCTION("""COMPUTED_VALUE"""),6.53077092288E11)</f>
        <v>653077092288</v>
      </c>
      <c r="B717" s="485" t="str">
        <f>IFERROR(__xludf.DUMMYFUNCTION("""COMPUTED_VALUE"""),"ANA PATRÍCIA OLIVEIRA MOURA LIMA")</f>
        <v>ANA PATRÍCIA OLIVEIRA MOURA LIMA</v>
      </c>
      <c r="C717" s="486">
        <f>IFERROR(__xludf.DUMMYFUNCTION("""COMPUTED_VALUE"""),10.0)</f>
        <v>10</v>
      </c>
      <c r="D717" s="487" t="str">
        <f>IFERROR(__xludf.DUMMYFUNCTION("""COMPUTED_VALUE"""),"SIM")</f>
        <v>SIM</v>
      </c>
      <c r="E717" s="486" t="str">
        <f>IFERROR(__xludf.DUMMYFUNCTION("""COMPUTED_VALUE"""),"SIM")</f>
        <v>SIM</v>
      </c>
      <c r="F717" s="488" t="str">
        <f>IFERROR(__xludf.DUMMYFUNCTION("""COMPUTED_VALUE"""),"GEDUC")</f>
        <v>GEDUC</v>
      </c>
      <c r="G717" s="472"/>
      <c r="H717" s="472"/>
      <c r="I717" s="472"/>
      <c r="J717" s="472"/>
      <c r="K717" s="472"/>
      <c r="L717" s="472"/>
      <c r="M717" s="472"/>
      <c r="N717" s="472"/>
      <c r="O717" s="472"/>
      <c r="P717" s="472"/>
      <c r="Q717" s="472"/>
      <c r="R717" s="472"/>
      <c r="S717" s="472"/>
      <c r="T717" s="472"/>
      <c r="U717" s="472"/>
      <c r="V717" s="472"/>
      <c r="W717" s="472"/>
      <c r="X717" s="472"/>
      <c r="Y717" s="472"/>
      <c r="Z717" s="472"/>
      <c r="AA717" s="472"/>
    </row>
    <row r="718" outlineLevel="1">
      <c r="A718" s="484">
        <f>IFERROR(__xludf.DUMMYFUNCTION("""COMPUTED_VALUE"""),1.89056091351E11)</f>
        <v>189056091351</v>
      </c>
      <c r="B718" s="485" t="str">
        <f>IFERROR(__xludf.DUMMYFUNCTION("""COMPUTED_VALUE"""),"NADJA MARA DE SOUSA LOPES")</f>
        <v>NADJA MARA DE SOUSA LOPES</v>
      </c>
      <c r="C718" s="486">
        <f>IFERROR(__xludf.DUMMYFUNCTION("""COMPUTED_VALUE"""),10.0)</f>
        <v>10</v>
      </c>
      <c r="D718" s="487" t="str">
        <f>IFERROR(__xludf.DUMMYFUNCTION("""COMPUTED_VALUE"""),"SIM")</f>
        <v>SIM</v>
      </c>
      <c r="E718" s="486" t="str">
        <f>IFERROR(__xludf.DUMMYFUNCTION("""COMPUTED_VALUE"""),"SIM")</f>
        <v>SIM</v>
      </c>
      <c r="F718" s="488" t="str">
        <f>IFERROR(__xludf.DUMMYFUNCTION("""COMPUTED_VALUE"""),"GEDUC")</f>
        <v>GEDUC</v>
      </c>
      <c r="G718" s="472"/>
      <c r="H718" s="472"/>
      <c r="I718" s="472"/>
      <c r="J718" s="472"/>
      <c r="K718" s="472"/>
      <c r="L718" s="472"/>
      <c r="M718" s="472"/>
      <c r="N718" s="472"/>
      <c r="O718" s="472"/>
      <c r="P718" s="472"/>
      <c r="Q718" s="472"/>
      <c r="R718" s="472"/>
      <c r="S718" s="472"/>
      <c r="T718" s="472"/>
      <c r="U718" s="472"/>
      <c r="V718" s="472"/>
      <c r="W718" s="472"/>
      <c r="X718" s="472"/>
      <c r="Y718" s="472"/>
      <c r="Z718" s="472"/>
      <c r="AA718" s="472"/>
    </row>
    <row r="719" outlineLevel="1">
      <c r="A719" s="484">
        <f>IFERROR(__xludf.DUMMYFUNCTION("""COMPUTED_VALUE"""),1.4901008874E11)</f>
        <v>149010088740</v>
      </c>
      <c r="B719" s="485" t="str">
        <f>IFERROR(__xludf.DUMMYFUNCTION("""COMPUTED_VALUE"""),"ISABELLA COSTA MARTINS")</f>
        <v>ISABELLA COSTA MARTINS</v>
      </c>
      <c r="C719" s="486">
        <f>IFERROR(__xludf.DUMMYFUNCTION("""COMPUTED_VALUE"""),10.0)</f>
        <v>10</v>
      </c>
      <c r="D719" s="487" t="str">
        <f>IFERROR(__xludf.DUMMYFUNCTION("""COMPUTED_VALUE"""),"SIM")</f>
        <v>SIM</v>
      </c>
      <c r="E719" s="486" t="str">
        <f>IFERROR(__xludf.DUMMYFUNCTION("""COMPUTED_VALUE"""),"SIM")</f>
        <v>SIM</v>
      </c>
      <c r="F719" s="488" t="str">
        <f>IFERROR(__xludf.DUMMYFUNCTION("""COMPUTED_VALUE"""),"GEDUC")</f>
        <v>GEDUC</v>
      </c>
      <c r="G719" s="472"/>
      <c r="H719" s="472"/>
      <c r="I719" s="472"/>
      <c r="J719" s="472"/>
      <c r="K719" s="472"/>
      <c r="L719" s="472"/>
      <c r="M719" s="472"/>
      <c r="N719" s="472"/>
      <c r="O719" s="472"/>
      <c r="P719" s="472"/>
      <c r="Q719" s="472"/>
      <c r="R719" s="472"/>
      <c r="S719" s="472"/>
      <c r="T719" s="472"/>
      <c r="U719" s="472"/>
      <c r="V719" s="472"/>
      <c r="W719" s="472"/>
      <c r="X719" s="472"/>
      <c r="Y719" s="472"/>
      <c r="Z719" s="472"/>
      <c r="AA719" s="472"/>
    </row>
    <row r="720" outlineLevel="1">
      <c r="A720" s="484">
        <f>IFERROR(__xludf.DUMMYFUNCTION("""COMPUTED_VALUE"""),6.03132092386E11)</f>
        <v>603132092386</v>
      </c>
      <c r="B720" s="485" t="str">
        <f>IFERROR(__xludf.DUMMYFUNCTION("""COMPUTED_VALUE"""),"EUGÊNIO  DE MOURA CAMPOS")</f>
        <v>EUGÊNIO  DE MOURA CAMPOS</v>
      </c>
      <c r="C720" s="486">
        <f>IFERROR(__xludf.DUMMYFUNCTION("""COMPUTED_VALUE"""),9.5)</f>
        <v>9.5</v>
      </c>
      <c r="D720" s="487" t="str">
        <f>IFERROR(__xludf.DUMMYFUNCTION("""COMPUTED_VALUE"""),"SIM")</f>
        <v>SIM</v>
      </c>
      <c r="E720" s="486" t="str">
        <f>IFERROR(__xludf.DUMMYFUNCTION("""COMPUTED_VALUE"""),"SIM")</f>
        <v>SIM</v>
      </c>
      <c r="F720" s="488" t="str">
        <f>IFERROR(__xludf.DUMMYFUNCTION("""COMPUTED_VALUE"""),"GEDUC")</f>
        <v>GEDUC</v>
      </c>
      <c r="G720" s="472"/>
      <c r="H720" s="472"/>
      <c r="I720" s="472"/>
      <c r="J720" s="472"/>
      <c r="K720" s="472"/>
      <c r="L720" s="472"/>
      <c r="M720" s="472"/>
      <c r="N720" s="472"/>
      <c r="O720" s="472"/>
      <c r="P720" s="472"/>
      <c r="Q720" s="472"/>
      <c r="R720" s="472"/>
      <c r="S720" s="472"/>
      <c r="T720" s="472"/>
      <c r="U720" s="472"/>
      <c r="V720" s="472"/>
      <c r="W720" s="472"/>
      <c r="X720" s="472"/>
      <c r="Y720" s="472"/>
      <c r="Z720" s="472"/>
      <c r="AA720" s="472"/>
    </row>
    <row r="721" outlineLevel="1">
      <c r="A721" s="484">
        <f>IFERROR(__xludf.DUMMYFUNCTION("""COMPUTED_VALUE"""),6.90683092251E11)</f>
        <v>690683092251</v>
      </c>
      <c r="B721" s="485" t="str">
        <f>IFERROR(__xludf.DUMMYFUNCTION("""COMPUTED_VALUE"""),"REGINA CLÁUDIA BARROSO CAVALCANTE")</f>
        <v>REGINA CLÁUDIA BARROSO CAVALCANTE</v>
      </c>
      <c r="C721" s="486">
        <f>IFERROR(__xludf.DUMMYFUNCTION("""COMPUTED_VALUE"""),9.5)</f>
        <v>9.5</v>
      </c>
      <c r="D721" s="487" t="str">
        <f>IFERROR(__xludf.DUMMYFUNCTION("""COMPUTED_VALUE"""),"SIM")</f>
        <v>SIM</v>
      </c>
      <c r="E721" s="486" t="str">
        <f>IFERROR(__xludf.DUMMYFUNCTION("""COMPUTED_VALUE"""),"SIM")</f>
        <v>SIM</v>
      </c>
      <c r="F721" s="488" t="str">
        <f>IFERROR(__xludf.DUMMYFUNCTION("""COMPUTED_VALUE"""),"GEDUC")</f>
        <v>GEDUC</v>
      </c>
      <c r="G721" s="472"/>
      <c r="H721" s="472"/>
      <c r="I721" s="472"/>
      <c r="J721" s="472"/>
      <c r="K721" s="472"/>
      <c r="L721" s="472"/>
      <c r="M721" s="472"/>
      <c r="N721" s="472"/>
      <c r="O721" s="472"/>
      <c r="P721" s="472"/>
      <c r="Q721" s="472"/>
      <c r="R721" s="472"/>
      <c r="S721" s="472"/>
      <c r="T721" s="472"/>
      <c r="U721" s="472"/>
      <c r="V721" s="472"/>
      <c r="W721" s="472"/>
      <c r="X721" s="472"/>
      <c r="Y721" s="472"/>
      <c r="Z721" s="472"/>
      <c r="AA721" s="472"/>
    </row>
    <row r="722" outlineLevel="1">
      <c r="A722" s="484">
        <f>IFERROR(__xludf.DUMMYFUNCTION("""COMPUTED_VALUE"""),8.09093091188E11)</f>
        <v>809093091188</v>
      </c>
      <c r="B722" s="485" t="str">
        <f>IFERROR(__xludf.DUMMYFUNCTION("""COMPUTED_VALUE"""),"ALEXANDRE SEMERARO DE ALCÂNTARA NOGUEIRA")</f>
        <v>ALEXANDRE SEMERARO DE ALCÂNTARA NOGUEIRA</v>
      </c>
      <c r="C722" s="486">
        <f>IFERROR(__xludf.DUMMYFUNCTION("""COMPUTED_VALUE"""),8.5)</f>
        <v>8.5</v>
      </c>
      <c r="D722" s="487" t="str">
        <f>IFERROR(__xludf.DUMMYFUNCTION("""COMPUTED_VALUE"""),"SIM")</f>
        <v>SIM</v>
      </c>
      <c r="E722" s="486" t="str">
        <f>IFERROR(__xludf.DUMMYFUNCTION("""COMPUTED_VALUE"""),"SIM")</f>
        <v>SIM</v>
      </c>
      <c r="F722" s="488" t="str">
        <f>IFERROR(__xludf.DUMMYFUNCTION("""COMPUTED_VALUE"""),"GEDUC")</f>
        <v>GEDUC</v>
      </c>
      <c r="G722" s="472"/>
      <c r="H722" s="472"/>
      <c r="I722" s="472"/>
      <c r="J722" s="472"/>
      <c r="K722" s="472"/>
      <c r="L722" s="472"/>
      <c r="M722" s="472"/>
      <c r="N722" s="472"/>
      <c r="O722" s="472"/>
      <c r="P722" s="472"/>
      <c r="Q722" s="472"/>
      <c r="R722" s="472"/>
      <c r="S722" s="472"/>
      <c r="T722" s="472"/>
      <c r="U722" s="472"/>
      <c r="V722" s="472"/>
      <c r="W722" s="472"/>
      <c r="X722" s="472"/>
      <c r="Y722" s="472"/>
      <c r="Z722" s="472"/>
      <c r="AA722" s="472"/>
    </row>
    <row r="723" outlineLevel="1">
      <c r="A723" s="484">
        <f>IFERROR(__xludf.DUMMYFUNCTION("""COMPUTED_VALUE"""),8.0851408844E11)</f>
        <v>808514088440</v>
      </c>
      <c r="B723" s="485" t="str">
        <f>IFERROR(__xludf.DUMMYFUNCTION("""COMPUTED_VALUE"""),"EMYLIO CÉSAR SANTOS DA SILVA")</f>
        <v>EMYLIO CÉSAR SANTOS DA SILVA</v>
      </c>
      <c r="C723" s="486">
        <f>IFERROR(__xludf.DUMMYFUNCTION("""COMPUTED_VALUE"""),8.0)</f>
        <v>8</v>
      </c>
      <c r="D723" s="487" t="str">
        <f>IFERROR(__xludf.DUMMYFUNCTION("""COMPUTED_VALUE"""),"SIM")</f>
        <v>SIM</v>
      </c>
      <c r="E723" s="486" t="str">
        <f>IFERROR(__xludf.DUMMYFUNCTION("""COMPUTED_VALUE"""),"SIM")</f>
        <v>SIM</v>
      </c>
      <c r="F723" s="488" t="str">
        <f>IFERROR(__xludf.DUMMYFUNCTION("""COMPUTED_VALUE"""),"GEDUC")</f>
        <v>GEDUC</v>
      </c>
      <c r="G723" s="472"/>
      <c r="H723" s="472"/>
      <c r="I723" s="472"/>
      <c r="J723" s="472"/>
      <c r="K723" s="472"/>
      <c r="L723" s="472"/>
      <c r="M723" s="472"/>
      <c r="N723" s="472"/>
      <c r="O723" s="472"/>
      <c r="P723" s="472"/>
      <c r="Q723" s="472"/>
      <c r="R723" s="472"/>
      <c r="S723" s="472"/>
      <c r="T723" s="472"/>
      <c r="U723" s="472"/>
      <c r="V723" s="472"/>
      <c r="W723" s="472"/>
      <c r="X723" s="472"/>
      <c r="Y723" s="472"/>
      <c r="Z723" s="472"/>
      <c r="AA723" s="472"/>
    </row>
    <row r="724" outlineLevel="1">
      <c r="A724" s="484">
        <f>IFERROR(__xludf.DUMMYFUNCTION("""COMPUTED_VALUE"""),9.74945089539E11)</f>
        <v>974945089539</v>
      </c>
      <c r="B724" s="485" t="str">
        <f>IFERROR(__xludf.DUMMYFUNCTION("""COMPUTED_VALUE"""),"ADRIANO RODRIGUES DE SOUZA")</f>
        <v>ADRIANO RODRIGUES DE SOUZA</v>
      </c>
      <c r="C724" s="486">
        <f>IFERROR(__xludf.DUMMYFUNCTION("""COMPUTED_VALUE"""),8.0)</f>
        <v>8</v>
      </c>
      <c r="D724" s="487" t="str">
        <f>IFERROR(__xludf.DUMMYFUNCTION("""COMPUTED_VALUE"""),"SIM")</f>
        <v>SIM</v>
      </c>
      <c r="E724" s="486" t="str">
        <f>IFERROR(__xludf.DUMMYFUNCTION("""COMPUTED_VALUE"""),"SIM")</f>
        <v>SIM</v>
      </c>
      <c r="F724" s="488" t="str">
        <f>IFERROR(__xludf.DUMMYFUNCTION("""COMPUTED_VALUE"""),"GEDUC")</f>
        <v>GEDUC</v>
      </c>
      <c r="G724" s="472"/>
      <c r="H724" s="472"/>
      <c r="I724" s="472"/>
      <c r="J724" s="472"/>
      <c r="K724" s="472"/>
      <c r="L724" s="472"/>
      <c r="M724" s="472"/>
      <c r="N724" s="472"/>
      <c r="O724" s="472"/>
      <c r="P724" s="472"/>
      <c r="Q724" s="472"/>
      <c r="R724" s="472"/>
      <c r="S724" s="472"/>
      <c r="T724" s="472"/>
      <c r="U724" s="472"/>
      <c r="V724" s="472"/>
      <c r="W724" s="472"/>
      <c r="X724" s="472"/>
      <c r="Y724" s="472"/>
      <c r="Z724" s="472"/>
      <c r="AA724" s="472"/>
    </row>
    <row r="725" outlineLevel="1">
      <c r="A725" s="484">
        <f>IFERROR(__xludf.DUMMYFUNCTION("""COMPUTED_VALUE"""),1.59283091045E11)</f>
        <v>159283091045</v>
      </c>
      <c r="B725" s="485" t="str">
        <f>IFERROR(__xludf.DUMMYFUNCTION("""COMPUTED_VALUE"""),"RICARDO BURG CECCIM")</f>
        <v>RICARDO BURG CECCIM</v>
      </c>
      <c r="C725" s="486">
        <f>IFERROR(__xludf.DUMMYFUNCTION("""COMPUTED_VALUE"""),7.0)</f>
        <v>7</v>
      </c>
      <c r="D725" s="487" t="str">
        <f>IFERROR(__xludf.DUMMYFUNCTION("""COMPUTED_VALUE"""),"SIM")</f>
        <v>SIM</v>
      </c>
      <c r="E725" s="486" t="str">
        <f>IFERROR(__xludf.DUMMYFUNCTION("""COMPUTED_VALUE"""),"SIM")</f>
        <v>SIM</v>
      </c>
      <c r="F725" s="488" t="str">
        <f>IFERROR(__xludf.DUMMYFUNCTION("""COMPUTED_VALUE"""),"GEDUC")</f>
        <v>GEDUC</v>
      </c>
      <c r="G725" s="472"/>
      <c r="H725" s="472"/>
      <c r="I725" s="472"/>
      <c r="J725" s="472"/>
      <c r="K725" s="472"/>
      <c r="L725" s="472"/>
      <c r="M725" s="472"/>
      <c r="N725" s="472"/>
      <c r="O725" s="472"/>
      <c r="P725" s="472"/>
      <c r="Q725" s="472"/>
      <c r="R725" s="472"/>
      <c r="S725" s="472"/>
      <c r="T725" s="472"/>
      <c r="U725" s="472"/>
      <c r="V725" s="472"/>
      <c r="W725" s="472"/>
      <c r="X725" s="472"/>
      <c r="Y725" s="472"/>
      <c r="Z725" s="472"/>
      <c r="AA725" s="472"/>
    </row>
    <row r="726" outlineLevel="1">
      <c r="A726" s="484">
        <f>IFERROR(__xludf.DUMMYFUNCTION("""COMPUTED_VALUE"""),8.3959209037E11)</f>
        <v>839592090370</v>
      </c>
      <c r="B726" s="485" t="str">
        <f>IFERROR(__xludf.DUMMYFUNCTION("""COMPUTED_VALUE"""),"MARIA SÔNIA LIMA NOGUEIRA")</f>
        <v>MARIA SÔNIA LIMA NOGUEIRA</v>
      </c>
      <c r="C726" s="486">
        <f>IFERROR(__xludf.DUMMYFUNCTION("""COMPUTED_VALUE"""),6.0)</f>
        <v>6</v>
      </c>
      <c r="D726" s="487"/>
      <c r="E726" s="486"/>
      <c r="F726" s="488"/>
      <c r="G726" s="472"/>
      <c r="H726" s="472"/>
      <c r="I726" s="472"/>
      <c r="J726" s="472"/>
      <c r="K726" s="472"/>
      <c r="L726" s="472"/>
      <c r="M726" s="472"/>
      <c r="N726" s="472"/>
      <c r="O726" s="472"/>
      <c r="P726" s="472"/>
      <c r="Q726" s="472"/>
      <c r="R726" s="472"/>
      <c r="S726" s="472"/>
      <c r="T726" s="472"/>
      <c r="U726" s="472"/>
      <c r="V726" s="472"/>
      <c r="W726" s="472"/>
      <c r="X726" s="472"/>
      <c r="Y726" s="472"/>
      <c r="Z726" s="472"/>
      <c r="AA726" s="472"/>
    </row>
    <row r="727" outlineLevel="1">
      <c r="A727" s="484">
        <f>IFERROR(__xludf.DUMMYFUNCTION("""COMPUTED_VALUE"""),9.45158088467E11)</f>
        <v>945158088467</v>
      </c>
      <c r="B727" s="485" t="str">
        <f>IFERROR(__xludf.DUMMYFUNCTION("""COMPUTED_VALUE"""),"MARCELO JOSÉ MONTEIRO FERREIRA")</f>
        <v>MARCELO JOSÉ MONTEIRO FERREIRA</v>
      </c>
      <c r="C727" s="486">
        <f>IFERROR(__xludf.DUMMYFUNCTION("""COMPUTED_VALUE"""),6.0)</f>
        <v>6</v>
      </c>
      <c r="D727" s="487"/>
      <c r="E727" s="486"/>
      <c r="F727" s="488"/>
      <c r="G727" s="472"/>
      <c r="H727" s="472"/>
      <c r="I727" s="472"/>
      <c r="J727" s="472"/>
      <c r="K727" s="472"/>
      <c r="L727" s="472"/>
      <c r="M727" s="472"/>
      <c r="N727" s="472"/>
      <c r="O727" s="472"/>
      <c r="P727" s="472"/>
      <c r="Q727" s="472"/>
      <c r="R727" s="472"/>
      <c r="S727" s="472"/>
      <c r="T727" s="472"/>
      <c r="U727" s="472"/>
      <c r="V727" s="472"/>
      <c r="W727" s="472"/>
      <c r="X727" s="472"/>
      <c r="Y727" s="472"/>
      <c r="Z727" s="472"/>
      <c r="AA727" s="472"/>
    </row>
    <row r="728" outlineLevel="1">
      <c r="A728" s="494">
        <f>IFERROR(__xludf.DUMMYFUNCTION("""COMPUTED_VALUE"""),1.979092704E9)</f>
        <v>1979092704</v>
      </c>
      <c r="B728" s="485" t="str">
        <f>IFERROR(__xludf.DUMMYFUNCTION("""COMPUTED_VALUE"""),"ALBERTINA ANTONIELLY SYDNEY DE SOUSA")</f>
        <v>ALBERTINA ANTONIELLY SYDNEY DE SOUSA</v>
      </c>
      <c r="C728" s="486">
        <f>IFERROR(__xludf.DUMMYFUNCTION("""COMPUTED_VALUE"""),6.0)</f>
        <v>6</v>
      </c>
      <c r="D728" s="487"/>
      <c r="E728" s="486"/>
      <c r="F728" s="488"/>
      <c r="G728" s="472"/>
      <c r="H728" s="472"/>
      <c r="I728" s="472"/>
      <c r="J728" s="472"/>
      <c r="K728" s="472"/>
      <c r="L728" s="472"/>
      <c r="M728" s="472"/>
      <c r="N728" s="472"/>
      <c r="O728" s="472"/>
      <c r="P728" s="472"/>
      <c r="Q728" s="472"/>
      <c r="R728" s="472"/>
      <c r="S728" s="472"/>
      <c r="T728" s="472"/>
      <c r="U728" s="472"/>
      <c r="V728" s="472"/>
      <c r="W728" s="472"/>
      <c r="X728" s="472"/>
      <c r="Y728" s="472"/>
      <c r="Z728" s="472"/>
      <c r="AA728" s="472"/>
    </row>
    <row r="729" outlineLevel="1">
      <c r="A729" s="484">
        <f>IFERROR(__xludf.DUMMYFUNCTION("""COMPUTED_VALUE"""),5.36579091081E11)</f>
        <v>536579091081</v>
      </c>
      <c r="B729" s="485" t="str">
        <f>IFERROR(__xludf.DUMMYFUNCTION("""COMPUTED_VALUE"""),"ALISSAN KARINE LIMA MARTINS")</f>
        <v>ALISSAN KARINE LIMA MARTINS</v>
      </c>
      <c r="C729" s="486">
        <f>IFERROR(__xludf.DUMMYFUNCTION("""COMPUTED_VALUE"""),6.0)</f>
        <v>6</v>
      </c>
      <c r="D729" s="487"/>
      <c r="E729" s="486"/>
      <c r="F729" s="488"/>
      <c r="G729" s="472"/>
      <c r="H729" s="472"/>
      <c r="I729" s="472"/>
      <c r="J729" s="472"/>
      <c r="K729" s="472"/>
      <c r="L729" s="472"/>
      <c r="M729" s="472"/>
      <c r="N729" s="472"/>
      <c r="O729" s="472"/>
      <c r="P729" s="472"/>
      <c r="Q729" s="472"/>
      <c r="R729" s="472"/>
      <c r="S729" s="472"/>
      <c r="T729" s="472"/>
      <c r="U729" s="472"/>
      <c r="V729" s="472"/>
      <c r="W729" s="472"/>
      <c r="X729" s="472"/>
      <c r="Y729" s="472"/>
      <c r="Z729" s="472"/>
      <c r="AA729" s="472"/>
    </row>
    <row r="730">
      <c r="A730" s="478" t="str">
        <f>IFERROR(__xludf.DUMMYFUNCTION("""COMPUTED_VALUE"""),"IV - DOU - GESTÃO EM SAÚDE")</f>
        <v>IV - DOU - GESTÃO EM SAÚDE</v>
      </c>
      <c r="B730" s="479"/>
      <c r="C730" s="479"/>
      <c r="D730" s="479"/>
      <c r="E730" s="479"/>
      <c r="F730" s="480"/>
      <c r="G730" s="472"/>
      <c r="H730" s="472"/>
      <c r="I730" s="472"/>
      <c r="J730" s="472"/>
      <c r="K730" s="472"/>
      <c r="L730" s="472"/>
      <c r="M730" s="472"/>
      <c r="N730" s="472"/>
      <c r="O730" s="472"/>
      <c r="P730" s="472"/>
      <c r="Q730" s="472"/>
      <c r="R730" s="472"/>
      <c r="S730" s="472"/>
      <c r="T730" s="472"/>
      <c r="U730" s="472"/>
      <c r="V730" s="472"/>
      <c r="W730" s="472"/>
      <c r="X730" s="472"/>
      <c r="Y730" s="472"/>
      <c r="Z730" s="472"/>
      <c r="AA730" s="472"/>
    </row>
    <row r="731" outlineLevel="1">
      <c r="A731" s="481" t="str">
        <f>IFERROR(__xludf.DUMMYFUNCTION("""COMPUTED_VALUE"""),"INSCRIÇÃO")</f>
        <v>INSCRIÇÃO</v>
      </c>
      <c r="B731" s="482" t="str">
        <f>IFERROR(__xludf.DUMMYFUNCTION("""COMPUTED_VALUE"""),"CANDIDATOS")</f>
        <v>CANDIDATOS</v>
      </c>
      <c r="C731" s="481" t="str">
        <f>IFERROR(__xludf.DUMMYFUNCTION("""COMPUTED_VALUE"""),"NF")</f>
        <v>NF</v>
      </c>
      <c r="D731" s="483" t="str">
        <f>IFERROR(__xludf.DUMMYFUNCTION("""COMPUTED_VALUE"""),"CONVOCADO(A)")</f>
        <v>CONVOCADO(A)</v>
      </c>
      <c r="E731" s="483" t="str">
        <f>IFERROR(__xludf.DUMMYFUNCTION("""COMPUTED_VALUE"""),"HOMOLOGADO(A)")</f>
        <v>HOMOLOGADO(A)</v>
      </c>
      <c r="F731" s="483" t="str">
        <f>IFERROR(__xludf.DUMMYFUNCTION("""COMPUTED_VALUE"""),"GERÊNCIA")</f>
        <v>GERÊNCIA</v>
      </c>
      <c r="G731" s="472"/>
      <c r="H731" s="472"/>
      <c r="I731" s="472"/>
      <c r="J731" s="472"/>
      <c r="K731" s="472"/>
      <c r="L731" s="472"/>
      <c r="M731" s="472"/>
      <c r="N731" s="472"/>
      <c r="O731" s="472"/>
      <c r="P731" s="472"/>
      <c r="Q731" s="472"/>
      <c r="R731" s="472"/>
      <c r="S731" s="472"/>
      <c r="T731" s="472"/>
      <c r="U731" s="472"/>
      <c r="V731" s="472"/>
      <c r="W731" s="472"/>
      <c r="X731" s="472"/>
      <c r="Y731" s="472"/>
      <c r="Z731" s="472"/>
      <c r="AA731" s="472"/>
    </row>
    <row r="732" outlineLevel="1">
      <c r="A732" s="484">
        <f>IFERROR(__xludf.DUMMYFUNCTION("""COMPUTED_VALUE"""),1.59283091046E11)</f>
        <v>159283091046</v>
      </c>
      <c r="B732" s="485" t="str">
        <f>IFERROR(__xludf.DUMMYFUNCTION("""COMPUTED_VALUE"""),"RICARDO BURG CECCIM")</f>
        <v>RICARDO BURG CECCIM</v>
      </c>
      <c r="C732" s="486">
        <f>IFERROR(__xludf.DUMMYFUNCTION("""COMPUTED_VALUE"""),10.0)</f>
        <v>10</v>
      </c>
      <c r="D732" s="487" t="str">
        <f>IFERROR(__xludf.DUMMYFUNCTION("""COMPUTED_VALUE"""),"SIM")</f>
        <v>SIM</v>
      </c>
      <c r="E732" s="486" t="str">
        <f>IFERROR(__xludf.DUMMYFUNCTION("""COMPUTED_VALUE"""),"NÃO")</f>
        <v>NÃO</v>
      </c>
      <c r="F732" s="488" t="str">
        <f>IFERROR(__xludf.DUMMYFUNCTION("""COMPUTED_VALUE"""),"GEDUC")</f>
        <v>GEDUC</v>
      </c>
      <c r="G732" s="472"/>
      <c r="H732" s="472"/>
      <c r="I732" s="472"/>
      <c r="J732" s="472"/>
      <c r="K732" s="472"/>
      <c r="L732" s="472"/>
      <c r="M732" s="472"/>
      <c r="N732" s="472"/>
      <c r="O732" s="472"/>
      <c r="P732" s="472"/>
      <c r="Q732" s="472"/>
      <c r="R732" s="472"/>
      <c r="S732" s="472"/>
      <c r="T732" s="472"/>
      <c r="U732" s="472"/>
      <c r="V732" s="472"/>
      <c r="W732" s="472"/>
      <c r="X732" s="472"/>
      <c r="Y732" s="472"/>
      <c r="Z732" s="472"/>
      <c r="AA732" s="472"/>
    </row>
    <row r="733" outlineLevel="1">
      <c r="A733" s="484">
        <f>IFERROR(__xludf.DUMMYFUNCTION("""COMPUTED_VALUE"""),2.24854093485E11)</f>
        <v>224854093485</v>
      </c>
      <c r="B733" s="485" t="str">
        <f>IFERROR(__xludf.DUMMYFUNCTION("""COMPUTED_VALUE"""),"MARIA NIZETE TAVARES ALVES")</f>
        <v>MARIA NIZETE TAVARES ALVES</v>
      </c>
      <c r="C733" s="486">
        <f>IFERROR(__xludf.DUMMYFUNCTION("""COMPUTED_VALUE"""),10.0)</f>
        <v>10</v>
      </c>
      <c r="D733" s="487" t="str">
        <f>IFERROR(__xludf.DUMMYFUNCTION("""COMPUTED_VALUE"""),"SIM")</f>
        <v>SIM</v>
      </c>
      <c r="E733" s="486" t="str">
        <f>IFERROR(__xludf.DUMMYFUNCTION("""COMPUTED_VALUE"""),"SIM")</f>
        <v>SIM</v>
      </c>
      <c r="F733" s="488" t="str">
        <f>IFERROR(__xludf.DUMMYFUNCTION("""COMPUTED_VALUE"""),"GEDUC")</f>
        <v>GEDUC</v>
      </c>
      <c r="G733" s="472"/>
      <c r="H733" s="472"/>
      <c r="I733" s="472"/>
      <c r="J733" s="472"/>
      <c r="K733" s="472"/>
      <c r="L733" s="472"/>
      <c r="M733" s="472"/>
      <c r="N733" s="472"/>
      <c r="O733" s="472"/>
      <c r="P733" s="472"/>
      <c r="Q733" s="472"/>
      <c r="R733" s="472"/>
      <c r="S733" s="472"/>
      <c r="T733" s="472"/>
      <c r="U733" s="472"/>
      <c r="V733" s="472"/>
      <c r="W733" s="472"/>
      <c r="X733" s="472"/>
      <c r="Y733" s="472"/>
      <c r="Z733" s="472"/>
      <c r="AA733" s="472"/>
    </row>
    <row r="734" outlineLevel="1">
      <c r="A734" s="484">
        <f>IFERROR(__xludf.DUMMYFUNCTION("""COMPUTED_VALUE"""),2.25232089715E11)</f>
        <v>225232089715</v>
      </c>
      <c r="B734" s="485" t="str">
        <f>IFERROR(__xludf.DUMMYFUNCTION("""COMPUTED_VALUE"""),"ANA PAULA CAVALCANTE RAMALHO BRILHANTE")</f>
        <v>ANA PAULA CAVALCANTE RAMALHO BRILHANTE</v>
      </c>
      <c r="C734" s="486">
        <f>IFERROR(__xludf.DUMMYFUNCTION("""COMPUTED_VALUE"""),10.0)</f>
        <v>10</v>
      </c>
      <c r="D734" s="487" t="str">
        <f>IFERROR(__xludf.DUMMYFUNCTION("""COMPUTED_VALUE"""),"SIM")</f>
        <v>SIM</v>
      </c>
      <c r="E734" s="486" t="str">
        <f>IFERROR(__xludf.DUMMYFUNCTION("""COMPUTED_VALUE"""),"SIM")</f>
        <v>SIM</v>
      </c>
      <c r="F734" s="488" t="str">
        <f>IFERROR(__xludf.DUMMYFUNCTION("""COMPUTED_VALUE"""),"GEDUC")</f>
        <v>GEDUC</v>
      </c>
      <c r="G734" s="472"/>
      <c r="H734" s="472"/>
      <c r="I734" s="472"/>
      <c r="J734" s="472"/>
      <c r="K734" s="472"/>
      <c r="L734" s="472"/>
      <c r="M734" s="472"/>
      <c r="N734" s="472"/>
      <c r="O734" s="472"/>
      <c r="P734" s="472"/>
      <c r="Q734" s="472"/>
      <c r="R734" s="472"/>
      <c r="S734" s="472"/>
      <c r="T734" s="472"/>
      <c r="U734" s="472"/>
      <c r="V734" s="472"/>
      <c r="W734" s="472"/>
      <c r="X734" s="472"/>
      <c r="Y734" s="472"/>
      <c r="Z734" s="472"/>
      <c r="AA734" s="472"/>
    </row>
    <row r="735" outlineLevel="1">
      <c r="A735" s="484">
        <f>IFERROR(__xludf.DUMMYFUNCTION("""COMPUTED_VALUE"""),9.60634091948E11)</f>
        <v>960634091948</v>
      </c>
      <c r="B735" s="485" t="str">
        <f>IFERROR(__xludf.DUMMYFUNCTION("""COMPUTED_VALUE"""),"MARIA DO SOCORRO LITAIFF RODRIGUES DANTAS")</f>
        <v>MARIA DO SOCORRO LITAIFF RODRIGUES DANTAS</v>
      </c>
      <c r="C735" s="486">
        <f>IFERROR(__xludf.DUMMYFUNCTION("""COMPUTED_VALUE"""),10.0)</f>
        <v>10</v>
      </c>
      <c r="D735" s="487" t="str">
        <f>IFERROR(__xludf.DUMMYFUNCTION("""COMPUTED_VALUE"""),"SIM")</f>
        <v>SIM</v>
      </c>
      <c r="E735" s="486" t="str">
        <f>IFERROR(__xludf.DUMMYFUNCTION("""COMPUTED_VALUE"""),"SIM")</f>
        <v>SIM</v>
      </c>
      <c r="F735" s="488" t="str">
        <f>IFERROR(__xludf.DUMMYFUNCTION("""COMPUTED_VALUE"""),"GEDUC")</f>
        <v>GEDUC</v>
      </c>
      <c r="G735" s="472"/>
      <c r="H735" s="472"/>
      <c r="I735" s="472"/>
      <c r="J735" s="472"/>
      <c r="K735" s="472"/>
      <c r="L735" s="472"/>
      <c r="M735" s="472"/>
      <c r="N735" s="472"/>
      <c r="O735" s="472"/>
      <c r="P735" s="472"/>
      <c r="Q735" s="472"/>
      <c r="R735" s="472"/>
      <c r="S735" s="472"/>
      <c r="T735" s="472"/>
      <c r="U735" s="472"/>
      <c r="V735" s="472"/>
      <c r="W735" s="472"/>
      <c r="X735" s="472"/>
      <c r="Y735" s="472"/>
      <c r="Z735" s="472"/>
      <c r="AA735" s="472"/>
    </row>
    <row r="736" outlineLevel="1">
      <c r="A736" s="484">
        <f>IFERROR(__xludf.DUMMYFUNCTION("""COMPUTED_VALUE"""),4.13208088736E11)</f>
        <v>413208088736</v>
      </c>
      <c r="B736" s="485" t="str">
        <f>IFERROR(__xludf.DUMMYFUNCTION("""COMPUTED_VALUE"""),"CARLOS ANDRÉ MOURA ARRUDA")</f>
        <v>CARLOS ANDRÉ MOURA ARRUDA</v>
      </c>
      <c r="C736" s="486">
        <f>IFERROR(__xludf.DUMMYFUNCTION("""COMPUTED_VALUE"""),10.0)</f>
        <v>10</v>
      </c>
      <c r="D736" s="487" t="str">
        <f>IFERROR(__xludf.DUMMYFUNCTION("""COMPUTED_VALUE"""),"SIM")</f>
        <v>SIM</v>
      </c>
      <c r="E736" s="486" t="str">
        <f>IFERROR(__xludf.DUMMYFUNCTION("""COMPUTED_VALUE"""),"SIM")</f>
        <v>SIM</v>
      </c>
      <c r="F736" s="488" t="str">
        <f>IFERROR(__xludf.DUMMYFUNCTION("""COMPUTED_VALUE"""),"GEDUC")</f>
        <v>GEDUC</v>
      </c>
      <c r="G736" s="472"/>
      <c r="H736" s="472"/>
      <c r="I736" s="472"/>
      <c r="J736" s="472"/>
      <c r="K736" s="472"/>
      <c r="L736" s="472"/>
      <c r="M736" s="472"/>
      <c r="N736" s="472"/>
      <c r="O736" s="472"/>
      <c r="P736" s="472"/>
      <c r="Q736" s="472"/>
      <c r="R736" s="472"/>
      <c r="S736" s="472"/>
      <c r="T736" s="472"/>
      <c r="U736" s="472"/>
      <c r="V736" s="472"/>
      <c r="W736" s="472"/>
      <c r="X736" s="472"/>
      <c r="Y736" s="472"/>
      <c r="Z736" s="472"/>
      <c r="AA736" s="472"/>
    </row>
    <row r="737" outlineLevel="1">
      <c r="A737" s="484">
        <f>IFERROR(__xludf.DUMMYFUNCTION("""COMPUTED_VALUE"""),8.69816088489E11)</f>
        <v>869816088489</v>
      </c>
      <c r="B737" s="485" t="str">
        <f>IFERROR(__xludf.DUMMYFUNCTION("""COMPUTED_VALUE"""),"KELLYN KESSIENE DE SOUSA CAVALCANTE")</f>
        <v>KELLYN KESSIENE DE SOUSA CAVALCANTE</v>
      </c>
      <c r="C737" s="486">
        <f>IFERROR(__xludf.DUMMYFUNCTION("""COMPUTED_VALUE"""),10.0)</f>
        <v>10</v>
      </c>
      <c r="D737" s="487"/>
      <c r="E737" s="486"/>
      <c r="F737" s="488"/>
      <c r="G737" s="472"/>
      <c r="H737" s="472"/>
      <c r="I737" s="472"/>
      <c r="J737" s="472"/>
      <c r="K737" s="472"/>
      <c r="L737" s="472"/>
      <c r="M737" s="472"/>
      <c r="N737" s="472"/>
      <c r="O737" s="472"/>
      <c r="P737" s="472"/>
      <c r="Q737" s="472"/>
      <c r="R737" s="472"/>
      <c r="S737" s="472"/>
      <c r="T737" s="472"/>
      <c r="U737" s="472"/>
      <c r="V737" s="472"/>
      <c r="W737" s="472"/>
      <c r="X737" s="472"/>
      <c r="Y737" s="472"/>
      <c r="Z737" s="472"/>
      <c r="AA737" s="472"/>
    </row>
    <row r="738" outlineLevel="1">
      <c r="A738" s="484">
        <f>IFERROR(__xludf.DUMMYFUNCTION("""COMPUTED_VALUE"""),5.88802088712E11)</f>
        <v>588802088712</v>
      </c>
      <c r="B738" s="485" t="str">
        <f>IFERROR(__xludf.DUMMYFUNCTION("""COMPUTED_VALUE"""),"WELLINGTON SOUSA AGUIAR")</f>
        <v>WELLINGTON SOUSA AGUIAR</v>
      </c>
      <c r="C738" s="486">
        <f>IFERROR(__xludf.DUMMYFUNCTION("""COMPUTED_VALUE"""),9.5)</f>
        <v>9.5</v>
      </c>
      <c r="D738" s="487"/>
      <c r="E738" s="486"/>
      <c r="F738" s="488"/>
      <c r="G738" s="472"/>
      <c r="H738" s="472"/>
      <c r="I738" s="472"/>
      <c r="J738" s="472"/>
      <c r="K738" s="472"/>
      <c r="L738" s="472"/>
      <c r="M738" s="472"/>
      <c r="N738" s="472"/>
      <c r="O738" s="472"/>
      <c r="P738" s="472"/>
      <c r="Q738" s="472"/>
      <c r="R738" s="472"/>
      <c r="S738" s="472"/>
      <c r="T738" s="472"/>
      <c r="U738" s="472"/>
      <c r="V738" s="472"/>
      <c r="W738" s="472"/>
      <c r="X738" s="472"/>
      <c r="Y738" s="472"/>
      <c r="Z738" s="472"/>
      <c r="AA738" s="472"/>
    </row>
    <row r="739" outlineLevel="1">
      <c r="A739" s="484">
        <f>IFERROR(__xludf.DUMMYFUNCTION("""COMPUTED_VALUE"""),3.78135089583E11)</f>
        <v>378135089583</v>
      </c>
      <c r="B739" s="485" t="str">
        <f>IFERROR(__xludf.DUMMYFUNCTION("""COMPUTED_VALUE"""),"ALINE MARIA BARBOSA DOMÍCIO SOUSA")</f>
        <v>ALINE MARIA BARBOSA DOMÍCIO SOUSA</v>
      </c>
      <c r="C739" s="486">
        <f>IFERROR(__xludf.DUMMYFUNCTION("""COMPUTED_VALUE"""),9.5)</f>
        <v>9.5</v>
      </c>
      <c r="D739" s="487"/>
      <c r="E739" s="486"/>
      <c r="F739" s="488"/>
      <c r="G739" s="472"/>
      <c r="H739" s="472"/>
      <c r="I739" s="472"/>
      <c r="J739" s="472"/>
      <c r="K739" s="472"/>
      <c r="L739" s="472"/>
      <c r="M739" s="472"/>
      <c r="N739" s="472"/>
      <c r="O739" s="472"/>
      <c r="P739" s="472"/>
      <c r="Q739" s="472"/>
      <c r="R739" s="472"/>
      <c r="S739" s="472"/>
      <c r="T739" s="472"/>
      <c r="U739" s="472"/>
      <c r="V739" s="472"/>
      <c r="W739" s="472"/>
      <c r="X739" s="472"/>
      <c r="Y739" s="472"/>
      <c r="Z739" s="472"/>
      <c r="AA739" s="472"/>
    </row>
    <row r="740" outlineLevel="1">
      <c r="A740" s="484">
        <f>IFERROR(__xludf.DUMMYFUNCTION("""COMPUTED_VALUE"""),7.55819091687E11)</f>
        <v>755819091687</v>
      </c>
      <c r="B740" s="485" t="str">
        <f>IFERROR(__xludf.DUMMYFUNCTION("""COMPUTED_VALUE"""),"JULIANA ALENCAR MOREIRA BORGES")</f>
        <v>JULIANA ALENCAR MOREIRA BORGES</v>
      </c>
      <c r="C740" s="486">
        <f>IFERROR(__xludf.DUMMYFUNCTION("""COMPUTED_VALUE"""),9.5)</f>
        <v>9.5</v>
      </c>
      <c r="D740" s="487"/>
      <c r="E740" s="486"/>
      <c r="F740" s="488"/>
      <c r="G740" s="472"/>
      <c r="H740" s="472"/>
      <c r="I740" s="472"/>
      <c r="J740" s="472"/>
      <c r="K740" s="472"/>
      <c r="L740" s="472"/>
      <c r="M740" s="472"/>
      <c r="N740" s="472"/>
      <c r="O740" s="472"/>
      <c r="P740" s="472"/>
      <c r="Q740" s="472"/>
      <c r="R740" s="472"/>
      <c r="S740" s="472"/>
      <c r="T740" s="472"/>
      <c r="U740" s="472"/>
      <c r="V740" s="472"/>
      <c r="W740" s="472"/>
      <c r="X740" s="472"/>
      <c r="Y740" s="472"/>
      <c r="Z740" s="472"/>
      <c r="AA740" s="472"/>
    </row>
    <row r="741" outlineLevel="1">
      <c r="A741" s="484">
        <f>IFERROR(__xludf.DUMMYFUNCTION("""COMPUTED_VALUE"""),6.55579093047E11)</f>
        <v>655579093047</v>
      </c>
      <c r="B741" s="485" t="str">
        <f>IFERROR(__xludf.DUMMYFUNCTION("""COMPUTED_VALUE"""),"SONIA SAMARA FONSECA DE MORAIS")</f>
        <v>SONIA SAMARA FONSECA DE MORAIS</v>
      </c>
      <c r="C741" s="486">
        <f>IFERROR(__xludf.DUMMYFUNCTION("""COMPUTED_VALUE"""),9.5)</f>
        <v>9.5</v>
      </c>
      <c r="D741" s="487"/>
      <c r="E741" s="486"/>
      <c r="F741" s="488"/>
      <c r="G741" s="472"/>
      <c r="H741" s="472"/>
      <c r="I741" s="472"/>
      <c r="J741" s="472"/>
      <c r="K741" s="472"/>
      <c r="L741" s="472"/>
      <c r="M741" s="472"/>
      <c r="N741" s="472"/>
      <c r="O741" s="472"/>
      <c r="P741" s="472"/>
      <c r="Q741" s="472"/>
      <c r="R741" s="472"/>
      <c r="S741" s="472"/>
      <c r="T741" s="472"/>
      <c r="U741" s="472"/>
      <c r="V741" s="472"/>
      <c r="W741" s="472"/>
      <c r="X741" s="472"/>
      <c r="Y741" s="472"/>
      <c r="Z741" s="472"/>
      <c r="AA741" s="472"/>
    </row>
    <row r="742" outlineLevel="1">
      <c r="A742" s="484">
        <f>IFERROR(__xludf.DUMMYFUNCTION("""COMPUTED_VALUE"""),2.72063090596E11)</f>
        <v>272063090596</v>
      </c>
      <c r="B742" s="485" t="str">
        <f>IFERROR(__xludf.DUMMYFUNCTION("""COMPUTED_VALUE"""),"MARIA DE FÁTIMA VASQUES MONTEIRO")</f>
        <v>MARIA DE FÁTIMA VASQUES MONTEIRO</v>
      </c>
      <c r="C742" s="486">
        <f>IFERROR(__xludf.DUMMYFUNCTION("""COMPUTED_VALUE"""),9.0)</f>
        <v>9</v>
      </c>
      <c r="D742" s="487"/>
      <c r="E742" s="486"/>
      <c r="F742" s="488"/>
      <c r="G742" s="472"/>
      <c r="H742" s="472"/>
      <c r="I742" s="472"/>
      <c r="J742" s="472"/>
      <c r="K742" s="472"/>
      <c r="L742" s="472"/>
      <c r="M742" s="472"/>
      <c r="N742" s="472"/>
      <c r="O742" s="472"/>
      <c r="P742" s="472"/>
      <c r="Q742" s="472"/>
      <c r="R742" s="472"/>
      <c r="S742" s="472"/>
      <c r="T742" s="472"/>
      <c r="U742" s="472"/>
      <c r="V742" s="472"/>
      <c r="W742" s="472"/>
      <c r="X742" s="472"/>
      <c r="Y742" s="472"/>
      <c r="Z742" s="472"/>
      <c r="AA742" s="472"/>
    </row>
    <row r="743" outlineLevel="1">
      <c r="A743" s="484">
        <f>IFERROR(__xludf.DUMMYFUNCTION("""COMPUTED_VALUE"""),8.08514088443E11)</f>
        <v>808514088443</v>
      </c>
      <c r="B743" s="485" t="str">
        <f>IFERROR(__xludf.DUMMYFUNCTION("""COMPUTED_VALUE"""),"EMYLIO CÉSAR SANTOS DA SILVA")</f>
        <v>EMYLIO CÉSAR SANTOS DA SILVA</v>
      </c>
      <c r="C743" s="486">
        <f>IFERROR(__xludf.DUMMYFUNCTION("""COMPUTED_VALUE"""),9.0)</f>
        <v>9</v>
      </c>
      <c r="D743" s="487"/>
      <c r="E743" s="486"/>
      <c r="F743" s="488"/>
      <c r="G743" s="472"/>
      <c r="H743" s="472"/>
      <c r="I743" s="472"/>
      <c r="J743" s="472"/>
      <c r="K743" s="472"/>
      <c r="L743" s="472"/>
      <c r="M743" s="472"/>
      <c r="N743" s="472"/>
      <c r="O743" s="472"/>
      <c r="P743" s="472"/>
      <c r="Q743" s="472"/>
      <c r="R743" s="472"/>
      <c r="S743" s="472"/>
      <c r="T743" s="472"/>
      <c r="U743" s="472"/>
      <c r="V743" s="472"/>
      <c r="W743" s="472"/>
      <c r="X743" s="472"/>
      <c r="Y743" s="472"/>
      <c r="Z743" s="472"/>
      <c r="AA743" s="472"/>
    </row>
    <row r="744" outlineLevel="1">
      <c r="A744" s="484">
        <f>IFERROR(__xludf.DUMMYFUNCTION("""COMPUTED_VALUE"""),6.53077092287E11)</f>
        <v>653077092287</v>
      </c>
      <c r="B744" s="485" t="str">
        <f>IFERROR(__xludf.DUMMYFUNCTION("""COMPUTED_VALUE"""),"ANA PATRÍCIA OLIVEIRA MOURA LIMA")</f>
        <v>ANA PATRÍCIA OLIVEIRA MOURA LIMA</v>
      </c>
      <c r="C744" s="486">
        <f>IFERROR(__xludf.DUMMYFUNCTION("""COMPUTED_VALUE"""),9.0)</f>
        <v>9</v>
      </c>
      <c r="D744" s="487"/>
      <c r="E744" s="486"/>
      <c r="F744" s="488"/>
      <c r="G744" s="472"/>
      <c r="H744" s="472"/>
      <c r="I744" s="472"/>
      <c r="J744" s="472"/>
      <c r="K744" s="472"/>
      <c r="L744" s="472"/>
      <c r="M744" s="472"/>
      <c r="N744" s="472"/>
      <c r="O744" s="472"/>
      <c r="P744" s="472"/>
      <c r="Q744" s="472"/>
      <c r="R744" s="472"/>
      <c r="S744" s="472"/>
      <c r="T744" s="472"/>
      <c r="U744" s="472"/>
      <c r="V744" s="472"/>
      <c r="W744" s="472"/>
      <c r="X744" s="472"/>
      <c r="Y744" s="472"/>
      <c r="Z744" s="472"/>
      <c r="AA744" s="472"/>
    </row>
    <row r="745" outlineLevel="1">
      <c r="A745" s="484">
        <f>IFERROR(__xludf.DUMMYFUNCTION("""COMPUTED_VALUE"""),5.80749092673E11)</f>
        <v>580749092673</v>
      </c>
      <c r="B745" s="485" t="str">
        <f>IFERROR(__xludf.DUMMYFUNCTION("""COMPUTED_VALUE"""),"ANTONIO RODRIGUES FERREIRA JUNIOR")</f>
        <v>ANTONIO RODRIGUES FERREIRA JUNIOR</v>
      </c>
      <c r="C745" s="486">
        <f>IFERROR(__xludf.DUMMYFUNCTION("""COMPUTED_VALUE"""),9.0)</f>
        <v>9</v>
      </c>
      <c r="D745" s="487"/>
      <c r="E745" s="486"/>
      <c r="F745" s="488"/>
      <c r="G745" s="472"/>
      <c r="H745" s="472"/>
      <c r="I745" s="472"/>
      <c r="J745" s="472"/>
      <c r="K745" s="472"/>
      <c r="L745" s="472"/>
      <c r="M745" s="472"/>
      <c r="N745" s="472"/>
      <c r="O745" s="472"/>
      <c r="P745" s="472"/>
      <c r="Q745" s="472"/>
      <c r="R745" s="472"/>
      <c r="S745" s="472"/>
      <c r="T745" s="472"/>
      <c r="U745" s="472"/>
      <c r="V745" s="472"/>
      <c r="W745" s="472"/>
      <c r="X745" s="472"/>
      <c r="Y745" s="472"/>
      <c r="Z745" s="472"/>
      <c r="AA745" s="472"/>
    </row>
    <row r="746" outlineLevel="1">
      <c r="A746" s="484">
        <f>IFERROR(__xludf.DUMMYFUNCTION("""COMPUTED_VALUE"""),1.49010088741E11)</f>
        <v>149010088741</v>
      </c>
      <c r="B746" s="485" t="str">
        <f>IFERROR(__xludf.DUMMYFUNCTION("""COMPUTED_VALUE"""),"ISABELLA COSTA MARTINS")</f>
        <v>ISABELLA COSTA MARTINS</v>
      </c>
      <c r="C746" s="486">
        <f>IFERROR(__xludf.DUMMYFUNCTION("""COMPUTED_VALUE"""),9.0)</f>
        <v>9</v>
      </c>
      <c r="D746" s="487"/>
      <c r="E746" s="486"/>
      <c r="F746" s="488"/>
      <c r="G746" s="472"/>
      <c r="H746" s="472"/>
      <c r="I746" s="472"/>
      <c r="J746" s="472"/>
      <c r="K746" s="472"/>
      <c r="L746" s="472"/>
      <c r="M746" s="472"/>
      <c r="N746" s="472"/>
      <c r="O746" s="472"/>
      <c r="P746" s="472"/>
      <c r="Q746" s="472"/>
      <c r="R746" s="472"/>
      <c r="S746" s="472"/>
      <c r="T746" s="472"/>
      <c r="U746" s="472"/>
      <c r="V746" s="472"/>
      <c r="W746" s="472"/>
      <c r="X746" s="472"/>
      <c r="Y746" s="472"/>
      <c r="Z746" s="472"/>
      <c r="AA746" s="472"/>
    </row>
    <row r="747" outlineLevel="1">
      <c r="A747" s="494">
        <f>IFERROR(__xludf.DUMMYFUNCTION("""COMPUTED_VALUE"""),8.501708927E10)</f>
        <v>85017089270</v>
      </c>
      <c r="B747" s="485" t="str">
        <f>IFERROR(__xludf.DUMMYFUNCTION("""COMPUTED_VALUE"""),"JANE CRIS DE LIMA CUNHA")</f>
        <v>JANE CRIS DE LIMA CUNHA</v>
      </c>
      <c r="C747" s="486">
        <f>IFERROR(__xludf.DUMMYFUNCTION("""COMPUTED_VALUE"""),8.5)</f>
        <v>8.5</v>
      </c>
      <c r="D747" s="487"/>
      <c r="E747" s="486"/>
      <c r="F747" s="488"/>
      <c r="G747" s="472"/>
      <c r="H747" s="472"/>
      <c r="I747" s="472"/>
      <c r="J747" s="472"/>
      <c r="K747" s="472"/>
      <c r="L747" s="472"/>
      <c r="M747" s="472"/>
      <c r="N747" s="472"/>
      <c r="O747" s="472"/>
      <c r="P747" s="472"/>
      <c r="Q747" s="472"/>
      <c r="R747" s="472"/>
      <c r="S747" s="472"/>
      <c r="T747" s="472"/>
      <c r="U747" s="472"/>
      <c r="V747" s="472"/>
      <c r="W747" s="472"/>
      <c r="X747" s="472"/>
      <c r="Y747" s="472"/>
      <c r="Z747" s="472"/>
      <c r="AA747" s="472"/>
    </row>
    <row r="748" outlineLevel="1">
      <c r="A748" s="484">
        <f>IFERROR(__xludf.DUMMYFUNCTION("""COMPUTED_VALUE"""),1.33238088853E11)</f>
        <v>133238088853</v>
      </c>
      <c r="B748" s="485" t="str">
        <f>IFERROR(__xludf.DUMMYFUNCTION("""COMPUTED_VALUE"""),"MAXMIRIA HOLANDA BATISTA")</f>
        <v>MAXMIRIA HOLANDA BATISTA</v>
      </c>
      <c r="C748" s="486">
        <f>IFERROR(__xludf.DUMMYFUNCTION("""COMPUTED_VALUE"""),8.5)</f>
        <v>8.5</v>
      </c>
      <c r="D748" s="487"/>
      <c r="E748" s="486"/>
      <c r="F748" s="488"/>
      <c r="G748" s="472"/>
      <c r="H748" s="472"/>
      <c r="I748" s="472"/>
      <c r="J748" s="472"/>
      <c r="K748" s="472"/>
      <c r="L748" s="472"/>
      <c r="M748" s="472"/>
      <c r="N748" s="472"/>
      <c r="O748" s="472"/>
      <c r="P748" s="472"/>
      <c r="Q748" s="472"/>
      <c r="R748" s="472"/>
      <c r="S748" s="472"/>
      <c r="T748" s="472"/>
      <c r="U748" s="472"/>
      <c r="V748" s="472"/>
      <c r="W748" s="472"/>
      <c r="X748" s="472"/>
      <c r="Y748" s="472"/>
      <c r="Z748" s="472"/>
      <c r="AA748" s="472"/>
    </row>
    <row r="749" outlineLevel="1">
      <c r="A749" s="484">
        <f>IFERROR(__xludf.DUMMYFUNCTION("""COMPUTED_VALUE"""),8.0909309119E11)</f>
        <v>809093091190</v>
      </c>
      <c r="B749" s="485" t="str">
        <f>IFERROR(__xludf.DUMMYFUNCTION("""COMPUTED_VALUE"""),"ALEXANDRE SEMERARO DE ALCÂNTARA NOGUEIRA")</f>
        <v>ALEXANDRE SEMERARO DE ALCÂNTARA NOGUEIRA</v>
      </c>
      <c r="C749" s="486">
        <f>IFERROR(__xludf.DUMMYFUNCTION("""COMPUTED_VALUE"""),8.0)</f>
        <v>8</v>
      </c>
      <c r="D749" s="487"/>
      <c r="E749" s="486"/>
      <c r="F749" s="488"/>
      <c r="G749" s="472"/>
      <c r="H749" s="472"/>
      <c r="I749" s="472"/>
      <c r="J749" s="472"/>
      <c r="K749" s="472"/>
      <c r="L749" s="472"/>
      <c r="M749" s="472"/>
      <c r="N749" s="472"/>
      <c r="O749" s="472"/>
      <c r="P749" s="472"/>
      <c r="Q749" s="472"/>
      <c r="R749" s="472"/>
      <c r="S749" s="472"/>
      <c r="T749" s="472"/>
      <c r="U749" s="472"/>
      <c r="V749" s="472"/>
      <c r="W749" s="472"/>
      <c r="X749" s="472"/>
      <c r="Y749" s="472"/>
      <c r="Z749" s="472"/>
      <c r="AA749" s="472"/>
    </row>
    <row r="750" outlineLevel="1">
      <c r="A750" s="484">
        <f>IFERROR(__xludf.DUMMYFUNCTION("""COMPUTED_VALUE"""),6.40358088789E11)</f>
        <v>640358088789</v>
      </c>
      <c r="B750" s="485" t="str">
        <f>IFERROR(__xludf.DUMMYFUNCTION("""COMPUTED_VALUE"""),"MARIA HELANE ROCHA BATISTA GONÇALVES")</f>
        <v>MARIA HELANE ROCHA BATISTA GONÇALVES</v>
      </c>
      <c r="C750" s="486">
        <f>IFERROR(__xludf.DUMMYFUNCTION("""COMPUTED_VALUE"""),7.5)</f>
        <v>7.5</v>
      </c>
      <c r="D750" s="487"/>
      <c r="E750" s="486"/>
      <c r="F750" s="488"/>
      <c r="G750" s="472"/>
      <c r="H750" s="472"/>
      <c r="I750" s="472"/>
      <c r="J750" s="472"/>
      <c r="K750" s="472"/>
      <c r="L750" s="472"/>
      <c r="M750" s="472"/>
      <c r="N750" s="472"/>
      <c r="O750" s="472"/>
      <c r="P750" s="472"/>
      <c r="Q750" s="472"/>
      <c r="R750" s="472"/>
      <c r="S750" s="472"/>
      <c r="T750" s="472"/>
      <c r="U750" s="472"/>
      <c r="V750" s="472"/>
      <c r="W750" s="472"/>
      <c r="X750" s="472"/>
      <c r="Y750" s="472"/>
      <c r="Z750" s="472"/>
      <c r="AA750" s="472"/>
    </row>
    <row r="751" outlineLevel="1">
      <c r="A751" s="494">
        <f>IFERROR(__xludf.DUMMYFUNCTION("""COMPUTED_VALUE"""),3.8005089934E10)</f>
        <v>38005089934</v>
      </c>
      <c r="B751" s="485" t="str">
        <f>IFERROR(__xludf.DUMMYFUNCTION("""COMPUTED_VALUE"""),"JÔNIA CYBELE SANTOS LIMA")</f>
        <v>JÔNIA CYBELE SANTOS LIMA</v>
      </c>
      <c r="C751" s="486">
        <f>IFERROR(__xludf.DUMMYFUNCTION("""COMPUTED_VALUE"""),7.0)</f>
        <v>7</v>
      </c>
      <c r="D751" s="487"/>
      <c r="E751" s="486"/>
      <c r="F751" s="488"/>
      <c r="G751" s="472"/>
      <c r="H751" s="472"/>
      <c r="I751" s="472"/>
      <c r="J751" s="472"/>
      <c r="K751" s="472"/>
      <c r="L751" s="472"/>
      <c r="M751" s="472"/>
      <c r="N751" s="472"/>
      <c r="O751" s="472"/>
      <c r="P751" s="472"/>
      <c r="Q751" s="472"/>
      <c r="R751" s="472"/>
      <c r="S751" s="472"/>
      <c r="T751" s="472"/>
      <c r="U751" s="472"/>
      <c r="V751" s="472"/>
      <c r="W751" s="472"/>
      <c r="X751" s="472"/>
      <c r="Y751" s="472"/>
      <c r="Z751" s="472"/>
      <c r="AA751" s="472"/>
    </row>
    <row r="752" outlineLevel="1">
      <c r="A752" s="484">
        <f>IFERROR(__xludf.DUMMYFUNCTION("""COMPUTED_VALUE"""),8.39592090373E11)</f>
        <v>839592090373</v>
      </c>
      <c r="B752" s="485" t="str">
        <f>IFERROR(__xludf.DUMMYFUNCTION("""COMPUTED_VALUE"""),"MARIA SÔNIA LIMA NOGUEIRA")</f>
        <v>MARIA SÔNIA LIMA NOGUEIRA</v>
      </c>
      <c r="C752" s="486">
        <f>IFERROR(__xludf.DUMMYFUNCTION("""COMPUTED_VALUE"""),6.0)</f>
        <v>6</v>
      </c>
      <c r="D752" s="487"/>
      <c r="E752" s="486"/>
      <c r="F752" s="488"/>
      <c r="G752" s="472"/>
      <c r="H752" s="472"/>
      <c r="I752" s="472"/>
      <c r="J752" s="472"/>
      <c r="K752" s="472"/>
      <c r="L752" s="472"/>
      <c r="M752" s="472"/>
      <c r="N752" s="472"/>
      <c r="O752" s="472"/>
      <c r="P752" s="472"/>
      <c r="Q752" s="472"/>
      <c r="R752" s="472"/>
      <c r="S752" s="472"/>
      <c r="T752" s="472"/>
      <c r="U752" s="472"/>
      <c r="V752" s="472"/>
      <c r="W752" s="472"/>
      <c r="X752" s="472"/>
      <c r="Y752" s="472"/>
      <c r="Z752" s="472"/>
      <c r="AA752" s="472"/>
    </row>
    <row r="753" outlineLevel="1">
      <c r="A753" s="484">
        <f>IFERROR(__xludf.DUMMYFUNCTION("""COMPUTED_VALUE"""),1.22647093129E11)</f>
        <v>122647093129</v>
      </c>
      <c r="B753" s="485" t="str">
        <f>IFERROR(__xludf.DUMMYFUNCTION("""COMPUTED_VALUE"""),"HELENIRA FONSECA DE ALENCAR")</f>
        <v>HELENIRA FONSECA DE ALENCAR</v>
      </c>
      <c r="C753" s="486">
        <f>IFERROR(__xludf.DUMMYFUNCTION("""COMPUTED_VALUE"""),6.0)</f>
        <v>6</v>
      </c>
      <c r="D753" s="487"/>
      <c r="E753" s="486"/>
      <c r="F753" s="488"/>
      <c r="G753" s="472"/>
      <c r="H753" s="472"/>
      <c r="I753" s="472"/>
      <c r="J753" s="472"/>
      <c r="K753" s="472"/>
      <c r="L753" s="472"/>
      <c r="M753" s="472"/>
      <c r="N753" s="472"/>
      <c r="O753" s="472"/>
      <c r="P753" s="472"/>
      <c r="Q753" s="472"/>
      <c r="R753" s="472"/>
      <c r="S753" s="472"/>
      <c r="T753" s="472"/>
      <c r="U753" s="472"/>
      <c r="V753" s="472"/>
      <c r="W753" s="472"/>
      <c r="X753" s="472"/>
      <c r="Y753" s="472"/>
      <c r="Z753" s="472"/>
      <c r="AA753" s="472"/>
    </row>
    <row r="754" outlineLevel="1">
      <c r="A754" s="484">
        <f>IFERROR(__xludf.DUMMYFUNCTION("""COMPUTED_VALUE"""),5.88420092067E11)</f>
        <v>588420092067</v>
      </c>
      <c r="B754" s="485" t="str">
        <f>IFERROR(__xludf.DUMMYFUNCTION("""COMPUTED_VALUE"""),"COSMO HELDER FERREIRA DA SILVA")</f>
        <v>COSMO HELDER FERREIRA DA SILVA</v>
      </c>
      <c r="C754" s="486">
        <f>IFERROR(__xludf.DUMMYFUNCTION("""COMPUTED_VALUE"""),6.0)</f>
        <v>6</v>
      </c>
      <c r="D754" s="487"/>
      <c r="E754" s="486"/>
      <c r="F754" s="488"/>
      <c r="G754" s="472"/>
      <c r="H754" s="472"/>
      <c r="I754" s="472"/>
      <c r="J754" s="472"/>
      <c r="K754" s="472"/>
      <c r="L754" s="472"/>
      <c r="M754" s="472"/>
      <c r="N754" s="472"/>
      <c r="O754" s="472"/>
      <c r="P754" s="472"/>
      <c r="Q754" s="472"/>
      <c r="R754" s="472"/>
      <c r="S754" s="472"/>
      <c r="T754" s="472"/>
      <c r="U754" s="472"/>
      <c r="V754" s="472"/>
      <c r="W754" s="472"/>
      <c r="X754" s="472"/>
      <c r="Y754" s="472"/>
      <c r="Z754" s="472"/>
      <c r="AA754" s="472"/>
    </row>
    <row r="755" outlineLevel="1">
      <c r="A755" s="484">
        <f>IFERROR(__xludf.DUMMYFUNCTION("""COMPUTED_VALUE"""),4.34240092437E11)</f>
        <v>434240092437</v>
      </c>
      <c r="B755" s="485" t="str">
        <f>IFERROR(__xludf.DUMMYFUNCTION("""COMPUTED_VALUE"""),"IGOR CORDEIRO MENDES")</f>
        <v>IGOR CORDEIRO MENDES</v>
      </c>
      <c r="C755" s="486">
        <f>IFERROR(__xludf.DUMMYFUNCTION("""COMPUTED_VALUE"""),6.0)</f>
        <v>6</v>
      </c>
      <c r="D755" s="487"/>
      <c r="E755" s="486"/>
      <c r="F755" s="488"/>
      <c r="G755" s="472"/>
      <c r="H755" s="472"/>
      <c r="I755" s="472"/>
      <c r="J755" s="472"/>
      <c r="K755" s="472"/>
      <c r="L755" s="472"/>
      <c r="M755" s="472"/>
      <c r="N755" s="472"/>
      <c r="O755" s="472"/>
      <c r="P755" s="472"/>
      <c r="Q755" s="472"/>
      <c r="R755" s="472"/>
      <c r="S755" s="472"/>
      <c r="T755" s="472"/>
      <c r="U755" s="472"/>
      <c r="V755" s="472"/>
      <c r="W755" s="472"/>
      <c r="X755" s="472"/>
      <c r="Y755" s="472"/>
      <c r="Z755" s="472"/>
      <c r="AA755" s="472"/>
    </row>
    <row r="756">
      <c r="A756" s="478" t="str">
        <f>IFERROR(__xludf.DUMMYFUNCTION("""COMPUTED_VALUE"""),"V - DOU - REGULAÇÃO EM SAÚDE")</f>
        <v>V - DOU - REGULAÇÃO EM SAÚDE</v>
      </c>
      <c r="B756" s="479"/>
      <c r="C756" s="479"/>
      <c r="D756" s="479"/>
      <c r="E756" s="479"/>
      <c r="F756" s="480"/>
      <c r="G756" s="472"/>
      <c r="H756" s="472"/>
      <c r="I756" s="472"/>
      <c r="J756" s="472"/>
      <c r="K756" s="472"/>
      <c r="L756" s="472"/>
      <c r="M756" s="472"/>
      <c r="N756" s="472"/>
      <c r="O756" s="472"/>
      <c r="P756" s="472"/>
      <c r="Q756" s="472"/>
      <c r="R756" s="472"/>
      <c r="S756" s="472"/>
      <c r="T756" s="472"/>
      <c r="U756" s="472"/>
      <c r="V756" s="472"/>
      <c r="W756" s="472"/>
      <c r="X756" s="472"/>
      <c r="Y756" s="472"/>
      <c r="Z756" s="472"/>
      <c r="AA756" s="472"/>
    </row>
    <row r="757" outlineLevel="1">
      <c r="A757" s="481" t="str">
        <f>IFERROR(__xludf.DUMMYFUNCTION("""COMPUTED_VALUE"""),"INSCRIÇÃO")</f>
        <v>INSCRIÇÃO</v>
      </c>
      <c r="B757" s="482" t="str">
        <f>IFERROR(__xludf.DUMMYFUNCTION("""COMPUTED_VALUE"""),"CANDIDATOS")</f>
        <v>CANDIDATOS</v>
      </c>
      <c r="C757" s="481" t="str">
        <f>IFERROR(__xludf.DUMMYFUNCTION("""COMPUTED_VALUE"""),"NF")</f>
        <v>NF</v>
      </c>
      <c r="D757" s="483" t="str">
        <f>IFERROR(__xludf.DUMMYFUNCTION("""COMPUTED_VALUE"""),"CONVOCADO(A)")</f>
        <v>CONVOCADO(A)</v>
      </c>
      <c r="E757" s="483" t="str">
        <f>IFERROR(__xludf.DUMMYFUNCTION("""COMPUTED_VALUE"""),"HOMOLOGADO(A)")</f>
        <v>HOMOLOGADO(A)</v>
      </c>
      <c r="F757" s="483" t="str">
        <f>IFERROR(__xludf.DUMMYFUNCTION("""COMPUTED_VALUE"""),"GERÊNCIA")</f>
        <v>GERÊNCIA</v>
      </c>
      <c r="G757" s="472"/>
      <c r="H757" s="472"/>
      <c r="I757" s="472"/>
      <c r="J757" s="472"/>
      <c r="K757" s="472"/>
      <c r="L757" s="472"/>
      <c r="M757" s="472"/>
      <c r="N757" s="472"/>
      <c r="O757" s="472"/>
      <c r="P757" s="472"/>
      <c r="Q757" s="472"/>
      <c r="R757" s="472"/>
      <c r="S757" s="472"/>
      <c r="T757" s="472"/>
      <c r="U757" s="472"/>
      <c r="V757" s="472"/>
      <c r="W757" s="472"/>
      <c r="X757" s="472"/>
      <c r="Y757" s="472"/>
      <c r="Z757" s="472"/>
      <c r="AA757" s="472"/>
    </row>
    <row r="758" outlineLevel="1">
      <c r="A758" s="484">
        <f>IFERROR(__xludf.DUMMYFUNCTION("""COMPUTED_VALUE"""),2.72063090597E11)</f>
        <v>272063090597</v>
      </c>
      <c r="B758" s="485" t="str">
        <f>IFERROR(__xludf.DUMMYFUNCTION("""COMPUTED_VALUE"""),"MARIA DE FÁTIMA VASQUES MONTEIRO")</f>
        <v>MARIA DE FÁTIMA VASQUES MONTEIRO</v>
      </c>
      <c r="C758" s="486">
        <f>IFERROR(__xludf.DUMMYFUNCTION("""COMPUTED_VALUE"""),9.0)</f>
        <v>9</v>
      </c>
      <c r="D758" s="487"/>
      <c r="E758" s="486"/>
      <c r="F758" s="488"/>
      <c r="G758" s="472"/>
      <c r="H758" s="472"/>
      <c r="I758" s="472"/>
      <c r="J758" s="472"/>
      <c r="K758" s="472"/>
      <c r="L758" s="472"/>
      <c r="M758" s="472"/>
      <c r="N758" s="472"/>
      <c r="O758" s="472"/>
      <c r="P758" s="472"/>
      <c r="Q758" s="472"/>
      <c r="R758" s="472"/>
      <c r="S758" s="472"/>
      <c r="T758" s="472"/>
      <c r="U758" s="472"/>
      <c r="V758" s="472"/>
      <c r="W758" s="472"/>
      <c r="X758" s="472"/>
      <c r="Y758" s="472"/>
      <c r="Z758" s="472"/>
      <c r="AA758" s="472"/>
    </row>
    <row r="759" outlineLevel="1">
      <c r="A759" s="484">
        <f>IFERROR(__xludf.DUMMYFUNCTION("""COMPUTED_VALUE"""),5.80749092674E11)</f>
        <v>580749092674</v>
      </c>
      <c r="B759" s="485" t="str">
        <f>IFERROR(__xludf.DUMMYFUNCTION("""COMPUTED_VALUE"""),"ANTONIO RODRIGUES FERREIRA JUNIOR")</f>
        <v>ANTONIO RODRIGUES FERREIRA JUNIOR</v>
      </c>
      <c r="C759" s="486">
        <f>IFERROR(__xludf.DUMMYFUNCTION("""COMPUTED_VALUE"""),9.0)</f>
        <v>9</v>
      </c>
      <c r="D759" s="487"/>
      <c r="E759" s="486"/>
      <c r="F759" s="488"/>
      <c r="G759" s="472"/>
      <c r="H759" s="472"/>
      <c r="I759" s="472"/>
      <c r="J759" s="472"/>
      <c r="K759" s="472"/>
      <c r="L759" s="472"/>
      <c r="M759" s="472"/>
      <c r="N759" s="472"/>
      <c r="O759" s="472"/>
      <c r="P759" s="472"/>
      <c r="Q759" s="472"/>
      <c r="R759" s="472"/>
      <c r="S759" s="472"/>
      <c r="T759" s="472"/>
      <c r="U759" s="472"/>
      <c r="V759" s="472"/>
      <c r="W759" s="472"/>
      <c r="X759" s="472"/>
      <c r="Y759" s="472"/>
      <c r="Z759" s="472"/>
      <c r="AA759" s="472"/>
    </row>
    <row r="760" outlineLevel="1">
      <c r="A760" s="484">
        <f>IFERROR(__xludf.DUMMYFUNCTION("""COMPUTED_VALUE"""),4.74619091712E11)</f>
        <v>474619091712</v>
      </c>
      <c r="B760" s="485" t="str">
        <f>IFERROR(__xludf.DUMMYFUNCTION("""COMPUTED_VALUE"""),"PATRICIA MARIA COSTA DE OLIVEIRA SOUSA")</f>
        <v>PATRICIA MARIA COSTA DE OLIVEIRA SOUSA</v>
      </c>
      <c r="C760" s="486">
        <f>IFERROR(__xludf.DUMMYFUNCTION("""COMPUTED_VALUE"""),7.0)</f>
        <v>7</v>
      </c>
      <c r="D760" s="487"/>
      <c r="E760" s="486"/>
      <c r="F760" s="488"/>
      <c r="G760" s="472"/>
      <c r="H760" s="472"/>
      <c r="I760" s="472"/>
      <c r="J760" s="472"/>
      <c r="K760" s="472"/>
      <c r="L760" s="472"/>
      <c r="M760" s="472"/>
      <c r="N760" s="472"/>
      <c r="O760" s="472"/>
      <c r="P760" s="472"/>
      <c r="Q760" s="472"/>
      <c r="R760" s="472"/>
      <c r="S760" s="472"/>
      <c r="T760" s="472"/>
      <c r="U760" s="472"/>
      <c r="V760" s="472"/>
      <c r="W760" s="472"/>
      <c r="X760" s="472"/>
      <c r="Y760" s="472"/>
      <c r="Z760" s="472"/>
      <c r="AA760" s="472"/>
    </row>
    <row r="761">
      <c r="A761" s="478" t="str">
        <f>IFERROR(__xludf.DUMMYFUNCTION("""COMPUTED_VALUE"""),"VI - DOU - EDUCAÇÃO PERMANENTE EM SAÚDE")</f>
        <v>VI - DOU - EDUCAÇÃO PERMANENTE EM SAÚDE</v>
      </c>
      <c r="B761" s="479"/>
      <c r="C761" s="479"/>
      <c r="D761" s="479"/>
      <c r="E761" s="479"/>
      <c r="F761" s="480"/>
      <c r="G761" s="472"/>
      <c r="H761" s="472"/>
      <c r="I761" s="472"/>
      <c r="J761" s="472"/>
      <c r="K761" s="472"/>
      <c r="L761" s="472"/>
      <c r="M761" s="472"/>
      <c r="N761" s="472"/>
      <c r="O761" s="472"/>
      <c r="P761" s="472"/>
      <c r="Q761" s="472"/>
      <c r="R761" s="472"/>
      <c r="S761" s="472"/>
      <c r="T761" s="472"/>
      <c r="U761" s="472"/>
      <c r="V761" s="472"/>
      <c r="W761" s="472"/>
      <c r="X761" s="472"/>
      <c r="Y761" s="472"/>
      <c r="Z761" s="472"/>
      <c r="AA761" s="472"/>
    </row>
    <row r="762" outlineLevel="1">
      <c r="A762" s="481" t="str">
        <f>IFERROR(__xludf.DUMMYFUNCTION("""COMPUTED_VALUE"""),"INSCRIÇÃO")</f>
        <v>INSCRIÇÃO</v>
      </c>
      <c r="B762" s="482" t="str">
        <f>IFERROR(__xludf.DUMMYFUNCTION("""COMPUTED_VALUE"""),"CANDIDATOS")</f>
        <v>CANDIDATOS</v>
      </c>
      <c r="C762" s="481" t="str">
        <f>IFERROR(__xludf.DUMMYFUNCTION("""COMPUTED_VALUE"""),"NF")</f>
        <v>NF</v>
      </c>
      <c r="D762" s="483" t="str">
        <f>IFERROR(__xludf.DUMMYFUNCTION("""COMPUTED_VALUE"""),"CONVOCADO(A)")</f>
        <v>CONVOCADO(A)</v>
      </c>
      <c r="E762" s="483" t="str">
        <f>IFERROR(__xludf.DUMMYFUNCTION("""COMPUTED_VALUE"""),"HOMOLOGADO(A)")</f>
        <v>HOMOLOGADO(A)</v>
      </c>
      <c r="F762" s="483" t="str">
        <f>IFERROR(__xludf.DUMMYFUNCTION("""COMPUTED_VALUE"""),"GERÊNCIA")</f>
        <v>GERÊNCIA</v>
      </c>
      <c r="G762" s="472"/>
      <c r="H762" s="472"/>
      <c r="I762" s="472"/>
      <c r="J762" s="472"/>
      <c r="K762" s="472"/>
      <c r="L762" s="472"/>
      <c r="M762" s="472"/>
      <c r="N762" s="472"/>
      <c r="O762" s="472"/>
      <c r="P762" s="472"/>
      <c r="Q762" s="472"/>
      <c r="R762" s="472"/>
      <c r="S762" s="472"/>
      <c r="T762" s="472"/>
      <c r="U762" s="472"/>
      <c r="V762" s="472"/>
      <c r="W762" s="472"/>
      <c r="X762" s="472"/>
      <c r="Y762" s="472"/>
      <c r="Z762" s="472"/>
      <c r="AA762" s="472"/>
    </row>
    <row r="763" outlineLevel="1">
      <c r="A763" s="484">
        <f>IFERROR(__xludf.DUMMYFUNCTION("""COMPUTED_VALUE"""),1.59283091043E11)</f>
        <v>159283091043</v>
      </c>
      <c r="B763" s="485" t="str">
        <f>IFERROR(__xludf.DUMMYFUNCTION("""COMPUTED_VALUE"""),"RICARDO BURG CECCIM")</f>
        <v>RICARDO BURG CECCIM</v>
      </c>
      <c r="C763" s="486">
        <f>IFERROR(__xludf.DUMMYFUNCTION("""COMPUTED_VALUE"""),10.0)</f>
        <v>10</v>
      </c>
      <c r="D763" s="487" t="str">
        <f>IFERROR(__xludf.DUMMYFUNCTION("""COMPUTED_VALUE"""),"SIM")</f>
        <v>SIM</v>
      </c>
      <c r="E763" s="486" t="str">
        <f>IFERROR(__xludf.DUMMYFUNCTION("""COMPUTED_VALUE"""),"SIM")</f>
        <v>SIM</v>
      </c>
      <c r="F763" s="486" t="str">
        <f>IFERROR(__xludf.DUMMYFUNCTION("""COMPUTED_VALUE"""),"GEDUC")</f>
        <v>GEDUC</v>
      </c>
      <c r="G763" s="472"/>
      <c r="H763" s="472"/>
      <c r="I763" s="472"/>
      <c r="J763" s="472"/>
      <c r="K763" s="472"/>
      <c r="L763" s="472"/>
      <c r="M763" s="472"/>
      <c r="N763" s="472"/>
      <c r="O763" s="472"/>
      <c r="P763" s="472"/>
      <c r="Q763" s="472"/>
      <c r="R763" s="472"/>
      <c r="S763" s="472"/>
      <c r="T763" s="472"/>
      <c r="U763" s="472"/>
      <c r="V763" s="472"/>
      <c r="W763" s="472"/>
      <c r="X763" s="472"/>
      <c r="Y763" s="472"/>
      <c r="Z763" s="472"/>
      <c r="AA763" s="472"/>
    </row>
    <row r="764" outlineLevel="1">
      <c r="A764" s="484">
        <f>IFERROR(__xludf.DUMMYFUNCTION("""COMPUTED_VALUE"""),2.25232089712E11)</f>
        <v>225232089712</v>
      </c>
      <c r="B764" s="485" t="str">
        <f>IFERROR(__xludf.DUMMYFUNCTION("""COMPUTED_VALUE"""),"ANA PAULA CAVALCANTE RAMALHO BRILHANTE")</f>
        <v>ANA PAULA CAVALCANTE RAMALHO BRILHANTE</v>
      </c>
      <c r="C764" s="486">
        <f>IFERROR(__xludf.DUMMYFUNCTION("""COMPUTED_VALUE"""),10.0)</f>
        <v>10</v>
      </c>
      <c r="D764" s="487" t="str">
        <f>IFERROR(__xludf.DUMMYFUNCTION("""COMPUTED_VALUE"""),"SIM")</f>
        <v>SIM</v>
      </c>
      <c r="E764" s="486" t="str">
        <f>IFERROR(__xludf.DUMMYFUNCTION("""COMPUTED_VALUE"""),"SIM")</f>
        <v>SIM</v>
      </c>
      <c r="F764" s="486" t="str">
        <f>IFERROR(__xludf.DUMMYFUNCTION("""COMPUTED_VALUE"""),"GEDUC")</f>
        <v>GEDUC</v>
      </c>
      <c r="G764" s="472"/>
      <c r="H764" s="472"/>
      <c r="I764" s="472"/>
      <c r="J764" s="472"/>
      <c r="K764" s="472"/>
      <c r="L764" s="472"/>
      <c r="M764" s="472"/>
      <c r="N764" s="472"/>
      <c r="O764" s="472"/>
      <c r="P764" s="472"/>
      <c r="Q764" s="472"/>
      <c r="R764" s="472"/>
      <c r="S764" s="472"/>
      <c r="T764" s="472"/>
      <c r="U764" s="472"/>
      <c r="V764" s="472"/>
      <c r="W764" s="472"/>
      <c r="X764" s="472"/>
      <c r="Y764" s="472"/>
      <c r="Z764" s="472"/>
      <c r="AA764" s="472"/>
    </row>
    <row r="765" outlineLevel="1">
      <c r="A765" s="484">
        <f>IFERROR(__xludf.DUMMYFUNCTION("""COMPUTED_VALUE"""),9.60634091949E11)</f>
        <v>960634091949</v>
      </c>
      <c r="B765" s="485" t="str">
        <f>IFERROR(__xludf.DUMMYFUNCTION("""COMPUTED_VALUE"""),"MARIA DO SOCORRO LITAIFF RODRIGUES DANTAS")</f>
        <v>MARIA DO SOCORRO LITAIFF RODRIGUES DANTAS</v>
      </c>
      <c r="C765" s="486">
        <f>IFERROR(__xludf.DUMMYFUNCTION("""COMPUTED_VALUE"""),10.0)</f>
        <v>10</v>
      </c>
      <c r="D765" s="487" t="str">
        <f>IFERROR(__xludf.DUMMYFUNCTION("""COMPUTED_VALUE"""),"SIM")</f>
        <v>SIM</v>
      </c>
      <c r="E765" s="486" t="str">
        <f>IFERROR(__xludf.DUMMYFUNCTION("""COMPUTED_VALUE"""),"SIM")</f>
        <v>SIM</v>
      </c>
      <c r="F765" s="486" t="str">
        <f>IFERROR(__xludf.DUMMYFUNCTION("""COMPUTED_VALUE"""),"GEDUC")</f>
        <v>GEDUC</v>
      </c>
      <c r="G765" s="472"/>
      <c r="H765" s="472"/>
      <c r="I765" s="472"/>
      <c r="J765" s="472"/>
      <c r="K765" s="472"/>
      <c r="L765" s="472"/>
      <c r="M765" s="472"/>
      <c r="N765" s="472"/>
      <c r="O765" s="472"/>
      <c r="P765" s="472"/>
      <c r="Q765" s="472"/>
      <c r="R765" s="472"/>
      <c r="S765" s="472"/>
      <c r="T765" s="472"/>
      <c r="U765" s="472"/>
      <c r="V765" s="472"/>
      <c r="W765" s="472"/>
      <c r="X765" s="472"/>
      <c r="Y765" s="472"/>
      <c r="Z765" s="472"/>
      <c r="AA765" s="472"/>
    </row>
    <row r="766" outlineLevel="1">
      <c r="A766" s="484">
        <f>IFERROR(__xludf.DUMMYFUNCTION("""COMPUTED_VALUE"""),2.36240092948E11)</f>
        <v>236240092948</v>
      </c>
      <c r="B766" s="485" t="str">
        <f>IFERROR(__xludf.DUMMYFUNCTION("""COMPUTED_VALUE"""),"JULIO CESAR DE AZEVEDO CARVALHAL")</f>
        <v>JULIO CESAR DE AZEVEDO CARVALHAL</v>
      </c>
      <c r="C766" s="486">
        <f>IFERROR(__xludf.DUMMYFUNCTION("""COMPUTED_VALUE"""),10.0)</f>
        <v>10</v>
      </c>
      <c r="D766" s="487" t="str">
        <f>IFERROR(__xludf.DUMMYFUNCTION("""COMPUTED_VALUE"""),"SIM")</f>
        <v>SIM</v>
      </c>
      <c r="E766" s="486" t="str">
        <f>IFERROR(__xludf.DUMMYFUNCTION("""COMPUTED_VALUE"""),"SIM")</f>
        <v>SIM</v>
      </c>
      <c r="F766" s="486" t="str">
        <f>IFERROR(__xludf.DUMMYFUNCTION("""COMPUTED_VALUE"""),"GEDUC")</f>
        <v>GEDUC</v>
      </c>
      <c r="G766" s="472"/>
      <c r="H766" s="472"/>
      <c r="I766" s="472"/>
      <c r="J766" s="472"/>
      <c r="K766" s="472"/>
      <c r="L766" s="472"/>
      <c r="M766" s="472"/>
      <c r="N766" s="472"/>
      <c r="O766" s="472"/>
      <c r="P766" s="472"/>
      <c r="Q766" s="472"/>
      <c r="R766" s="472"/>
      <c r="S766" s="472"/>
      <c r="T766" s="472"/>
      <c r="U766" s="472"/>
      <c r="V766" s="472"/>
      <c r="W766" s="472"/>
      <c r="X766" s="472"/>
      <c r="Y766" s="472"/>
      <c r="Z766" s="472"/>
      <c r="AA766" s="472"/>
    </row>
    <row r="767" outlineLevel="1">
      <c r="A767" s="484">
        <f>IFERROR(__xludf.DUMMYFUNCTION("""COMPUTED_VALUE"""),9.45158088466E11)</f>
        <v>945158088466</v>
      </c>
      <c r="B767" s="485" t="str">
        <f>IFERROR(__xludf.DUMMYFUNCTION("""COMPUTED_VALUE"""),"MARCELO JOSÉ MONTEIRO FERREIRA")</f>
        <v>MARCELO JOSÉ MONTEIRO FERREIRA</v>
      </c>
      <c r="C767" s="486">
        <f>IFERROR(__xludf.DUMMYFUNCTION("""COMPUTED_VALUE"""),10.0)</f>
        <v>10</v>
      </c>
      <c r="D767" s="487" t="str">
        <f>IFERROR(__xludf.DUMMYFUNCTION("""COMPUTED_VALUE"""),"SIM")</f>
        <v>SIM</v>
      </c>
      <c r="E767" s="486" t="str">
        <f>IFERROR(__xludf.DUMMYFUNCTION("""COMPUTED_VALUE"""),"NÃO")</f>
        <v>NÃO</v>
      </c>
      <c r="F767" s="486" t="str">
        <f>IFERROR(__xludf.DUMMYFUNCTION("""COMPUTED_VALUE"""),"GEDUC")</f>
        <v>GEDUC</v>
      </c>
      <c r="G767" s="472"/>
      <c r="H767" s="472"/>
      <c r="I767" s="472"/>
      <c r="J767" s="472"/>
      <c r="K767" s="472"/>
      <c r="L767" s="472"/>
      <c r="M767" s="472"/>
      <c r="N767" s="472"/>
      <c r="O767" s="472"/>
      <c r="P767" s="472"/>
      <c r="Q767" s="472"/>
      <c r="R767" s="472"/>
      <c r="S767" s="472"/>
      <c r="T767" s="472"/>
      <c r="U767" s="472"/>
      <c r="V767" s="472"/>
      <c r="W767" s="472"/>
      <c r="X767" s="472"/>
      <c r="Y767" s="472"/>
      <c r="Z767" s="472"/>
      <c r="AA767" s="472"/>
    </row>
    <row r="768" outlineLevel="1">
      <c r="A768" s="484">
        <f>IFERROR(__xludf.DUMMYFUNCTION("""COMPUTED_VALUE"""),8.6981608849E11)</f>
        <v>869816088490</v>
      </c>
      <c r="B768" s="485" t="str">
        <f>IFERROR(__xludf.DUMMYFUNCTION("""COMPUTED_VALUE"""),"KELLYN KESSIENE DE SOUSA CAVALCANTE")</f>
        <v>KELLYN KESSIENE DE SOUSA CAVALCANTE</v>
      </c>
      <c r="C768" s="486">
        <f>IFERROR(__xludf.DUMMYFUNCTION("""COMPUTED_VALUE"""),10.0)</f>
        <v>10</v>
      </c>
      <c r="D768" s="487" t="str">
        <f>IFERROR(__xludf.DUMMYFUNCTION("""COMPUTED_VALUE"""),"SIM")</f>
        <v>SIM</v>
      </c>
      <c r="E768" s="486" t="str">
        <f>IFERROR(__xludf.DUMMYFUNCTION("""COMPUTED_VALUE"""),"SIM")</f>
        <v>SIM</v>
      </c>
      <c r="F768" s="486" t="str">
        <f>IFERROR(__xludf.DUMMYFUNCTION("""COMPUTED_VALUE"""),"GEDUC")</f>
        <v>GEDUC</v>
      </c>
      <c r="G768" s="472"/>
      <c r="H768" s="472"/>
      <c r="I768" s="472"/>
      <c r="J768" s="472"/>
      <c r="K768" s="472"/>
      <c r="L768" s="472"/>
      <c r="M768" s="472"/>
      <c r="N768" s="472"/>
      <c r="O768" s="472"/>
      <c r="P768" s="472"/>
      <c r="Q768" s="472"/>
      <c r="R768" s="472"/>
      <c r="S768" s="472"/>
      <c r="T768" s="472"/>
      <c r="U768" s="472"/>
      <c r="V768" s="472"/>
      <c r="W768" s="472"/>
      <c r="X768" s="472"/>
      <c r="Y768" s="472"/>
      <c r="Z768" s="472"/>
      <c r="AA768" s="472"/>
    </row>
    <row r="769" outlineLevel="1">
      <c r="A769" s="484">
        <f>IFERROR(__xludf.DUMMYFUNCTION("""COMPUTED_VALUE"""),5.88420092069E11)</f>
        <v>588420092069</v>
      </c>
      <c r="B769" s="485" t="str">
        <f>IFERROR(__xludf.DUMMYFUNCTION("""COMPUTED_VALUE"""),"COSMO HELDER FERREIRA DA SILVA")</f>
        <v>COSMO HELDER FERREIRA DA SILVA</v>
      </c>
      <c r="C769" s="486">
        <f>IFERROR(__xludf.DUMMYFUNCTION("""COMPUTED_VALUE"""),10.0)</f>
        <v>10</v>
      </c>
      <c r="D769" s="487" t="str">
        <f>IFERROR(__xludf.DUMMYFUNCTION("""COMPUTED_VALUE"""),"SIM")</f>
        <v>SIM</v>
      </c>
      <c r="E769" s="486" t="str">
        <f>IFERROR(__xludf.DUMMYFUNCTION("""COMPUTED_VALUE"""),"SIM")</f>
        <v>SIM</v>
      </c>
      <c r="F769" s="486" t="str">
        <f>IFERROR(__xludf.DUMMYFUNCTION("""COMPUTED_VALUE"""),"GEDUC")</f>
        <v>GEDUC</v>
      </c>
      <c r="G769" s="472"/>
      <c r="H769" s="472"/>
      <c r="I769" s="472"/>
      <c r="J769" s="472"/>
      <c r="K769" s="472"/>
      <c r="L769" s="472"/>
      <c r="M769" s="472"/>
      <c r="N769" s="472"/>
      <c r="O769" s="472"/>
      <c r="P769" s="472"/>
      <c r="Q769" s="472"/>
      <c r="R769" s="472"/>
      <c r="S769" s="472"/>
      <c r="T769" s="472"/>
      <c r="U769" s="472"/>
      <c r="V769" s="472"/>
      <c r="W769" s="472"/>
      <c r="X769" s="472"/>
      <c r="Y769" s="472"/>
      <c r="Z769" s="472"/>
      <c r="AA769" s="472"/>
    </row>
    <row r="770" outlineLevel="1">
      <c r="A770" s="484">
        <f>IFERROR(__xludf.DUMMYFUNCTION("""COMPUTED_VALUE"""),4.82450092751E11)</f>
        <v>482450092751</v>
      </c>
      <c r="B770" s="485" t="str">
        <f>IFERROR(__xludf.DUMMYFUNCTION("""COMPUTED_VALUE"""),"ANA SUELEN PEDROZA CAVALCANTE")</f>
        <v>ANA SUELEN PEDROZA CAVALCANTE</v>
      </c>
      <c r="C770" s="486">
        <f>IFERROR(__xludf.DUMMYFUNCTION("""COMPUTED_VALUE"""),10.0)</f>
        <v>10</v>
      </c>
      <c r="D770" s="487" t="str">
        <f>IFERROR(__xludf.DUMMYFUNCTION("""COMPUTED_VALUE"""),"SIM")</f>
        <v>SIM</v>
      </c>
      <c r="E770" s="486" t="str">
        <f>IFERROR(__xludf.DUMMYFUNCTION("""COMPUTED_VALUE"""),"SIM")</f>
        <v>SIM</v>
      </c>
      <c r="F770" s="486" t="str">
        <f>IFERROR(__xludf.DUMMYFUNCTION("""COMPUTED_VALUE"""),"GEDUC")</f>
        <v>GEDUC</v>
      </c>
      <c r="G770" s="472"/>
      <c r="H770" s="472"/>
      <c r="I770" s="472"/>
      <c r="J770" s="472"/>
      <c r="K770" s="472"/>
      <c r="L770" s="472"/>
      <c r="M770" s="472"/>
      <c r="N770" s="472"/>
      <c r="O770" s="472"/>
      <c r="P770" s="472"/>
      <c r="Q770" s="472"/>
      <c r="R770" s="472"/>
      <c r="S770" s="472"/>
      <c r="T770" s="472"/>
      <c r="U770" s="472"/>
      <c r="V770" s="472"/>
      <c r="W770" s="472"/>
      <c r="X770" s="472"/>
      <c r="Y770" s="472"/>
      <c r="Z770" s="472"/>
      <c r="AA770" s="472"/>
    </row>
    <row r="771" outlineLevel="1">
      <c r="A771" s="484">
        <f>IFERROR(__xludf.DUMMYFUNCTION("""COMPUTED_VALUE"""),6.03132092388E11)</f>
        <v>603132092388</v>
      </c>
      <c r="B771" s="485" t="str">
        <f>IFERROR(__xludf.DUMMYFUNCTION("""COMPUTED_VALUE"""),"EUGÊNIO  DE MOURA CAMPOS")</f>
        <v>EUGÊNIO  DE MOURA CAMPOS</v>
      </c>
      <c r="C771" s="486">
        <f>IFERROR(__xludf.DUMMYFUNCTION("""COMPUTED_VALUE"""),9.5)</f>
        <v>9.5</v>
      </c>
      <c r="D771" s="487" t="str">
        <f>IFERROR(__xludf.DUMMYFUNCTION("""COMPUTED_VALUE"""),"SIM")</f>
        <v>SIM</v>
      </c>
      <c r="E771" s="486" t="str">
        <f>IFERROR(__xludf.DUMMYFUNCTION("""COMPUTED_VALUE"""),"NÃO")</f>
        <v>NÃO</v>
      </c>
      <c r="F771" s="486" t="str">
        <f>IFERROR(__xludf.DUMMYFUNCTION("""COMPUTED_VALUE"""),"GEDUC")</f>
        <v>GEDUC</v>
      </c>
      <c r="G771" s="472"/>
      <c r="H771" s="472"/>
      <c r="I771" s="472"/>
      <c r="J771" s="472"/>
      <c r="K771" s="472"/>
      <c r="L771" s="472"/>
      <c r="M771" s="472"/>
      <c r="N771" s="472"/>
      <c r="O771" s="472"/>
      <c r="P771" s="472"/>
      <c r="Q771" s="472"/>
      <c r="R771" s="472"/>
      <c r="S771" s="472"/>
      <c r="T771" s="472"/>
      <c r="U771" s="472"/>
      <c r="V771" s="472"/>
      <c r="W771" s="472"/>
      <c r="X771" s="472"/>
      <c r="Y771" s="472"/>
      <c r="Z771" s="472"/>
      <c r="AA771" s="472"/>
    </row>
    <row r="772" outlineLevel="1">
      <c r="A772" s="484">
        <f>IFERROR(__xludf.DUMMYFUNCTION("""COMPUTED_VALUE"""),2.24854093487E11)</f>
        <v>224854093487</v>
      </c>
      <c r="B772" s="485" t="str">
        <f>IFERROR(__xludf.DUMMYFUNCTION("""COMPUTED_VALUE"""),"MARIA NIZETE TAVARES ALVES")</f>
        <v>MARIA NIZETE TAVARES ALVES</v>
      </c>
      <c r="C772" s="486">
        <f>IFERROR(__xludf.DUMMYFUNCTION("""COMPUTED_VALUE"""),9.5)</f>
        <v>9.5</v>
      </c>
      <c r="D772" s="487" t="str">
        <f>IFERROR(__xludf.DUMMYFUNCTION("""COMPUTED_VALUE"""),"SIM")</f>
        <v>SIM</v>
      </c>
      <c r="E772" s="486" t="str">
        <f>IFERROR(__xludf.DUMMYFUNCTION("""COMPUTED_VALUE"""),"SIM")</f>
        <v>SIM</v>
      </c>
      <c r="F772" s="486" t="str">
        <f>IFERROR(__xludf.DUMMYFUNCTION("""COMPUTED_VALUE"""),"GEDUC")</f>
        <v>GEDUC</v>
      </c>
      <c r="G772" s="472"/>
      <c r="H772" s="472"/>
      <c r="I772" s="472"/>
      <c r="J772" s="472"/>
      <c r="K772" s="472"/>
      <c r="L772" s="472"/>
      <c r="M772" s="472"/>
      <c r="N772" s="472"/>
      <c r="O772" s="472"/>
      <c r="P772" s="472"/>
      <c r="Q772" s="472"/>
      <c r="R772" s="472"/>
      <c r="S772" s="472"/>
      <c r="T772" s="472"/>
      <c r="U772" s="472"/>
      <c r="V772" s="472"/>
      <c r="W772" s="472"/>
      <c r="X772" s="472"/>
      <c r="Y772" s="472"/>
      <c r="Z772" s="472"/>
      <c r="AA772" s="472"/>
    </row>
    <row r="773" outlineLevel="1">
      <c r="A773" s="484">
        <f>IFERROR(__xludf.DUMMYFUNCTION("""COMPUTED_VALUE"""),6.55579093049E11)</f>
        <v>655579093049</v>
      </c>
      <c r="B773" s="485" t="str">
        <f>IFERROR(__xludf.DUMMYFUNCTION("""COMPUTED_VALUE"""),"SONIA SAMARA FONSECA DE MORAIS")</f>
        <v>SONIA SAMARA FONSECA DE MORAIS</v>
      </c>
      <c r="C773" s="486">
        <f>IFERROR(__xludf.DUMMYFUNCTION("""COMPUTED_VALUE"""),9.5)</f>
        <v>9.5</v>
      </c>
      <c r="D773" s="487" t="str">
        <f>IFERROR(__xludf.DUMMYFUNCTION("""COMPUTED_VALUE"""),"SIM")</f>
        <v>SIM</v>
      </c>
      <c r="E773" s="486" t="str">
        <f>IFERROR(__xludf.DUMMYFUNCTION("""COMPUTED_VALUE"""),"SIM")</f>
        <v>SIM</v>
      </c>
      <c r="F773" s="486" t="str">
        <f>IFERROR(__xludf.DUMMYFUNCTION("""COMPUTED_VALUE"""),"GEDUC")</f>
        <v>GEDUC</v>
      </c>
      <c r="G773" s="472"/>
      <c r="H773" s="472"/>
      <c r="I773" s="472"/>
      <c r="J773" s="472"/>
      <c r="K773" s="472"/>
      <c r="L773" s="472"/>
      <c r="M773" s="472"/>
      <c r="N773" s="472"/>
      <c r="O773" s="472"/>
      <c r="P773" s="472"/>
      <c r="Q773" s="472"/>
      <c r="R773" s="472"/>
      <c r="S773" s="472"/>
      <c r="T773" s="472"/>
      <c r="U773" s="472"/>
      <c r="V773" s="472"/>
      <c r="W773" s="472"/>
      <c r="X773" s="472"/>
      <c r="Y773" s="472"/>
      <c r="Z773" s="472"/>
      <c r="AA773" s="472"/>
    </row>
    <row r="774" outlineLevel="1">
      <c r="A774" s="484">
        <f>IFERROR(__xludf.DUMMYFUNCTION("""COMPUTED_VALUE"""),6.90683092252E11)</f>
        <v>690683092252</v>
      </c>
      <c r="B774" s="485" t="str">
        <f>IFERROR(__xludf.DUMMYFUNCTION("""COMPUTED_VALUE"""),"REGINA CLÁUDIA BARROSO CAVALCANTE")</f>
        <v>REGINA CLÁUDIA BARROSO CAVALCANTE</v>
      </c>
      <c r="C774" s="486">
        <f>IFERROR(__xludf.DUMMYFUNCTION("""COMPUTED_VALUE"""),9.0)</f>
        <v>9</v>
      </c>
      <c r="D774" s="487" t="str">
        <f>IFERROR(__xludf.DUMMYFUNCTION("""COMPUTED_VALUE"""),"SIM")</f>
        <v>SIM</v>
      </c>
      <c r="E774" s="486" t="str">
        <f>IFERROR(__xludf.DUMMYFUNCTION("""COMPUTED_VALUE"""),"SIM")</f>
        <v>SIM</v>
      </c>
      <c r="F774" s="486" t="str">
        <f>IFERROR(__xludf.DUMMYFUNCTION("""COMPUTED_VALUE"""),"GEDUC")</f>
        <v>GEDUC</v>
      </c>
      <c r="G774" s="472"/>
      <c r="H774" s="472"/>
      <c r="I774" s="472"/>
      <c r="J774" s="472"/>
      <c r="K774" s="472"/>
      <c r="L774" s="472"/>
      <c r="M774" s="472"/>
      <c r="N774" s="472"/>
      <c r="O774" s="472"/>
      <c r="P774" s="472"/>
      <c r="Q774" s="472"/>
      <c r="R774" s="472"/>
      <c r="S774" s="472"/>
      <c r="T774" s="472"/>
      <c r="U774" s="472"/>
      <c r="V774" s="472"/>
      <c r="W774" s="472"/>
      <c r="X774" s="472"/>
      <c r="Y774" s="472"/>
      <c r="Z774" s="472"/>
      <c r="AA774" s="472"/>
    </row>
    <row r="775" outlineLevel="1">
      <c r="A775" s="484">
        <f>IFERROR(__xludf.DUMMYFUNCTION("""COMPUTED_VALUE"""),8.08514088442E11)</f>
        <v>808514088442</v>
      </c>
      <c r="B775" s="485" t="str">
        <f>IFERROR(__xludf.DUMMYFUNCTION("""COMPUTED_VALUE"""),"EMYLIO CÉSAR SANTOS DA SILVA")</f>
        <v>EMYLIO CÉSAR SANTOS DA SILVA</v>
      </c>
      <c r="C775" s="486">
        <f>IFERROR(__xludf.DUMMYFUNCTION("""COMPUTED_VALUE"""),9.0)</f>
        <v>9</v>
      </c>
      <c r="D775" s="487" t="str">
        <f>IFERROR(__xludf.DUMMYFUNCTION("""COMPUTED_VALUE"""),"SIM")</f>
        <v>SIM</v>
      </c>
      <c r="E775" s="486" t="str">
        <f>IFERROR(__xludf.DUMMYFUNCTION("""COMPUTED_VALUE"""),"SIM")</f>
        <v>SIM</v>
      </c>
      <c r="F775" s="486" t="str">
        <f>IFERROR(__xludf.DUMMYFUNCTION("""COMPUTED_VALUE"""),"GEDUC")</f>
        <v>GEDUC</v>
      </c>
      <c r="G775" s="472"/>
      <c r="H775" s="472"/>
      <c r="I775" s="472"/>
      <c r="J775" s="472"/>
      <c r="K775" s="472"/>
      <c r="L775" s="472"/>
      <c r="M775" s="472"/>
      <c r="N775" s="472"/>
      <c r="O775" s="472"/>
      <c r="P775" s="472"/>
      <c r="Q775" s="472"/>
      <c r="R775" s="472"/>
      <c r="S775" s="472"/>
      <c r="T775" s="472"/>
      <c r="U775" s="472"/>
      <c r="V775" s="472"/>
      <c r="W775" s="472"/>
      <c r="X775" s="472"/>
      <c r="Y775" s="472"/>
      <c r="Z775" s="472"/>
      <c r="AA775" s="472"/>
    </row>
    <row r="776" outlineLevel="1">
      <c r="A776" s="484">
        <f>IFERROR(__xludf.DUMMYFUNCTION("""COMPUTED_VALUE"""),4.954970931E11)</f>
        <v>495497093100</v>
      </c>
      <c r="B776" s="485" t="str">
        <f>IFERROR(__xludf.DUMMYFUNCTION("""COMPUTED_VALUE"""),"MÁRCIA KELMA DE ALENCAR ABREU")</f>
        <v>MÁRCIA KELMA DE ALENCAR ABREU</v>
      </c>
      <c r="C776" s="486">
        <f>IFERROR(__xludf.DUMMYFUNCTION("""COMPUTED_VALUE"""),9.0)</f>
        <v>9</v>
      </c>
      <c r="D776" s="487" t="str">
        <f>IFERROR(__xludf.DUMMYFUNCTION("""COMPUTED_VALUE"""),"SIM")</f>
        <v>SIM</v>
      </c>
      <c r="E776" s="486" t="str">
        <f>IFERROR(__xludf.DUMMYFUNCTION("""COMPUTED_VALUE"""),"SIM")</f>
        <v>SIM</v>
      </c>
      <c r="F776" s="486" t="str">
        <f>IFERROR(__xludf.DUMMYFUNCTION("""COMPUTED_VALUE"""),"GEDUC")</f>
        <v>GEDUC</v>
      </c>
      <c r="G776" s="472"/>
      <c r="H776" s="472"/>
      <c r="I776" s="472"/>
      <c r="J776" s="472"/>
      <c r="K776" s="472"/>
      <c r="L776" s="472"/>
      <c r="M776" s="472"/>
      <c r="N776" s="472"/>
      <c r="O776" s="472"/>
      <c r="P776" s="472"/>
      <c r="Q776" s="472"/>
      <c r="R776" s="472"/>
      <c r="S776" s="472"/>
      <c r="T776" s="472"/>
      <c r="U776" s="472"/>
      <c r="V776" s="472"/>
      <c r="W776" s="472"/>
      <c r="X776" s="472"/>
      <c r="Y776" s="472"/>
      <c r="Z776" s="472"/>
      <c r="AA776" s="472"/>
    </row>
    <row r="777" outlineLevel="1">
      <c r="A777" s="484">
        <f>IFERROR(__xludf.DUMMYFUNCTION("""COMPUTED_VALUE"""),6.53077092289E11)</f>
        <v>653077092289</v>
      </c>
      <c r="B777" s="485" t="str">
        <f>IFERROR(__xludf.DUMMYFUNCTION("""COMPUTED_VALUE"""),"ANA PATRÍCIA OLIVEIRA MOURA LIMA")</f>
        <v>ANA PATRÍCIA OLIVEIRA MOURA LIMA</v>
      </c>
      <c r="C777" s="486">
        <f>IFERROR(__xludf.DUMMYFUNCTION("""COMPUTED_VALUE"""),9.0)</f>
        <v>9</v>
      </c>
      <c r="D777" s="487" t="str">
        <f>IFERROR(__xludf.DUMMYFUNCTION("""COMPUTED_VALUE"""),"SIM")</f>
        <v>SIM</v>
      </c>
      <c r="E777" s="486" t="str">
        <f>IFERROR(__xludf.DUMMYFUNCTION("""COMPUTED_VALUE"""),"SIM")</f>
        <v>SIM</v>
      </c>
      <c r="F777" s="486" t="str">
        <f>IFERROR(__xludf.DUMMYFUNCTION("""COMPUTED_VALUE"""),"GEDUC")</f>
        <v>GEDUC</v>
      </c>
      <c r="G777" s="472"/>
      <c r="H777" s="472"/>
      <c r="I777" s="472"/>
      <c r="J777" s="472"/>
      <c r="K777" s="472"/>
      <c r="L777" s="472"/>
      <c r="M777" s="472"/>
      <c r="N777" s="472"/>
      <c r="O777" s="472"/>
      <c r="P777" s="472"/>
      <c r="Q777" s="472"/>
      <c r="R777" s="472"/>
      <c r="S777" s="472"/>
      <c r="T777" s="472"/>
      <c r="U777" s="472"/>
      <c r="V777" s="472"/>
      <c r="W777" s="472"/>
      <c r="X777" s="472"/>
      <c r="Y777" s="472"/>
      <c r="Z777" s="472"/>
      <c r="AA777" s="472"/>
    </row>
    <row r="778" outlineLevel="1">
      <c r="A778" s="484">
        <f>IFERROR(__xludf.DUMMYFUNCTION("""COMPUTED_VALUE"""),9.50168090617E11)</f>
        <v>950168090617</v>
      </c>
      <c r="B778" s="485" t="str">
        <f>IFERROR(__xludf.DUMMYFUNCTION("""COMPUTED_VALUE"""),"FRANCISMEIRE BRASILEIRO MAGALHÃES BARBOZA")</f>
        <v>FRANCISMEIRE BRASILEIRO MAGALHÃES BARBOZA</v>
      </c>
      <c r="C778" s="486">
        <f>IFERROR(__xludf.DUMMYFUNCTION("""COMPUTED_VALUE"""),9.0)</f>
        <v>9</v>
      </c>
      <c r="D778" s="487" t="str">
        <f>IFERROR(__xludf.DUMMYFUNCTION("""COMPUTED_VALUE"""),"SIM")</f>
        <v>SIM</v>
      </c>
      <c r="E778" s="486" t="str">
        <f>IFERROR(__xludf.DUMMYFUNCTION("""COMPUTED_VALUE"""),"SIM")</f>
        <v>SIM</v>
      </c>
      <c r="F778" s="486" t="str">
        <f>IFERROR(__xludf.DUMMYFUNCTION("""COMPUTED_VALUE"""),"GEDUC")</f>
        <v>GEDUC</v>
      </c>
      <c r="G778" s="472"/>
      <c r="H778" s="472"/>
      <c r="I778" s="472"/>
      <c r="J778" s="472"/>
      <c r="K778" s="472"/>
      <c r="L778" s="472"/>
      <c r="M778" s="472"/>
      <c r="N778" s="472"/>
      <c r="O778" s="472"/>
      <c r="P778" s="472"/>
      <c r="Q778" s="472"/>
      <c r="R778" s="472"/>
      <c r="S778" s="472"/>
      <c r="T778" s="472"/>
      <c r="U778" s="472"/>
      <c r="V778" s="472"/>
      <c r="W778" s="472"/>
      <c r="X778" s="472"/>
      <c r="Y778" s="472"/>
      <c r="Z778" s="472"/>
      <c r="AA778" s="472"/>
    </row>
    <row r="779" outlineLevel="1">
      <c r="A779" s="494">
        <f>IFERROR(__xludf.DUMMYFUNCTION("""COMPUTED_VALUE"""),2.2758090151E10)</f>
        <v>22758090151</v>
      </c>
      <c r="B779" s="485" t="str">
        <f>IFERROR(__xludf.DUMMYFUNCTION("""COMPUTED_VALUE"""),"ANA CAROLINA MONTENEGRO CAVALCANTE")</f>
        <v>ANA CAROLINA MONTENEGRO CAVALCANTE</v>
      </c>
      <c r="C779" s="486">
        <f>IFERROR(__xludf.DUMMYFUNCTION("""COMPUTED_VALUE"""),9.0)</f>
        <v>9</v>
      </c>
      <c r="D779" s="487"/>
      <c r="E779" s="486"/>
      <c r="F779" s="486"/>
      <c r="G779" s="472"/>
      <c r="H779" s="472"/>
      <c r="I779" s="472"/>
      <c r="J779" s="472"/>
      <c r="K779" s="472"/>
      <c r="L779" s="472"/>
      <c r="M779" s="472"/>
      <c r="N779" s="472"/>
      <c r="O779" s="472"/>
      <c r="P779" s="472"/>
      <c r="Q779" s="472"/>
      <c r="R779" s="472"/>
      <c r="S779" s="472"/>
      <c r="T779" s="472"/>
      <c r="U779" s="472"/>
      <c r="V779" s="472"/>
      <c r="W779" s="472"/>
      <c r="X779" s="472"/>
      <c r="Y779" s="472"/>
      <c r="Z779" s="472"/>
      <c r="AA779" s="472"/>
    </row>
    <row r="780" outlineLevel="1">
      <c r="A780" s="484">
        <f>IFERROR(__xludf.DUMMYFUNCTION("""COMPUTED_VALUE"""),1.89056091352E11)</f>
        <v>189056091352</v>
      </c>
      <c r="B780" s="485" t="str">
        <f>IFERROR(__xludf.DUMMYFUNCTION("""COMPUTED_VALUE"""),"NADJA MARA DE SOUSA LOPES")</f>
        <v>NADJA MARA DE SOUSA LOPES</v>
      </c>
      <c r="C780" s="486">
        <f>IFERROR(__xludf.DUMMYFUNCTION("""COMPUTED_VALUE"""),9.0)</f>
        <v>9</v>
      </c>
      <c r="D780" s="487"/>
      <c r="E780" s="486"/>
      <c r="F780" s="486"/>
      <c r="G780" s="472"/>
      <c r="H780" s="472"/>
      <c r="I780" s="472"/>
      <c r="J780" s="472"/>
      <c r="K780" s="472"/>
      <c r="L780" s="472"/>
      <c r="M780" s="472"/>
      <c r="N780" s="472"/>
      <c r="O780" s="472"/>
      <c r="P780" s="472"/>
      <c r="Q780" s="472"/>
      <c r="R780" s="472"/>
      <c r="S780" s="472"/>
      <c r="T780" s="472"/>
      <c r="U780" s="472"/>
      <c r="V780" s="472"/>
      <c r="W780" s="472"/>
      <c r="X780" s="472"/>
      <c r="Y780" s="472"/>
      <c r="Z780" s="472"/>
      <c r="AA780" s="472"/>
    </row>
    <row r="781" outlineLevel="1">
      <c r="A781" s="494">
        <f>IFERROR(__xludf.DUMMYFUNCTION("""COMPUTED_VALUE"""),5.6469092475E10)</f>
        <v>56469092475</v>
      </c>
      <c r="B781" s="485" t="str">
        <f>IFERROR(__xludf.DUMMYFUNCTION("""COMPUTED_VALUE"""),"DENISE MOREIRA LIMA LOBO")</f>
        <v>DENISE MOREIRA LIMA LOBO</v>
      </c>
      <c r="C781" s="486">
        <f>IFERROR(__xludf.DUMMYFUNCTION("""COMPUTED_VALUE"""),9.0)</f>
        <v>9</v>
      </c>
      <c r="D781" s="487"/>
      <c r="E781" s="486"/>
      <c r="F781" s="486"/>
      <c r="G781" s="472"/>
      <c r="H781" s="472"/>
      <c r="I781" s="472"/>
      <c r="J781" s="472"/>
      <c r="K781" s="472"/>
      <c r="L781" s="472"/>
      <c r="M781" s="472"/>
      <c r="N781" s="472"/>
      <c r="O781" s="472"/>
      <c r="P781" s="472"/>
      <c r="Q781" s="472"/>
      <c r="R781" s="472"/>
      <c r="S781" s="472"/>
      <c r="T781" s="472"/>
      <c r="U781" s="472"/>
      <c r="V781" s="472"/>
      <c r="W781" s="472"/>
      <c r="X781" s="472"/>
      <c r="Y781" s="472"/>
      <c r="Z781" s="472"/>
      <c r="AA781" s="472"/>
    </row>
    <row r="782" outlineLevel="1">
      <c r="A782" s="484">
        <f>IFERROR(__xludf.DUMMYFUNCTION("""COMPUTED_VALUE"""),1.49010088743E11)</f>
        <v>149010088743</v>
      </c>
      <c r="B782" s="485" t="str">
        <f>IFERROR(__xludf.DUMMYFUNCTION("""COMPUTED_VALUE"""),"ISABELLA COSTA MARTINS")</f>
        <v>ISABELLA COSTA MARTINS</v>
      </c>
      <c r="C782" s="486">
        <f>IFERROR(__xludf.DUMMYFUNCTION("""COMPUTED_VALUE"""),9.0)</f>
        <v>9</v>
      </c>
      <c r="D782" s="487"/>
      <c r="E782" s="486"/>
      <c r="F782" s="486"/>
      <c r="G782" s="472"/>
      <c r="H782" s="472"/>
      <c r="I782" s="472"/>
      <c r="J782" s="472"/>
      <c r="K782" s="472"/>
      <c r="L782" s="472"/>
      <c r="M782" s="472"/>
      <c r="N782" s="472"/>
      <c r="O782" s="472"/>
      <c r="P782" s="472"/>
      <c r="Q782" s="472"/>
      <c r="R782" s="472"/>
      <c r="S782" s="472"/>
      <c r="T782" s="472"/>
      <c r="U782" s="472"/>
      <c r="V782" s="472"/>
      <c r="W782" s="472"/>
      <c r="X782" s="472"/>
      <c r="Y782" s="472"/>
      <c r="Z782" s="472"/>
      <c r="AA782" s="472"/>
    </row>
    <row r="783" outlineLevel="1">
      <c r="A783" s="484">
        <f>IFERROR(__xludf.DUMMYFUNCTION("""COMPUTED_VALUE"""),3.56620090099E11)</f>
        <v>356620090099</v>
      </c>
      <c r="B783" s="485" t="str">
        <f>IFERROR(__xludf.DUMMYFUNCTION("""COMPUTED_VALUE"""),"CIDIANNA EMANUELLY MELO DO NASCIMENTO")</f>
        <v>CIDIANNA EMANUELLY MELO DO NASCIMENTO</v>
      </c>
      <c r="C783" s="486">
        <f>IFERROR(__xludf.DUMMYFUNCTION("""COMPUTED_VALUE"""),9.0)</f>
        <v>9</v>
      </c>
      <c r="D783" s="487"/>
      <c r="E783" s="486"/>
      <c r="F783" s="486"/>
      <c r="G783" s="472"/>
      <c r="H783" s="472"/>
      <c r="I783" s="472"/>
      <c r="J783" s="472"/>
      <c r="K783" s="472"/>
      <c r="L783" s="472"/>
      <c r="M783" s="472"/>
      <c r="N783" s="472"/>
      <c r="O783" s="472"/>
      <c r="P783" s="472"/>
      <c r="Q783" s="472"/>
      <c r="R783" s="472"/>
      <c r="S783" s="472"/>
      <c r="T783" s="472"/>
      <c r="U783" s="472"/>
      <c r="V783" s="472"/>
      <c r="W783" s="472"/>
      <c r="X783" s="472"/>
      <c r="Y783" s="472"/>
      <c r="Z783" s="472"/>
      <c r="AA783" s="472"/>
    </row>
    <row r="784" outlineLevel="1">
      <c r="A784" s="484">
        <f>IFERROR(__xludf.DUMMYFUNCTION("""COMPUTED_VALUE"""),7.43415089907E11)</f>
        <v>743415089907</v>
      </c>
      <c r="B784" s="485" t="str">
        <f>IFERROR(__xludf.DUMMYFUNCTION("""COMPUTED_VALUE"""),"SHIRLENE TELMOS SILVA DE LIMA")</f>
        <v>SHIRLENE TELMOS SILVA DE LIMA</v>
      </c>
      <c r="C784" s="486">
        <f>IFERROR(__xludf.DUMMYFUNCTION("""COMPUTED_VALUE"""),8.5)</f>
        <v>8.5</v>
      </c>
      <c r="D784" s="487"/>
      <c r="E784" s="486"/>
      <c r="F784" s="486"/>
      <c r="G784" s="472"/>
      <c r="H784" s="472"/>
      <c r="I784" s="472"/>
      <c r="J784" s="472"/>
      <c r="K784" s="472"/>
      <c r="L784" s="472"/>
      <c r="M784" s="472"/>
      <c r="N784" s="472"/>
      <c r="O784" s="472"/>
      <c r="P784" s="472"/>
      <c r="Q784" s="472"/>
      <c r="R784" s="472"/>
      <c r="S784" s="472"/>
      <c r="T784" s="472"/>
      <c r="U784" s="472"/>
      <c r="V784" s="472"/>
      <c r="W784" s="472"/>
      <c r="X784" s="472"/>
      <c r="Y784" s="472"/>
      <c r="Z784" s="472"/>
      <c r="AA784" s="472"/>
    </row>
    <row r="785" outlineLevel="1">
      <c r="A785" s="484">
        <f>IFERROR(__xludf.DUMMYFUNCTION("""COMPUTED_VALUE"""),8.09093091189E11)</f>
        <v>809093091189</v>
      </c>
      <c r="B785" s="485" t="str">
        <f>IFERROR(__xludf.DUMMYFUNCTION("""COMPUTED_VALUE"""),"ALEXANDRE SEMERARO DE ALCÂNTARA NOGUEIRA")</f>
        <v>ALEXANDRE SEMERARO DE ALCÂNTARA NOGUEIRA</v>
      </c>
      <c r="C785" s="486">
        <f>IFERROR(__xludf.DUMMYFUNCTION("""COMPUTED_VALUE"""),8.0)</f>
        <v>8</v>
      </c>
      <c r="D785" s="487"/>
      <c r="E785" s="486"/>
      <c r="F785" s="486"/>
      <c r="G785" s="472"/>
      <c r="H785" s="472"/>
      <c r="I785" s="472"/>
      <c r="J785" s="472"/>
      <c r="K785" s="472"/>
      <c r="L785" s="472"/>
      <c r="M785" s="472"/>
      <c r="N785" s="472"/>
      <c r="O785" s="472"/>
      <c r="P785" s="472"/>
      <c r="Q785" s="472"/>
      <c r="R785" s="472"/>
      <c r="S785" s="472"/>
      <c r="T785" s="472"/>
      <c r="U785" s="472"/>
      <c r="V785" s="472"/>
      <c r="W785" s="472"/>
      <c r="X785" s="472"/>
      <c r="Y785" s="472"/>
      <c r="Z785" s="472"/>
      <c r="AA785" s="472"/>
    </row>
    <row r="786" outlineLevel="1">
      <c r="A786" s="484">
        <f>IFERROR(__xludf.DUMMYFUNCTION("""COMPUTED_VALUE"""),9.7147709293E11)</f>
        <v>971477092930</v>
      </c>
      <c r="B786" s="485" t="str">
        <f>IFERROR(__xludf.DUMMYFUNCTION("""COMPUTED_VALUE"""),"VANESSA XIMENES FARIAS")</f>
        <v>VANESSA XIMENES FARIAS</v>
      </c>
      <c r="C786" s="486">
        <f>IFERROR(__xludf.DUMMYFUNCTION("""COMPUTED_VALUE"""),8.0)</f>
        <v>8</v>
      </c>
      <c r="D786" s="487"/>
      <c r="E786" s="486"/>
      <c r="F786" s="486"/>
      <c r="G786" s="472"/>
      <c r="H786" s="472"/>
      <c r="I786" s="472"/>
      <c r="J786" s="472"/>
      <c r="K786" s="472"/>
      <c r="L786" s="472"/>
      <c r="M786" s="472"/>
      <c r="N786" s="472"/>
      <c r="O786" s="472"/>
      <c r="P786" s="472"/>
      <c r="Q786" s="472"/>
      <c r="R786" s="472"/>
      <c r="S786" s="472"/>
      <c r="T786" s="472"/>
      <c r="U786" s="472"/>
      <c r="V786" s="472"/>
      <c r="W786" s="472"/>
      <c r="X786" s="472"/>
      <c r="Y786" s="472"/>
      <c r="Z786" s="472"/>
      <c r="AA786" s="472"/>
    </row>
    <row r="787" outlineLevel="1">
      <c r="A787" s="484">
        <f>IFERROR(__xludf.DUMMYFUNCTION("""COMPUTED_VALUE"""),8.76077091548E11)</f>
        <v>876077091548</v>
      </c>
      <c r="B787" s="485" t="str">
        <f>IFERROR(__xludf.DUMMYFUNCTION("""COMPUTED_VALUE"""),"CLAUDIA MENDONÇA BEZERRA")</f>
        <v>CLAUDIA MENDONÇA BEZERRA</v>
      </c>
      <c r="C787" s="486">
        <f>IFERROR(__xludf.DUMMYFUNCTION("""COMPUTED_VALUE"""),8.0)</f>
        <v>8</v>
      </c>
      <c r="D787" s="487"/>
      <c r="E787" s="486"/>
      <c r="F787" s="486"/>
      <c r="G787" s="472"/>
      <c r="H787" s="472"/>
      <c r="I787" s="472"/>
      <c r="J787" s="472"/>
      <c r="K787" s="472"/>
      <c r="L787" s="472"/>
      <c r="M787" s="472"/>
      <c r="N787" s="472"/>
      <c r="O787" s="472"/>
      <c r="P787" s="472"/>
      <c r="Q787" s="472"/>
      <c r="R787" s="472"/>
      <c r="S787" s="472"/>
      <c r="T787" s="472"/>
      <c r="U787" s="472"/>
      <c r="V787" s="472"/>
      <c r="W787" s="472"/>
      <c r="X787" s="472"/>
      <c r="Y787" s="472"/>
      <c r="Z787" s="472"/>
      <c r="AA787" s="472"/>
    </row>
    <row r="788" outlineLevel="1">
      <c r="A788" s="484">
        <f>IFERROR(__xludf.DUMMYFUNCTION("""COMPUTED_VALUE"""),5.17400089459E11)</f>
        <v>517400089459</v>
      </c>
      <c r="B788" s="485" t="str">
        <f>IFERROR(__xludf.DUMMYFUNCTION("""COMPUTED_VALUE"""),"RAFAELLA MARIA MONTEIRO SAMPAIO")</f>
        <v>RAFAELLA MARIA MONTEIRO SAMPAIO</v>
      </c>
      <c r="C788" s="486">
        <f>IFERROR(__xludf.DUMMYFUNCTION("""COMPUTED_VALUE"""),8.0)</f>
        <v>8</v>
      </c>
      <c r="D788" s="487"/>
      <c r="E788" s="486"/>
      <c r="F788" s="486"/>
      <c r="G788" s="472"/>
      <c r="H788" s="472"/>
      <c r="I788" s="472"/>
      <c r="J788" s="472"/>
      <c r="K788" s="472"/>
      <c r="L788" s="472"/>
      <c r="M788" s="472"/>
      <c r="N788" s="472"/>
      <c r="O788" s="472"/>
      <c r="P788" s="472"/>
      <c r="Q788" s="472"/>
      <c r="R788" s="472"/>
      <c r="S788" s="472"/>
      <c r="T788" s="472"/>
      <c r="U788" s="472"/>
      <c r="V788" s="472"/>
      <c r="W788" s="472"/>
      <c r="X788" s="472"/>
      <c r="Y788" s="472"/>
      <c r="Z788" s="472"/>
      <c r="AA788" s="472"/>
    </row>
    <row r="789" outlineLevel="1">
      <c r="A789" s="484">
        <f>IFERROR(__xludf.DUMMYFUNCTION("""COMPUTED_VALUE"""),2.20940092199E11)</f>
        <v>220940092199</v>
      </c>
      <c r="B789" s="485" t="str">
        <f>IFERROR(__xludf.DUMMYFUNCTION("""COMPUTED_VALUE"""),"RAQUEL MARTINS DE FREITAS")</f>
        <v>RAQUEL MARTINS DE FREITAS</v>
      </c>
      <c r="C789" s="486">
        <f>IFERROR(__xludf.DUMMYFUNCTION("""COMPUTED_VALUE"""),8.0)</f>
        <v>8</v>
      </c>
      <c r="D789" s="487"/>
      <c r="E789" s="486"/>
      <c r="F789" s="486"/>
      <c r="G789" s="472"/>
      <c r="H789" s="472"/>
      <c r="I789" s="472"/>
      <c r="J789" s="472"/>
      <c r="K789" s="472"/>
      <c r="L789" s="472"/>
      <c r="M789" s="472"/>
      <c r="N789" s="472"/>
      <c r="O789" s="472"/>
      <c r="P789" s="472"/>
      <c r="Q789" s="472"/>
      <c r="R789" s="472"/>
      <c r="S789" s="472"/>
      <c r="T789" s="472"/>
      <c r="U789" s="472"/>
      <c r="V789" s="472"/>
      <c r="W789" s="472"/>
      <c r="X789" s="472"/>
      <c r="Y789" s="472"/>
      <c r="Z789" s="472"/>
      <c r="AA789" s="472"/>
    </row>
    <row r="790" outlineLevel="1">
      <c r="A790" s="484">
        <f>IFERROR(__xludf.DUMMYFUNCTION("""COMPUTED_VALUE"""),5.15931093287E11)</f>
        <v>515931093287</v>
      </c>
      <c r="B790" s="485" t="str">
        <f>IFERROR(__xludf.DUMMYFUNCTION("""COMPUTED_VALUE"""),"SEBASTIANA SHIRLEY DE OLIVEIRA LIMA")</f>
        <v>SEBASTIANA SHIRLEY DE OLIVEIRA LIMA</v>
      </c>
      <c r="C790" s="486">
        <f>IFERROR(__xludf.DUMMYFUNCTION("""COMPUTED_VALUE"""),7.5)</f>
        <v>7.5</v>
      </c>
      <c r="D790" s="487"/>
      <c r="E790" s="486"/>
      <c r="F790" s="486"/>
      <c r="G790" s="472"/>
      <c r="H790" s="472"/>
      <c r="I790" s="472"/>
      <c r="J790" s="472"/>
      <c r="K790" s="472"/>
      <c r="L790" s="472"/>
      <c r="M790" s="472"/>
      <c r="N790" s="472"/>
      <c r="O790" s="472"/>
      <c r="P790" s="472"/>
      <c r="Q790" s="472"/>
      <c r="R790" s="472"/>
      <c r="S790" s="472"/>
      <c r="T790" s="472"/>
      <c r="U790" s="472"/>
      <c r="V790" s="472"/>
      <c r="W790" s="472"/>
      <c r="X790" s="472"/>
      <c r="Y790" s="472"/>
      <c r="Z790" s="472"/>
      <c r="AA790" s="472"/>
    </row>
    <row r="791" outlineLevel="1">
      <c r="A791" s="484">
        <f>IFERROR(__xludf.DUMMYFUNCTION("""COMPUTED_VALUE"""),5.80749092672E11)</f>
        <v>580749092672</v>
      </c>
      <c r="B791" s="485" t="str">
        <f>IFERROR(__xludf.DUMMYFUNCTION("""COMPUTED_VALUE"""),"ANTONIO RODRIGUES FERREIRA JUNIOR")</f>
        <v>ANTONIO RODRIGUES FERREIRA JUNIOR</v>
      </c>
      <c r="C791" s="486">
        <f>IFERROR(__xludf.DUMMYFUNCTION("""COMPUTED_VALUE"""),7.5)</f>
        <v>7.5</v>
      </c>
      <c r="D791" s="487"/>
      <c r="E791" s="486"/>
      <c r="F791" s="486"/>
      <c r="G791" s="472"/>
      <c r="H791" s="472"/>
      <c r="I791" s="472"/>
      <c r="J791" s="472"/>
      <c r="K791" s="472"/>
      <c r="L791" s="472"/>
      <c r="M791" s="472"/>
      <c r="N791" s="472"/>
      <c r="O791" s="472"/>
      <c r="P791" s="472"/>
      <c r="Q791" s="472"/>
      <c r="R791" s="472"/>
      <c r="S791" s="472"/>
      <c r="T791" s="472"/>
      <c r="U791" s="472"/>
      <c r="V791" s="472"/>
      <c r="W791" s="472"/>
      <c r="X791" s="472"/>
      <c r="Y791" s="472"/>
      <c r="Z791" s="472"/>
      <c r="AA791" s="472"/>
    </row>
    <row r="792" outlineLevel="1">
      <c r="A792" s="494">
        <f>IFERROR(__xludf.DUMMYFUNCTION("""COMPUTED_VALUE"""),2.4240091848E10)</f>
        <v>24240091848</v>
      </c>
      <c r="B792" s="485" t="str">
        <f>IFERROR(__xludf.DUMMYFUNCTION("""COMPUTED_VALUE"""),"YHASMINE DELLES OLIVEIRA GARCIA")</f>
        <v>YHASMINE DELLES OLIVEIRA GARCIA</v>
      </c>
      <c r="C792" s="486">
        <f>IFERROR(__xludf.DUMMYFUNCTION("""COMPUTED_VALUE"""),7.5)</f>
        <v>7.5</v>
      </c>
      <c r="D792" s="487"/>
      <c r="E792" s="486"/>
      <c r="F792" s="486"/>
      <c r="G792" s="472"/>
      <c r="H792" s="472"/>
      <c r="I792" s="472"/>
      <c r="J792" s="472"/>
      <c r="K792" s="472"/>
      <c r="L792" s="472"/>
      <c r="M792" s="472"/>
      <c r="N792" s="472"/>
      <c r="O792" s="472"/>
      <c r="P792" s="472"/>
      <c r="Q792" s="472"/>
      <c r="R792" s="472"/>
      <c r="S792" s="472"/>
      <c r="T792" s="472"/>
      <c r="U792" s="472"/>
      <c r="V792" s="472"/>
      <c r="W792" s="472"/>
      <c r="X792" s="472"/>
      <c r="Y792" s="472"/>
      <c r="Z792" s="472"/>
      <c r="AA792" s="472"/>
    </row>
    <row r="793" outlineLevel="1">
      <c r="A793" s="484">
        <f>IFERROR(__xludf.DUMMYFUNCTION("""COMPUTED_VALUE"""),2.72063090598E11)</f>
        <v>272063090598</v>
      </c>
      <c r="B793" s="485" t="str">
        <f>IFERROR(__xludf.DUMMYFUNCTION("""COMPUTED_VALUE"""),"MARIA DE FÁTIMA VASQUES MONTEIRO")</f>
        <v>MARIA DE FÁTIMA VASQUES MONTEIRO</v>
      </c>
      <c r="C793" s="486">
        <f>IFERROR(__xludf.DUMMYFUNCTION("""COMPUTED_VALUE"""),7.0)</f>
        <v>7</v>
      </c>
      <c r="D793" s="487"/>
      <c r="E793" s="486"/>
      <c r="F793" s="486"/>
      <c r="G793" s="472"/>
      <c r="H793" s="472"/>
      <c r="I793" s="472"/>
      <c r="J793" s="472"/>
      <c r="K793" s="472"/>
      <c r="L793" s="472"/>
      <c r="M793" s="472"/>
      <c r="N793" s="472"/>
      <c r="O793" s="472"/>
      <c r="P793" s="472"/>
      <c r="Q793" s="472"/>
      <c r="R793" s="472"/>
      <c r="S793" s="472"/>
      <c r="T793" s="472"/>
      <c r="U793" s="472"/>
      <c r="V793" s="472"/>
      <c r="W793" s="472"/>
      <c r="X793" s="472"/>
      <c r="Y793" s="472"/>
      <c r="Z793" s="472"/>
      <c r="AA793" s="472"/>
    </row>
    <row r="794" outlineLevel="1">
      <c r="A794" s="484">
        <f>IFERROR(__xludf.DUMMYFUNCTION("""COMPUTED_VALUE"""),2.42800091852E11)</f>
        <v>242800091852</v>
      </c>
      <c r="B794" s="485" t="str">
        <f>IFERROR(__xludf.DUMMYFUNCTION("""COMPUTED_VALUE"""),"RAQUEL APARECIDA FERREIRA")</f>
        <v>RAQUEL APARECIDA FERREIRA</v>
      </c>
      <c r="C794" s="486">
        <f>IFERROR(__xludf.DUMMYFUNCTION("""COMPUTED_VALUE"""),6.5)</f>
        <v>6.5</v>
      </c>
      <c r="D794" s="487"/>
      <c r="E794" s="486"/>
      <c r="F794" s="486"/>
      <c r="G794" s="472"/>
      <c r="H794" s="472"/>
      <c r="I794" s="472"/>
      <c r="J794" s="472"/>
      <c r="K794" s="472"/>
      <c r="L794" s="472"/>
      <c r="M794" s="472"/>
      <c r="N794" s="472"/>
      <c r="O794" s="472"/>
      <c r="P794" s="472"/>
      <c r="Q794" s="472"/>
      <c r="R794" s="472"/>
      <c r="S794" s="472"/>
      <c r="T794" s="472"/>
      <c r="U794" s="472"/>
      <c r="V794" s="472"/>
      <c r="W794" s="472"/>
      <c r="X794" s="472"/>
      <c r="Y794" s="472"/>
      <c r="Z794" s="472"/>
      <c r="AA794" s="472"/>
    </row>
    <row r="795" outlineLevel="1">
      <c r="A795" s="484">
        <f>IFERROR(__xludf.DUMMYFUNCTION("""COMPUTED_VALUE"""),1.22647093128E11)</f>
        <v>122647093128</v>
      </c>
      <c r="B795" s="485" t="str">
        <f>IFERROR(__xludf.DUMMYFUNCTION("""COMPUTED_VALUE"""),"HELENIRA FONSECA DE ALENCAR")</f>
        <v>HELENIRA FONSECA DE ALENCAR</v>
      </c>
      <c r="C795" s="486">
        <f>IFERROR(__xludf.DUMMYFUNCTION("""COMPUTED_VALUE"""),6.0)</f>
        <v>6</v>
      </c>
      <c r="D795" s="487"/>
      <c r="E795" s="486"/>
      <c r="F795" s="486"/>
      <c r="G795" s="472"/>
      <c r="H795" s="472"/>
      <c r="I795" s="472"/>
      <c r="J795" s="472"/>
      <c r="K795" s="472"/>
      <c r="L795" s="472"/>
      <c r="M795" s="472"/>
      <c r="N795" s="472"/>
      <c r="O795" s="472"/>
      <c r="P795" s="472"/>
      <c r="Q795" s="472"/>
      <c r="R795" s="472"/>
      <c r="S795" s="472"/>
      <c r="T795" s="472"/>
      <c r="U795" s="472"/>
      <c r="V795" s="472"/>
      <c r="W795" s="472"/>
      <c r="X795" s="472"/>
      <c r="Y795" s="472"/>
      <c r="Z795" s="472"/>
      <c r="AA795" s="472"/>
    </row>
    <row r="796" outlineLevel="1">
      <c r="A796" s="484">
        <f>IFERROR(__xludf.DUMMYFUNCTION("""COMPUTED_VALUE"""),2.10826091663E11)</f>
        <v>210826091663</v>
      </c>
      <c r="B796" s="485" t="str">
        <f>IFERROR(__xludf.DUMMYFUNCTION("""COMPUTED_VALUE"""),"MYKAELLA CRISTINA ANTUNES NUNES")</f>
        <v>MYKAELLA CRISTINA ANTUNES NUNES</v>
      </c>
      <c r="C796" s="486">
        <f>IFERROR(__xludf.DUMMYFUNCTION("""COMPUTED_VALUE"""),6.0)</f>
        <v>6</v>
      </c>
      <c r="D796" s="487"/>
      <c r="E796" s="486"/>
      <c r="F796" s="486"/>
      <c r="G796" s="472"/>
      <c r="H796" s="472"/>
      <c r="I796" s="472"/>
      <c r="J796" s="472"/>
      <c r="K796" s="472"/>
      <c r="L796" s="472"/>
      <c r="M796" s="472"/>
      <c r="N796" s="472"/>
      <c r="O796" s="472"/>
      <c r="P796" s="472"/>
      <c r="Q796" s="472"/>
      <c r="R796" s="472"/>
      <c r="S796" s="472"/>
      <c r="T796" s="472"/>
      <c r="U796" s="472"/>
      <c r="V796" s="472"/>
      <c r="W796" s="472"/>
      <c r="X796" s="472"/>
      <c r="Y796" s="472"/>
      <c r="Z796" s="472"/>
      <c r="AA796" s="472"/>
    </row>
    <row r="797">
      <c r="A797" s="478" t="str">
        <f>IFERROR(__xludf.DUMMYFUNCTION("""COMPUTED_VALUE"""),"VII - DOU - VIOLÊNCIA COM ÊNFASE EM INFÂNCIA E ADOLESCÊNCIA")</f>
        <v>VII - DOU - VIOLÊNCIA COM ÊNFASE EM INFÂNCIA E ADOLESCÊNCIA</v>
      </c>
      <c r="B797" s="479"/>
      <c r="C797" s="479"/>
      <c r="D797" s="479"/>
      <c r="E797" s="479"/>
      <c r="F797" s="480"/>
      <c r="G797" s="472"/>
      <c r="H797" s="472"/>
      <c r="I797" s="472"/>
      <c r="J797" s="472"/>
      <c r="K797" s="472"/>
      <c r="L797" s="472"/>
      <c r="M797" s="472"/>
      <c r="N797" s="472"/>
      <c r="O797" s="472"/>
      <c r="P797" s="472"/>
      <c r="Q797" s="472"/>
      <c r="R797" s="472"/>
      <c r="S797" s="472"/>
      <c r="T797" s="472"/>
      <c r="U797" s="472"/>
      <c r="V797" s="472"/>
      <c r="W797" s="472"/>
      <c r="X797" s="472"/>
      <c r="Y797" s="472"/>
      <c r="Z797" s="472"/>
      <c r="AA797" s="472"/>
    </row>
    <row r="798" outlineLevel="1">
      <c r="A798" s="481" t="str">
        <f>IFERROR(__xludf.DUMMYFUNCTION("""COMPUTED_VALUE"""),"INSCRIÇÃO")</f>
        <v>INSCRIÇÃO</v>
      </c>
      <c r="B798" s="482" t="str">
        <f>IFERROR(__xludf.DUMMYFUNCTION("""COMPUTED_VALUE"""),"CANDIDATOS")</f>
        <v>CANDIDATOS</v>
      </c>
      <c r="C798" s="481" t="str">
        <f>IFERROR(__xludf.DUMMYFUNCTION("""COMPUTED_VALUE"""),"NF")</f>
        <v>NF</v>
      </c>
      <c r="D798" s="483" t="str">
        <f>IFERROR(__xludf.DUMMYFUNCTION("""COMPUTED_VALUE"""),"CONVOCADO(A)")</f>
        <v>CONVOCADO(A)</v>
      </c>
      <c r="E798" s="483" t="str">
        <f>IFERROR(__xludf.DUMMYFUNCTION("""COMPUTED_VALUE"""),"HOMOLOGADO(A)")</f>
        <v>HOMOLOGADO(A)</v>
      </c>
      <c r="F798" s="483" t="str">
        <f>IFERROR(__xludf.DUMMYFUNCTION("""COMPUTED_VALUE"""),"GERÊNCIA")</f>
        <v>GERÊNCIA</v>
      </c>
      <c r="G798" s="472"/>
      <c r="H798" s="472"/>
      <c r="I798" s="472"/>
      <c r="J798" s="472"/>
      <c r="K798" s="472"/>
      <c r="L798" s="472"/>
      <c r="M798" s="472"/>
      <c r="N798" s="472"/>
      <c r="O798" s="472"/>
      <c r="P798" s="472"/>
      <c r="Q798" s="472"/>
      <c r="R798" s="472"/>
      <c r="S798" s="472"/>
      <c r="T798" s="472"/>
      <c r="U798" s="472"/>
      <c r="V798" s="472"/>
      <c r="W798" s="472"/>
      <c r="X798" s="472"/>
      <c r="Y798" s="472"/>
      <c r="Z798" s="472"/>
      <c r="AA798" s="472"/>
    </row>
    <row r="799" outlineLevel="1">
      <c r="A799" s="484">
        <f>IFERROR(__xludf.DUMMYFUNCTION("""COMPUTED_VALUE"""),5.13110088937E11)</f>
        <v>513110088937</v>
      </c>
      <c r="B799" s="485" t="str">
        <f>IFERROR(__xludf.DUMMYFUNCTION("""COMPUTED_VALUE"""),"MARCELO DAVI SANTOS")</f>
        <v>MARCELO DAVI SANTOS</v>
      </c>
      <c r="C799" s="486">
        <f>IFERROR(__xludf.DUMMYFUNCTION("""COMPUTED_VALUE"""),9.0)</f>
        <v>9</v>
      </c>
      <c r="D799" s="487"/>
      <c r="E799" s="486"/>
      <c r="F799" s="488"/>
      <c r="G799" s="472"/>
      <c r="H799" s="472"/>
      <c r="I799" s="472"/>
      <c r="J799" s="472"/>
      <c r="K799" s="472"/>
      <c r="L799" s="472"/>
      <c r="M799" s="472"/>
      <c r="N799" s="472"/>
      <c r="O799" s="472"/>
      <c r="P799" s="472"/>
      <c r="Q799" s="472"/>
      <c r="R799" s="472"/>
      <c r="S799" s="472"/>
      <c r="T799" s="472"/>
      <c r="U799" s="472"/>
      <c r="V799" s="472"/>
      <c r="W799" s="472"/>
      <c r="X799" s="472"/>
      <c r="Y799" s="472"/>
      <c r="Z799" s="472"/>
      <c r="AA799" s="472"/>
    </row>
    <row r="800" outlineLevel="1">
      <c r="A800" s="484">
        <f>IFERROR(__xludf.DUMMYFUNCTION("""COMPUTED_VALUE"""),2.10826091659E11)</f>
        <v>210826091659</v>
      </c>
      <c r="B800" s="485" t="str">
        <f>IFERROR(__xludf.DUMMYFUNCTION("""COMPUTED_VALUE"""),"MYKAELLA CRISTINA ANTUNES NUNES")</f>
        <v>MYKAELLA CRISTINA ANTUNES NUNES</v>
      </c>
      <c r="C800" s="486">
        <f>IFERROR(__xludf.DUMMYFUNCTION("""COMPUTED_VALUE"""),8.0)</f>
        <v>8</v>
      </c>
      <c r="D800" s="487"/>
      <c r="E800" s="486"/>
      <c r="F800" s="488"/>
      <c r="G800" s="472"/>
      <c r="H800" s="472"/>
      <c r="I800" s="472"/>
      <c r="J800" s="472"/>
      <c r="K800" s="472"/>
      <c r="L800" s="472"/>
      <c r="M800" s="472"/>
      <c r="N800" s="472"/>
      <c r="O800" s="472"/>
      <c r="P800" s="472"/>
      <c r="Q800" s="472"/>
      <c r="R800" s="472"/>
      <c r="S800" s="472"/>
      <c r="T800" s="472"/>
      <c r="U800" s="472"/>
      <c r="V800" s="472"/>
      <c r="W800" s="472"/>
      <c r="X800" s="472"/>
      <c r="Y800" s="472"/>
      <c r="Z800" s="472"/>
      <c r="AA800" s="472"/>
    </row>
    <row r="801" outlineLevel="1">
      <c r="A801" s="484">
        <f>IFERROR(__xludf.DUMMYFUNCTION("""COMPUTED_VALUE"""),7.90530091091E11)</f>
        <v>790530091091</v>
      </c>
      <c r="B801" s="485" t="str">
        <f>IFERROR(__xludf.DUMMYFUNCTION("""COMPUTED_VALUE"""),"EMILIE FONTELES BOESMANS")</f>
        <v>EMILIE FONTELES BOESMANS</v>
      </c>
      <c r="C801" s="486">
        <f>IFERROR(__xludf.DUMMYFUNCTION("""COMPUTED_VALUE"""),7.0)</f>
        <v>7</v>
      </c>
      <c r="D801" s="487"/>
      <c r="E801" s="486"/>
      <c r="F801" s="488"/>
      <c r="G801" s="472"/>
      <c r="H801" s="472"/>
      <c r="I801" s="472"/>
      <c r="J801" s="472"/>
      <c r="K801" s="472"/>
      <c r="L801" s="472"/>
      <c r="M801" s="472"/>
      <c r="N801" s="472"/>
      <c r="O801" s="472"/>
      <c r="P801" s="472"/>
      <c r="Q801" s="472"/>
      <c r="R801" s="472"/>
      <c r="S801" s="472"/>
      <c r="T801" s="472"/>
      <c r="U801" s="472"/>
      <c r="V801" s="472"/>
      <c r="W801" s="472"/>
      <c r="X801" s="472"/>
      <c r="Y801" s="472"/>
      <c r="Z801" s="472"/>
      <c r="AA801" s="472"/>
    </row>
    <row r="802">
      <c r="A802" s="478" t="str">
        <f>IFERROR(__xludf.DUMMYFUNCTION("""COMPUTED_VALUE"""),"VIII - DOU - TRANSTORNO DO ESPECTRO AUTISTA (TEA)")</f>
        <v>VIII - DOU - TRANSTORNO DO ESPECTRO AUTISTA (TEA)</v>
      </c>
      <c r="B802" s="479"/>
      <c r="C802" s="479"/>
      <c r="D802" s="479"/>
      <c r="E802" s="479"/>
      <c r="F802" s="480"/>
      <c r="G802" s="472"/>
      <c r="H802" s="472"/>
      <c r="I802" s="472"/>
      <c r="J802" s="472"/>
      <c r="K802" s="472"/>
      <c r="L802" s="472"/>
      <c r="M802" s="472"/>
      <c r="N802" s="472"/>
      <c r="O802" s="472"/>
      <c r="P802" s="472"/>
      <c r="Q802" s="472"/>
      <c r="R802" s="472"/>
      <c r="S802" s="472"/>
      <c r="T802" s="472"/>
      <c r="U802" s="472"/>
      <c r="V802" s="472"/>
      <c r="W802" s="472"/>
      <c r="X802" s="472"/>
      <c r="Y802" s="472"/>
      <c r="Z802" s="472"/>
      <c r="AA802" s="472"/>
    </row>
    <row r="803" outlineLevel="1">
      <c r="A803" s="481" t="str">
        <f>IFERROR(__xludf.DUMMYFUNCTION("""COMPUTED_VALUE"""),"INSCRIÇÃO")</f>
        <v>INSCRIÇÃO</v>
      </c>
      <c r="B803" s="482" t="str">
        <f>IFERROR(__xludf.DUMMYFUNCTION("""COMPUTED_VALUE"""),"CANDIDATOS")</f>
        <v>CANDIDATOS</v>
      </c>
      <c r="C803" s="481" t="str">
        <f>IFERROR(__xludf.DUMMYFUNCTION("""COMPUTED_VALUE"""),"NF")</f>
        <v>NF</v>
      </c>
      <c r="D803" s="483" t="str">
        <f>IFERROR(__xludf.DUMMYFUNCTION("""COMPUTED_VALUE"""),"CONVOCADO(A)")</f>
        <v>CONVOCADO(A)</v>
      </c>
      <c r="E803" s="483" t="str">
        <f>IFERROR(__xludf.DUMMYFUNCTION("""COMPUTED_VALUE"""),"HOMOLOGADO(A)")</f>
        <v>HOMOLOGADO(A)</v>
      </c>
      <c r="F803" s="483" t="str">
        <f>IFERROR(__xludf.DUMMYFUNCTION("""COMPUTED_VALUE"""),"GERÊNCIA")</f>
        <v>GERÊNCIA</v>
      </c>
      <c r="G803" s="472"/>
      <c r="H803" s="472"/>
      <c r="I803" s="472"/>
      <c r="J803" s="472"/>
      <c r="K803" s="472"/>
      <c r="L803" s="472"/>
      <c r="M803" s="472"/>
      <c r="N803" s="472"/>
      <c r="O803" s="472"/>
      <c r="P803" s="472"/>
      <c r="Q803" s="472"/>
      <c r="R803" s="472"/>
      <c r="S803" s="472"/>
      <c r="T803" s="472"/>
      <c r="U803" s="472"/>
      <c r="V803" s="472"/>
      <c r="W803" s="472"/>
      <c r="X803" s="472"/>
      <c r="Y803" s="472"/>
      <c r="Z803" s="472"/>
      <c r="AA803" s="472"/>
    </row>
    <row r="804" outlineLevel="1">
      <c r="A804" s="484">
        <f>IFERROR(__xludf.DUMMYFUNCTION("""COMPUTED_VALUE"""),6.53077092286E11)</f>
        <v>653077092286</v>
      </c>
      <c r="B804" s="485" t="str">
        <f>IFERROR(__xludf.DUMMYFUNCTION("""COMPUTED_VALUE"""),"ANA PATRÍCIA OLIVEIRA MOURA LIMA")</f>
        <v>ANA PATRÍCIA OLIVEIRA MOURA LIMA</v>
      </c>
      <c r="C804" s="486">
        <f>IFERROR(__xludf.DUMMYFUNCTION("""COMPUTED_VALUE"""),9.0)</f>
        <v>9</v>
      </c>
      <c r="D804" s="487"/>
      <c r="E804" s="486"/>
      <c r="F804" s="488"/>
      <c r="G804" s="472"/>
      <c r="H804" s="472"/>
      <c r="I804" s="472"/>
      <c r="J804" s="472"/>
      <c r="K804" s="472"/>
      <c r="L804" s="472"/>
      <c r="M804" s="472"/>
      <c r="N804" s="472"/>
      <c r="O804" s="472"/>
      <c r="P804" s="472"/>
      <c r="Q804" s="472"/>
      <c r="R804" s="472"/>
      <c r="S804" s="472"/>
      <c r="T804" s="472"/>
      <c r="U804" s="472"/>
      <c r="V804" s="472"/>
      <c r="W804" s="472"/>
      <c r="X804" s="472"/>
      <c r="Y804" s="472"/>
      <c r="Z804" s="472"/>
      <c r="AA804" s="472"/>
    </row>
    <row r="805" outlineLevel="1">
      <c r="A805" s="484">
        <f>IFERROR(__xludf.DUMMYFUNCTION("""COMPUTED_VALUE"""),1.16845089443E11)</f>
        <v>116845089443</v>
      </c>
      <c r="B805" s="485" t="str">
        <f>IFERROR(__xludf.DUMMYFUNCTION("""COMPUTED_VALUE"""),"TATIANA PASCHOALETTE RODRIGUES BACHUR")</f>
        <v>TATIANA PASCHOALETTE RODRIGUES BACHUR</v>
      </c>
      <c r="C805" s="486">
        <f>IFERROR(__xludf.DUMMYFUNCTION("""COMPUTED_VALUE"""),6.0)</f>
        <v>6</v>
      </c>
      <c r="D805" s="487"/>
      <c r="E805" s="486"/>
      <c r="F805" s="488"/>
      <c r="G805" s="472"/>
      <c r="H805" s="472"/>
      <c r="I805" s="472"/>
      <c r="J805" s="472"/>
      <c r="K805" s="472"/>
      <c r="L805" s="472"/>
      <c r="M805" s="472"/>
      <c r="N805" s="472"/>
      <c r="O805" s="472"/>
      <c r="P805" s="472"/>
      <c r="Q805" s="472"/>
      <c r="R805" s="472"/>
      <c r="S805" s="472"/>
      <c r="T805" s="472"/>
      <c r="U805" s="472"/>
      <c r="V805" s="472"/>
      <c r="W805" s="472"/>
      <c r="X805" s="472"/>
      <c r="Y805" s="472"/>
      <c r="Z805" s="472"/>
      <c r="AA805" s="472"/>
    </row>
    <row r="806">
      <c r="A806" s="478" t="str">
        <f>IFERROR(__xludf.DUMMYFUNCTION("""COMPUTED_VALUE"""),"IX - DOU - URGÊNCIAS E EMERGÊNCIAS")</f>
        <v>IX - DOU - URGÊNCIAS E EMERGÊNCIAS</v>
      </c>
      <c r="B806" s="479"/>
      <c r="C806" s="479"/>
      <c r="D806" s="479"/>
      <c r="E806" s="479"/>
      <c r="F806" s="480"/>
      <c r="G806" s="472"/>
      <c r="H806" s="472"/>
      <c r="I806" s="472"/>
      <c r="J806" s="472"/>
      <c r="K806" s="472"/>
      <c r="L806" s="472"/>
      <c r="M806" s="472"/>
      <c r="N806" s="472"/>
      <c r="O806" s="472"/>
      <c r="P806" s="472"/>
      <c r="Q806" s="472"/>
      <c r="R806" s="472"/>
      <c r="S806" s="472"/>
      <c r="T806" s="472"/>
      <c r="U806" s="472"/>
      <c r="V806" s="472"/>
      <c r="W806" s="472"/>
      <c r="X806" s="472"/>
      <c r="Y806" s="472"/>
      <c r="Z806" s="472"/>
      <c r="AA806" s="472"/>
    </row>
    <row r="807" outlineLevel="1">
      <c r="A807" s="481" t="str">
        <f>IFERROR(__xludf.DUMMYFUNCTION("""COMPUTED_VALUE"""),"INSCRIÇÃO")</f>
        <v>INSCRIÇÃO</v>
      </c>
      <c r="B807" s="482" t="str">
        <f>IFERROR(__xludf.DUMMYFUNCTION("""COMPUTED_VALUE"""),"CANDIDATOS")</f>
        <v>CANDIDATOS</v>
      </c>
      <c r="C807" s="481" t="str">
        <f>IFERROR(__xludf.DUMMYFUNCTION("""COMPUTED_VALUE"""),"NF")</f>
        <v>NF</v>
      </c>
      <c r="D807" s="483" t="str">
        <f>IFERROR(__xludf.DUMMYFUNCTION("""COMPUTED_VALUE"""),"CONVOCADO(A)")</f>
        <v>CONVOCADO(A)</v>
      </c>
      <c r="E807" s="483" t="str">
        <f>IFERROR(__xludf.DUMMYFUNCTION("""COMPUTED_VALUE"""),"HOMOLOGADO(A)")</f>
        <v>HOMOLOGADO(A)</v>
      </c>
      <c r="F807" s="483" t="str">
        <f>IFERROR(__xludf.DUMMYFUNCTION("""COMPUTED_VALUE"""),"GERÊNCIA")</f>
        <v>GERÊNCIA</v>
      </c>
      <c r="G807" s="472"/>
      <c r="H807" s="472"/>
      <c r="I807" s="472"/>
      <c r="J807" s="472"/>
      <c r="K807" s="472"/>
      <c r="L807" s="472"/>
      <c r="M807" s="472"/>
      <c r="N807" s="472"/>
      <c r="O807" s="472"/>
      <c r="P807" s="472"/>
      <c r="Q807" s="472"/>
      <c r="R807" s="472"/>
      <c r="S807" s="472"/>
      <c r="T807" s="472"/>
      <c r="U807" s="472"/>
      <c r="V807" s="472"/>
      <c r="W807" s="472"/>
      <c r="X807" s="472"/>
      <c r="Y807" s="472"/>
      <c r="Z807" s="472"/>
      <c r="AA807" s="472"/>
    </row>
    <row r="808" outlineLevel="1">
      <c r="A808" s="484">
        <f>IFERROR(__xludf.DUMMYFUNCTION("""COMPUTED_VALUE"""),2.36240092949E11)</f>
        <v>236240092949</v>
      </c>
      <c r="B808" s="485" t="str">
        <f>IFERROR(__xludf.DUMMYFUNCTION("""COMPUTED_VALUE"""),"JULIO CESAR DE AZEVEDO CARVALHAL")</f>
        <v>JULIO CESAR DE AZEVEDO CARVALHAL</v>
      </c>
      <c r="C808" s="486">
        <f>IFERROR(__xludf.DUMMYFUNCTION("""COMPUTED_VALUE"""),10.0)</f>
        <v>10</v>
      </c>
      <c r="D808" s="487"/>
      <c r="E808" s="486"/>
      <c r="F808" s="488"/>
      <c r="G808" s="472"/>
      <c r="H808" s="472"/>
      <c r="I808" s="472"/>
      <c r="J808" s="472"/>
      <c r="K808" s="472"/>
      <c r="L808" s="472"/>
      <c r="M808" s="472"/>
      <c r="N808" s="472"/>
      <c r="O808" s="472"/>
      <c r="P808" s="472"/>
      <c r="Q808" s="472"/>
      <c r="R808" s="472"/>
      <c r="S808" s="472"/>
      <c r="T808" s="472"/>
      <c r="U808" s="472"/>
      <c r="V808" s="472"/>
      <c r="W808" s="472"/>
      <c r="X808" s="472"/>
      <c r="Y808" s="472"/>
      <c r="Z808" s="472"/>
      <c r="AA808" s="472"/>
    </row>
    <row r="809" outlineLevel="1">
      <c r="A809" s="484">
        <f>IFERROR(__xludf.DUMMYFUNCTION("""COMPUTED_VALUE"""),9.50168090616E11)</f>
        <v>950168090616</v>
      </c>
      <c r="B809" s="485" t="str">
        <f>IFERROR(__xludf.DUMMYFUNCTION("""COMPUTED_VALUE"""),"FRANCISMEIRE BRASILEIRO MAGALHÃES BARBOZA")</f>
        <v>FRANCISMEIRE BRASILEIRO MAGALHÃES BARBOZA</v>
      </c>
      <c r="C809" s="486">
        <f>IFERROR(__xludf.DUMMYFUNCTION("""COMPUTED_VALUE"""),10.0)</f>
        <v>10</v>
      </c>
      <c r="D809" s="487"/>
      <c r="E809" s="486"/>
      <c r="F809" s="488"/>
      <c r="G809" s="472"/>
      <c r="H809" s="472"/>
      <c r="I809" s="472"/>
      <c r="J809" s="472"/>
      <c r="K809" s="472"/>
      <c r="L809" s="472"/>
      <c r="M809" s="472"/>
      <c r="N809" s="472"/>
      <c r="O809" s="472"/>
      <c r="P809" s="472"/>
      <c r="Q809" s="472"/>
      <c r="R809" s="472"/>
      <c r="S809" s="472"/>
      <c r="T809" s="472"/>
      <c r="U809" s="472"/>
      <c r="V809" s="472"/>
      <c r="W809" s="472"/>
      <c r="X809" s="472"/>
      <c r="Y809" s="472"/>
      <c r="Z809" s="472"/>
      <c r="AA809" s="472"/>
    </row>
    <row r="810" outlineLevel="1">
      <c r="A810" s="484">
        <f>IFERROR(__xludf.DUMMYFUNCTION("""COMPUTED_VALUE"""),4.93953090567E11)</f>
        <v>493953090567</v>
      </c>
      <c r="B810" s="485" t="str">
        <f>IFERROR(__xludf.DUMMYFUNCTION("""COMPUTED_VALUE"""),"CLEONEIDE PAULO OLIVEIRA PINHEIRO")</f>
        <v>CLEONEIDE PAULO OLIVEIRA PINHEIRO</v>
      </c>
      <c r="C810" s="486">
        <f>IFERROR(__xludf.DUMMYFUNCTION("""COMPUTED_VALUE"""),8.0)</f>
        <v>8</v>
      </c>
      <c r="D810" s="487"/>
      <c r="E810" s="486"/>
      <c r="F810" s="488"/>
      <c r="G810" s="472"/>
      <c r="H810" s="472"/>
      <c r="I810" s="472"/>
      <c r="J810" s="472"/>
      <c r="K810" s="472"/>
      <c r="L810" s="472"/>
      <c r="M810" s="472"/>
      <c r="N810" s="472"/>
      <c r="O810" s="472"/>
      <c r="P810" s="472"/>
      <c r="Q810" s="472"/>
      <c r="R810" s="472"/>
      <c r="S810" s="472"/>
      <c r="T810" s="472"/>
      <c r="U810" s="472"/>
      <c r="V810" s="472"/>
      <c r="W810" s="472"/>
      <c r="X810" s="472"/>
      <c r="Y810" s="472"/>
      <c r="Z810" s="472"/>
      <c r="AA810" s="472"/>
    </row>
    <row r="811" outlineLevel="1">
      <c r="A811" s="484">
        <f>IFERROR(__xludf.DUMMYFUNCTION("""COMPUTED_VALUE"""),4.21800088597E11)</f>
        <v>421800088597</v>
      </c>
      <c r="B811" s="485" t="str">
        <f>IFERROR(__xludf.DUMMYFUNCTION("""COMPUTED_VALUE"""),"JULIANA MAGALHAES DA CUNHA REGO")</f>
        <v>JULIANA MAGALHAES DA CUNHA REGO</v>
      </c>
      <c r="C811" s="486">
        <f>IFERROR(__xludf.DUMMYFUNCTION("""COMPUTED_VALUE"""),7.0)</f>
        <v>7</v>
      </c>
      <c r="D811" s="487"/>
      <c r="E811" s="486"/>
      <c r="F811" s="488"/>
      <c r="G811" s="472"/>
      <c r="H811" s="472"/>
      <c r="I811" s="472"/>
      <c r="J811" s="472"/>
      <c r="K811" s="472"/>
      <c r="L811" s="472"/>
      <c r="M811" s="472"/>
      <c r="N811" s="472"/>
      <c r="O811" s="472"/>
      <c r="P811" s="472"/>
      <c r="Q811" s="472"/>
      <c r="R811" s="472"/>
      <c r="S811" s="472"/>
      <c r="T811" s="472"/>
      <c r="U811" s="472"/>
      <c r="V811" s="472"/>
      <c r="W811" s="472"/>
      <c r="X811" s="472"/>
      <c r="Y811" s="472"/>
      <c r="Z811" s="472"/>
      <c r="AA811" s="472"/>
    </row>
    <row r="812" outlineLevel="1">
      <c r="A812" s="484">
        <f>IFERROR(__xludf.DUMMYFUNCTION("""COMPUTED_VALUE"""),9.73220091197E11)</f>
        <v>973220091197</v>
      </c>
      <c r="B812" s="485" t="str">
        <f>IFERROR(__xludf.DUMMYFUNCTION("""COMPUTED_VALUE"""),"CAMILA ANDRADE MENDES MEDEIROS")</f>
        <v>CAMILA ANDRADE MENDES MEDEIROS</v>
      </c>
      <c r="C812" s="486">
        <f>IFERROR(__xludf.DUMMYFUNCTION("""COMPUTED_VALUE"""),6.0)</f>
        <v>6</v>
      </c>
      <c r="D812" s="487"/>
      <c r="E812" s="486"/>
      <c r="F812" s="488"/>
      <c r="G812" s="472"/>
      <c r="H812" s="472"/>
      <c r="I812" s="472"/>
      <c r="J812" s="472"/>
      <c r="K812" s="472"/>
      <c r="L812" s="472"/>
      <c r="M812" s="472"/>
      <c r="N812" s="472"/>
      <c r="O812" s="472"/>
      <c r="P812" s="472"/>
      <c r="Q812" s="472"/>
      <c r="R812" s="472"/>
      <c r="S812" s="472"/>
      <c r="T812" s="472"/>
      <c r="U812" s="472"/>
      <c r="V812" s="472"/>
      <c r="W812" s="472"/>
      <c r="X812" s="472"/>
      <c r="Y812" s="472"/>
      <c r="Z812" s="472"/>
      <c r="AA812" s="472"/>
    </row>
    <row r="813">
      <c r="A813" s="478" t="str">
        <f>IFERROR(__xludf.DUMMYFUNCTION("""COMPUTED_VALUE"""),"X - DOU - TRANSPLANTES")</f>
        <v>X - DOU - TRANSPLANTES</v>
      </c>
      <c r="B813" s="479"/>
      <c r="C813" s="479"/>
      <c r="D813" s="479"/>
      <c r="E813" s="479"/>
      <c r="F813" s="480"/>
      <c r="G813" s="472"/>
      <c r="H813" s="472"/>
      <c r="I813" s="472"/>
      <c r="J813" s="472"/>
      <c r="K813" s="472"/>
      <c r="L813" s="472"/>
      <c r="M813" s="472"/>
      <c r="N813" s="472"/>
      <c r="O813" s="472"/>
      <c r="P813" s="472"/>
      <c r="Q813" s="472"/>
      <c r="R813" s="472"/>
      <c r="S813" s="472"/>
      <c r="T813" s="472"/>
      <c r="U813" s="472"/>
      <c r="V813" s="472"/>
      <c r="W813" s="472"/>
      <c r="X813" s="472"/>
      <c r="Y813" s="472"/>
      <c r="Z813" s="472"/>
      <c r="AA813" s="472"/>
    </row>
    <row r="814" outlineLevel="1">
      <c r="A814" s="481" t="str">
        <f>IFERROR(__xludf.DUMMYFUNCTION("""COMPUTED_VALUE"""),"INSCRIÇÃO")</f>
        <v>INSCRIÇÃO</v>
      </c>
      <c r="B814" s="482" t="str">
        <f>IFERROR(__xludf.DUMMYFUNCTION("""COMPUTED_VALUE"""),"CANDIDATOS")</f>
        <v>CANDIDATOS</v>
      </c>
      <c r="C814" s="481" t="str">
        <f>IFERROR(__xludf.DUMMYFUNCTION("""COMPUTED_VALUE"""),"NF")</f>
        <v>NF</v>
      </c>
      <c r="D814" s="483" t="str">
        <f>IFERROR(__xludf.DUMMYFUNCTION("""COMPUTED_VALUE"""),"CONVOCADO(A)")</f>
        <v>CONVOCADO(A)</v>
      </c>
      <c r="E814" s="483" t="str">
        <f>IFERROR(__xludf.DUMMYFUNCTION("""COMPUTED_VALUE"""),"HOMOLOGADO(A)")</f>
        <v>HOMOLOGADO(A)</v>
      </c>
      <c r="F814" s="483" t="str">
        <f>IFERROR(__xludf.DUMMYFUNCTION("""COMPUTED_VALUE"""),"GERÊNCIA")</f>
        <v>GERÊNCIA</v>
      </c>
      <c r="G814" s="472"/>
      <c r="H814" s="472"/>
      <c r="I814" s="472"/>
      <c r="J814" s="472"/>
      <c r="K814" s="472"/>
      <c r="L814" s="472"/>
      <c r="M814" s="472"/>
      <c r="N814" s="472"/>
      <c r="O814" s="472"/>
      <c r="P814" s="472"/>
      <c r="Q814" s="472"/>
      <c r="R814" s="472"/>
      <c r="S814" s="472"/>
      <c r="T814" s="472"/>
      <c r="U814" s="472"/>
      <c r="V814" s="472"/>
      <c r="W814" s="472"/>
      <c r="X814" s="472"/>
      <c r="Y814" s="472"/>
      <c r="Z814" s="472"/>
      <c r="AA814" s="472"/>
    </row>
    <row r="815" outlineLevel="1">
      <c r="A815" s="484">
        <f>IFERROR(__xludf.DUMMYFUNCTION("""COMPUTED_VALUE"""),9.71477092931E11)</f>
        <v>971477092931</v>
      </c>
      <c r="B815" s="485" t="str">
        <f>IFERROR(__xludf.DUMMYFUNCTION("""COMPUTED_VALUE"""),"VANESSA XIMENES FARIAS")</f>
        <v>VANESSA XIMENES FARIAS</v>
      </c>
      <c r="C815" s="486">
        <f>IFERROR(__xludf.DUMMYFUNCTION("""COMPUTED_VALUE"""),10.0)</f>
        <v>10</v>
      </c>
      <c r="D815" s="487"/>
      <c r="E815" s="486"/>
      <c r="F815" s="488"/>
      <c r="G815" s="472"/>
      <c r="H815" s="472"/>
      <c r="I815" s="472"/>
      <c r="J815" s="472"/>
      <c r="K815" s="472"/>
      <c r="L815" s="472"/>
      <c r="M815" s="472"/>
      <c r="N815" s="472"/>
      <c r="O815" s="472"/>
      <c r="P815" s="472"/>
      <c r="Q815" s="472"/>
      <c r="R815" s="472"/>
      <c r="S815" s="472"/>
      <c r="T815" s="472"/>
      <c r="U815" s="472"/>
      <c r="V815" s="472"/>
      <c r="W815" s="472"/>
      <c r="X815" s="472"/>
      <c r="Y815" s="472"/>
      <c r="Z815" s="472"/>
      <c r="AA815" s="472"/>
    </row>
    <row r="816" outlineLevel="1">
      <c r="A816" s="484">
        <f>IFERROR(__xludf.DUMMYFUNCTION("""COMPUTED_VALUE"""),1.3220808962E11)</f>
        <v>132208089620</v>
      </c>
      <c r="B816" s="485" t="str">
        <f>IFERROR(__xludf.DUMMYFUNCTION("""COMPUTED_VALUE"""),"AGLAUVANIR SOARES BARBOSA")</f>
        <v>AGLAUVANIR SOARES BARBOSA</v>
      </c>
      <c r="C816" s="486">
        <f>IFERROR(__xludf.DUMMYFUNCTION("""COMPUTED_VALUE"""),9.5)</f>
        <v>9.5</v>
      </c>
      <c r="D816" s="487"/>
      <c r="E816" s="486"/>
      <c r="F816" s="488"/>
      <c r="G816" s="472"/>
      <c r="H816" s="472"/>
      <c r="I816" s="472"/>
      <c r="J816" s="472"/>
      <c r="K816" s="472"/>
      <c r="L816" s="472"/>
      <c r="M816" s="472"/>
      <c r="N816" s="472"/>
      <c r="O816" s="472"/>
      <c r="P816" s="472"/>
      <c r="Q816" s="472"/>
      <c r="R816" s="472"/>
      <c r="S816" s="472"/>
      <c r="T816" s="472"/>
      <c r="U816" s="472"/>
      <c r="V816" s="472"/>
      <c r="W816" s="472"/>
      <c r="X816" s="472"/>
      <c r="Y816" s="472"/>
      <c r="Z816" s="472"/>
      <c r="AA816" s="472"/>
    </row>
    <row r="817" outlineLevel="1">
      <c r="A817" s="484">
        <f>IFERROR(__xludf.DUMMYFUNCTION("""COMPUTED_VALUE"""),7.16030090924E11)</f>
        <v>716030090924</v>
      </c>
      <c r="B817" s="485" t="str">
        <f>IFERROR(__xludf.DUMMYFUNCTION("""COMPUTED_VALUE"""),"NAIDHIA ALVES SOARES FERREIRA")</f>
        <v>NAIDHIA ALVES SOARES FERREIRA</v>
      </c>
      <c r="C817" s="486">
        <f>IFERROR(__xludf.DUMMYFUNCTION("""COMPUTED_VALUE"""),7.0)</f>
        <v>7</v>
      </c>
      <c r="D817" s="487"/>
      <c r="E817" s="486"/>
      <c r="F817" s="488"/>
      <c r="G817" s="472"/>
      <c r="H817" s="472"/>
      <c r="I817" s="472"/>
      <c r="J817" s="472"/>
      <c r="K817" s="472"/>
      <c r="L817" s="472"/>
      <c r="M817" s="472"/>
      <c r="N817" s="472"/>
      <c r="O817" s="472"/>
      <c r="P817" s="472"/>
      <c r="Q817" s="472"/>
      <c r="R817" s="472"/>
      <c r="S817" s="472"/>
      <c r="T817" s="472"/>
      <c r="U817" s="472"/>
      <c r="V817" s="472"/>
      <c r="W817" s="472"/>
      <c r="X817" s="472"/>
      <c r="Y817" s="472"/>
      <c r="Z817" s="472"/>
      <c r="AA817" s="472"/>
    </row>
    <row r="818">
      <c r="A818" s="478" t="str">
        <f>IFERROR(__xludf.DUMMYFUNCTION("""COMPUTED_VALUE"""),"XI - DOU - MATERNO-INFANTIL")</f>
        <v>XI - DOU - MATERNO-INFANTIL</v>
      </c>
      <c r="B818" s="479"/>
      <c r="C818" s="479"/>
      <c r="D818" s="479"/>
      <c r="E818" s="479"/>
      <c r="F818" s="480"/>
      <c r="G818" s="472"/>
      <c r="H818" s="472"/>
      <c r="I818" s="472"/>
      <c r="J818" s="472"/>
      <c r="K818" s="472"/>
      <c r="L818" s="472"/>
      <c r="M818" s="472"/>
      <c r="N818" s="472"/>
      <c r="O818" s="472"/>
      <c r="P818" s="472"/>
      <c r="Q818" s="472"/>
      <c r="R818" s="472"/>
      <c r="S818" s="472"/>
      <c r="T818" s="472"/>
      <c r="U818" s="472"/>
      <c r="V818" s="472"/>
      <c r="W818" s="472"/>
      <c r="X818" s="472"/>
      <c r="Y818" s="472"/>
      <c r="Z818" s="472"/>
      <c r="AA818" s="472"/>
    </row>
    <row r="819" outlineLevel="1">
      <c r="A819" s="481" t="str">
        <f>IFERROR(__xludf.DUMMYFUNCTION("""COMPUTED_VALUE"""),"INSCRIÇÃO")</f>
        <v>INSCRIÇÃO</v>
      </c>
      <c r="B819" s="482" t="str">
        <f>IFERROR(__xludf.DUMMYFUNCTION("""COMPUTED_VALUE"""),"CANDIDATOS")</f>
        <v>CANDIDATOS</v>
      </c>
      <c r="C819" s="481" t="str">
        <f>IFERROR(__xludf.DUMMYFUNCTION("""COMPUTED_VALUE"""),"NF")</f>
        <v>NF</v>
      </c>
      <c r="D819" s="483" t="str">
        <f>IFERROR(__xludf.DUMMYFUNCTION("""COMPUTED_VALUE"""),"CONVOCADO(A)")</f>
        <v>CONVOCADO(A)</v>
      </c>
      <c r="E819" s="483" t="str">
        <f>IFERROR(__xludf.DUMMYFUNCTION("""COMPUTED_VALUE"""),"HOMOLOGADO(A)")</f>
        <v>HOMOLOGADO(A)</v>
      </c>
      <c r="F819" s="483" t="str">
        <f>IFERROR(__xludf.DUMMYFUNCTION("""COMPUTED_VALUE"""),"GERÊNCIA")</f>
        <v>GERÊNCIA</v>
      </c>
      <c r="G819" s="472"/>
      <c r="H819" s="472"/>
      <c r="I819" s="472"/>
      <c r="J819" s="472"/>
      <c r="K819" s="472"/>
      <c r="L819" s="472"/>
      <c r="M819" s="472"/>
      <c r="N819" s="472"/>
      <c r="O819" s="472"/>
      <c r="P819" s="472"/>
      <c r="Q819" s="472"/>
      <c r="R819" s="472"/>
      <c r="S819" s="472"/>
      <c r="T819" s="472"/>
      <c r="U819" s="472"/>
      <c r="V819" s="472"/>
      <c r="W819" s="472"/>
      <c r="X819" s="472"/>
      <c r="Y819" s="472"/>
      <c r="Z819" s="472"/>
      <c r="AA819" s="472"/>
    </row>
    <row r="820" outlineLevel="1">
      <c r="A820" s="484">
        <f>IFERROR(__xludf.DUMMYFUNCTION("""COMPUTED_VALUE"""),6.16250091033E11)</f>
        <v>616250091033</v>
      </c>
      <c r="B820" s="485" t="str">
        <f>IFERROR(__xludf.DUMMYFUNCTION("""COMPUTED_VALUE"""),"CATIA MARTINEZ MINTO")</f>
        <v>CATIA MARTINEZ MINTO</v>
      </c>
      <c r="C820" s="486">
        <f>IFERROR(__xludf.DUMMYFUNCTION("""COMPUTED_VALUE"""),10.0)</f>
        <v>10</v>
      </c>
      <c r="D820" s="487"/>
      <c r="E820" s="486"/>
      <c r="F820" s="488"/>
      <c r="G820" s="472"/>
      <c r="H820" s="472"/>
      <c r="I820" s="472"/>
      <c r="J820" s="472"/>
      <c r="K820" s="472"/>
      <c r="L820" s="472"/>
      <c r="M820" s="472"/>
      <c r="N820" s="472"/>
      <c r="O820" s="472"/>
      <c r="P820" s="472"/>
      <c r="Q820" s="472"/>
      <c r="R820" s="472"/>
      <c r="S820" s="472"/>
      <c r="T820" s="472"/>
      <c r="U820" s="472"/>
      <c r="V820" s="472"/>
      <c r="W820" s="472"/>
      <c r="X820" s="472"/>
      <c r="Y820" s="472"/>
      <c r="Z820" s="472"/>
      <c r="AA820" s="472"/>
    </row>
    <row r="821" outlineLevel="1">
      <c r="A821" s="484">
        <f>IFERROR(__xludf.DUMMYFUNCTION("""COMPUTED_VALUE"""),2.25232089714E11)</f>
        <v>225232089714</v>
      </c>
      <c r="B821" s="485" t="str">
        <f>IFERROR(__xludf.DUMMYFUNCTION("""COMPUTED_VALUE"""),"ANA PAULA CAVALCANTE RAMALHO BRILHANTE")</f>
        <v>ANA PAULA CAVALCANTE RAMALHO BRILHANTE</v>
      </c>
      <c r="C821" s="486">
        <f>IFERROR(__xludf.DUMMYFUNCTION("""COMPUTED_VALUE"""),10.0)</f>
        <v>10</v>
      </c>
      <c r="D821" s="487"/>
      <c r="E821" s="486"/>
      <c r="F821" s="488"/>
      <c r="G821" s="472"/>
      <c r="H821" s="472"/>
      <c r="I821" s="472"/>
      <c r="J821" s="472"/>
      <c r="K821" s="472"/>
      <c r="L821" s="472"/>
      <c r="M821" s="472"/>
      <c r="N821" s="472"/>
      <c r="O821" s="472"/>
      <c r="P821" s="472"/>
      <c r="Q821" s="472"/>
      <c r="R821" s="472"/>
      <c r="S821" s="472"/>
      <c r="T821" s="472"/>
      <c r="U821" s="472"/>
      <c r="V821" s="472"/>
      <c r="W821" s="472"/>
      <c r="X821" s="472"/>
      <c r="Y821" s="472"/>
      <c r="Z821" s="472"/>
      <c r="AA821" s="472"/>
    </row>
    <row r="822" outlineLevel="1">
      <c r="A822" s="484">
        <f>IFERROR(__xludf.DUMMYFUNCTION("""COMPUTED_VALUE"""),5.80749092675E11)</f>
        <v>580749092675</v>
      </c>
      <c r="B822" s="485" t="str">
        <f>IFERROR(__xludf.DUMMYFUNCTION("""COMPUTED_VALUE"""),"ANTONIO RODRIGUES FERREIRA JUNIOR")</f>
        <v>ANTONIO RODRIGUES FERREIRA JUNIOR</v>
      </c>
      <c r="C822" s="486">
        <f>IFERROR(__xludf.DUMMYFUNCTION("""COMPUTED_VALUE"""),10.0)</f>
        <v>10</v>
      </c>
      <c r="D822" s="487"/>
      <c r="E822" s="486"/>
      <c r="F822" s="488"/>
      <c r="G822" s="472"/>
      <c r="H822" s="472"/>
      <c r="I822" s="472"/>
      <c r="J822" s="472"/>
      <c r="K822" s="472"/>
      <c r="L822" s="472"/>
      <c r="M822" s="472"/>
      <c r="N822" s="472"/>
      <c r="O822" s="472"/>
      <c r="P822" s="472"/>
      <c r="Q822" s="472"/>
      <c r="R822" s="472"/>
      <c r="S822" s="472"/>
      <c r="T822" s="472"/>
      <c r="U822" s="472"/>
      <c r="V822" s="472"/>
      <c r="W822" s="472"/>
      <c r="X822" s="472"/>
      <c r="Y822" s="472"/>
      <c r="Z822" s="472"/>
      <c r="AA822" s="472"/>
    </row>
    <row r="823" outlineLevel="1">
      <c r="A823" s="484">
        <f>IFERROR(__xludf.DUMMYFUNCTION("""COMPUTED_VALUE"""),5.1740008946E11)</f>
        <v>517400089460</v>
      </c>
      <c r="B823" s="485" t="str">
        <f>IFERROR(__xludf.DUMMYFUNCTION("""COMPUTED_VALUE"""),"RAFAELLA MARIA MONTEIRO SAMPAIO")</f>
        <v>RAFAELLA MARIA MONTEIRO SAMPAIO</v>
      </c>
      <c r="C823" s="486">
        <f>IFERROR(__xludf.DUMMYFUNCTION("""COMPUTED_VALUE"""),10.0)</f>
        <v>10</v>
      </c>
      <c r="D823" s="487"/>
      <c r="E823" s="486"/>
      <c r="F823" s="488"/>
      <c r="G823" s="472"/>
      <c r="H823" s="472"/>
      <c r="I823" s="472"/>
      <c r="J823" s="472"/>
      <c r="K823" s="472"/>
      <c r="L823" s="472"/>
      <c r="M823" s="472"/>
      <c r="N823" s="472"/>
      <c r="O823" s="472"/>
      <c r="P823" s="472"/>
      <c r="Q823" s="472"/>
      <c r="R823" s="472"/>
      <c r="S823" s="472"/>
      <c r="T823" s="472"/>
      <c r="U823" s="472"/>
      <c r="V823" s="472"/>
      <c r="W823" s="472"/>
      <c r="X823" s="472"/>
      <c r="Y823" s="472"/>
      <c r="Z823" s="472"/>
      <c r="AA823" s="472"/>
    </row>
    <row r="824" outlineLevel="1">
      <c r="A824" s="494">
        <f>IFERROR(__xludf.DUMMYFUNCTION("""COMPUTED_VALUE"""),1.7334091115E10)</f>
        <v>17334091115</v>
      </c>
      <c r="B824" s="485" t="str">
        <f>IFERROR(__xludf.DUMMYFUNCTION("""COMPUTED_VALUE"""),"ANA CRISTINA MARTINS UHCOA LOPES")</f>
        <v>ANA CRISTINA MARTINS UHCOA LOPES</v>
      </c>
      <c r="C824" s="486">
        <f>IFERROR(__xludf.DUMMYFUNCTION("""COMPUTED_VALUE"""),10.0)</f>
        <v>10</v>
      </c>
      <c r="D824" s="487"/>
      <c r="E824" s="486"/>
      <c r="F824" s="488"/>
      <c r="G824" s="472"/>
      <c r="H824" s="472"/>
      <c r="I824" s="472"/>
      <c r="J824" s="472"/>
      <c r="K824" s="472"/>
      <c r="L824" s="472"/>
      <c r="M824" s="472"/>
      <c r="N824" s="472"/>
      <c r="O824" s="472"/>
      <c r="P824" s="472"/>
      <c r="Q824" s="472"/>
      <c r="R824" s="472"/>
      <c r="S824" s="472"/>
      <c r="T824" s="472"/>
      <c r="U824" s="472"/>
      <c r="V824" s="472"/>
      <c r="W824" s="472"/>
      <c r="X824" s="472"/>
      <c r="Y824" s="472"/>
      <c r="Z824" s="472"/>
      <c r="AA824" s="472"/>
    </row>
    <row r="825" outlineLevel="1">
      <c r="A825" s="484">
        <f>IFERROR(__xludf.DUMMYFUNCTION("""COMPUTED_VALUE"""),2.10910088545E11)</f>
        <v>210910088545</v>
      </c>
      <c r="B825" s="485" t="str">
        <f>IFERROR(__xludf.DUMMYFUNCTION("""COMPUTED_VALUE"""),"EVELINY SILVA MARTINS")</f>
        <v>EVELINY SILVA MARTINS</v>
      </c>
      <c r="C825" s="486">
        <f>IFERROR(__xludf.DUMMYFUNCTION("""COMPUTED_VALUE"""),10.0)</f>
        <v>10</v>
      </c>
      <c r="D825" s="487"/>
      <c r="E825" s="486"/>
      <c r="F825" s="488"/>
      <c r="G825" s="472"/>
      <c r="H825" s="472"/>
      <c r="I825" s="472"/>
      <c r="J825" s="472"/>
      <c r="K825" s="472"/>
      <c r="L825" s="472"/>
      <c r="M825" s="472"/>
      <c r="N825" s="472"/>
      <c r="O825" s="472"/>
      <c r="P825" s="472"/>
      <c r="Q825" s="472"/>
      <c r="R825" s="472"/>
      <c r="S825" s="472"/>
      <c r="T825" s="472"/>
      <c r="U825" s="472"/>
      <c r="V825" s="472"/>
      <c r="W825" s="472"/>
      <c r="X825" s="472"/>
      <c r="Y825" s="472"/>
      <c r="Z825" s="472"/>
      <c r="AA825" s="472"/>
    </row>
    <row r="826" outlineLevel="1">
      <c r="A826" s="494">
        <f>IFERROR(__xludf.DUMMYFUNCTION("""COMPUTED_VALUE"""),2.2758090148E10)</f>
        <v>22758090148</v>
      </c>
      <c r="B826" s="485" t="str">
        <f>IFERROR(__xludf.DUMMYFUNCTION("""COMPUTED_VALUE"""),"ANA CAROLINA MONTENEGRO CAVALCANTE")</f>
        <v>ANA CAROLINA MONTENEGRO CAVALCANTE</v>
      </c>
      <c r="C826" s="486">
        <f>IFERROR(__xludf.DUMMYFUNCTION("""COMPUTED_VALUE"""),9.0)</f>
        <v>9</v>
      </c>
      <c r="D826" s="487"/>
      <c r="E826" s="486"/>
      <c r="F826" s="488"/>
      <c r="G826" s="472"/>
      <c r="H826" s="472"/>
      <c r="I826" s="472"/>
      <c r="J826" s="472"/>
      <c r="K826" s="472"/>
      <c r="L826" s="472"/>
      <c r="M826" s="472"/>
      <c r="N826" s="472"/>
      <c r="O826" s="472"/>
      <c r="P826" s="472"/>
      <c r="Q826" s="472"/>
      <c r="R826" s="472"/>
      <c r="S826" s="472"/>
      <c r="T826" s="472"/>
      <c r="U826" s="472"/>
      <c r="V826" s="472"/>
      <c r="W826" s="472"/>
      <c r="X826" s="472"/>
      <c r="Y826" s="472"/>
      <c r="Z826" s="472"/>
      <c r="AA826" s="472"/>
    </row>
    <row r="827" outlineLevel="1">
      <c r="A827" s="484">
        <f>IFERROR(__xludf.DUMMYFUNCTION("""COMPUTED_VALUE"""),2.10826091661E11)</f>
        <v>210826091661</v>
      </c>
      <c r="B827" s="485" t="str">
        <f>IFERROR(__xludf.DUMMYFUNCTION("""COMPUTED_VALUE"""),"MYKAELLA CRISTINA ANTUNES NUNES")</f>
        <v>MYKAELLA CRISTINA ANTUNES NUNES</v>
      </c>
      <c r="C827" s="486">
        <f>IFERROR(__xludf.DUMMYFUNCTION("""COMPUTED_VALUE"""),9.0)</f>
        <v>9</v>
      </c>
      <c r="D827" s="487"/>
      <c r="E827" s="486"/>
      <c r="F827" s="488"/>
      <c r="G827" s="472"/>
      <c r="H827" s="472"/>
      <c r="I827" s="472"/>
      <c r="J827" s="472"/>
      <c r="K827" s="472"/>
      <c r="L827" s="472"/>
      <c r="M827" s="472"/>
      <c r="N827" s="472"/>
      <c r="O827" s="472"/>
      <c r="P827" s="472"/>
      <c r="Q827" s="472"/>
      <c r="R827" s="472"/>
      <c r="S827" s="472"/>
      <c r="T827" s="472"/>
      <c r="U827" s="472"/>
      <c r="V827" s="472"/>
      <c r="W827" s="472"/>
      <c r="X827" s="472"/>
      <c r="Y827" s="472"/>
      <c r="Z827" s="472"/>
      <c r="AA827" s="472"/>
    </row>
    <row r="828" outlineLevel="1">
      <c r="A828" s="484">
        <f>IFERROR(__xludf.DUMMYFUNCTION("""COMPUTED_VALUE"""),5.88802088714E11)</f>
        <v>588802088714</v>
      </c>
      <c r="B828" s="485" t="str">
        <f>IFERROR(__xludf.DUMMYFUNCTION("""COMPUTED_VALUE"""),"WELLINGTON SOUSA AGUIAR")</f>
        <v>WELLINGTON SOUSA AGUIAR</v>
      </c>
      <c r="C828" s="486">
        <f>IFERROR(__xludf.DUMMYFUNCTION("""COMPUTED_VALUE"""),6.0)</f>
        <v>6</v>
      </c>
      <c r="D828" s="487"/>
      <c r="E828" s="486"/>
      <c r="F828" s="488"/>
      <c r="G828" s="472"/>
      <c r="H828" s="472"/>
      <c r="I828" s="472"/>
      <c r="J828" s="472"/>
      <c r="K828" s="472"/>
      <c r="L828" s="472"/>
      <c r="M828" s="472"/>
      <c r="N828" s="472"/>
      <c r="O828" s="472"/>
      <c r="P828" s="472"/>
      <c r="Q828" s="472"/>
      <c r="R828" s="472"/>
      <c r="S828" s="472"/>
      <c r="T828" s="472"/>
      <c r="U828" s="472"/>
      <c r="V828" s="472"/>
      <c r="W828" s="472"/>
      <c r="X828" s="472"/>
      <c r="Y828" s="472"/>
      <c r="Z828" s="472"/>
      <c r="AA828" s="472"/>
    </row>
    <row r="829" outlineLevel="1">
      <c r="A829" s="484">
        <f>IFERROR(__xludf.DUMMYFUNCTION("""COMPUTED_VALUE"""),7.55819091688E11)</f>
        <v>755819091688</v>
      </c>
      <c r="B829" s="485" t="str">
        <f>IFERROR(__xludf.DUMMYFUNCTION("""COMPUTED_VALUE"""),"JULIANA ALENCAR MOREIRA BORGES")</f>
        <v>JULIANA ALENCAR MOREIRA BORGES</v>
      </c>
      <c r="C829" s="486">
        <f>IFERROR(__xludf.DUMMYFUNCTION("""COMPUTED_VALUE"""),6.0)</f>
        <v>6</v>
      </c>
      <c r="D829" s="487"/>
      <c r="E829" s="486"/>
      <c r="F829" s="488"/>
      <c r="G829" s="472"/>
      <c r="H829" s="472"/>
      <c r="I829" s="472"/>
      <c r="J829" s="472"/>
      <c r="K829" s="472"/>
      <c r="L829" s="472"/>
      <c r="M829" s="472"/>
      <c r="N829" s="472"/>
      <c r="O829" s="472"/>
      <c r="P829" s="472"/>
      <c r="Q829" s="472"/>
      <c r="R829" s="472"/>
      <c r="S829" s="472"/>
      <c r="T829" s="472"/>
      <c r="U829" s="472"/>
      <c r="V829" s="472"/>
      <c r="W829" s="472"/>
      <c r="X829" s="472"/>
      <c r="Y829" s="472"/>
      <c r="Z829" s="472"/>
      <c r="AA829" s="472"/>
    </row>
    <row r="830" outlineLevel="1">
      <c r="A830" s="484">
        <f>IFERROR(__xludf.DUMMYFUNCTION("""COMPUTED_VALUE"""),9.19810092502E11)</f>
        <v>919810092502</v>
      </c>
      <c r="B830" s="485" t="str">
        <f>IFERROR(__xludf.DUMMYFUNCTION("""COMPUTED_VALUE"""),"DEISE MARIA DO NASCIMENTO SOUSA")</f>
        <v>DEISE MARIA DO NASCIMENTO SOUSA</v>
      </c>
      <c r="C830" s="486">
        <f>IFERROR(__xludf.DUMMYFUNCTION("""COMPUTED_VALUE"""),6.0)</f>
        <v>6</v>
      </c>
      <c r="D830" s="487"/>
      <c r="E830" s="486"/>
      <c r="F830" s="488"/>
      <c r="G830" s="472"/>
      <c r="H830" s="472"/>
      <c r="I830" s="472"/>
      <c r="J830" s="472"/>
      <c r="K830" s="472"/>
      <c r="L830" s="472"/>
      <c r="M830" s="472"/>
      <c r="N830" s="472"/>
      <c r="O830" s="472"/>
      <c r="P830" s="472"/>
      <c r="Q830" s="472"/>
      <c r="R830" s="472"/>
      <c r="S830" s="472"/>
      <c r="T830" s="472"/>
      <c r="U830" s="472"/>
      <c r="V830" s="472"/>
      <c r="W830" s="472"/>
      <c r="X830" s="472"/>
      <c r="Y830" s="472"/>
      <c r="Z830" s="472"/>
      <c r="AA830" s="472"/>
    </row>
    <row r="831" outlineLevel="1">
      <c r="A831" s="484">
        <f>IFERROR(__xludf.DUMMYFUNCTION("""COMPUTED_VALUE"""),4.34240092434E11)</f>
        <v>434240092434</v>
      </c>
      <c r="B831" s="485" t="str">
        <f>IFERROR(__xludf.DUMMYFUNCTION("""COMPUTED_VALUE"""),"IGOR CORDEIRO MENDES")</f>
        <v>IGOR CORDEIRO MENDES</v>
      </c>
      <c r="C831" s="486">
        <f>IFERROR(__xludf.DUMMYFUNCTION("""COMPUTED_VALUE"""),6.0)</f>
        <v>6</v>
      </c>
      <c r="D831" s="487"/>
      <c r="E831" s="486"/>
      <c r="F831" s="488"/>
      <c r="G831" s="472"/>
      <c r="H831" s="472"/>
      <c r="I831" s="472"/>
      <c r="J831" s="472"/>
      <c r="K831" s="472"/>
      <c r="L831" s="472"/>
      <c r="M831" s="472"/>
      <c r="N831" s="472"/>
      <c r="O831" s="472"/>
      <c r="P831" s="472"/>
      <c r="Q831" s="472"/>
      <c r="R831" s="472"/>
      <c r="S831" s="472"/>
      <c r="T831" s="472"/>
      <c r="U831" s="472"/>
      <c r="V831" s="472"/>
      <c r="W831" s="472"/>
      <c r="X831" s="472"/>
      <c r="Y831" s="472"/>
      <c r="Z831" s="472"/>
      <c r="AA831" s="472"/>
    </row>
    <row r="832">
      <c r="A832" s="478" t="str">
        <f>IFERROR(__xludf.DUMMYFUNCTION("""COMPUTED_VALUE"""),"XII - DOU - CARDIOVASCULAR")</f>
        <v>XII - DOU - CARDIOVASCULAR</v>
      </c>
      <c r="B832" s="479"/>
      <c r="C832" s="479"/>
      <c r="D832" s="479"/>
      <c r="E832" s="479"/>
      <c r="F832" s="480"/>
      <c r="G832" s="472"/>
      <c r="H832" s="472"/>
      <c r="I832" s="472"/>
      <c r="J832" s="472"/>
      <c r="K832" s="472"/>
      <c r="L832" s="472"/>
      <c r="M832" s="472"/>
      <c r="N832" s="472"/>
      <c r="O832" s="472"/>
      <c r="P832" s="472"/>
      <c r="Q832" s="472"/>
      <c r="R832" s="472"/>
      <c r="S832" s="472"/>
      <c r="T832" s="472"/>
      <c r="U832" s="472"/>
      <c r="V832" s="472"/>
      <c r="W832" s="472"/>
      <c r="X832" s="472"/>
      <c r="Y832" s="472"/>
      <c r="Z832" s="472"/>
      <c r="AA832" s="472"/>
    </row>
    <row r="833" outlineLevel="1">
      <c r="A833" s="481" t="str">
        <f>IFERROR(__xludf.DUMMYFUNCTION("""COMPUTED_VALUE"""),"INSCRIÇÃO")</f>
        <v>INSCRIÇÃO</v>
      </c>
      <c r="B833" s="482" t="str">
        <f>IFERROR(__xludf.DUMMYFUNCTION("""COMPUTED_VALUE"""),"CANDIDATOS")</f>
        <v>CANDIDATOS</v>
      </c>
      <c r="C833" s="481" t="str">
        <f>IFERROR(__xludf.DUMMYFUNCTION("""COMPUTED_VALUE"""),"NF")</f>
        <v>NF</v>
      </c>
      <c r="D833" s="483" t="str">
        <f>IFERROR(__xludf.DUMMYFUNCTION("""COMPUTED_VALUE"""),"CONVOCADO(A)")</f>
        <v>CONVOCADO(A)</v>
      </c>
      <c r="E833" s="483" t="str">
        <f>IFERROR(__xludf.DUMMYFUNCTION("""COMPUTED_VALUE"""),"HOMOLOGADO(A)")</f>
        <v>HOMOLOGADO(A)</v>
      </c>
      <c r="F833" s="483" t="str">
        <f>IFERROR(__xludf.DUMMYFUNCTION("""COMPUTED_VALUE"""),"GERÊNCIA")</f>
        <v>GERÊNCIA</v>
      </c>
      <c r="G833" s="472"/>
      <c r="H833" s="472"/>
      <c r="I833" s="472"/>
      <c r="J833" s="472"/>
      <c r="K833" s="472"/>
      <c r="L833" s="472"/>
      <c r="M833" s="472"/>
      <c r="N833" s="472"/>
      <c r="O833" s="472"/>
      <c r="P833" s="472"/>
      <c r="Q833" s="472"/>
      <c r="R833" s="472"/>
      <c r="S833" s="472"/>
      <c r="T833" s="472"/>
      <c r="U833" s="472"/>
      <c r="V833" s="472"/>
      <c r="W833" s="472"/>
      <c r="X833" s="472"/>
      <c r="Y833" s="472"/>
      <c r="Z833" s="472"/>
      <c r="AA833" s="472"/>
    </row>
    <row r="834" outlineLevel="1">
      <c r="A834" s="484">
        <f>IFERROR(__xludf.DUMMYFUNCTION("""COMPUTED_VALUE"""),5.17400089461E11)</f>
        <v>517400089461</v>
      </c>
      <c r="B834" s="485" t="str">
        <f>IFERROR(__xludf.DUMMYFUNCTION("""COMPUTED_VALUE"""),"RAFAELLA MARIA MONTEIRO SAMPAIO")</f>
        <v>RAFAELLA MARIA MONTEIRO SAMPAIO</v>
      </c>
      <c r="C834" s="486">
        <f>IFERROR(__xludf.DUMMYFUNCTION("""COMPUTED_VALUE"""),6.0)</f>
        <v>6</v>
      </c>
      <c r="D834" s="487"/>
      <c r="E834" s="486"/>
      <c r="F834" s="488"/>
      <c r="G834" s="472"/>
      <c r="H834" s="472"/>
      <c r="I834" s="472"/>
      <c r="J834" s="472"/>
      <c r="K834" s="472"/>
      <c r="L834" s="472"/>
      <c r="M834" s="472"/>
      <c r="N834" s="472"/>
      <c r="O834" s="472"/>
      <c r="P834" s="472"/>
      <c r="Q834" s="472"/>
      <c r="R834" s="472"/>
      <c r="S834" s="472"/>
      <c r="T834" s="472"/>
      <c r="U834" s="472"/>
      <c r="V834" s="472"/>
      <c r="W834" s="472"/>
      <c r="X834" s="472"/>
      <c r="Y834" s="472"/>
      <c r="Z834" s="472"/>
      <c r="AA834" s="472"/>
    </row>
    <row r="835">
      <c r="A835" s="478" t="str">
        <f>IFERROR(__xludf.DUMMYFUNCTION("""COMPUTED_VALUE"""),"XIII - DOU - DIABETES")</f>
        <v>XIII - DOU - DIABETES</v>
      </c>
      <c r="B835" s="479"/>
      <c r="C835" s="479"/>
      <c r="D835" s="479"/>
      <c r="E835" s="479"/>
      <c r="F835" s="480"/>
      <c r="G835" s="472"/>
      <c r="H835" s="472"/>
      <c r="I835" s="472"/>
      <c r="J835" s="472"/>
      <c r="K835" s="472"/>
      <c r="L835" s="472"/>
      <c r="M835" s="472"/>
      <c r="N835" s="472"/>
      <c r="O835" s="472"/>
      <c r="P835" s="472"/>
      <c r="Q835" s="472"/>
      <c r="R835" s="472"/>
      <c r="S835" s="472"/>
      <c r="T835" s="472"/>
      <c r="U835" s="472"/>
      <c r="V835" s="472"/>
      <c r="W835" s="472"/>
      <c r="X835" s="472"/>
      <c r="Y835" s="472"/>
      <c r="Z835" s="472"/>
      <c r="AA835" s="472"/>
    </row>
    <row r="836" outlineLevel="1">
      <c r="A836" s="481" t="str">
        <f>IFERROR(__xludf.DUMMYFUNCTION("""COMPUTED_VALUE"""),"INSCRIÇÃO")</f>
        <v>INSCRIÇÃO</v>
      </c>
      <c r="B836" s="482" t="str">
        <f>IFERROR(__xludf.DUMMYFUNCTION("""COMPUTED_VALUE"""),"CANDIDATOS")</f>
        <v>CANDIDATOS</v>
      </c>
      <c r="C836" s="481" t="str">
        <f>IFERROR(__xludf.DUMMYFUNCTION("""COMPUTED_VALUE"""),"NF")</f>
        <v>NF</v>
      </c>
      <c r="D836" s="483" t="str">
        <f>IFERROR(__xludf.DUMMYFUNCTION("""COMPUTED_VALUE"""),"CONVOCADO(A)")</f>
        <v>CONVOCADO(A)</v>
      </c>
      <c r="E836" s="483" t="str">
        <f>IFERROR(__xludf.DUMMYFUNCTION("""COMPUTED_VALUE"""),"HOMOLOGADO(A)")</f>
        <v>HOMOLOGADO(A)</v>
      </c>
      <c r="F836" s="483" t="str">
        <f>IFERROR(__xludf.DUMMYFUNCTION("""COMPUTED_VALUE"""),"GERÊNCIA")</f>
        <v>GERÊNCIA</v>
      </c>
      <c r="G836" s="472"/>
      <c r="H836" s="472"/>
      <c r="I836" s="472"/>
      <c r="J836" s="472"/>
      <c r="K836" s="472"/>
      <c r="L836" s="472"/>
      <c r="M836" s="472"/>
      <c r="N836" s="472"/>
      <c r="O836" s="472"/>
      <c r="P836" s="472"/>
      <c r="Q836" s="472"/>
      <c r="R836" s="472"/>
      <c r="S836" s="472"/>
      <c r="T836" s="472"/>
      <c r="U836" s="472"/>
      <c r="V836" s="472"/>
      <c r="W836" s="472"/>
      <c r="X836" s="472"/>
      <c r="Y836" s="472"/>
      <c r="Z836" s="472"/>
      <c r="AA836" s="472"/>
    </row>
    <row r="837" outlineLevel="1">
      <c r="A837" s="494">
        <f>IFERROR(__xludf.DUMMYFUNCTION("""COMPUTED_VALUE"""),9.869088669E9)</f>
        <v>9869088669</v>
      </c>
      <c r="B837" s="485" t="str">
        <f>IFERROR(__xludf.DUMMYFUNCTION("""COMPUTED_VALUE"""),"SAMILA TORQUATO ARAÚJO")</f>
        <v>SAMILA TORQUATO ARAÚJO</v>
      </c>
      <c r="C837" s="486">
        <f>IFERROR(__xludf.DUMMYFUNCTION("""COMPUTED_VALUE"""),10.0)</f>
        <v>10</v>
      </c>
      <c r="D837" s="487"/>
      <c r="E837" s="486"/>
      <c r="F837" s="488"/>
      <c r="G837" s="472"/>
      <c r="H837" s="472"/>
      <c r="I837" s="472"/>
      <c r="J837" s="472"/>
      <c r="K837" s="472"/>
      <c r="L837" s="472"/>
      <c r="M837" s="472"/>
      <c r="N837" s="472"/>
      <c r="O837" s="472"/>
      <c r="P837" s="472"/>
      <c r="Q837" s="472"/>
      <c r="R837" s="472"/>
      <c r="S837" s="472"/>
      <c r="T837" s="472"/>
      <c r="U837" s="472"/>
      <c r="V837" s="472"/>
      <c r="W837" s="472"/>
      <c r="X837" s="472"/>
      <c r="Y837" s="472"/>
      <c r="Z837" s="472"/>
      <c r="AA837" s="472"/>
    </row>
    <row r="838" outlineLevel="1">
      <c r="A838" s="484">
        <f>IFERROR(__xludf.DUMMYFUNCTION("""COMPUTED_VALUE"""),2.20940092197E11)</f>
        <v>220940092197</v>
      </c>
      <c r="B838" s="485" t="str">
        <f>IFERROR(__xludf.DUMMYFUNCTION("""COMPUTED_VALUE"""),"RAQUEL MARTINS DE FREITAS")</f>
        <v>RAQUEL MARTINS DE FREITAS</v>
      </c>
      <c r="C838" s="486">
        <f>IFERROR(__xludf.DUMMYFUNCTION("""COMPUTED_VALUE"""),9.5)</f>
        <v>9.5</v>
      </c>
      <c r="D838" s="487"/>
      <c r="E838" s="486"/>
      <c r="F838" s="488"/>
      <c r="G838" s="472"/>
      <c r="H838" s="472"/>
      <c r="I838" s="472"/>
      <c r="J838" s="472"/>
      <c r="K838" s="472"/>
      <c r="L838" s="472"/>
      <c r="M838" s="472"/>
      <c r="N838" s="472"/>
      <c r="O838" s="472"/>
      <c r="P838" s="472"/>
      <c r="Q838" s="472"/>
      <c r="R838" s="472"/>
      <c r="S838" s="472"/>
      <c r="T838" s="472"/>
      <c r="U838" s="472"/>
      <c r="V838" s="472"/>
      <c r="W838" s="472"/>
      <c r="X838" s="472"/>
      <c r="Y838" s="472"/>
      <c r="Z838" s="472"/>
      <c r="AA838" s="472"/>
    </row>
    <row r="839" outlineLevel="1">
      <c r="A839" s="494">
        <f>IFERROR(__xludf.DUMMYFUNCTION("""COMPUTED_VALUE"""),5.6469092474E10)</f>
        <v>56469092474</v>
      </c>
      <c r="B839" s="485" t="str">
        <f>IFERROR(__xludf.DUMMYFUNCTION("""COMPUTED_VALUE"""),"DENISE MOREIRA LIMA LOBO")</f>
        <v>DENISE MOREIRA LIMA LOBO</v>
      </c>
      <c r="C839" s="486">
        <f>IFERROR(__xludf.DUMMYFUNCTION("""COMPUTED_VALUE"""),9.0)</f>
        <v>9</v>
      </c>
      <c r="D839" s="487"/>
      <c r="E839" s="486"/>
      <c r="F839" s="488"/>
      <c r="G839" s="472"/>
      <c r="H839" s="472"/>
      <c r="I839" s="472"/>
      <c r="J839" s="472"/>
      <c r="K839" s="472"/>
      <c r="L839" s="472"/>
      <c r="M839" s="472"/>
      <c r="N839" s="472"/>
      <c r="O839" s="472"/>
      <c r="P839" s="472"/>
      <c r="Q839" s="472"/>
      <c r="R839" s="472"/>
      <c r="S839" s="472"/>
      <c r="T839" s="472"/>
      <c r="U839" s="472"/>
      <c r="V839" s="472"/>
      <c r="W839" s="472"/>
      <c r="X839" s="472"/>
      <c r="Y839" s="472"/>
      <c r="Z839" s="472"/>
      <c r="AA839" s="472"/>
    </row>
    <row r="840" outlineLevel="1">
      <c r="A840" s="484">
        <f>IFERROR(__xludf.DUMMYFUNCTION("""COMPUTED_VALUE"""),2.92220089731E11)</f>
        <v>292220089731</v>
      </c>
      <c r="B840" s="485" t="str">
        <f>IFERROR(__xludf.DUMMYFUNCTION("""COMPUTED_VALUE"""),"SANDRA MACHADO LIRA")</f>
        <v>SANDRA MACHADO LIRA</v>
      </c>
      <c r="C840" s="486">
        <f>IFERROR(__xludf.DUMMYFUNCTION("""COMPUTED_VALUE"""),9.0)</f>
        <v>9</v>
      </c>
      <c r="D840" s="487"/>
      <c r="E840" s="486"/>
      <c r="F840" s="488"/>
      <c r="G840" s="472"/>
      <c r="H840" s="472"/>
      <c r="I840" s="472"/>
      <c r="J840" s="472"/>
      <c r="K840" s="472"/>
      <c r="L840" s="472"/>
      <c r="M840" s="472"/>
      <c r="N840" s="472"/>
      <c r="O840" s="472"/>
      <c r="P840" s="472"/>
      <c r="Q840" s="472"/>
      <c r="R840" s="472"/>
      <c r="S840" s="472"/>
      <c r="T840" s="472"/>
      <c r="U840" s="472"/>
      <c r="V840" s="472"/>
      <c r="W840" s="472"/>
      <c r="X840" s="472"/>
      <c r="Y840" s="472"/>
      <c r="Z840" s="472"/>
      <c r="AA840" s="472"/>
    </row>
    <row r="841" outlineLevel="1">
      <c r="A841" s="494">
        <f>IFERROR(__xludf.DUMMYFUNCTION("""COMPUTED_VALUE"""),6.205009173E10)</f>
        <v>62050091730</v>
      </c>
      <c r="B841" s="485" t="str">
        <f>IFERROR(__xludf.DUMMYFUNCTION("""COMPUTED_VALUE"""),"MARCELO OLIVEIRA HOLANDA")</f>
        <v>MARCELO OLIVEIRA HOLANDA</v>
      </c>
      <c r="C841" s="486">
        <f>IFERROR(__xludf.DUMMYFUNCTION("""COMPUTED_VALUE"""),9.0)</f>
        <v>9</v>
      </c>
      <c r="D841" s="487"/>
      <c r="E841" s="486"/>
      <c r="F841" s="488"/>
      <c r="G841" s="472"/>
      <c r="H841" s="472"/>
      <c r="I841" s="472"/>
      <c r="J841" s="472"/>
      <c r="K841" s="472"/>
      <c r="L841" s="472"/>
      <c r="M841" s="472"/>
      <c r="N841" s="472"/>
      <c r="O841" s="472"/>
      <c r="P841" s="472"/>
      <c r="Q841" s="472"/>
      <c r="R841" s="472"/>
      <c r="S841" s="472"/>
      <c r="T841" s="472"/>
      <c r="U841" s="472"/>
      <c r="V841" s="472"/>
      <c r="W841" s="472"/>
      <c r="X841" s="472"/>
      <c r="Y841" s="472"/>
      <c r="Z841" s="472"/>
      <c r="AA841" s="472"/>
    </row>
    <row r="842" outlineLevel="1">
      <c r="A842" s="484">
        <f>IFERROR(__xludf.DUMMYFUNCTION("""COMPUTED_VALUE"""),1.89056091353E11)</f>
        <v>189056091353</v>
      </c>
      <c r="B842" s="485" t="str">
        <f>IFERROR(__xludf.DUMMYFUNCTION("""COMPUTED_VALUE"""),"NADJA MARA DE SOUSA LOPES")</f>
        <v>NADJA MARA DE SOUSA LOPES</v>
      </c>
      <c r="C842" s="486">
        <f>IFERROR(__xludf.DUMMYFUNCTION("""COMPUTED_VALUE"""),8.0)</f>
        <v>8</v>
      </c>
      <c r="D842" s="487"/>
      <c r="E842" s="486"/>
      <c r="F842" s="488"/>
      <c r="G842" s="472"/>
      <c r="H842" s="472"/>
      <c r="I842" s="472"/>
      <c r="J842" s="472"/>
      <c r="K842" s="472"/>
      <c r="L842" s="472"/>
      <c r="M842" s="472"/>
      <c r="N842" s="472"/>
      <c r="O842" s="472"/>
      <c r="P842" s="472"/>
      <c r="Q842" s="472"/>
      <c r="R842" s="472"/>
      <c r="S842" s="472"/>
      <c r="T842" s="472"/>
      <c r="U842" s="472"/>
      <c r="V842" s="472"/>
      <c r="W842" s="472"/>
      <c r="X842" s="472"/>
      <c r="Y842" s="472"/>
      <c r="Z842" s="472"/>
      <c r="AA842" s="472"/>
    </row>
    <row r="843" outlineLevel="1">
      <c r="A843" s="494">
        <f>IFERROR(__xludf.DUMMYFUNCTION("""COMPUTED_VALUE"""),2.4240091847E10)</f>
        <v>24240091847</v>
      </c>
      <c r="B843" s="485" t="str">
        <f>IFERROR(__xludf.DUMMYFUNCTION("""COMPUTED_VALUE"""),"YHASMINE DELLES OLIVEIRA GARCIA")</f>
        <v>YHASMINE DELLES OLIVEIRA GARCIA</v>
      </c>
      <c r="C843" s="486">
        <f>IFERROR(__xludf.DUMMYFUNCTION("""COMPUTED_VALUE"""),7.5)</f>
        <v>7.5</v>
      </c>
      <c r="D843" s="487"/>
      <c r="E843" s="486"/>
      <c r="F843" s="488"/>
      <c r="G843" s="472"/>
      <c r="H843" s="472"/>
      <c r="I843" s="472"/>
      <c r="J843" s="472"/>
      <c r="K843" s="472"/>
      <c r="L843" s="472"/>
      <c r="M843" s="472"/>
      <c r="N843" s="472"/>
      <c r="O843" s="472"/>
      <c r="P843" s="472"/>
      <c r="Q843" s="472"/>
      <c r="R843" s="472"/>
      <c r="S843" s="472"/>
      <c r="T843" s="472"/>
      <c r="U843" s="472"/>
      <c r="V843" s="472"/>
      <c r="W843" s="472"/>
      <c r="X843" s="472"/>
      <c r="Y843" s="472"/>
      <c r="Z843" s="472"/>
      <c r="AA843" s="472"/>
    </row>
    <row r="844">
      <c r="A844" s="478" t="str">
        <f>IFERROR(__xludf.DUMMYFUNCTION("""COMPUTED_VALUE"""),"XIV - DOU - ONCOLOGIA")</f>
        <v>XIV - DOU - ONCOLOGIA</v>
      </c>
      <c r="B844" s="479"/>
      <c r="C844" s="479"/>
      <c r="D844" s="479"/>
      <c r="E844" s="479"/>
      <c r="F844" s="480"/>
      <c r="G844" s="472"/>
      <c r="H844" s="472"/>
      <c r="I844" s="472"/>
      <c r="J844" s="472"/>
      <c r="K844" s="472"/>
      <c r="L844" s="472"/>
      <c r="M844" s="472"/>
      <c r="N844" s="472"/>
      <c r="O844" s="472"/>
      <c r="P844" s="472"/>
      <c r="Q844" s="472"/>
      <c r="R844" s="472"/>
      <c r="S844" s="472"/>
      <c r="T844" s="472"/>
      <c r="U844" s="472"/>
      <c r="V844" s="472"/>
      <c r="W844" s="472"/>
      <c r="X844" s="472"/>
      <c r="Y844" s="472"/>
      <c r="Z844" s="472"/>
      <c r="AA844" s="472"/>
    </row>
    <row r="845" outlineLevel="1">
      <c r="A845" s="481" t="str">
        <f>IFERROR(__xludf.DUMMYFUNCTION("""COMPUTED_VALUE"""),"INSCRIÇÃO")</f>
        <v>INSCRIÇÃO</v>
      </c>
      <c r="B845" s="482" t="str">
        <f>IFERROR(__xludf.DUMMYFUNCTION("""COMPUTED_VALUE"""),"CANDIDATOS")</f>
        <v>CANDIDATOS</v>
      </c>
      <c r="C845" s="481" t="str">
        <f>IFERROR(__xludf.DUMMYFUNCTION("""COMPUTED_VALUE"""),"NF")</f>
        <v>NF</v>
      </c>
      <c r="D845" s="483" t="str">
        <f>IFERROR(__xludf.DUMMYFUNCTION("""COMPUTED_VALUE"""),"CONVOCADO(A)")</f>
        <v>CONVOCADO(A)</v>
      </c>
      <c r="E845" s="483" t="str">
        <f>IFERROR(__xludf.DUMMYFUNCTION("""COMPUTED_VALUE"""),"HOMOLOGADO(A)")</f>
        <v>HOMOLOGADO(A)</v>
      </c>
      <c r="F845" s="483" t="str">
        <f>IFERROR(__xludf.DUMMYFUNCTION("""COMPUTED_VALUE"""),"GERÊNCIA")</f>
        <v>GERÊNCIA</v>
      </c>
      <c r="G845" s="472"/>
      <c r="H845" s="472"/>
      <c r="I845" s="472"/>
      <c r="J845" s="472"/>
      <c r="K845" s="472"/>
      <c r="L845" s="472"/>
      <c r="M845" s="472"/>
      <c r="N845" s="472"/>
      <c r="O845" s="472"/>
      <c r="P845" s="472"/>
      <c r="Q845" s="472"/>
      <c r="R845" s="472"/>
      <c r="S845" s="472"/>
      <c r="T845" s="472"/>
      <c r="U845" s="472"/>
      <c r="V845" s="472"/>
      <c r="W845" s="472"/>
      <c r="X845" s="472"/>
      <c r="Y845" s="472"/>
      <c r="Z845" s="472"/>
      <c r="AA845" s="472"/>
    </row>
    <row r="846" outlineLevel="1">
      <c r="A846" s="484">
        <f>IFERROR(__xludf.DUMMYFUNCTION("""COMPUTED_VALUE"""),4.93953089418E11)</f>
        <v>493953089418</v>
      </c>
      <c r="B846" s="485" t="str">
        <f>IFERROR(__xludf.DUMMYFUNCTION("""COMPUTED_VALUE"""),"CLEONEIDE PAULO OLIVEIRA PINHEIRO")</f>
        <v>CLEONEIDE PAULO OLIVEIRA PINHEIRO</v>
      </c>
      <c r="C846" s="486">
        <f>IFERROR(__xludf.DUMMYFUNCTION("""COMPUTED_VALUE"""),9.0)</f>
        <v>9</v>
      </c>
      <c r="D846" s="487"/>
      <c r="E846" s="486"/>
      <c r="F846" s="488"/>
      <c r="G846" s="472"/>
      <c r="H846" s="472"/>
      <c r="I846" s="472"/>
      <c r="J846" s="472"/>
      <c r="K846" s="472"/>
      <c r="L846" s="472"/>
      <c r="M846" s="472"/>
      <c r="N846" s="472"/>
      <c r="O846" s="472"/>
      <c r="P846" s="472"/>
      <c r="Q846" s="472"/>
      <c r="R846" s="472"/>
      <c r="S846" s="472"/>
      <c r="T846" s="472"/>
      <c r="U846" s="472"/>
      <c r="V846" s="472"/>
      <c r="W846" s="472"/>
      <c r="X846" s="472"/>
      <c r="Y846" s="472"/>
      <c r="Z846" s="472"/>
      <c r="AA846" s="472"/>
    </row>
    <row r="847">
      <c r="A847" s="478" t="str">
        <f>IFERROR(__xludf.DUMMYFUNCTION("""COMPUTED_VALUE"""),"XV - DOU - PNEUMOLOGIA")</f>
        <v>XV - DOU - PNEUMOLOGIA</v>
      </c>
      <c r="B847" s="479"/>
      <c r="C847" s="479"/>
      <c r="D847" s="479"/>
      <c r="E847" s="479"/>
      <c r="F847" s="480"/>
      <c r="G847" s="472"/>
      <c r="H847" s="472"/>
      <c r="I847" s="472"/>
      <c r="J847" s="472"/>
      <c r="K847" s="472"/>
      <c r="L847" s="472"/>
      <c r="M847" s="472"/>
      <c r="N847" s="472"/>
      <c r="O847" s="472"/>
      <c r="P847" s="472"/>
      <c r="Q847" s="472"/>
      <c r="R847" s="472"/>
      <c r="S847" s="472"/>
      <c r="T847" s="472"/>
      <c r="U847" s="472"/>
      <c r="V847" s="472"/>
      <c r="W847" s="472"/>
      <c r="X847" s="472"/>
      <c r="Y847" s="472"/>
      <c r="Z847" s="472"/>
      <c r="AA847" s="472"/>
    </row>
    <row r="848" outlineLevel="1">
      <c r="A848" s="481" t="str">
        <f>IFERROR(__xludf.DUMMYFUNCTION("""COMPUTED_VALUE"""),"INSCRIÇÃO")</f>
        <v>INSCRIÇÃO</v>
      </c>
      <c r="B848" s="482" t="str">
        <f>IFERROR(__xludf.DUMMYFUNCTION("""COMPUTED_VALUE"""),"CANDIDATOS")</f>
        <v>CANDIDATOS</v>
      </c>
      <c r="C848" s="481" t="str">
        <f>IFERROR(__xludf.DUMMYFUNCTION("""COMPUTED_VALUE"""),"NF")</f>
        <v>NF</v>
      </c>
      <c r="D848" s="483" t="str">
        <f>IFERROR(__xludf.DUMMYFUNCTION("""COMPUTED_VALUE"""),"CONVOCADO(A)")</f>
        <v>CONVOCADO(A)</v>
      </c>
      <c r="E848" s="483" t="str">
        <f>IFERROR(__xludf.DUMMYFUNCTION("""COMPUTED_VALUE"""),"HOMOLOGADO(A)")</f>
        <v>HOMOLOGADO(A)</v>
      </c>
      <c r="F848" s="483" t="str">
        <f>IFERROR(__xludf.DUMMYFUNCTION("""COMPUTED_VALUE"""),"GERÊNCIA")</f>
        <v>GERÊNCIA</v>
      </c>
      <c r="G848" s="472"/>
      <c r="H848" s="472"/>
      <c r="I848" s="472"/>
      <c r="J848" s="472"/>
      <c r="K848" s="472"/>
      <c r="L848" s="472"/>
      <c r="M848" s="472"/>
      <c r="N848" s="472"/>
      <c r="O848" s="472"/>
      <c r="P848" s="472"/>
      <c r="Q848" s="472"/>
      <c r="R848" s="472"/>
      <c r="S848" s="472"/>
      <c r="T848" s="472"/>
      <c r="U848" s="472"/>
      <c r="V848" s="472"/>
      <c r="W848" s="472"/>
      <c r="X848" s="472"/>
      <c r="Y848" s="472"/>
      <c r="Z848" s="472"/>
      <c r="AA848" s="472"/>
    </row>
    <row r="849" outlineLevel="1">
      <c r="A849" s="484">
        <f>IFERROR(__xludf.DUMMYFUNCTION("""COMPUTED_VALUE"""),4.93953089417E11)</f>
        <v>493953089417</v>
      </c>
      <c r="B849" s="485" t="str">
        <f>IFERROR(__xludf.DUMMYFUNCTION("""COMPUTED_VALUE"""),"CLEONEIDE PAULO OLIVEIRA PINHEIRO")</f>
        <v>CLEONEIDE PAULO OLIVEIRA PINHEIRO</v>
      </c>
      <c r="C849" s="486">
        <f>IFERROR(__xludf.DUMMYFUNCTION("""COMPUTED_VALUE"""),10.0)</f>
        <v>10</v>
      </c>
      <c r="D849" s="487"/>
      <c r="E849" s="486"/>
      <c r="F849" s="488"/>
      <c r="G849" s="472"/>
      <c r="H849" s="472"/>
      <c r="I849" s="472"/>
      <c r="J849" s="472"/>
      <c r="K849" s="472"/>
      <c r="L849" s="472"/>
      <c r="M849" s="472"/>
      <c r="N849" s="472"/>
      <c r="O849" s="472"/>
      <c r="P849" s="472"/>
      <c r="Q849" s="472"/>
      <c r="R849" s="472"/>
      <c r="S849" s="472"/>
      <c r="T849" s="472"/>
      <c r="U849" s="472"/>
      <c r="V849" s="472"/>
      <c r="W849" s="472"/>
      <c r="X849" s="472"/>
      <c r="Y849" s="472"/>
      <c r="Z849" s="472"/>
      <c r="AA849" s="472"/>
    </row>
    <row r="850">
      <c r="A850" s="478" t="str">
        <f>IFERROR(__xludf.DUMMYFUNCTION("""COMPUTED_VALUE"""),"XVI - DOU - INFECTOLOGIA")</f>
        <v>XVI - DOU - INFECTOLOGIA</v>
      </c>
      <c r="B850" s="479"/>
      <c r="C850" s="479"/>
      <c r="D850" s="479"/>
      <c r="E850" s="479"/>
      <c r="F850" s="480"/>
      <c r="G850" s="472"/>
      <c r="H850" s="472"/>
      <c r="I850" s="472"/>
      <c r="J850" s="472"/>
      <c r="K850" s="472"/>
      <c r="L850" s="472"/>
      <c r="M850" s="472"/>
      <c r="N850" s="472"/>
      <c r="O850" s="472"/>
      <c r="P850" s="472"/>
      <c r="Q850" s="472"/>
      <c r="R850" s="472"/>
      <c r="S850" s="472"/>
      <c r="T850" s="472"/>
      <c r="U850" s="472"/>
      <c r="V850" s="472"/>
      <c r="W850" s="472"/>
      <c r="X850" s="472"/>
      <c r="Y850" s="472"/>
      <c r="Z850" s="472"/>
      <c r="AA850" s="472"/>
    </row>
    <row r="851" outlineLevel="1">
      <c r="A851" s="481" t="str">
        <f>IFERROR(__xludf.DUMMYFUNCTION("""COMPUTED_VALUE"""),"INSCRIÇÃO")</f>
        <v>INSCRIÇÃO</v>
      </c>
      <c r="B851" s="482" t="str">
        <f>IFERROR(__xludf.DUMMYFUNCTION("""COMPUTED_VALUE"""),"CANDIDATOS")</f>
        <v>CANDIDATOS</v>
      </c>
      <c r="C851" s="481" t="str">
        <f>IFERROR(__xludf.DUMMYFUNCTION("""COMPUTED_VALUE"""),"NF")</f>
        <v>NF</v>
      </c>
      <c r="D851" s="483" t="str">
        <f>IFERROR(__xludf.DUMMYFUNCTION("""COMPUTED_VALUE"""),"CONVOCADO(A)")</f>
        <v>CONVOCADO(A)</v>
      </c>
      <c r="E851" s="483" t="str">
        <f>IFERROR(__xludf.DUMMYFUNCTION("""COMPUTED_VALUE"""),"HOMOLOGADO(A)")</f>
        <v>HOMOLOGADO(A)</v>
      </c>
      <c r="F851" s="483" t="str">
        <f>IFERROR(__xludf.DUMMYFUNCTION("""COMPUTED_VALUE"""),"GERÊNCIA")</f>
        <v>GERÊNCIA</v>
      </c>
      <c r="G851" s="472"/>
      <c r="H851" s="472"/>
      <c r="I851" s="472"/>
      <c r="J851" s="472"/>
      <c r="K851" s="472"/>
      <c r="L851" s="472"/>
      <c r="M851" s="472"/>
      <c r="N851" s="472"/>
      <c r="O851" s="472"/>
      <c r="P851" s="472"/>
      <c r="Q851" s="472"/>
      <c r="R851" s="472"/>
      <c r="S851" s="472"/>
      <c r="T851" s="472"/>
      <c r="U851" s="472"/>
      <c r="V851" s="472"/>
      <c r="W851" s="472"/>
      <c r="X851" s="472"/>
      <c r="Y851" s="472"/>
      <c r="Z851" s="472"/>
      <c r="AA851" s="472"/>
    </row>
    <row r="852" outlineLevel="1">
      <c r="A852" s="484">
        <f>IFERROR(__xludf.DUMMYFUNCTION("""COMPUTED_VALUE"""),7.55819091689E11)</f>
        <v>755819091689</v>
      </c>
      <c r="B852" s="485" t="str">
        <f>IFERROR(__xludf.DUMMYFUNCTION("""COMPUTED_VALUE"""),"JULIANA ALENCAR MOREIRA BORGES")</f>
        <v>JULIANA ALENCAR MOREIRA BORGES</v>
      </c>
      <c r="C852" s="486">
        <f>IFERROR(__xludf.DUMMYFUNCTION("""COMPUTED_VALUE"""),10.0)</f>
        <v>10</v>
      </c>
      <c r="D852" s="487" t="str">
        <f>IFERROR(__xludf.DUMMYFUNCTION("""COMPUTED_VALUE"""),"SIM")</f>
        <v>SIM</v>
      </c>
      <c r="E852" s="486" t="str">
        <f>IFERROR(__xludf.DUMMYFUNCTION("""COMPUTED_VALUE"""),"SIM")</f>
        <v>SIM</v>
      </c>
      <c r="F852" s="486" t="str">
        <f>IFERROR(__xludf.DUMMYFUNCTION("""COMPUTED_VALUE"""),"GEDUC")</f>
        <v>GEDUC</v>
      </c>
      <c r="G852" s="472"/>
      <c r="H852" s="472"/>
      <c r="I852" s="472"/>
      <c r="J852" s="472"/>
      <c r="K852" s="472"/>
      <c r="L852" s="472"/>
      <c r="M852" s="472"/>
      <c r="N852" s="472"/>
      <c r="O852" s="472"/>
      <c r="P852" s="472"/>
      <c r="Q852" s="472"/>
      <c r="R852" s="472"/>
      <c r="S852" s="472"/>
      <c r="T852" s="472"/>
      <c r="U852" s="472"/>
      <c r="V852" s="472"/>
      <c r="W852" s="472"/>
      <c r="X852" s="472"/>
      <c r="Y852" s="472"/>
      <c r="Z852" s="472"/>
      <c r="AA852" s="472"/>
    </row>
    <row r="853" outlineLevel="1">
      <c r="A853" s="484">
        <f>IFERROR(__xludf.DUMMYFUNCTION("""COMPUTED_VALUE"""),8.69816088492E11)</f>
        <v>869816088492</v>
      </c>
      <c r="B853" s="485" t="str">
        <f>IFERROR(__xludf.DUMMYFUNCTION("""COMPUTED_VALUE"""),"KELLYN KESSIENE DE SOUSA CAVALCANTE")</f>
        <v>KELLYN KESSIENE DE SOUSA CAVALCANTE</v>
      </c>
      <c r="C853" s="486">
        <f>IFERROR(__xludf.DUMMYFUNCTION("""COMPUTED_VALUE"""),10.0)</f>
        <v>10</v>
      </c>
      <c r="D853" s="487"/>
      <c r="E853" s="486"/>
      <c r="F853" s="486"/>
      <c r="G853" s="472"/>
      <c r="H853" s="472"/>
      <c r="I853" s="472"/>
      <c r="J853" s="472"/>
      <c r="K853" s="472"/>
      <c r="L853" s="472"/>
      <c r="M853" s="472"/>
      <c r="N853" s="472"/>
      <c r="O853" s="472"/>
      <c r="P853" s="472"/>
      <c r="Q853" s="472"/>
      <c r="R853" s="472"/>
      <c r="S853" s="472"/>
      <c r="T853" s="472"/>
      <c r="U853" s="472"/>
      <c r="V853" s="472"/>
      <c r="W853" s="472"/>
      <c r="X853" s="472"/>
      <c r="Y853" s="472"/>
      <c r="Z853" s="472"/>
      <c r="AA853" s="472"/>
    </row>
    <row r="854" outlineLevel="1">
      <c r="A854" s="484">
        <f>IFERROR(__xludf.DUMMYFUNCTION("""COMPUTED_VALUE"""),1.90146092539E11)</f>
        <v>190146092539</v>
      </c>
      <c r="B854" s="485" t="str">
        <f>IFERROR(__xludf.DUMMYFUNCTION("""COMPUTED_VALUE"""),"MALENA GADELHA CAVALCANTE")</f>
        <v>MALENA GADELHA CAVALCANTE</v>
      </c>
      <c r="C854" s="486">
        <f>IFERROR(__xludf.DUMMYFUNCTION("""COMPUTED_VALUE"""),7.0)</f>
        <v>7</v>
      </c>
      <c r="D854" s="487"/>
      <c r="E854" s="486"/>
      <c r="F854" s="486"/>
      <c r="G854" s="472"/>
      <c r="H854" s="472"/>
      <c r="I854" s="472"/>
      <c r="J854" s="472"/>
      <c r="K854" s="472"/>
      <c r="L854" s="472"/>
      <c r="M854" s="472"/>
      <c r="N854" s="472"/>
      <c r="O854" s="472"/>
      <c r="P854" s="472"/>
      <c r="Q854" s="472"/>
      <c r="R854" s="472"/>
      <c r="S854" s="472"/>
      <c r="T854" s="472"/>
      <c r="U854" s="472"/>
      <c r="V854" s="472"/>
      <c r="W854" s="472"/>
      <c r="X854" s="472"/>
      <c r="Y854" s="472"/>
      <c r="Z854" s="472"/>
      <c r="AA854" s="472"/>
    </row>
    <row r="855" outlineLevel="1">
      <c r="A855" s="504">
        <f>IFERROR(__xludf.DUMMYFUNCTION("""COMPUTED_VALUE"""),7.06889092756E11)</f>
        <v>706889092756</v>
      </c>
      <c r="B855" s="485" t="str">
        <f>IFERROR(__xludf.DUMMYFUNCTION("""COMPUTED_VALUE"""),"DENISE BARGUIL NEPOMUCENO")</f>
        <v>DENISE BARGUIL NEPOMUCENO</v>
      </c>
      <c r="C855" s="486">
        <f>IFERROR(__xludf.DUMMYFUNCTION("""COMPUTED_VALUE"""),6.0)</f>
        <v>6</v>
      </c>
      <c r="D855" s="487"/>
      <c r="E855" s="486"/>
      <c r="F855" s="486"/>
      <c r="G855" s="472"/>
      <c r="H855" s="472"/>
      <c r="I855" s="472"/>
      <c r="J855" s="472"/>
      <c r="K855" s="472"/>
      <c r="L855" s="472"/>
      <c r="M855" s="472"/>
      <c r="N855" s="472"/>
      <c r="O855" s="472"/>
      <c r="P855" s="472"/>
      <c r="Q855" s="472"/>
      <c r="R855" s="472"/>
      <c r="S855" s="472"/>
      <c r="T855" s="472"/>
      <c r="U855" s="472"/>
      <c r="V855" s="472"/>
      <c r="W855" s="472"/>
      <c r="X855" s="472"/>
      <c r="Y855" s="472"/>
      <c r="Z855" s="472"/>
      <c r="AA855" s="472"/>
    </row>
    <row r="856">
      <c r="A856" s="478" t="str">
        <f>IFERROR(__xludf.DUMMYFUNCTION("""COMPUTED_VALUE"""),"XVII - DOU - SAÚDE BUCAL")</f>
        <v>XVII - DOU - SAÚDE BUCAL</v>
      </c>
      <c r="B856" s="479"/>
      <c r="C856" s="479"/>
      <c r="D856" s="479"/>
      <c r="E856" s="479"/>
      <c r="F856" s="480"/>
      <c r="G856" s="472"/>
      <c r="H856" s="472"/>
      <c r="I856" s="472"/>
      <c r="J856" s="472"/>
      <c r="K856" s="472"/>
      <c r="L856" s="472"/>
      <c r="M856" s="472"/>
      <c r="N856" s="472"/>
      <c r="O856" s="472"/>
      <c r="P856" s="472"/>
      <c r="Q856" s="472"/>
      <c r="R856" s="472"/>
      <c r="S856" s="472"/>
      <c r="T856" s="472"/>
      <c r="U856" s="472"/>
      <c r="V856" s="472"/>
      <c r="W856" s="472"/>
      <c r="X856" s="472"/>
      <c r="Y856" s="472"/>
      <c r="Z856" s="472"/>
      <c r="AA856" s="472"/>
    </row>
    <row r="857" outlineLevel="1">
      <c r="A857" s="481" t="str">
        <f>IFERROR(__xludf.DUMMYFUNCTION("""COMPUTED_VALUE"""),"INSCRIÇÃO")</f>
        <v>INSCRIÇÃO</v>
      </c>
      <c r="B857" s="482" t="str">
        <f>IFERROR(__xludf.DUMMYFUNCTION("""COMPUTED_VALUE"""),"CANDIDATOS")</f>
        <v>CANDIDATOS</v>
      </c>
      <c r="C857" s="481" t="str">
        <f>IFERROR(__xludf.DUMMYFUNCTION("""COMPUTED_VALUE"""),"NF")</f>
        <v>NF</v>
      </c>
      <c r="D857" s="483" t="str">
        <f>IFERROR(__xludf.DUMMYFUNCTION("""COMPUTED_VALUE"""),"CONVOCADO(A)")</f>
        <v>CONVOCADO(A)</v>
      </c>
      <c r="E857" s="483" t="str">
        <f>IFERROR(__xludf.DUMMYFUNCTION("""COMPUTED_VALUE"""),"HOMOLOGADO(A)")</f>
        <v>HOMOLOGADO(A)</v>
      </c>
      <c r="F857" s="483" t="str">
        <f>IFERROR(__xludf.DUMMYFUNCTION("""COMPUTED_VALUE"""),"GERÊNCIA")</f>
        <v>GERÊNCIA</v>
      </c>
      <c r="G857" s="472"/>
      <c r="H857" s="472"/>
      <c r="I857" s="472"/>
      <c r="J857" s="472"/>
      <c r="K857" s="472"/>
      <c r="L857" s="472"/>
      <c r="M857" s="472"/>
      <c r="N857" s="472"/>
      <c r="O857" s="472"/>
      <c r="P857" s="472"/>
      <c r="Q857" s="472"/>
      <c r="R857" s="472"/>
      <c r="S857" s="472"/>
      <c r="T857" s="472"/>
      <c r="U857" s="472"/>
      <c r="V857" s="472"/>
      <c r="W857" s="472"/>
      <c r="X857" s="472"/>
      <c r="Y857" s="472"/>
      <c r="Z857" s="472"/>
      <c r="AA857" s="472"/>
    </row>
    <row r="858" outlineLevel="1">
      <c r="A858" s="484">
        <f>IFERROR(__xludf.DUMMYFUNCTION("""COMPUTED_VALUE"""),2.36240092947E11)</f>
        <v>236240092947</v>
      </c>
      <c r="B858" s="485" t="str">
        <f>IFERROR(__xludf.DUMMYFUNCTION("""COMPUTED_VALUE"""),"JULIO CESAR DE AZEVEDO CARVALHAL")</f>
        <v>JULIO CESAR DE AZEVEDO CARVALHAL</v>
      </c>
      <c r="C858" s="486">
        <f>IFERROR(__xludf.DUMMYFUNCTION("""COMPUTED_VALUE"""),10.0)</f>
        <v>10</v>
      </c>
      <c r="D858" s="487"/>
      <c r="E858" s="486"/>
      <c r="F858" s="488"/>
      <c r="G858" s="472"/>
      <c r="H858" s="472"/>
      <c r="I858" s="472"/>
      <c r="J858" s="472"/>
      <c r="K858" s="472"/>
      <c r="L858" s="472"/>
      <c r="M858" s="472"/>
      <c r="N858" s="472"/>
      <c r="O858" s="472"/>
      <c r="P858" s="472"/>
      <c r="Q858" s="472"/>
      <c r="R858" s="472"/>
      <c r="S858" s="472"/>
      <c r="T858" s="472"/>
      <c r="U858" s="472"/>
      <c r="V858" s="472"/>
      <c r="W858" s="472"/>
      <c r="X858" s="472"/>
      <c r="Y858" s="472"/>
      <c r="Z858" s="472"/>
      <c r="AA858" s="472"/>
    </row>
    <row r="859" outlineLevel="1">
      <c r="A859" s="484">
        <f>IFERROR(__xludf.DUMMYFUNCTION("""COMPUTED_VALUE"""),5.88420092065E11)</f>
        <v>588420092065</v>
      </c>
      <c r="B859" s="485" t="str">
        <f>IFERROR(__xludf.DUMMYFUNCTION("""COMPUTED_VALUE"""),"COSMO HELDER FERREIRA DA SILVA")</f>
        <v>COSMO HELDER FERREIRA DA SILVA</v>
      </c>
      <c r="C859" s="486">
        <f>IFERROR(__xludf.DUMMYFUNCTION("""COMPUTED_VALUE"""),10.0)</f>
        <v>10</v>
      </c>
      <c r="D859" s="487"/>
      <c r="E859" s="486"/>
      <c r="F859" s="488"/>
      <c r="G859" s="472"/>
      <c r="H859" s="472"/>
      <c r="I859" s="472"/>
      <c r="J859" s="472"/>
      <c r="K859" s="472"/>
      <c r="L859" s="472"/>
      <c r="M859" s="472"/>
      <c r="N859" s="472"/>
      <c r="O859" s="472"/>
      <c r="P859" s="472"/>
      <c r="Q859" s="472"/>
      <c r="R859" s="472"/>
      <c r="S859" s="472"/>
      <c r="T859" s="472"/>
      <c r="U859" s="472"/>
      <c r="V859" s="472"/>
      <c r="W859" s="472"/>
      <c r="X859" s="472"/>
      <c r="Y859" s="472"/>
      <c r="Z859" s="472"/>
      <c r="AA859" s="472"/>
    </row>
    <row r="860" outlineLevel="1">
      <c r="A860" s="494">
        <f>IFERROR(__xludf.DUMMYFUNCTION("""COMPUTED_VALUE"""),3.8005089933E10)</f>
        <v>38005089933</v>
      </c>
      <c r="B860" s="485" t="str">
        <f>IFERROR(__xludf.DUMMYFUNCTION("""COMPUTED_VALUE"""),"JÔNIA CYBELE SANTOS LIMA")</f>
        <v>JÔNIA CYBELE SANTOS LIMA</v>
      </c>
      <c r="C860" s="486">
        <f>IFERROR(__xludf.DUMMYFUNCTION("""COMPUTED_VALUE"""),7.5)</f>
        <v>7.5</v>
      </c>
      <c r="D860" s="487"/>
      <c r="E860" s="486"/>
      <c r="F860" s="488"/>
      <c r="G860" s="472"/>
      <c r="H860" s="472"/>
      <c r="I860" s="472"/>
      <c r="J860" s="472"/>
      <c r="K860" s="472"/>
      <c r="L860" s="472"/>
      <c r="M860" s="472"/>
      <c r="N860" s="472"/>
      <c r="O860" s="472"/>
      <c r="P860" s="472"/>
      <c r="Q860" s="472"/>
      <c r="R860" s="472"/>
      <c r="S860" s="472"/>
      <c r="T860" s="472"/>
      <c r="U860" s="472"/>
      <c r="V860" s="472"/>
      <c r="W860" s="472"/>
      <c r="X860" s="472"/>
      <c r="Y860" s="472"/>
      <c r="Z860" s="472"/>
      <c r="AA860" s="472"/>
    </row>
    <row r="861" outlineLevel="1">
      <c r="A861" s="484">
        <f>IFERROR(__xludf.DUMMYFUNCTION("""COMPUTED_VALUE"""),4.74619091713E11)</f>
        <v>474619091713</v>
      </c>
      <c r="B861" s="485" t="str">
        <f>IFERROR(__xludf.DUMMYFUNCTION("""COMPUTED_VALUE"""),"PATRICIA MARIA COSTA DE OLIVEIRA SOUSA")</f>
        <v>PATRICIA MARIA COSTA DE OLIVEIRA SOUSA</v>
      </c>
      <c r="C861" s="486">
        <f>IFERROR(__xludf.DUMMYFUNCTION("""COMPUTED_VALUE"""),7.5)</f>
        <v>7.5</v>
      </c>
      <c r="D861" s="487"/>
      <c r="E861" s="486"/>
      <c r="F861" s="488"/>
      <c r="G861" s="472"/>
      <c r="H861" s="472"/>
      <c r="I861" s="472"/>
      <c r="J861" s="472"/>
      <c r="K861" s="472"/>
      <c r="L861" s="472"/>
      <c r="M861" s="472"/>
      <c r="N861" s="472"/>
      <c r="O861" s="472"/>
      <c r="P861" s="472"/>
      <c r="Q861" s="472"/>
      <c r="R861" s="472"/>
      <c r="S861" s="472"/>
      <c r="T861" s="472"/>
      <c r="U861" s="472"/>
      <c r="V861" s="472"/>
      <c r="W861" s="472"/>
      <c r="X861" s="472"/>
      <c r="Y861" s="472"/>
      <c r="Z861" s="472"/>
      <c r="AA861" s="472"/>
    </row>
    <row r="862">
      <c r="A862" s="478" t="str">
        <f>IFERROR(__xludf.DUMMYFUNCTION("""COMPUTED_VALUE"""),"XVIII - DOU - ANÁLISES CLÍNICAS")</f>
        <v>XVIII - DOU - ANÁLISES CLÍNICAS</v>
      </c>
      <c r="B862" s="479"/>
      <c r="C862" s="479"/>
      <c r="D862" s="479"/>
      <c r="E862" s="479"/>
      <c r="F862" s="480"/>
      <c r="G862" s="472"/>
      <c r="H862" s="472"/>
      <c r="I862" s="472"/>
      <c r="J862" s="472"/>
      <c r="K862" s="472"/>
      <c r="L862" s="472"/>
      <c r="M862" s="472"/>
      <c r="N862" s="472"/>
      <c r="O862" s="472"/>
      <c r="P862" s="472"/>
      <c r="Q862" s="472"/>
      <c r="R862" s="472"/>
      <c r="S862" s="472"/>
      <c r="T862" s="472"/>
      <c r="U862" s="472"/>
      <c r="V862" s="472"/>
      <c r="W862" s="472"/>
      <c r="X862" s="472"/>
      <c r="Y862" s="472"/>
      <c r="Z862" s="472"/>
      <c r="AA862" s="472"/>
    </row>
    <row r="863" outlineLevel="1">
      <c r="A863" s="481" t="str">
        <f>IFERROR(__xludf.DUMMYFUNCTION("""COMPUTED_VALUE"""),"INSCRIÇÃO")</f>
        <v>INSCRIÇÃO</v>
      </c>
      <c r="B863" s="482" t="str">
        <f>IFERROR(__xludf.DUMMYFUNCTION("""COMPUTED_VALUE"""),"CANDIDATOS")</f>
        <v>CANDIDATOS</v>
      </c>
      <c r="C863" s="481" t="str">
        <f>IFERROR(__xludf.DUMMYFUNCTION("""COMPUTED_VALUE"""),"NF")</f>
        <v>NF</v>
      </c>
      <c r="D863" s="483" t="str">
        <f>IFERROR(__xludf.DUMMYFUNCTION("""COMPUTED_VALUE"""),"CONVOCADO(A)")</f>
        <v>CONVOCADO(A)</v>
      </c>
      <c r="E863" s="483" t="str">
        <f>IFERROR(__xludf.DUMMYFUNCTION("""COMPUTED_VALUE"""),"HOMOLOGADO(A)")</f>
        <v>HOMOLOGADO(A)</v>
      </c>
      <c r="F863" s="483" t="str">
        <f>IFERROR(__xludf.DUMMYFUNCTION("""COMPUTED_VALUE"""),"GERÊNCIA")</f>
        <v>GERÊNCIA</v>
      </c>
      <c r="G863" s="472"/>
      <c r="H863" s="472"/>
      <c r="I863" s="472"/>
      <c r="J863" s="472"/>
      <c r="K863" s="472"/>
      <c r="L863" s="472"/>
      <c r="M863" s="472"/>
      <c r="N863" s="472"/>
      <c r="O863" s="472"/>
      <c r="P863" s="472"/>
      <c r="Q863" s="472"/>
      <c r="R863" s="472"/>
      <c r="S863" s="472"/>
      <c r="T863" s="472"/>
      <c r="U863" s="472"/>
      <c r="V863" s="472"/>
      <c r="W863" s="472"/>
      <c r="X863" s="472"/>
      <c r="Y863" s="472"/>
      <c r="Z863" s="472"/>
      <c r="AA863" s="472"/>
    </row>
    <row r="864" outlineLevel="1">
      <c r="A864" s="484">
        <f>IFERROR(__xludf.DUMMYFUNCTION("""COMPUTED_VALUE"""),8.45193092339E11)</f>
        <v>845193092339</v>
      </c>
      <c r="B864" s="485" t="str">
        <f>IFERROR(__xludf.DUMMYFUNCTION("""COMPUTED_VALUE"""),"PAULO GERMANO DE CARVALHO")</f>
        <v>PAULO GERMANO DE CARVALHO</v>
      </c>
      <c r="C864" s="486">
        <f>IFERROR(__xludf.DUMMYFUNCTION("""COMPUTED_VALUE"""),9.5)</f>
        <v>9.5</v>
      </c>
      <c r="D864" s="487"/>
      <c r="E864" s="486"/>
      <c r="F864" s="488"/>
      <c r="G864" s="472"/>
      <c r="H864" s="472"/>
      <c r="I864" s="472"/>
      <c r="J864" s="472"/>
      <c r="K864" s="472"/>
      <c r="L864" s="472"/>
      <c r="M864" s="472"/>
      <c r="N864" s="472"/>
      <c r="O864" s="472"/>
      <c r="P864" s="472"/>
      <c r="Q864" s="472"/>
      <c r="R864" s="472"/>
      <c r="S864" s="472"/>
      <c r="T864" s="472"/>
      <c r="U864" s="472"/>
      <c r="V864" s="472"/>
      <c r="W864" s="472"/>
      <c r="X864" s="472"/>
      <c r="Y864" s="472"/>
      <c r="Z864" s="472"/>
      <c r="AA864" s="472"/>
    </row>
    <row r="865" outlineLevel="1">
      <c r="A865" s="484">
        <f>IFERROR(__xludf.DUMMYFUNCTION("""COMPUTED_VALUE"""),7.43415089906E11)</f>
        <v>743415089906</v>
      </c>
      <c r="B865" s="485" t="str">
        <f>IFERROR(__xludf.DUMMYFUNCTION("""COMPUTED_VALUE"""),"SHIRLENE TELMOS SILVA DE LIMA")</f>
        <v>SHIRLENE TELMOS SILVA DE LIMA</v>
      </c>
      <c r="C865" s="486">
        <f>IFERROR(__xludf.DUMMYFUNCTION("""COMPUTED_VALUE"""),8.0)</f>
        <v>8</v>
      </c>
      <c r="D865" s="487"/>
      <c r="E865" s="486"/>
      <c r="F865" s="488"/>
      <c r="G865" s="472"/>
      <c r="H865" s="472"/>
      <c r="I865" s="472"/>
      <c r="J865" s="472"/>
      <c r="K865" s="472"/>
      <c r="L865" s="472"/>
      <c r="M865" s="472"/>
      <c r="N865" s="472"/>
      <c r="O865" s="472"/>
      <c r="P865" s="472"/>
      <c r="Q865" s="472"/>
      <c r="R865" s="472"/>
      <c r="S865" s="472"/>
      <c r="T865" s="472"/>
      <c r="U865" s="472"/>
      <c r="V865" s="472"/>
      <c r="W865" s="472"/>
      <c r="X865" s="472"/>
      <c r="Y865" s="472"/>
      <c r="Z865" s="472"/>
      <c r="AA865" s="472"/>
    </row>
    <row r="866" outlineLevel="1">
      <c r="A866" s="484">
        <f>IFERROR(__xludf.DUMMYFUNCTION("""COMPUTED_VALUE"""),2.09620091898E11)</f>
        <v>209620091898</v>
      </c>
      <c r="B866" s="485" t="str">
        <f>IFERROR(__xludf.DUMMYFUNCTION("""COMPUTED_VALUE"""),"ANA ISABELLE DE GOIS QUEIROZ")</f>
        <v>ANA ISABELLE DE GOIS QUEIROZ</v>
      </c>
      <c r="C866" s="486">
        <f>IFERROR(__xludf.DUMMYFUNCTION("""COMPUTED_VALUE"""),7.5)</f>
        <v>7.5</v>
      </c>
      <c r="D866" s="487"/>
      <c r="E866" s="486"/>
      <c r="F866" s="488"/>
      <c r="G866" s="472"/>
      <c r="H866" s="472"/>
      <c r="I866" s="472"/>
      <c r="J866" s="472"/>
      <c r="K866" s="472"/>
      <c r="L866" s="472"/>
      <c r="M866" s="472"/>
      <c r="N866" s="472"/>
      <c r="O866" s="472"/>
      <c r="P866" s="472"/>
      <c r="Q866" s="472"/>
      <c r="R866" s="472"/>
      <c r="S866" s="472"/>
      <c r="T866" s="472"/>
      <c r="U866" s="472"/>
      <c r="V866" s="472"/>
      <c r="W866" s="472"/>
      <c r="X866" s="472"/>
      <c r="Y866" s="472"/>
      <c r="Z866" s="472"/>
      <c r="AA866" s="472"/>
    </row>
    <row r="867" outlineLevel="1">
      <c r="A867" s="494">
        <f>IFERROR(__xludf.DUMMYFUNCTION("""COMPUTED_VALUE"""),2.4240091845E10)</f>
        <v>24240091845</v>
      </c>
      <c r="B867" s="485" t="str">
        <f>IFERROR(__xludf.DUMMYFUNCTION("""COMPUTED_VALUE"""),"YHASMINE DELLES OLIVEIRA GARCIA")</f>
        <v>YHASMINE DELLES OLIVEIRA GARCIA</v>
      </c>
      <c r="C867" s="486">
        <f>IFERROR(__xludf.DUMMYFUNCTION("""COMPUTED_VALUE"""),7.5)</f>
        <v>7.5</v>
      </c>
      <c r="D867" s="487"/>
      <c r="E867" s="486"/>
      <c r="F867" s="488"/>
      <c r="G867" s="472"/>
      <c r="H867" s="472"/>
      <c r="I867" s="472"/>
      <c r="J867" s="472"/>
      <c r="K867" s="472"/>
      <c r="L867" s="472"/>
      <c r="M867" s="472"/>
      <c r="N867" s="472"/>
      <c r="O867" s="472"/>
      <c r="P867" s="472"/>
      <c r="Q867" s="472"/>
      <c r="R867" s="472"/>
      <c r="S867" s="472"/>
      <c r="T867" s="472"/>
      <c r="U867" s="472"/>
      <c r="V867" s="472"/>
      <c r="W867" s="472"/>
      <c r="X867" s="472"/>
      <c r="Y867" s="472"/>
      <c r="Z867" s="472"/>
      <c r="AA867" s="472"/>
    </row>
    <row r="868" outlineLevel="1">
      <c r="A868" s="484">
        <f>IFERROR(__xludf.DUMMYFUNCTION("""COMPUTED_VALUE"""),1.16845089444E11)</f>
        <v>116845089444</v>
      </c>
      <c r="B868" s="485" t="str">
        <f>IFERROR(__xludf.DUMMYFUNCTION("""COMPUTED_VALUE"""),"TATIANA PASCHOALETTE RODRIGUES BACHUR")</f>
        <v>TATIANA PASCHOALETTE RODRIGUES BACHUR</v>
      </c>
      <c r="C868" s="486">
        <f>IFERROR(__xludf.DUMMYFUNCTION("""COMPUTED_VALUE"""),6.0)</f>
        <v>6</v>
      </c>
      <c r="D868" s="487"/>
      <c r="E868" s="486"/>
      <c r="F868" s="488"/>
      <c r="G868" s="472"/>
      <c r="H868" s="472"/>
      <c r="I868" s="472"/>
      <c r="J868" s="472"/>
      <c r="K868" s="472"/>
      <c r="L868" s="472"/>
      <c r="M868" s="472"/>
      <c r="N868" s="472"/>
      <c r="O868" s="472"/>
      <c r="P868" s="472"/>
      <c r="Q868" s="472"/>
      <c r="R868" s="472"/>
      <c r="S868" s="472"/>
      <c r="T868" s="472"/>
      <c r="U868" s="472"/>
      <c r="V868" s="472"/>
      <c r="W868" s="472"/>
      <c r="X868" s="472"/>
      <c r="Y868" s="472"/>
      <c r="Z868" s="472"/>
      <c r="AA868" s="472"/>
    </row>
    <row r="869">
      <c r="A869" s="478" t="str">
        <f>IFERROR(__xludf.DUMMYFUNCTION("""COMPUTED_VALUE"""),"XIX - DOU - SAÚDE PRISIONAL")</f>
        <v>XIX - DOU - SAÚDE PRISIONAL</v>
      </c>
      <c r="B869" s="479"/>
      <c r="C869" s="479"/>
      <c r="D869" s="479"/>
      <c r="E869" s="479"/>
      <c r="F869" s="480"/>
      <c r="G869" s="472"/>
      <c r="H869" s="472"/>
      <c r="I869" s="472"/>
      <c r="J869" s="472"/>
      <c r="K869" s="472"/>
      <c r="L869" s="472"/>
      <c r="M869" s="472"/>
      <c r="N869" s="472"/>
      <c r="O869" s="472"/>
      <c r="P869" s="472"/>
      <c r="Q869" s="472"/>
      <c r="R869" s="472"/>
      <c r="S869" s="472"/>
      <c r="T869" s="472"/>
      <c r="U869" s="472"/>
      <c r="V869" s="472"/>
      <c r="W869" s="472"/>
      <c r="X869" s="472"/>
      <c r="Y869" s="472"/>
      <c r="Z869" s="472"/>
      <c r="AA869" s="472"/>
    </row>
    <row r="870" outlineLevel="1">
      <c r="A870" s="481" t="str">
        <f>IFERROR(__xludf.DUMMYFUNCTION("""COMPUTED_VALUE"""),"INSCRIÇÃO")</f>
        <v>INSCRIÇÃO</v>
      </c>
      <c r="B870" s="482" t="str">
        <f>IFERROR(__xludf.DUMMYFUNCTION("""COMPUTED_VALUE"""),"CANDIDATOS")</f>
        <v>CANDIDATOS</v>
      </c>
      <c r="C870" s="481" t="str">
        <f>IFERROR(__xludf.DUMMYFUNCTION("""COMPUTED_VALUE"""),"NF")</f>
        <v>NF</v>
      </c>
      <c r="D870" s="483" t="str">
        <f>IFERROR(__xludf.DUMMYFUNCTION("""COMPUTED_VALUE"""),"CONVOCADO(A)")</f>
        <v>CONVOCADO(A)</v>
      </c>
      <c r="E870" s="483" t="str">
        <f>IFERROR(__xludf.DUMMYFUNCTION("""COMPUTED_VALUE"""),"HOMOLOGADO(A)")</f>
        <v>HOMOLOGADO(A)</v>
      </c>
      <c r="F870" s="483" t="str">
        <f>IFERROR(__xludf.DUMMYFUNCTION("""COMPUTED_VALUE"""),"GERÊNCIA")</f>
        <v>GERÊNCIA</v>
      </c>
      <c r="G870" s="472"/>
      <c r="H870" s="472"/>
      <c r="I870" s="472"/>
      <c r="J870" s="472"/>
      <c r="K870" s="472"/>
      <c r="L870" s="472"/>
      <c r="M870" s="472"/>
      <c r="N870" s="472"/>
      <c r="O870" s="472"/>
      <c r="P870" s="472"/>
      <c r="Q870" s="472"/>
      <c r="R870" s="472"/>
      <c r="S870" s="472"/>
      <c r="T870" s="472"/>
      <c r="U870" s="472"/>
      <c r="V870" s="472"/>
      <c r="W870" s="472"/>
      <c r="X870" s="472"/>
      <c r="Y870" s="472"/>
      <c r="Z870" s="472"/>
      <c r="AA870" s="472"/>
    </row>
    <row r="871" outlineLevel="1">
      <c r="A871" s="484">
        <f>IFERROR(__xludf.DUMMYFUNCTION("""COMPUTED_VALUE"""),6.9068309225E11)</f>
        <v>690683092250</v>
      </c>
      <c r="B871" s="485" t="str">
        <f>IFERROR(__xludf.DUMMYFUNCTION("""COMPUTED_VALUE"""),"REGINA CLÁUDIA BARROSO CAVALCANTE")</f>
        <v>REGINA CLÁUDIA BARROSO CAVALCANTE</v>
      </c>
      <c r="C871" s="486">
        <f>IFERROR(__xludf.DUMMYFUNCTION("""COMPUTED_VALUE"""),9.5)</f>
        <v>9.5</v>
      </c>
      <c r="D871" s="487"/>
      <c r="E871" s="486"/>
      <c r="F871" s="495"/>
      <c r="G871" s="472"/>
      <c r="H871" s="472"/>
      <c r="I871" s="472"/>
      <c r="J871" s="472"/>
      <c r="K871" s="472"/>
      <c r="L871" s="472"/>
      <c r="M871" s="472"/>
      <c r="N871" s="472"/>
      <c r="O871" s="472"/>
      <c r="P871" s="472"/>
      <c r="Q871" s="472"/>
      <c r="R871" s="472"/>
      <c r="S871" s="472"/>
      <c r="T871" s="472"/>
      <c r="U871" s="472"/>
      <c r="V871" s="472"/>
      <c r="W871" s="472"/>
      <c r="X871" s="472"/>
      <c r="Y871" s="472"/>
      <c r="Z871" s="472"/>
      <c r="AA871" s="472"/>
    </row>
    <row r="872" outlineLevel="1">
      <c r="A872" s="484">
        <f>IFERROR(__xludf.DUMMYFUNCTION("""COMPUTED_VALUE"""),5.13110088938E11)</f>
        <v>513110088938</v>
      </c>
      <c r="B872" s="485" t="str">
        <f>IFERROR(__xludf.DUMMYFUNCTION("""COMPUTED_VALUE"""),"MARCELO DAVI SANTOS")</f>
        <v>MARCELO DAVI SANTOS</v>
      </c>
      <c r="C872" s="486">
        <f>IFERROR(__xludf.DUMMYFUNCTION("""COMPUTED_VALUE"""),7.0)</f>
        <v>7</v>
      </c>
      <c r="D872" s="487"/>
      <c r="E872" s="486"/>
      <c r="F872" s="495"/>
      <c r="G872" s="472"/>
      <c r="H872" s="472"/>
      <c r="I872" s="472"/>
      <c r="J872" s="472"/>
      <c r="K872" s="472"/>
      <c r="L872" s="472"/>
      <c r="M872" s="472"/>
      <c r="N872" s="472"/>
      <c r="O872" s="472"/>
      <c r="P872" s="472"/>
      <c r="Q872" s="472"/>
      <c r="R872" s="472"/>
      <c r="S872" s="472"/>
      <c r="T872" s="472"/>
      <c r="U872" s="472"/>
      <c r="V872" s="472"/>
      <c r="W872" s="472"/>
      <c r="X872" s="472"/>
      <c r="Y872" s="472"/>
      <c r="Z872" s="472"/>
      <c r="AA872" s="472"/>
    </row>
    <row r="873">
      <c r="A873" s="478" t="str">
        <f>IFERROR(__xludf.DUMMYFUNCTION("""COMPUTED_VALUE"""),"XXI - DOU - EQUIDADE DE GÊNERO NO CAMPO DA SAÚDE")</f>
        <v>XXI - DOU - EQUIDADE DE GÊNERO NO CAMPO DA SAÚDE</v>
      </c>
      <c r="B873" s="479"/>
      <c r="C873" s="479"/>
      <c r="D873" s="479"/>
      <c r="E873" s="479"/>
      <c r="F873" s="480"/>
      <c r="G873" s="472"/>
      <c r="H873" s="472"/>
      <c r="I873" s="472"/>
      <c r="J873" s="472"/>
      <c r="K873" s="472"/>
      <c r="L873" s="472"/>
      <c r="M873" s="472"/>
      <c r="N873" s="472"/>
      <c r="O873" s="472"/>
      <c r="P873" s="472"/>
      <c r="Q873" s="472"/>
      <c r="R873" s="472"/>
      <c r="S873" s="472"/>
      <c r="T873" s="472"/>
      <c r="U873" s="472"/>
      <c r="V873" s="472"/>
      <c r="W873" s="472"/>
      <c r="X873" s="472"/>
      <c r="Y873" s="472"/>
      <c r="Z873" s="472"/>
      <c r="AA873" s="472"/>
    </row>
    <row r="874" outlineLevel="1">
      <c r="A874" s="481" t="str">
        <f>IFERROR(__xludf.DUMMYFUNCTION("""COMPUTED_VALUE"""),"INSCRIÇÃO")</f>
        <v>INSCRIÇÃO</v>
      </c>
      <c r="B874" s="482" t="str">
        <f>IFERROR(__xludf.DUMMYFUNCTION("""COMPUTED_VALUE"""),"CANDIDATOS")</f>
        <v>CANDIDATOS</v>
      </c>
      <c r="C874" s="481" t="str">
        <f>IFERROR(__xludf.DUMMYFUNCTION("""COMPUTED_VALUE"""),"NF")</f>
        <v>NF</v>
      </c>
      <c r="D874" s="483" t="str">
        <f>IFERROR(__xludf.DUMMYFUNCTION("""COMPUTED_VALUE"""),"CONVOCADO(A)")</f>
        <v>CONVOCADO(A)</v>
      </c>
      <c r="E874" s="483" t="str">
        <f>IFERROR(__xludf.DUMMYFUNCTION("""COMPUTED_VALUE"""),"HOMOLOGADO(A)")</f>
        <v>HOMOLOGADO(A)</v>
      </c>
      <c r="F874" s="483" t="str">
        <f>IFERROR(__xludf.DUMMYFUNCTION("""COMPUTED_VALUE"""),"GERÊNCIA")</f>
        <v>GERÊNCIA</v>
      </c>
      <c r="G874" s="472"/>
      <c r="H874" s="472"/>
      <c r="I874" s="472"/>
      <c r="J874" s="472"/>
      <c r="K874" s="472"/>
      <c r="L874" s="472"/>
      <c r="M874" s="472"/>
      <c r="N874" s="472"/>
      <c r="O874" s="472"/>
      <c r="P874" s="472"/>
      <c r="Q874" s="472"/>
      <c r="R874" s="472"/>
      <c r="S874" s="472"/>
      <c r="T874" s="472"/>
      <c r="U874" s="472"/>
      <c r="V874" s="472"/>
      <c r="W874" s="472"/>
      <c r="X874" s="472"/>
      <c r="Y874" s="472"/>
      <c r="Z874" s="472"/>
      <c r="AA874" s="472"/>
    </row>
    <row r="875" outlineLevel="1">
      <c r="A875" s="484">
        <f>IFERROR(__xludf.DUMMYFUNCTION("""COMPUTED_VALUE"""),1.49010088744E11)</f>
        <v>149010088744</v>
      </c>
      <c r="B875" s="485" t="str">
        <f>IFERROR(__xludf.DUMMYFUNCTION("""COMPUTED_VALUE"""),"ISABELLA COSTA MARTINS")</f>
        <v>ISABELLA COSTA MARTINS</v>
      </c>
      <c r="C875" s="486">
        <f>IFERROR(__xludf.DUMMYFUNCTION("""COMPUTED_VALUE"""),9.0)</f>
        <v>9</v>
      </c>
      <c r="D875" s="487"/>
      <c r="E875" s="486"/>
      <c r="F875" s="488"/>
      <c r="G875" s="472"/>
      <c r="H875" s="472"/>
      <c r="I875" s="472"/>
      <c r="J875" s="472"/>
      <c r="K875" s="472"/>
      <c r="L875" s="472"/>
      <c r="M875" s="472"/>
      <c r="N875" s="472"/>
      <c r="O875" s="472"/>
      <c r="P875" s="472"/>
      <c r="Q875" s="472"/>
      <c r="R875" s="472"/>
      <c r="S875" s="472"/>
      <c r="T875" s="472"/>
      <c r="U875" s="472"/>
      <c r="V875" s="472"/>
      <c r="W875" s="472"/>
      <c r="X875" s="472"/>
      <c r="Y875" s="472"/>
      <c r="Z875" s="472"/>
      <c r="AA875" s="472"/>
    </row>
    <row r="876" outlineLevel="1">
      <c r="A876" s="494">
        <f>IFERROR(__xludf.DUMMYFUNCTION("""COMPUTED_VALUE"""),8.4097090104E10)</f>
        <v>84097090104</v>
      </c>
      <c r="B876" s="485" t="str">
        <f>IFERROR(__xludf.DUMMYFUNCTION("""COMPUTED_VALUE"""),"JULIANA GUIMARÃES E SILVA")</f>
        <v>JULIANA GUIMARÃES E SILVA</v>
      </c>
      <c r="C876" s="486">
        <f>IFERROR(__xludf.DUMMYFUNCTION("""COMPUTED_VALUE"""),8.5)</f>
        <v>8.5</v>
      </c>
      <c r="D876" s="487"/>
      <c r="E876" s="486"/>
      <c r="F876" s="488"/>
      <c r="G876" s="472"/>
      <c r="H876" s="472"/>
      <c r="I876" s="472"/>
      <c r="J876" s="472"/>
      <c r="K876" s="472"/>
      <c r="L876" s="472"/>
      <c r="M876" s="472"/>
      <c r="N876" s="472"/>
      <c r="O876" s="472"/>
      <c r="P876" s="472"/>
      <c r="Q876" s="472"/>
      <c r="R876" s="472"/>
      <c r="S876" s="472"/>
      <c r="T876" s="472"/>
      <c r="U876" s="472"/>
      <c r="V876" s="472"/>
      <c r="W876" s="472"/>
      <c r="X876" s="472"/>
      <c r="Y876" s="472"/>
      <c r="Z876" s="472"/>
      <c r="AA876" s="472"/>
    </row>
    <row r="877">
      <c r="A877" s="478" t="str">
        <f>IFERROR(__xludf.DUMMYFUNCTION("""COMPUTED_VALUE"""),"XXII - DOU - SAÚDE INDÍGENA")</f>
        <v>XXII - DOU - SAÚDE INDÍGENA</v>
      </c>
      <c r="B877" s="479"/>
      <c r="C877" s="479"/>
      <c r="D877" s="479"/>
      <c r="E877" s="479"/>
      <c r="F877" s="480"/>
      <c r="G877" s="472"/>
      <c r="H877" s="472"/>
      <c r="I877" s="472"/>
      <c r="J877" s="472"/>
      <c r="K877" s="472"/>
      <c r="L877" s="472"/>
      <c r="M877" s="472"/>
      <c r="N877" s="472"/>
      <c r="O877" s="472"/>
      <c r="P877" s="472"/>
      <c r="Q877" s="472"/>
      <c r="R877" s="472"/>
      <c r="S877" s="472"/>
      <c r="T877" s="472"/>
      <c r="U877" s="472"/>
      <c r="V877" s="472"/>
      <c r="W877" s="472"/>
      <c r="X877" s="472"/>
      <c r="Y877" s="472"/>
      <c r="Z877" s="472"/>
      <c r="AA877" s="472"/>
    </row>
    <row r="878" outlineLevel="1">
      <c r="A878" s="481" t="str">
        <f>IFERROR(__xludf.DUMMYFUNCTION("""COMPUTED_VALUE"""),"INSCRIÇÃO")</f>
        <v>INSCRIÇÃO</v>
      </c>
      <c r="B878" s="482" t="str">
        <f>IFERROR(__xludf.DUMMYFUNCTION("""COMPUTED_VALUE"""),"CANDIDATOS")</f>
        <v>CANDIDATOS</v>
      </c>
      <c r="C878" s="481" t="str">
        <f>IFERROR(__xludf.DUMMYFUNCTION("""COMPUTED_VALUE"""),"NF")</f>
        <v>NF</v>
      </c>
      <c r="D878" s="483" t="str">
        <f>IFERROR(__xludf.DUMMYFUNCTION("""COMPUTED_VALUE"""),"CONVOCADO(A)")</f>
        <v>CONVOCADO(A)</v>
      </c>
      <c r="E878" s="483" t="str">
        <f>IFERROR(__xludf.DUMMYFUNCTION("""COMPUTED_VALUE"""),"HOMOLOGADO(A)")</f>
        <v>HOMOLOGADO(A)</v>
      </c>
      <c r="F878" s="483" t="str">
        <f>IFERROR(__xludf.DUMMYFUNCTION("""COMPUTED_VALUE"""),"GERÊNCIA")</f>
        <v>GERÊNCIA</v>
      </c>
      <c r="G878" s="472"/>
      <c r="H878" s="472"/>
      <c r="I878" s="472"/>
      <c r="J878" s="472"/>
      <c r="K878" s="472"/>
      <c r="L878" s="472"/>
      <c r="M878" s="472"/>
      <c r="N878" s="472"/>
      <c r="O878" s="472"/>
      <c r="P878" s="472"/>
      <c r="Q878" s="472"/>
      <c r="R878" s="472"/>
      <c r="S878" s="472"/>
      <c r="T878" s="472"/>
      <c r="U878" s="472"/>
      <c r="V878" s="472"/>
      <c r="W878" s="472"/>
      <c r="X878" s="472"/>
      <c r="Y878" s="472"/>
      <c r="Z878" s="472"/>
      <c r="AA878" s="472"/>
    </row>
    <row r="879" outlineLevel="1">
      <c r="A879" s="484">
        <f>IFERROR(__xludf.DUMMYFUNCTION("""COMPUTED_VALUE"""),9.60634091947E11)</f>
        <v>960634091947</v>
      </c>
      <c r="B879" s="485" t="str">
        <f>IFERROR(__xludf.DUMMYFUNCTION("""COMPUTED_VALUE"""),"MARIA DO SOCORRO LITAIFF RODRIGUES DANTAS")</f>
        <v>MARIA DO SOCORRO LITAIFF RODRIGUES DANTAS</v>
      </c>
      <c r="C879" s="486">
        <f>IFERROR(__xludf.DUMMYFUNCTION("""COMPUTED_VALUE"""),8.0)</f>
        <v>8</v>
      </c>
      <c r="D879" s="487"/>
      <c r="E879" s="486"/>
      <c r="F879" s="488"/>
      <c r="G879" s="472"/>
      <c r="H879" s="472"/>
      <c r="I879" s="472"/>
      <c r="J879" s="472"/>
      <c r="K879" s="472"/>
      <c r="L879" s="472"/>
      <c r="M879" s="472"/>
      <c r="N879" s="472"/>
      <c r="O879" s="472"/>
      <c r="P879" s="472"/>
      <c r="Q879" s="472"/>
      <c r="R879" s="472"/>
      <c r="S879" s="472"/>
      <c r="T879" s="472"/>
      <c r="U879" s="472"/>
      <c r="V879" s="472"/>
      <c r="W879" s="472"/>
      <c r="X879" s="472"/>
      <c r="Y879" s="472"/>
      <c r="Z879" s="472"/>
      <c r="AA879" s="472"/>
    </row>
    <row r="880">
      <c r="A880" s="478" t="str">
        <f>IFERROR(__xludf.DUMMYFUNCTION("""COMPUTED_VALUE"""),"XXIII - DOU - VIOLÊNCIAS E SAÚDE")</f>
        <v>XXIII - DOU - VIOLÊNCIAS E SAÚDE</v>
      </c>
      <c r="B880" s="479"/>
      <c r="C880" s="479"/>
      <c r="D880" s="479"/>
      <c r="E880" s="479"/>
      <c r="F880" s="480"/>
      <c r="G880" s="472"/>
      <c r="H880" s="472"/>
      <c r="I880" s="472"/>
      <c r="J880" s="472"/>
      <c r="K880" s="472"/>
      <c r="L880" s="472"/>
      <c r="M880" s="472"/>
      <c r="N880" s="472"/>
      <c r="O880" s="472"/>
      <c r="P880" s="472"/>
      <c r="Q880" s="472"/>
      <c r="R880" s="472"/>
      <c r="S880" s="472"/>
      <c r="T880" s="472"/>
      <c r="U880" s="472"/>
      <c r="V880" s="472"/>
      <c r="W880" s="472"/>
      <c r="X880" s="472"/>
      <c r="Y880" s="472"/>
      <c r="Z880" s="472"/>
      <c r="AA880" s="472"/>
    </row>
    <row r="881" outlineLevel="1">
      <c r="A881" s="481" t="str">
        <f>IFERROR(__xludf.DUMMYFUNCTION("""COMPUTED_VALUE"""),"INSCRIÇÃO")</f>
        <v>INSCRIÇÃO</v>
      </c>
      <c r="B881" s="482" t="str">
        <f>IFERROR(__xludf.DUMMYFUNCTION("""COMPUTED_VALUE"""),"CANDIDATOS")</f>
        <v>CANDIDATOS</v>
      </c>
      <c r="C881" s="481" t="str">
        <f>IFERROR(__xludf.DUMMYFUNCTION("""COMPUTED_VALUE"""),"NF")</f>
        <v>NF</v>
      </c>
      <c r="D881" s="483" t="str">
        <f>IFERROR(__xludf.DUMMYFUNCTION("""COMPUTED_VALUE"""),"CONVOCADO(A)")</f>
        <v>CONVOCADO(A)</v>
      </c>
      <c r="E881" s="483" t="str">
        <f>IFERROR(__xludf.DUMMYFUNCTION("""COMPUTED_VALUE"""),"HOMOLOGADO(A)")</f>
        <v>HOMOLOGADO(A)</v>
      </c>
      <c r="F881" s="483" t="str">
        <f>IFERROR(__xludf.DUMMYFUNCTION("""COMPUTED_VALUE"""),"GERÊNCIA")</f>
        <v>GERÊNCIA</v>
      </c>
      <c r="G881" s="472"/>
      <c r="H881" s="472"/>
      <c r="I881" s="472"/>
      <c r="J881" s="472"/>
      <c r="K881" s="472"/>
      <c r="L881" s="472"/>
      <c r="M881" s="472"/>
      <c r="N881" s="472"/>
      <c r="O881" s="472"/>
      <c r="P881" s="472"/>
      <c r="Q881" s="472"/>
      <c r="R881" s="472"/>
      <c r="S881" s="472"/>
      <c r="T881" s="472"/>
      <c r="U881" s="472"/>
      <c r="V881" s="472"/>
      <c r="W881" s="472"/>
      <c r="X881" s="472"/>
      <c r="Y881" s="472"/>
      <c r="Z881" s="472"/>
      <c r="AA881" s="472"/>
    </row>
    <row r="882" outlineLevel="1">
      <c r="A882" s="494">
        <f>IFERROR(__xludf.DUMMYFUNCTION("""COMPUTED_VALUE"""),8.4097090103E10)</f>
        <v>84097090103</v>
      </c>
      <c r="B882" s="485" t="str">
        <f>IFERROR(__xludf.DUMMYFUNCTION("""COMPUTED_VALUE"""),"JULIANA GUIMARÃES E SILVA")</f>
        <v>JULIANA GUIMARÃES E SILVA</v>
      </c>
      <c r="C882" s="486">
        <f>IFERROR(__xludf.DUMMYFUNCTION("""COMPUTED_VALUE"""),9.0)</f>
        <v>9</v>
      </c>
      <c r="D882" s="487" t="str">
        <f>IFERROR(__xludf.DUMMYFUNCTION("""COMPUTED_VALUE"""),"SIM")</f>
        <v>SIM</v>
      </c>
      <c r="E882" s="486" t="str">
        <f>IFERROR(__xludf.DUMMYFUNCTION("""COMPUTED_VALUE"""),"SIM")</f>
        <v>SIM</v>
      </c>
      <c r="F882" s="486" t="str">
        <f>IFERROR(__xludf.DUMMYFUNCTION("""COMPUTED_VALUE"""),"GEPRO")</f>
        <v>GEPRO</v>
      </c>
      <c r="G882" s="472"/>
      <c r="H882" s="472"/>
      <c r="I882" s="472"/>
      <c r="J882" s="472"/>
      <c r="K882" s="472"/>
      <c r="L882" s="472"/>
      <c r="M882" s="472"/>
      <c r="N882" s="472"/>
      <c r="O882" s="472"/>
      <c r="P882" s="472"/>
      <c r="Q882" s="472"/>
      <c r="R882" s="472"/>
      <c r="S882" s="472"/>
      <c r="T882" s="472"/>
      <c r="U882" s="472"/>
      <c r="V882" s="472"/>
      <c r="W882" s="472"/>
      <c r="X882" s="472"/>
      <c r="Y882" s="472"/>
      <c r="Z882" s="472"/>
      <c r="AA882" s="472"/>
    </row>
    <row r="883" outlineLevel="1">
      <c r="A883" s="484">
        <f>IFERROR(__xludf.DUMMYFUNCTION("""COMPUTED_VALUE"""),5.80749092676E11)</f>
        <v>580749092676</v>
      </c>
      <c r="B883" s="485" t="str">
        <f>IFERROR(__xludf.DUMMYFUNCTION("""COMPUTED_VALUE"""),"ANTONIO RODRIGUES FERREIRA JUNIOR")</f>
        <v>ANTONIO RODRIGUES FERREIRA JUNIOR</v>
      </c>
      <c r="C883" s="486">
        <f>IFERROR(__xludf.DUMMYFUNCTION("""COMPUTED_VALUE"""),9.0)</f>
        <v>9</v>
      </c>
      <c r="D883" s="487"/>
      <c r="E883" s="486"/>
      <c r="F883" s="486"/>
      <c r="G883" s="472"/>
      <c r="H883" s="472"/>
      <c r="I883" s="472"/>
      <c r="J883" s="472"/>
      <c r="K883" s="472"/>
      <c r="L883" s="472"/>
      <c r="M883" s="472"/>
      <c r="N883" s="472"/>
      <c r="O883" s="472"/>
      <c r="P883" s="472"/>
      <c r="Q883" s="472"/>
      <c r="R883" s="472"/>
      <c r="S883" s="472"/>
      <c r="T883" s="472"/>
      <c r="U883" s="472"/>
      <c r="V883" s="472"/>
      <c r="W883" s="472"/>
      <c r="X883" s="472"/>
      <c r="Y883" s="472"/>
      <c r="Z883" s="472"/>
      <c r="AA883" s="472"/>
    </row>
    <row r="884" outlineLevel="1">
      <c r="A884" s="484">
        <f>IFERROR(__xludf.DUMMYFUNCTION("""COMPUTED_VALUE"""),2.25232089716E11)</f>
        <v>225232089716</v>
      </c>
      <c r="B884" s="485" t="str">
        <f>IFERROR(__xludf.DUMMYFUNCTION("""COMPUTED_VALUE"""),"ANA PAULA CAVALCANTE RAMALHO BRILHANTE")</f>
        <v>ANA PAULA CAVALCANTE RAMALHO BRILHANTE</v>
      </c>
      <c r="C884" s="486">
        <f>IFERROR(__xludf.DUMMYFUNCTION("""COMPUTED_VALUE"""),8.0)</f>
        <v>8</v>
      </c>
      <c r="D884" s="487"/>
      <c r="E884" s="486"/>
      <c r="F884" s="486"/>
      <c r="G884" s="472"/>
      <c r="H884" s="472"/>
      <c r="I884" s="472"/>
      <c r="J884" s="472"/>
      <c r="K884" s="472"/>
      <c r="L884" s="472"/>
      <c r="M884" s="472"/>
      <c r="N884" s="472"/>
      <c r="O884" s="472"/>
      <c r="P884" s="472"/>
      <c r="Q884" s="472"/>
      <c r="R884" s="472"/>
      <c r="S884" s="472"/>
      <c r="T884" s="472"/>
      <c r="U884" s="472"/>
      <c r="V884" s="472"/>
      <c r="W884" s="472"/>
      <c r="X884" s="472"/>
      <c r="Y884" s="472"/>
      <c r="Z884" s="472"/>
      <c r="AA884" s="472"/>
    </row>
    <row r="885" outlineLevel="1">
      <c r="A885" s="484">
        <f>IFERROR(__xludf.DUMMYFUNCTION("""COMPUTED_VALUE"""),1.49010088742E11)</f>
        <v>149010088742</v>
      </c>
      <c r="B885" s="485" t="str">
        <f>IFERROR(__xludf.DUMMYFUNCTION("""COMPUTED_VALUE"""),"ISABELLA COSTA MARTINS")</f>
        <v>ISABELLA COSTA MARTINS</v>
      </c>
      <c r="C885" s="486">
        <f>IFERROR(__xludf.DUMMYFUNCTION("""COMPUTED_VALUE"""),8.0)</f>
        <v>8</v>
      </c>
      <c r="D885" s="487"/>
      <c r="E885" s="486"/>
      <c r="F885" s="486"/>
      <c r="G885" s="472"/>
      <c r="H885" s="472"/>
      <c r="I885" s="472"/>
      <c r="J885" s="472"/>
      <c r="K885" s="472"/>
      <c r="L885" s="472"/>
      <c r="M885" s="472"/>
      <c r="N885" s="472"/>
      <c r="O885" s="472"/>
      <c r="P885" s="472"/>
      <c r="Q885" s="472"/>
      <c r="R885" s="472"/>
      <c r="S885" s="472"/>
      <c r="T885" s="472"/>
      <c r="U885" s="472"/>
      <c r="V885" s="472"/>
      <c r="W885" s="472"/>
      <c r="X885" s="472"/>
      <c r="Y885" s="472"/>
      <c r="Z885" s="472"/>
      <c r="AA885" s="472"/>
    </row>
    <row r="886" outlineLevel="1">
      <c r="A886" s="484">
        <f>IFERROR(__xludf.DUMMYFUNCTION("""COMPUTED_VALUE"""),8.09093091192E11)</f>
        <v>809093091192</v>
      </c>
      <c r="B886" s="485" t="str">
        <f>IFERROR(__xludf.DUMMYFUNCTION("""COMPUTED_VALUE"""),"ALEXANDRE SEMERARO DE ALCÂNTARA NOGUEIRA")</f>
        <v>ALEXANDRE SEMERARO DE ALCÂNTARA NOGUEIRA</v>
      </c>
      <c r="C886" s="486">
        <f>IFERROR(__xludf.DUMMYFUNCTION("""COMPUTED_VALUE"""),7.5)</f>
        <v>7.5</v>
      </c>
      <c r="D886" s="487"/>
      <c r="E886" s="486"/>
      <c r="F886" s="486"/>
      <c r="G886" s="472"/>
      <c r="H886" s="472"/>
      <c r="I886" s="472"/>
      <c r="J886" s="472"/>
      <c r="K886" s="472"/>
      <c r="L886" s="472"/>
      <c r="M886" s="472"/>
      <c r="N886" s="472"/>
      <c r="O886" s="472"/>
      <c r="P886" s="472"/>
      <c r="Q886" s="472"/>
      <c r="R886" s="472"/>
      <c r="S886" s="472"/>
      <c r="T886" s="472"/>
      <c r="U886" s="472"/>
      <c r="V886" s="472"/>
      <c r="W886" s="472"/>
      <c r="X886" s="472"/>
      <c r="Y886" s="472"/>
      <c r="Z886" s="472"/>
      <c r="AA886" s="472"/>
    </row>
    <row r="887" outlineLevel="1">
      <c r="A887" s="484">
        <f>IFERROR(__xludf.DUMMYFUNCTION("""COMPUTED_VALUE"""),2.1082609166E11)</f>
        <v>210826091660</v>
      </c>
      <c r="B887" s="485" t="str">
        <f>IFERROR(__xludf.DUMMYFUNCTION("""COMPUTED_VALUE"""),"MYKAELLA CRISTINA ANTUNES NUNES")</f>
        <v>MYKAELLA CRISTINA ANTUNES NUNES</v>
      </c>
      <c r="C887" s="486">
        <f>IFERROR(__xludf.DUMMYFUNCTION("""COMPUTED_VALUE"""),7.0)</f>
        <v>7</v>
      </c>
      <c r="D887" s="487"/>
      <c r="E887" s="486"/>
      <c r="F887" s="486"/>
      <c r="G887" s="472"/>
      <c r="H887" s="472"/>
      <c r="I887" s="472"/>
      <c r="J887" s="472"/>
      <c r="K887" s="472"/>
      <c r="L887" s="472"/>
      <c r="M887" s="472"/>
      <c r="N887" s="472"/>
      <c r="O887" s="472"/>
      <c r="P887" s="472"/>
      <c r="Q887" s="472"/>
      <c r="R887" s="472"/>
      <c r="S887" s="472"/>
      <c r="T887" s="472"/>
      <c r="U887" s="472"/>
      <c r="V887" s="472"/>
      <c r="W887" s="472"/>
      <c r="X887" s="472"/>
      <c r="Y887" s="472"/>
      <c r="Z887" s="472"/>
      <c r="AA887" s="472"/>
    </row>
    <row r="888" outlineLevel="1">
      <c r="A888" s="484">
        <f>IFERROR(__xludf.DUMMYFUNCTION("""COMPUTED_VALUE"""),3.43688089999E11)</f>
        <v>343688089999</v>
      </c>
      <c r="B888" s="485" t="str">
        <f>IFERROR(__xludf.DUMMYFUNCTION("""COMPUTED_VALUE"""),"HENRIQUE FIGUEIREDO CARNEIRO")</f>
        <v>HENRIQUE FIGUEIREDO CARNEIRO</v>
      </c>
      <c r="C888" s="486">
        <f>IFERROR(__xludf.DUMMYFUNCTION("""COMPUTED_VALUE"""),6.5)</f>
        <v>6.5</v>
      </c>
      <c r="D888" s="487"/>
      <c r="E888" s="486"/>
      <c r="F888" s="486"/>
      <c r="G888" s="472"/>
      <c r="H888" s="472"/>
      <c r="I888" s="472"/>
      <c r="J888" s="472"/>
      <c r="K888" s="472"/>
      <c r="L888" s="472"/>
      <c r="M888" s="472"/>
      <c r="N888" s="472"/>
      <c r="O888" s="472"/>
      <c r="P888" s="472"/>
      <c r="Q888" s="472"/>
      <c r="R888" s="472"/>
      <c r="S888" s="472"/>
      <c r="T888" s="472"/>
      <c r="U888" s="472"/>
      <c r="V888" s="472"/>
      <c r="W888" s="472"/>
      <c r="X888" s="472"/>
      <c r="Y888" s="472"/>
      <c r="Z888" s="472"/>
      <c r="AA888" s="472"/>
    </row>
    <row r="889" outlineLevel="1">
      <c r="A889" s="484">
        <f>IFERROR(__xludf.DUMMYFUNCTION("""COMPUTED_VALUE"""),5.13110088936E11)</f>
        <v>513110088936</v>
      </c>
      <c r="B889" s="485" t="str">
        <f>IFERROR(__xludf.DUMMYFUNCTION("""COMPUTED_VALUE"""),"MARCELO DAVI SANTOS")</f>
        <v>MARCELO DAVI SANTOS</v>
      </c>
      <c r="C889" s="486">
        <f>IFERROR(__xludf.DUMMYFUNCTION("""COMPUTED_VALUE"""),6.5)</f>
        <v>6.5</v>
      </c>
      <c r="D889" s="487"/>
      <c r="E889" s="486"/>
      <c r="F889" s="486"/>
      <c r="G889" s="472"/>
      <c r="H889" s="472"/>
      <c r="I889" s="472"/>
      <c r="J889" s="472"/>
      <c r="K889" s="472"/>
      <c r="L889" s="472"/>
      <c r="M889" s="472"/>
      <c r="N889" s="472"/>
      <c r="O889" s="472"/>
      <c r="P889" s="472"/>
      <c r="Q889" s="472"/>
      <c r="R889" s="472"/>
      <c r="S889" s="472"/>
      <c r="T889" s="472"/>
      <c r="U889" s="472"/>
      <c r="V889" s="472"/>
      <c r="W889" s="472"/>
      <c r="X889" s="472"/>
      <c r="Y889" s="472"/>
      <c r="Z889" s="472"/>
      <c r="AA889" s="472"/>
    </row>
    <row r="890" outlineLevel="1">
      <c r="A890" s="484">
        <f>IFERROR(__xludf.DUMMYFUNCTION("""COMPUTED_VALUE"""),5.88802088715E11)</f>
        <v>588802088715</v>
      </c>
      <c r="B890" s="485" t="str">
        <f>IFERROR(__xludf.DUMMYFUNCTION("""COMPUTED_VALUE"""),"WELLINGTON SOUSA AGUIAR")</f>
        <v>WELLINGTON SOUSA AGUIAR</v>
      </c>
      <c r="C890" s="486">
        <f>IFERROR(__xludf.DUMMYFUNCTION("""COMPUTED_VALUE"""),6.0)</f>
        <v>6</v>
      </c>
      <c r="D890" s="487"/>
      <c r="E890" s="486"/>
      <c r="F890" s="486"/>
      <c r="G890" s="472"/>
      <c r="H890" s="472"/>
      <c r="I890" s="472"/>
      <c r="J890" s="472"/>
      <c r="K890" s="472"/>
      <c r="L890" s="472"/>
      <c r="M890" s="472"/>
      <c r="N890" s="472"/>
      <c r="O890" s="472"/>
      <c r="P890" s="472"/>
      <c r="Q890" s="472"/>
      <c r="R890" s="472"/>
      <c r="S890" s="472"/>
      <c r="T890" s="472"/>
      <c r="U890" s="472"/>
      <c r="V890" s="472"/>
      <c r="W890" s="472"/>
      <c r="X890" s="472"/>
      <c r="Y890" s="472"/>
      <c r="Z890" s="472"/>
      <c r="AA890" s="472"/>
    </row>
    <row r="891" outlineLevel="1">
      <c r="A891" s="489">
        <f>IFERROR(__xludf.DUMMYFUNCTION("""COMPUTED_VALUE"""),1.22647093127E11)</f>
        <v>122647093127</v>
      </c>
      <c r="B891" s="490" t="str">
        <f>IFERROR(__xludf.DUMMYFUNCTION("""COMPUTED_VALUE"""),"HELENIRA FONSECA DE ALENCAR")</f>
        <v>HELENIRA FONSECA DE ALENCAR</v>
      </c>
      <c r="C891" s="491">
        <f>IFERROR(__xludf.DUMMYFUNCTION("""COMPUTED_VALUE"""),6.0)</f>
        <v>6</v>
      </c>
      <c r="D891" s="492"/>
      <c r="E891" s="493"/>
      <c r="F891" s="493"/>
      <c r="G891" s="472"/>
      <c r="H891" s="472"/>
      <c r="I891" s="472"/>
      <c r="J891" s="472"/>
      <c r="K891" s="472"/>
      <c r="L891" s="472"/>
      <c r="M891" s="472"/>
      <c r="N891" s="472"/>
      <c r="O891" s="472"/>
      <c r="P891" s="472"/>
      <c r="Q891" s="472"/>
      <c r="R891" s="472"/>
      <c r="S891" s="472"/>
      <c r="T891" s="472"/>
      <c r="U891" s="472"/>
      <c r="V891" s="472"/>
      <c r="W891" s="472"/>
      <c r="X891" s="472"/>
      <c r="Y891" s="472"/>
      <c r="Z891" s="472"/>
      <c r="AA891" s="472"/>
    </row>
    <row r="892">
      <c r="A892" s="472"/>
      <c r="B892" s="472"/>
      <c r="C892" s="472"/>
      <c r="D892" s="472"/>
      <c r="E892" s="472"/>
      <c r="F892" s="472"/>
      <c r="G892" s="472"/>
      <c r="H892" s="472"/>
      <c r="I892" s="472"/>
      <c r="J892" s="472"/>
      <c r="K892" s="472"/>
      <c r="L892" s="472"/>
      <c r="M892" s="472"/>
      <c r="N892" s="472"/>
      <c r="O892" s="472"/>
      <c r="P892" s="472"/>
      <c r="Q892" s="472"/>
      <c r="R892" s="472"/>
      <c r="S892" s="472"/>
      <c r="T892" s="472"/>
      <c r="U892" s="472"/>
      <c r="V892" s="472"/>
      <c r="W892" s="472"/>
      <c r="X892" s="472"/>
      <c r="Y892" s="472"/>
      <c r="Z892" s="472"/>
      <c r="AA892" s="472"/>
    </row>
    <row r="893">
      <c r="A893" s="472"/>
      <c r="B893" s="472"/>
      <c r="C893" s="472"/>
      <c r="D893" s="472"/>
      <c r="E893" s="472"/>
      <c r="F893" s="472"/>
      <c r="G893" s="472"/>
      <c r="H893" s="472"/>
      <c r="I893" s="472"/>
      <c r="J893" s="472"/>
      <c r="K893" s="472"/>
      <c r="L893" s="472"/>
      <c r="M893" s="472"/>
      <c r="N893" s="472"/>
      <c r="O893" s="472"/>
      <c r="P893" s="472"/>
      <c r="Q893" s="472"/>
      <c r="R893" s="472"/>
      <c r="S893" s="472"/>
      <c r="T893" s="472"/>
      <c r="U893" s="472"/>
      <c r="V893" s="472"/>
      <c r="W893" s="472"/>
      <c r="X893" s="472"/>
      <c r="Y893" s="472"/>
      <c r="Z893" s="472"/>
      <c r="AA893" s="472"/>
    </row>
    <row r="894">
      <c r="A894" s="472"/>
      <c r="B894" s="472"/>
      <c r="C894" s="472"/>
      <c r="D894" s="472"/>
      <c r="E894" s="472"/>
      <c r="F894" s="472"/>
      <c r="G894" s="472"/>
      <c r="H894" s="472"/>
      <c r="I894" s="472"/>
      <c r="J894" s="472"/>
      <c r="K894" s="472"/>
      <c r="L894" s="472"/>
      <c r="M894" s="472"/>
      <c r="N894" s="472"/>
      <c r="O894" s="472"/>
      <c r="P894" s="472"/>
      <c r="Q894" s="472"/>
      <c r="R894" s="472"/>
      <c r="S894" s="472"/>
      <c r="T894" s="472"/>
      <c r="U894" s="472"/>
      <c r="V894" s="472"/>
      <c r="W894" s="472"/>
      <c r="X894" s="472"/>
      <c r="Y894" s="472"/>
      <c r="Z894" s="472"/>
      <c r="AA894" s="472"/>
    </row>
    <row r="895">
      <c r="A895" s="472"/>
      <c r="B895" s="472"/>
      <c r="C895" s="472"/>
      <c r="D895" s="472"/>
      <c r="E895" s="472"/>
      <c r="F895" s="472"/>
      <c r="G895" s="472"/>
      <c r="H895" s="472"/>
      <c r="I895" s="472"/>
      <c r="J895" s="472"/>
      <c r="K895" s="472"/>
      <c r="L895" s="472"/>
      <c r="M895" s="472"/>
      <c r="N895" s="472"/>
      <c r="O895" s="472"/>
      <c r="P895" s="472"/>
      <c r="Q895" s="472"/>
      <c r="R895" s="472"/>
      <c r="S895" s="472"/>
      <c r="T895" s="472"/>
      <c r="U895" s="472"/>
      <c r="V895" s="472"/>
      <c r="W895" s="472"/>
      <c r="X895" s="472"/>
      <c r="Y895" s="472"/>
      <c r="Z895" s="472"/>
      <c r="AA895" s="472"/>
    </row>
    <row r="896">
      <c r="A896" s="472"/>
      <c r="B896" s="472"/>
      <c r="C896" s="472"/>
      <c r="D896" s="472"/>
      <c r="E896" s="472"/>
      <c r="F896" s="472"/>
      <c r="G896" s="472"/>
      <c r="H896" s="472"/>
      <c r="I896" s="472"/>
      <c r="J896" s="472"/>
      <c r="K896" s="472"/>
      <c r="L896" s="472"/>
      <c r="M896" s="472"/>
      <c r="N896" s="472"/>
      <c r="O896" s="472"/>
      <c r="P896" s="472"/>
      <c r="Q896" s="472"/>
      <c r="R896" s="472"/>
      <c r="S896" s="472"/>
      <c r="T896" s="472"/>
      <c r="U896" s="472"/>
      <c r="V896" s="472"/>
      <c r="W896" s="472"/>
      <c r="X896" s="472"/>
      <c r="Y896" s="472"/>
      <c r="Z896" s="472"/>
      <c r="AA896" s="472"/>
    </row>
    <row r="897">
      <c r="A897" s="472"/>
      <c r="B897" s="472"/>
      <c r="C897" s="472"/>
      <c r="D897" s="472"/>
      <c r="E897" s="472"/>
      <c r="F897" s="472"/>
      <c r="G897" s="472"/>
      <c r="H897" s="472"/>
      <c r="I897" s="472"/>
      <c r="J897" s="472"/>
      <c r="K897" s="472"/>
      <c r="L897" s="472"/>
      <c r="M897" s="472"/>
      <c r="N897" s="472"/>
      <c r="O897" s="472"/>
      <c r="P897" s="472"/>
      <c r="Q897" s="472"/>
      <c r="R897" s="472"/>
      <c r="S897" s="472"/>
      <c r="T897" s="472"/>
      <c r="U897" s="472"/>
      <c r="V897" s="472"/>
      <c r="W897" s="472"/>
      <c r="X897" s="472"/>
      <c r="Y897" s="472"/>
      <c r="Z897" s="472"/>
      <c r="AA897" s="472"/>
    </row>
    <row r="898">
      <c r="A898" s="472"/>
      <c r="B898" s="472"/>
      <c r="C898" s="472"/>
      <c r="D898" s="472"/>
      <c r="E898" s="472"/>
      <c r="F898" s="472"/>
      <c r="G898" s="472"/>
      <c r="H898" s="472"/>
      <c r="I898" s="472"/>
      <c r="J898" s="472"/>
      <c r="K898" s="472"/>
      <c r="L898" s="472"/>
      <c r="M898" s="472"/>
      <c r="N898" s="472"/>
      <c r="O898" s="472"/>
      <c r="P898" s="472"/>
      <c r="Q898" s="472"/>
      <c r="R898" s="472"/>
      <c r="S898" s="472"/>
      <c r="T898" s="472"/>
      <c r="U898" s="472"/>
      <c r="V898" s="472"/>
      <c r="W898" s="472"/>
      <c r="X898" s="472"/>
      <c r="Y898" s="472"/>
      <c r="Z898" s="472"/>
      <c r="AA898" s="472"/>
    </row>
    <row r="899">
      <c r="A899" s="472"/>
      <c r="B899" s="472"/>
      <c r="C899" s="472"/>
      <c r="D899" s="472"/>
      <c r="E899" s="472"/>
      <c r="F899" s="472"/>
      <c r="G899" s="472"/>
      <c r="H899" s="472"/>
      <c r="I899" s="472"/>
      <c r="J899" s="472"/>
      <c r="K899" s="472"/>
      <c r="L899" s="472"/>
      <c r="M899" s="472"/>
      <c r="N899" s="472"/>
      <c r="O899" s="472"/>
      <c r="P899" s="472"/>
      <c r="Q899" s="472"/>
      <c r="R899" s="472"/>
      <c r="S899" s="472"/>
      <c r="T899" s="472"/>
      <c r="U899" s="472"/>
      <c r="V899" s="472"/>
      <c r="W899" s="472"/>
      <c r="X899" s="472"/>
      <c r="Y899" s="472"/>
      <c r="Z899" s="472"/>
      <c r="AA899" s="472"/>
    </row>
    <row r="900">
      <c r="A900" s="472"/>
      <c r="B900" s="472"/>
      <c r="C900" s="472"/>
      <c r="D900" s="472"/>
      <c r="E900" s="472"/>
      <c r="F900" s="472"/>
      <c r="G900" s="472"/>
      <c r="H900" s="472"/>
      <c r="I900" s="472"/>
      <c r="J900" s="472"/>
      <c r="K900" s="472"/>
      <c r="L900" s="472"/>
      <c r="M900" s="472"/>
      <c r="N900" s="472"/>
      <c r="O900" s="472"/>
      <c r="P900" s="472"/>
      <c r="Q900" s="472"/>
      <c r="R900" s="472"/>
      <c r="S900" s="472"/>
      <c r="T900" s="472"/>
      <c r="U900" s="472"/>
      <c r="V900" s="472"/>
      <c r="W900" s="472"/>
      <c r="X900" s="472"/>
      <c r="Y900" s="472"/>
      <c r="Z900" s="472"/>
      <c r="AA900" s="472"/>
    </row>
    <row r="901">
      <c r="A901" s="472"/>
      <c r="B901" s="472"/>
      <c r="C901" s="472"/>
      <c r="D901" s="472"/>
      <c r="E901" s="472"/>
      <c r="F901" s="472"/>
      <c r="G901" s="472"/>
      <c r="H901" s="472"/>
      <c r="I901" s="472"/>
      <c r="J901" s="472"/>
      <c r="K901" s="472"/>
      <c r="L901" s="472"/>
      <c r="M901" s="472"/>
      <c r="N901" s="472"/>
      <c r="O901" s="472"/>
      <c r="P901" s="472"/>
      <c r="Q901" s="472"/>
      <c r="R901" s="472"/>
      <c r="S901" s="472"/>
      <c r="T901" s="472"/>
      <c r="U901" s="472"/>
      <c r="V901" s="472"/>
      <c r="W901" s="472"/>
      <c r="X901" s="472"/>
      <c r="Y901" s="472"/>
      <c r="Z901" s="472"/>
      <c r="AA901" s="472"/>
    </row>
    <row r="902">
      <c r="A902" s="472"/>
      <c r="B902" s="472"/>
      <c r="C902" s="472"/>
      <c r="D902" s="472"/>
      <c r="E902" s="472"/>
      <c r="F902" s="472"/>
      <c r="G902" s="472"/>
      <c r="H902" s="472"/>
      <c r="I902" s="472"/>
      <c r="J902" s="472"/>
      <c r="K902" s="472"/>
      <c r="L902" s="472"/>
      <c r="M902" s="472"/>
      <c r="N902" s="472"/>
      <c r="O902" s="472"/>
      <c r="P902" s="472"/>
      <c r="Q902" s="472"/>
      <c r="R902" s="472"/>
      <c r="S902" s="472"/>
      <c r="T902" s="472"/>
      <c r="U902" s="472"/>
      <c r="V902" s="472"/>
      <c r="W902" s="472"/>
      <c r="X902" s="472"/>
      <c r="Y902" s="472"/>
      <c r="Z902" s="472"/>
      <c r="AA902" s="472"/>
    </row>
    <row r="903">
      <c r="A903" s="472"/>
      <c r="B903" s="472"/>
      <c r="C903" s="472"/>
      <c r="D903" s="472"/>
      <c r="E903" s="472"/>
      <c r="F903" s="472"/>
      <c r="G903" s="472"/>
      <c r="H903" s="472"/>
      <c r="I903" s="472"/>
      <c r="J903" s="472"/>
      <c r="K903" s="472"/>
      <c r="L903" s="472"/>
      <c r="M903" s="472"/>
      <c r="N903" s="472"/>
      <c r="O903" s="472"/>
      <c r="P903" s="472"/>
      <c r="Q903" s="472"/>
      <c r="R903" s="472"/>
      <c r="S903" s="472"/>
      <c r="T903" s="472"/>
      <c r="U903" s="472"/>
      <c r="V903" s="472"/>
      <c r="W903" s="472"/>
      <c r="X903" s="472"/>
      <c r="Y903" s="472"/>
      <c r="Z903" s="472"/>
      <c r="AA903" s="472"/>
    </row>
    <row r="904">
      <c r="A904" s="472"/>
      <c r="B904" s="472"/>
      <c r="C904" s="472"/>
      <c r="D904" s="472"/>
      <c r="E904" s="472"/>
      <c r="F904" s="472"/>
      <c r="G904" s="472"/>
      <c r="H904" s="472"/>
      <c r="I904" s="472"/>
      <c r="J904" s="472"/>
      <c r="K904" s="472"/>
      <c r="L904" s="472"/>
      <c r="M904" s="472"/>
      <c r="N904" s="472"/>
      <c r="O904" s="472"/>
      <c r="P904" s="472"/>
      <c r="Q904" s="472"/>
      <c r="R904" s="472"/>
      <c r="S904" s="472"/>
      <c r="T904" s="472"/>
      <c r="U904" s="472"/>
      <c r="V904" s="472"/>
      <c r="W904" s="472"/>
      <c r="X904" s="472"/>
      <c r="Y904" s="472"/>
      <c r="Z904" s="472"/>
      <c r="AA904" s="472"/>
    </row>
    <row r="905">
      <c r="A905" s="472"/>
      <c r="B905" s="472"/>
      <c r="C905" s="472"/>
      <c r="D905" s="472"/>
      <c r="E905" s="472"/>
      <c r="F905" s="472"/>
      <c r="G905" s="472"/>
      <c r="H905" s="472"/>
      <c r="I905" s="472"/>
      <c r="J905" s="472"/>
      <c r="K905" s="472"/>
      <c r="L905" s="472"/>
      <c r="M905" s="472"/>
      <c r="N905" s="472"/>
      <c r="O905" s="472"/>
      <c r="P905" s="472"/>
      <c r="Q905" s="472"/>
      <c r="R905" s="472"/>
      <c r="S905" s="472"/>
      <c r="T905" s="472"/>
      <c r="U905" s="472"/>
      <c r="V905" s="472"/>
      <c r="W905" s="472"/>
      <c r="X905" s="472"/>
      <c r="Y905" s="472"/>
      <c r="Z905" s="472"/>
      <c r="AA905" s="472"/>
    </row>
    <row r="906">
      <c r="A906" s="472"/>
      <c r="B906" s="472"/>
      <c r="C906" s="472"/>
      <c r="D906" s="472"/>
      <c r="E906" s="472"/>
      <c r="F906" s="472"/>
      <c r="G906" s="472"/>
      <c r="H906" s="472"/>
      <c r="I906" s="472"/>
      <c r="J906" s="472"/>
      <c r="K906" s="472"/>
      <c r="L906" s="472"/>
      <c r="M906" s="472"/>
      <c r="N906" s="472"/>
      <c r="O906" s="472"/>
      <c r="P906" s="472"/>
      <c r="Q906" s="472"/>
      <c r="R906" s="472"/>
      <c r="S906" s="472"/>
      <c r="T906" s="472"/>
      <c r="U906" s="472"/>
      <c r="V906" s="472"/>
      <c r="W906" s="472"/>
      <c r="X906" s="472"/>
      <c r="Y906" s="472"/>
      <c r="Z906" s="472"/>
      <c r="AA906" s="472"/>
    </row>
    <row r="907">
      <c r="A907" s="472"/>
      <c r="B907" s="472"/>
      <c r="C907" s="472"/>
      <c r="D907" s="472"/>
      <c r="E907" s="472"/>
      <c r="F907" s="472"/>
      <c r="G907" s="472"/>
      <c r="H907" s="472"/>
      <c r="I907" s="472"/>
      <c r="J907" s="472"/>
      <c r="K907" s="472"/>
      <c r="L907" s="472"/>
      <c r="M907" s="472"/>
      <c r="N907" s="472"/>
      <c r="O907" s="472"/>
      <c r="P907" s="472"/>
      <c r="Q907" s="472"/>
      <c r="R907" s="472"/>
      <c r="S907" s="472"/>
      <c r="T907" s="472"/>
      <c r="U907" s="472"/>
      <c r="V907" s="472"/>
      <c r="W907" s="472"/>
      <c r="X907" s="472"/>
      <c r="Y907" s="472"/>
      <c r="Z907" s="472"/>
      <c r="AA907" s="472"/>
    </row>
    <row r="908">
      <c r="A908" s="472"/>
      <c r="B908" s="472"/>
      <c r="C908" s="472"/>
      <c r="D908" s="472"/>
      <c r="E908" s="472"/>
      <c r="F908" s="472"/>
      <c r="G908" s="472"/>
      <c r="H908" s="472"/>
      <c r="I908" s="472"/>
      <c r="J908" s="472"/>
      <c r="K908" s="472"/>
      <c r="L908" s="472"/>
      <c r="M908" s="472"/>
      <c r="N908" s="472"/>
      <c r="O908" s="472"/>
      <c r="P908" s="472"/>
      <c r="Q908" s="472"/>
      <c r="R908" s="472"/>
      <c r="S908" s="472"/>
      <c r="T908" s="472"/>
      <c r="U908" s="472"/>
      <c r="V908" s="472"/>
      <c r="W908" s="472"/>
      <c r="X908" s="472"/>
      <c r="Y908" s="472"/>
      <c r="Z908" s="472"/>
      <c r="AA908" s="472"/>
    </row>
    <row r="909">
      <c r="A909" s="472"/>
      <c r="B909" s="472"/>
      <c r="C909" s="472"/>
      <c r="D909" s="472"/>
      <c r="E909" s="472"/>
      <c r="F909" s="472"/>
      <c r="G909" s="472"/>
      <c r="H909" s="472"/>
      <c r="I909" s="472"/>
      <c r="J909" s="472"/>
      <c r="K909" s="472"/>
      <c r="L909" s="472"/>
      <c r="M909" s="472"/>
      <c r="N909" s="472"/>
      <c r="O909" s="472"/>
      <c r="P909" s="472"/>
      <c r="Q909" s="472"/>
      <c r="R909" s="472"/>
      <c r="S909" s="472"/>
      <c r="T909" s="472"/>
      <c r="U909" s="472"/>
      <c r="V909" s="472"/>
      <c r="W909" s="472"/>
      <c r="X909" s="472"/>
      <c r="Y909" s="472"/>
      <c r="Z909" s="472"/>
      <c r="AA909" s="472"/>
    </row>
    <row r="910">
      <c r="A910" s="472"/>
      <c r="B910" s="472"/>
      <c r="C910" s="472"/>
      <c r="D910" s="472"/>
      <c r="E910" s="472"/>
      <c r="F910" s="472"/>
      <c r="G910" s="472"/>
      <c r="H910" s="472"/>
      <c r="I910" s="472"/>
      <c r="J910" s="472"/>
      <c r="K910" s="472"/>
      <c r="L910" s="472"/>
      <c r="M910" s="472"/>
      <c r="N910" s="472"/>
      <c r="O910" s="472"/>
      <c r="P910" s="472"/>
      <c r="Q910" s="472"/>
      <c r="R910" s="472"/>
      <c r="S910" s="472"/>
      <c r="T910" s="472"/>
      <c r="U910" s="472"/>
      <c r="V910" s="472"/>
      <c r="W910" s="472"/>
      <c r="X910" s="472"/>
      <c r="Y910" s="472"/>
      <c r="Z910" s="472"/>
      <c r="AA910" s="472"/>
    </row>
    <row r="911">
      <c r="A911" s="472"/>
      <c r="B911" s="472"/>
      <c r="C911" s="472"/>
      <c r="D911" s="472"/>
      <c r="E911" s="472"/>
      <c r="F911" s="472"/>
      <c r="G911" s="472"/>
      <c r="H911" s="472"/>
      <c r="I911" s="472"/>
      <c r="J911" s="472"/>
      <c r="K911" s="472"/>
      <c r="L911" s="472"/>
      <c r="M911" s="472"/>
      <c r="N911" s="472"/>
      <c r="O911" s="472"/>
      <c r="P911" s="472"/>
      <c r="Q911" s="472"/>
      <c r="R911" s="472"/>
      <c r="S911" s="472"/>
      <c r="T911" s="472"/>
      <c r="U911" s="472"/>
      <c r="V911" s="472"/>
      <c r="W911" s="472"/>
      <c r="X911" s="472"/>
      <c r="Y911" s="472"/>
      <c r="Z911" s="472"/>
      <c r="AA911" s="472"/>
    </row>
    <row r="912">
      <c r="A912" s="472"/>
      <c r="B912" s="472"/>
      <c r="C912" s="472"/>
      <c r="D912" s="472"/>
      <c r="E912" s="472"/>
      <c r="F912" s="472"/>
      <c r="G912" s="472"/>
      <c r="H912" s="472"/>
      <c r="I912" s="472"/>
      <c r="J912" s="472"/>
      <c r="K912" s="472"/>
      <c r="L912" s="472"/>
      <c r="M912" s="472"/>
      <c r="N912" s="472"/>
      <c r="O912" s="472"/>
      <c r="P912" s="472"/>
      <c r="Q912" s="472"/>
      <c r="R912" s="472"/>
      <c r="S912" s="472"/>
      <c r="T912" s="472"/>
      <c r="U912" s="472"/>
      <c r="V912" s="472"/>
      <c r="W912" s="472"/>
      <c r="X912" s="472"/>
      <c r="Y912" s="472"/>
      <c r="Z912" s="472"/>
      <c r="AA912" s="472"/>
    </row>
    <row r="913">
      <c r="A913" s="472"/>
      <c r="B913" s="472"/>
      <c r="C913" s="472"/>
      <c r="D913" s="472"/>
      <c r="E913" s="472"/>
      <c r="F913" s="472"/>
      <c r="G913" s="472"/>
      <c r="H913" s="472"/>
      <c r="I913" s="472"/>
      <c r="J913" s="472"/>
      <c r="K913" s="472"/>
      <c r="L913" s="472"/>
      <c r="M913" s="472"/>
      <c r="N913" s="472"/>
      <c r="O913" s="472"/>
      <c r="P913" s="472"/>
      <c r="Q913" s="472"/>
      <c r="R913" s="472"/>
      <c r="S913" s="472"/>
      <c r="T913" s="472"/>
      <c r="U913" s="472"/>
      <c r="V913" s="472"/>
      <c r="W913" s="472"/>
      <c r="X913" s="472"/>
      <c r="Y913" s="472"/>
      <c r="Z913" s="472"/>
      <c r="AA913" s="472"/>
    </row>
    <row r="914">
      <c r="A914" s="472"/>
      <c r="B914" s="472"/>
      <c r="C914" s="472"/>
      <c r="D914" s="472"/>
      <c r="E914" s="472"/>
      <c r="F914" s="472"/>
      <c r="G914" s="472"/>
      <c r="H914" s="472"/>
      <c r="I914" s="472"/>
      <c r="J914" s="472"/>
      <c r="K914" s="472"/>
      <c r="L914" s="472"/>
      <c r="M914" s="472"/>
      <c r="N914" s="472"/>
      <c r="O914" s="472"/>
      <c r="P914" s="472"/>
      <c r="Q914" s="472"/>
      <c r="R914" s="472"/>
      <c r="S914" s="472"/>
      <c r="T914" s="472"/>
      <c r="U914" s="472"/>
      <c r="V914" s="472"/>
      <c r="W914" s="472"/>
      <c r="X914" s="472"/>
      <c r="Y914" s="472"/>
      <c r="Z914" s="472"/>
      <c r="AA914" s="472"/>
    </row>
    <row r="915">
      <c r="A915" s="472"/>
      <c r="B915" s="472"/>
      <c r="C915" s="472"/>
      <c r="D915" s="472"/>
      <c r="E915" s="472"/>
      <c r="F915" s="472"/>
      <c r="G915" s="472"/>
      <c r="H915" s="472"/>
      <c r="I915" s="472"/>
      <c r="J915" s="472"/>
      <c r="K915" s="472"/>
      <c r="L915" s="472"/>
      <c r="M915" s="472"/>
      <c r="N915" s="472"/>
      <c r="O915" s="472"/>
      <c r="P915" s="472"/>
      <c r="Q915" s="472"/>
      <c r="R915" s="472"/>
      <c r="S915" s="472"/>
      <c r="T915" s="472"/>
      <c r="U915" s="472"/>
      <c r="V915" s="472"/>
      <c r="W915" s="472"/>
      <c r="X915" s="472"/>
      <c r="Y915" s="472"/>
      <c r="Z915" s="472"/>
      <c r="AA915" s="472"/>
    </row>
    <row r="916">
      <c r="A916" s="472"/>
      <c r="B916" s="472"/>
      <c r="C916" s="472"/>
      <c r="D916" s="472"/>
      <c r="E916" s="472"/>
      <c r="F916" s="472"/>
      <c r="G916" s="472"/>
      <c r="H916" s="472"/>
      <c r="I916" s="472"/>
      <c r="J916" s="472"/>
      <c r="K916" s="472"/>
      <c r="L916" s="472"/>
      <c r="M916" s="472"/>
      <c r="N916" s="472"/>
      <c r="O916" s="472"/>
      <c r="P916" s="472"/>
      <c r="Q916" s="472"/>
      <c r="R916" s="472"/>
      <c r="S916" s="472"/>
      <c r="T916" s="472"/>
      <c r="U916" s="472"/>
      <c r="V916" s="472"/>
      <c r="W916" s="472"/>
      <c r="X916" s="472"/>
      <c r="Y916" s="472"/>
      <c r="Z916" s="472"/>
      <c r="AA916" s="472"/>
    </row>
    <row r="917">
      <c r="A917" s="472"/>
      <c r="B917" s="472"/>
      <c r="C917" s="472"/>
      <c r="D917" s="472"/>
      <c r="E917" s="472"/>
      <c r="F917" s="472"/>
      <c r="G917" s="472"/>
      <c r="H917" s="472"/>
      <c r="I917" s="472"/>
      <c r="J917" s="472"/>
      <c r="K917" s="472"/>
      <c r="L917" s="472"/>
      <c r="M917" s="472"/>
      <c r="N917" s="472"/>
      <c r="O917" s="472"/>
      <c r="P917" s="472"/>
      <c r="Q917" s="472"/>
      <c r="R917" s="472"/>
      <c r="S917" s="472"/>
      <c r="T917" s="472"/>
      <c r="U917" s="472"/>
      <c r="V917" s="472"/>
      <c r="W917" s="472"/>
      <c r="X917" s="472"/>
      <c r="Y917" s="472"/>
      <c r="Z917" s="472"/>
      <c r="AA917" s="472"/>
    </row>
    <row r="918">
      <c r="A918" s="472"/>
      <c r="B918" s="472"/>
      <c r="C918" s="472"/>
      <c r="D918" s="472"/>
      <c r="E918" s="472"/>
      <c r="F918" s="472"/>
      <c r="G918" s="472"/>
      <c r="H918" s="472"/>
      <c r="I918" s="472"/>
      <c r="J918" s="472"/>
      <c r="K918" s="472"/>
      <c r="L918" s="472"/>
      <c r="M918" s="472"/>
      <c r="N918" s="472"/>
      <c r="O918" s="472"/>
      <c r="P918" s="472"/>
      <c r="Q918" s="472"/>
      <c r="R918" s="472"/>
      <c r="S918" s="472"/>
      <c r="T918" s="472"/>
      <c r="U918" s="472"/>
      <c r="V918" s="472"/>
      <c r="W918" s="472"/>
      <c r="X918" s="472"/>
      <c r="Y918" s="472"/>
      <c r="Z918" s="472"/>
      <c r="AA918" s="472"/>
    </row>
    <row r="919">
      <c r="A919" s="472"/>
      <c r="B919" s="472"/>
      <c r="C919" s="472"/>
      <c r="D919" s="472"/>
      <c r="E919" s="472"/>
      <c r="F919" s="472"/>
      <c r="G919" s="472"/>
      <c r="H919" s="472"/>
      <c r="I919" s="472"/>
      <c r="J919" s="472"/>
      <c r="K919" s="472"/>
      <c r="L919" s="472"/>
      <c r="M919" s="472"/>
      <c r="N919" s="472"/>
      <c r="O919" s="472"/>
      <c r="P919" s="472"/>
      <c r="Q919" s="472"/>
      <c r="R919" s="472"/>
      <c r="S919" s="472"/>
      <c r="T919" s="472"/>
      <c r="U919" s="472"/>
      <c r="V919" s="472"/>
      <c r="W919" s="472"/>
      <c r="X919" s="472"/>
      <c r="Y919" s="472"/>
      <c r="Z919" s="472"/>
      <c r="AA919" s="472"/>
    </row>
    <row r="920">
      <c r="A920" s="472"/>
      <c r="B920" s="472"/>
      <c r="C920" s="472"/>
      <c r="D920" s="472"/>
      <c r="E920" s="472"/>
      <c r="F920" s="472"/>
      <c r="G920" s="472"/>
      <c r="H920" s="472"/>
      <c r="I920" s="472"/>
      <c r="J920" s="472"/>
      <c r="K920" s="472"/>
      <c r="L920" s="472"/>
      <c r="M920" s="472"/>
      <c r="N920" s="472"/>
      <c r="O920" s="472"/>
      <c r="P920" s="472"/>
      <c r="Q920" s="472"/>
      <c r="R920" s="472"/>
      <c r="S920" s="472"/>
      <c r="T920" s="472"/>
      <c r="U920" s="472"/>
      <c r="V920" s="472"/>
      <c r="W920" s="472"/>
      <c r="X920" s="472"/>
      <c r="Y920" s="472"/>
      <c r="Z920" s="472"/>
      <c r="AA920" s="472"/>
    </row>
    <row r="921">
      <c r="A921" s="472"/>
      <c r="B921" s="472"/>
      <c r="C921" s="472"/>
      <c r="D921" s="472"/>
      <c r="E921" s="472"/>
      <c r="F921" s="472"/>
      <c r="G921" s="472"/>
      <c r="H921" s="472"/>
      <c r="I921" s="472"/>
      <c r="J921" s="472"/>
      <c r="K921" s="472"/>
      <c r="L921" s="472"/>
      <c r="M921" s="472"/>
      <c r="N921" s="472"/>
      <c r="O921" s="472"/>
      <c r="P921" s="472"/>
      <c r="Q921" s="472"/>
      <c r="R921" s="472"/>
      <c r="S921" s="472"/>
      <c r="T921" s="472"/>
      <c r="U921" s="472"/>
      <c r="V921" s="472"/>
      <c r="W921" s="472"/>
      <c r="X921" s="472"/>
      <c r="Y921" s="472"/>
      <c r="Z921" s="472"/>
      <c r="AA921" s="472"/>
    </row>
    <row r="922">
      <c r="A922" s="472"/>
      <c r="B922" s="472"/>
      <c r="C922" s="472"/>
      <c r="D922" s="472"/>
      <c r="E922" s="472"/>
      <c r="F922" s="472"/>
      <c r="G922" s="472"/>
      <c r="H922" s="472"/>
      <c r="I922" s="472"/>
      <c r="J922" s="472"/>
      <c r="K922" s="472"/>
      <c r="L922" s="472"/>
      <c r="M922" s="472"/>
      <c r="N922" s="472"/>
      <c r="O922" s="472"/>
      <c r="P922" s="472"/>
      <c r="Q922" s="472"/>
      <c r="R922" s="472"/>
      <c r="S922" s="472"/>
      <c r="T922" s="472"/>
      <c r="U922" s="472"/>
      <c r="V922" s="472"/>
      <c r="W922" s="472"/>
      <c r="X922" s="472"/>
      <c r="Y922" s="472"/>
      <c r="Z922" s="472"/>
      <c r="AA922" s="472"/>
    </row>
    <row r="923">
      <c r="A923" s="472"/>
      <c r="B923" s="472"/>
      <c r="C923" s="472"/>
      <c r="D923" s="472"/>
      <c r="E923" s="472"/>
      <c r="F923" s="472"/>
      <c r="G923" s="472"/>
      <c r="H923" s="472"/>
      <c r="I923" s="472"/>
      <c r="J923" s="472"/>
      <c r="K923" s="472"/>
      <c r="L923" s="472"/>
      <c r="M923" s="472"/>
      <c r="N923" s="472"/>
      <c r="O923" s="472"/>
      <c r="P923" s="472"/>
      <c r="Q923" s="472"/>
      <c r="R923" s="472"/>
      <c r="S923" s="472"/>
      <c r="T923" s="472"/>
      <c r="U923" s="472"/>
      <c r="V923" s="472"/>
      <c r="W923" s="472"/>
      <c r="X923" s="472"/>
      <c r="Y923" s="472"/>
      <c r="Z923" s="472"/>
      <c r="AA923" s="472"/>
    </row>
    <row r="924">
      <c r="A924" s="472"/>
      <c r="B924" s="472"/>
      <c r="C924" s="472"/>
      <c r="D924" s="472"/>
      <c r="E924" s="472"/>
      <c r="F924" s="472"/>
      <c r="G924" s="472"/>
      <c r="H924" s="472"/>
      <c r="I924" s="472"/>
      <c r="J924" s="472"/>
      <c r="K924" s="472"/>
      <c r="L924" s="472"/>
      <c r="M924" s="472"/>
      <c r="N924" s="472"/>
      <c r="O924" s="472"/>
      <c r="P924" s="472"/>
      <c r="Q924" s="472"/>
      <c r="R924" s="472"/>
      <c r="S924" s="472"/>
      <c r="T924" s="472"/>
      <c r="U924" s="472"/>
      <c r="V924" s="472"/>
      <c r="W924" s="472"/>
      <c r="X924" s="472"/>
      <c r="Y924" s="472"/>
      <c r="Z924" s="472"/>
      <c r="AA924" s="472"/>
    </row>
    <row r="925">
      <c r="A925" s="472"/>
      <c r="B925" s="472"/>
      <c r="C925" s="472"/>
      <c r="D925" s="472"/>
      <c r="E925" s="472"/>
      <c r="F925" s="472"/>
      <c r="G925" s="472"/>
      <c r="H925" s="472"/>
      <c r="I925" s="472"/>
      <c r="J925" s="472"/>
      <c r="K925" s="472"/>
      <c r="L925" s="472"/>
      <c r="M925" s="472"/>
      <c r="N925" s="472"/>
      <c r="O925" s="472"/>
      <c r="P925" s="472"/>
      <c r="Q925" s="472"/>
      <c r="R925" s="472"/>
      <c r="S925" s="472"/>
      <c r="T925" s="472"/>
      <c r="U925" s="472"/>
      <c r="V925" s="472"/>
      <c r="W925" s="472"/>
      <c r="X925" s="472"/>
      <c r="Y925" s="472"/>
      <c r="Z925" s="472"/>
      <c r="AA925" s="472"/>
    </row>
    <row r="926">
      <c r="A926" s="472"/>
      <c r="B926" s="472"/>
      <c r="C926" s="472"/>
      <c r="D926" s="472"/>
      <c r="E926" s="472"/>
      <c r="F926" s="472"/>
      <c r="G926" s="472"/>
      <c r="H926" s="472"/>
      <c r="I926" s="472"/>
      <c r="J926" s="472"/>
      <c r="K926" s="472"/>
      <c r="L926" s="472"/>
      <c r="M926" s="472"/>
      <c r="N926" s="472"/>
      <c r="O926" s="472"/>
      <c r="P926" s="472"/>
      <c r="Q926" s="472"/>
      <c r="R926" s="472"/>
      <c r="S926" s="472"/>
      <c r="T926" s="472"/>
      <c r="U926" s="472"/>
      <c r="V926" s="472"/>
      <c r="W926" s="472"/>
      <c r="X926" s="472"/>
      <c r="Y926" s="472"/>
      <c r="Z926" s="472"/>
      <c r="AA926" s="472"/>
    </row>
    <row r="927">
      <c r="A927" s="472"/>
      <c r="B927" s="472"/>
      <c r="C927" s="472"/>
      <c r="D927" s="472"/>
      <c r="E927" s="472"/>
      <c r="F927" s="472"/>
      <c r="G927" s="472"/>
      <c r="H927" s="472"/>
      <c r="I927" s="472"/>
      <c r="J927" s="472"/>
      <c r="K927" s="472"/>
      <c r="L927" s="472"/>
      <c r="M927" s="472"/>
      <c r="N927" s="472"/>
      <c r="O927" s="472"/>
      <c r="P927" s="472"/>
      <c r="Q927" s="472"/>
      <c r="R927" s="472"/>
      <c r="S927" s="472"/>
      <c r="T927" s="472"/>
      <c r="U927" s="472"/>
      <c r="V927" s="472"/>
      <c r="W927" s="472"/>
      <c r="X927" s="472"/>
      <c r="Y927" s="472"/>
      <c r="Z927" s="472"/>
      <c r="AA927" s="472"/>
    </row>
    <row r="928">
      <c r="A928" s="472"/>
      <c r="B928" s="472"/>
      <c r="C928" s="472"/>
      <c r="D928" s="472"/>
      <c r="E928" s="472"/>
      <c r="F928" s="472"/>
      <c r="G928" s="472"/>
      <c r="H928" s="472"/>
      <c r="I928" s="472"/>
      <c r="J928" s="472"/>
      <c r="K928" s="472"/>
      <c r="L928" s="472"/>
      <c r="M928" s="472"/>
      <c r="N928" s="472"/>
      <c r="O928" s="472"/>
      <c r="P928" s="472"/>
      <c r="Q928" s="472"/>
      <c r="R928" s="472"/>
      <c r="S928" s="472"/>
      <c r="T928" s="472"/>
      <c r="U928" s="472"/>
      <c r="V928" s="472"/>
      <c r="W928" s="472"/>
      <c r="X928" s="472"/>
      <c r="Y928" s="472"/>
      <c r="Z928" s="472"/>
      <c r="AA928" s="472"/>
    </row>
    <row r="929">
      <c r="A929" s="472"/>
      <c r="B929" s="472"/>
      <c r="C929" s="472"/>
      <c r="D929" s="472"/>
      <c r="E929" s="472"/>
      <c r="F929" s="472"/>
      <c r="G929" s="472"/>
      <c r="H929" s="472"/>
      <c r="I929" s="472"/>
      <c r="J929" s="472"/>
      <c r="K929" s="472"/>
      <c r="L929" s="472"/>
      <c r="M929" s="472"/>
      <c r="N929" s="472"/>
      <c r="O929" s="472"/>
      <c r="P929" s="472"/>
      <c r="Q929" s="472"/>
      <c r="R929" s="472"/>
      <c r="S929" s="472"/>
      <c r="T929" s="472"/>
      <c r="U929" s="472"/>
      <c r="V929" s="472"/>
      <c r="W929" s="472"/>
      <c r="X929" s="472"/>
      <c r="Y929" s="472"/>
      <c r="Z929" s="472"/>
      <c r="AA929" s="472"/>
    </row>
    <row r="930">
      <c r="A930" s="472"/>
      <c r="B930" s="472"/>
      <c r="C930" s="472"/>
      <c r="D930" s="472"/>
      <c r="E930" s="472"/>
      <c r="F930" s="472"/>
      <c r="G930" s="472"/>
      <c r="H930" s="472"/>
      <c r="I930" s="472"/>
      <c r="J930" s="472"/>
      <c r="K930" s="472"/>
      <c r="L930" s="472"/>
      <c r="M930" s="472"/>
      <c r="N930" s="472"/>
      <c r="O930" s="472"/>
      <c r="P930" s="472"/>
      <c r="Q930" s="472"/>
      <c r="R930" s="472"/>
      <c r="S930" s="472"/>
      <c r="T930" s="472"/>
      <c r="U930" s="472"/>
      <c r="V930" s="472"/>
      <c r="W930" s="472"/>
      <c r="X930" s="472"/>
      <c r="Y930" s="472"/>
      <c r="Z930" s="472"/>
      <c r="AA930" s="472"/>
    </row>
    <row r="931">
      <c r="A931" s="472"/>
      <c r="B931" s="472"/>
      <c r="C931" s="472"/>
      <c r="D931" s="472"/>
      <c r="E931" s="472"/>
      <c r="F931" s="472"/>
      <c r="G931" s="472"/>
      <c r="H931" s="472"/>
      <c r="I931" s="472"/>
      <c r="J931" s="472"/>
      <c r="K931" s="472"/>
      <c r="L931" s="472"/>
      <c r="M931" s="472"/>
      <c r="N931" s="472"/>
      <c r="O931" s="472"/>
      <c r="P931" s="472"/>
      <c r="Q931" s="472"/>
      <c r="R931" s="472"/>
      <c r="S931" s="472"/>
      <c r="T931" s="472"/>
      <c r="U931" s="472"/>
      <c r="V931" s="472"/>
      <c r="W931" s="472"/>
      <c r="X931" s="472"/>
      <c r="Y931" s="472"/>
      <c r="Z931" s="472"/>
      <c r="AA931" s="472"/>
    </row>
    <row r="932">
      <c r="A932" s="472"/>
      <c r="B932" s="472"/>
      <c r="C932" s="472"/>
      <c r="D932" s="472"/>
      <c r="E932" s="472"/>
      <c r="F932" s="472"/>
      <c r="G932" s="472"/>
      <c r="H932" s="472"/>
      <c r="I932" s="472"/>
      <c r="J932" s="472"/>
      <c r="K932" s="472"/>
      <c r="L932" s="472"/>
      <c r="M932" s="472"/>
      <c r="N932" s="472"/>
      <c r="O932" s="472"/>
      <c r="P932" s="472"/>
      <c r="Q932" s="472"/>
      <c r="R932" s="472"/>
      <c r="S932" s="472"/>
      <c r="T932" s="472"/>
      <c r="U932" s="472"/>
      <c r="V932" s="472"/>
      <c r="W932" s="472"/>
      <c r="X932" s="472"/>
      <c r="Y932" s="472"/>
      <c r="Z932" s="472"/>
      <c r="AA932" s="472"/>
    </row>
    <row r="933">
      <c r="A933" s="472"/>
      <c r="B933" s="472"/>
      <c r="C933" s="472"/>
      <c r="D933" s="472"/>
      <c r="E933" s="472"/>
      <c r="F933" s="472"/>
      <c r="G933" s="472"/>
      <c r="H933" s="472"/>
      <c r="I933" s="472"/>
      <c r="J933" s="472"/>
      <c r="K933" s="472"/>
      <c r="L933" s="472"/>
      <c r="M933" s="472"/>
      <c r="N933" s="472"/>
      <c r="O933" s="472"/>
      <c r="P933" s="472"/>
      <c r="Q933" s="472"/>
      <c r="R933" s="472"/>
      <c r="S933" s="472"/>
      <c r="T933" s="472"/>
      <c r="U933" s="472"/>
      <c r="V933" s="472"/>
      <c r="W933" s="472"/>
      <c r="X933" s="472"/>
      <c r="Y933" s="472"/>
      <c r="Z933" s="472"/>
      <c r="AA933" s="472"/>
    </row>
    <row r="934">
      <c r="A934" s="472"/>
      <c r="B934" s="472"/>
      <c r="C934" s="472"/>
      <c r="D934" s="472"/>
      <c r="E934" s="472"/>
      <c r="F934" s="472"/>
      <c r="G934" s="472"/>
      <c r="H934" s="472"/>
      <c r="I934" s="472"/>
      <c r="J934" s="472"/>
      <c r="K934" s="472"/>
      <c r="L934" s="472"/>
      <c r="M934" s="472"/>
      <c r="N934" s="472"/>
      <c r="O934" s="472"/>
      <c r="P934" s="472"/>
      <c r="Q934" s="472"/>
      <c r="R934" s="472"/>
      <c r="S934" s="472"/>
      <c r="T934" s="472"/>
      <c r="U934" s="472"/>
      <c r="V934" s="472"/>
      <c r="W934" s="472"/>
      <c r="X934" s="472"/>
      <c r="Y934" s="472"/>
      <c r="Z934" s="472"/>
      <c r="AA934" s="472"/>
    </row>
    <row r="935">
      <c r="A935" s="472"/>
      <c r="B935" s="472"/>
      <c r="C935" s="472"/>
      <c r="D935" s="472"/>
      <c r="E935" s="472"/>
      <c r="F935" s="472"/>
      <c r="G935" s="472"/>
      <c r="H935" s="472"/>
      <c r="I935" s="472"/>
      <c r="J935" s="472"/>
      <c r="K935" s="472"/>
      <c r="L935" s="472"/>
      <c r="M935" s="472"/>
      <c r="N935" s="472"/>
      <c r="O935" s="472"/>
      <c r="P935" s="472"/>
      <c r="Q935" s="472"/>
      <c r="R935" s="472"/>
      <c r="S935" s="472"/>
      <c r="T935" s="472"/>
      <c r="U935" s="472"/>
      <c r="V935" s="472"/>
      <c r="W935" s="472"/>
      <c r="X935" s="472"/>
      <c r="Y935" s="472"/>
      <c r="Z935" s="472"/>
      <c r="AA935" s="472"/>
    </row>
    <row r="936">
      <c r="A936" s="472"/>
      <c r="B936" s="472"/>
      <c r="C936" s="472"/>
      <c r="D936" s="472"/>
      <c r="E936" s="472"/>
      <c r="F936" s="472"/>
      <c r="G936" s="472"/>
      <c r="H936" s="472"/>
      <c r="I936" s="472"/>
      <c r="J936" s="472"/>
      <c r="K936" s="472"/>
      <c r="L936" s="472"/>
      <c r="M936" s="472"/>
      <c r="N936" s="472"/>
      <c r="O936" s="472"/>
      <c r="P936" s="472"/>
      <c r="Q936" s="472"/>
      <c r="R936" s="472"/>
      <c r="S936" s="472"/>
      <c r="T936" s="472"/>
      <c r="U936" s="472"/>
      <c r="V936" s="472"/>
      <c r="W936" s="472"/>
      <c r="X936" s="472"/>
      <c r="Y936" s="472"/>
      <c r="Z936" s="472"/>
      <c r="AA936" s="472"/>
    </row>
    <row r="937">
      <c r="A937" s="472"/>
      <c r="B937" s="472"/>
      <c r="C937" s="472"/>
      <c r="D937" s="472"/>
      <c r="E937" s="472"/>
      <c r="F937" s="472"/>
      <c r="G937" s="472"/>
      <c r="H937" s="472"/>
      <c r="I937" s="472"/>
      <c r="J937" s="472"/>
      <c r="K937" s="472"/>
      <c r="L937" s="472"/>
      <c r="M937" s="472"/>
      <c r="N937" s="472"/>
      <c r="O937" s="472"/>
      <c r="P937" s="472"/>
      <c r="Q937" s="472"/>
      <c r="R937" s="472"/>
      <c r="S937" s="472"/>
      <c r="T937" s="472"/>
      <c r="U937" s="472"/>
      <c r="V937" s="472"/>
      <c r="W937" s="472"/>
      <c r="X937" s="472"/>
      <c r="Y937" s="472"/>
      <c r="Z937" s="472"/>
      <c r="AA937" s="472"/>
    </row>
    <row r="938">
      <c r="A938" s="472"/>
      <c r="B938" s="472"/>
      <c r="C938" s="472"/>
      <c r="D938" s="472"/>
      <c r="E938" s="472"/>
      <c r="F938" s="472"/>
      <c r="G938" s="472"/>
      <c r="H938" s="472"/>
      <c r="I938" s="472"/>
      <c r="J938" s="472"/>
      <c r="K938" s="472"/>
      <c r="L938" s="472"/>
      <c r="M938" s="472"/>
      <c r="N938" s="472"/>
      <c r="O938" s="472"/>
      <c r="P938" s="472"/>
      <c r="Q938" s="472"/>
      <c r="R938" s="472"/>
      <c r="S938" s="472"/>
      <c r="T938" s="472"/>
      <c r="U938" s="472"/>
      <c r="V938" s="472"/>
      <c r="W938" s="472"/>
      <c r="X938" s="472"/>
      <c r="Y938" s="472"/>
      <c r="Z938" s="472"/>
      <c r="AA938" s="472"/>
    </row>
    <row r="939">
      <c r="A939" s="472"/>
      <c r="B939" s="472"/>
      <c r="C939" s="472"/>
      <c r="D939" s="472"/>
      <c r="E939" s="472"/>
      <c r="F939" s="472"/>
      <c r="G939" s="472"/>
      <c r="H939" s="472"/>
      <c r="I939" s="472"/>
      <c r="J939" s="472"/>
      <c r="K939" s="472"/>
      <c r="L939" s="472"/>
      <c r="M939" s="472"/>
      <c r="N939" s="472"/>
      <c r="O939" s="472"/>
      <c r="P939" s="472"/>
      <c r="Q939" s="472"/>
      <c r="R939" s="472"/>
      <c r="S939" s="472"/>
      <c r="T939" s="472"/>
      <c r="U939" s="472"/>
      <c r="V939" s="472"/>
      <c r="W939" s="472"/>
      <c r="X939" s="472"/>
      <c r="Y939" s="472"/>
      <c r="Z939" s="472"/>
      <c r="AA939" s="472"/>
    </row>
    <row r="940">
      <c r="A940" s="472"/>
      <c r="B940" s="472"/>
      <c r="C940" s="472"/>
      <c r="D940" s="472"/>
      <c r="E940" s="472"/>
      <c r="F940" s="472"/>
      <c r="G940" s="472"/>
      <c r="H940" s="472"/>
      <c r="I940" s="472"/>
      <c r="J940" s="472"/>
      <c r="K940" s="472"/>
      <c r="L940" s="472"/>
      <c r="M940" s="472"/>
      <c r="N940" s="472"/>
      <c r="O940" s="472"/>
      <c r="P940" s="472"/>
      <c r="Q940" s="472"/>
      <c r="R940" s="472"/>
      <c r="S940" s="472"/>
      <c r="T940" s="472"/>
      <c r="U940" s="472"/>
      <c r="V940" s="472"/>
      <c r="W940" s="472"/>
      <c r="X940" s="472"/>
      <c r="Y940" s="472"/>
      <c r="Z940" s="472"/>
      <c r="AA940" s="472"/>
    </row>
    <row r="941">
      <c r="A941" s="472"/>
      <c r="B941" s="472"/>
      <c r="C941" s="472"/>
      <c r="D941" s="472"/>
      <c r="E941" s="472"/>
      <c r="F941" s="472"/>
      <c r="G941" s="472"/>
      <c r="H941" s="472"/>
      <c r="I941" s="472"/>
      <c r="J941" s="472"/>
      <c r="K941" s="472"/>
      <c r="L941" s="472"/>
      <c r="M941" s="472"/>
      <c r="N941" s="472"/>
      <c r="O941" s="472"/>
      <c r="P941" s="472"/>
      <c r="Q941" s="472"/>
      <c r="R941" s="472"/>
      <c r="S941" s="472"/>
      <c r="T941" s="472"/>
      <c r="U941" s="472"/>
      <c r="V941" s="472"/>
      <c r="W941" s="472"/>
      <c r="X941" s="472"/>
      <c r="Y941" s="472"/>
      <c r="Z941" s="472"/>
      <c r="AA941" s="472"/>
    </row>
    <row r="942">
      <c r="A942" s="472"/>
      <c r="B942" s="472"/>
      <c r="C942" s="472"/>
      <c r="D942" s="472"/>
      <c r="E942" s="472"/>
      <c r="F942" s="472"/>
      <c r="G942" s="472"/>
      <c r="H942" s="472"/>
      <c r="I942" s="472"/>
      <c r="J942" s="472"/>
      <c r="K942" s="472"/>
      <c r="L942" s="472"/>
      <c r="M942" s="472"/>
      <c r="N942" s="472"/>
      <c r="O942" s="472"/>
      <c r="P942" s="472"/>
      <c r="Q942" s="472"/>
      <c r="R942" s="472"/>
      <c r="S942" s="472"/>
      <c r="T942" s="472"/>
      <c r="U942" s="472"/>
      <c r="V942" s="472"/>
      <c r="W942" s="472"/>
      <c r="X942" s="472"/>
      <c r="Y942" s="472"/>
      <c r="Z942" s="472"/>
      <c r="AA942" s="472"/>
    </row>
    <row r="943">
      <c r="A943" s="472"/>
      <c r="B943" s="472"/>
      <c r="C943" s="472"/>
      <c r="D943" s="472"/>
      <c r="E943" s="472"/>
      <c r="F943" s="472"/>
      <c r="G943" s="472"/>
      <c r="H943" s="472"/>
      <c r="I943" s="472"/>
      <c r="J943" s="472"/>
      <c r="K943" s="472"/>
      <c r="L943" s="472"/>
      <c r="M943" s="472"/>
      <c r="N943" s="472"/>
      <c r="O943" s="472"/>
      <c r="P943" s="472"/>
      <c r="Q943" s="472"/>
      <c r="R943" s="472"/>
      <c r="S943" s="472"/>
      <c r="T943" s="472"/>
      <c r="U943" s="472"/>
      <c r="V943" s="472"/>
      <c r="W943" s="472"/>
      <c r="X943" s="472"/>
      <c r="Y943" s="472"/>
      <c r="Z943" s="472"/>
      <c r="AA943" s="472"/>
    </row>
    <row r="944">
      <c r="A944" s="472"/>
      <c r="B944" s="472"/>
      <c r="C944" s="472"/>
      <c r="D944" s="472"/>
      <c r="E944" s="472"/>
      <c r="F944" s="472"/>
      <c r="G944" s="472"/>
      <c r="H944" s="472"/>
      <c r="I944" s="472"/>
      <c r="J944" s="472"/>
      <c r="K944" s="472"/>
      <c r="L944" s="472"/>
      <c r="M944" s="472"/>
      <c r="N944" s="472"/>
      <c r="O944" s="472"/>
      <c r="P944" s="472"/>
      <c r="Q944" s="472"/>
      <c r="R944" s="472"/>
      <c r="S944" s="472"/>
      <c r="T944" s="472"/>
      <c r="U944" s="472"/>
      <c r="V944" s="472"/>
      <c r="W944" s="472"/>
      <c r="X944" s="472"/>
      <c r="Y944" s="472"/>
      <c r="Z944" s="472"/>
      <c r="AA944" s="472"/>
    </row>
    <row r="945">
      <c r="A945" s="472"/>
      <c r="B945" s="472"/>
      <c r="C945" s="472"/>
      <c r="D945" s="472"/>
      <c r="E945" s="472"/>
      <c r="F945" s="472"/>
      <c r="G945" s="472"/>
      <c r="H945" s="472"/>
      <c r="I945" s="472"/>
      <c r="J945" s="472"/>
      <c r="K945" s="472"/>
      <c r="L945" s="472"/>
      <c r="M945" s="472"/>
      <c r="N945" s="472"/>
      <c r="O945" s="472"/>
      <c r="P945" s="472"/>
      <c r="Q945" s="472"/>
      <c r="R945" s="472"/>
      <c r="S945" s="472"/>
      <c r="T945" s="472"/>
      <c r="U945" s="472"/>
      <c r="V945" s="472"/>
      <c r="W945" s="472"/>
      <c r="X945" s="472"/>
      <c r="Y945" s="472"/>
      <c r="Z945" s="472"/>
      <c r="AA945" s="472"/>
    </row>
    <row r="946">
      <c r="A946" s="472"/>
      <c r="B946" s="472"/>
      <c r="C946" s="472"/>
      <c r="D946" s="472"/>
      <c r="E946" s="472"/>
      <c r="F946" s="472"/>
      <c r="G946" s="472"/>
      <c r="H946" s="472"/>
      <c r="I946" s="472"/>
      <c r="J946" s="472"/>
      <c r="K946" s="472"/>
      <c r="L946" s="472"/>
      <c r="M946" s="472"/>
      <c r="N946" s="472"/>
      <c r="O946" s="472"/>
      <c r="P946" s="472"/>
      <c r="Q946" s="472"/>
      <c r="R946" s="472"/>
      <c r="S946" s="472"/>
      <c r="T946" s="472"/>
      <c r="U946" s="472"/>
      <c r="V946" s="472"/>
      <c r="W946" s="472"/>
      <c r="X946" s="472"/>
      <c r="Y946" s="472"/>
      <c r="Z946" s="472"/>
      <c r="AA946" s="472"/>
    </row>
    <row r="947">
      <c r="A947" s="472"/>
      <c r="B947" s="472"/>
      <c r="C947" s="472"/>
      <c r="D947" s="472"/>
      <c r="E947" s="472"/>
      <c r="F947" s="472"/>
      <c r="G947" s="472"/>
      <c r="H947" s="472"/>
      <c r="I947" s="472"/>
      <c r="J947" s="472"/>
      <c r="K947" s="472"/>
      <c r="L947" s="472"/>
      <c r="M947" s="472"/>
      <c r="N947" s="472"/>
      <c r="O947" s="472"/>
      <c r="P947" s="472"/>
      <c r="Q947" s="472"/>
      <c r="R947" s="472"/>
      <c r="S947" s="472"/>
      <c r="T947" s="472"/>
      <c r="U947" s="472"/>
      <c r="V947" s="472"/>
      <c r="W947" s="472"/>
      <c r="X947" s="472"/>
      <c r="Y947" s="472"/>
      <c r="Z947" s="472"/>
      <c r="AA947" s="472"/>
    </row>
    <row r="948">
      <c r="A948" s="472"/>
      <c r="B948" s="472"/>
      <c r="C948" s="472"/>
      <c r="D948" s="472"/>
      <c r="E948" s="472"/>
      <c r="F948" s="472"/>
      <c r="G948" s="472"/>
      <c r="H948" s="472"/>
      <c r="I948" s="472"/>
      <c r="J948" s="472"/>
      <c r="K948" s="472"/>
      <c r="L948" s="472"/>
      <c r="M948" s="472"/>
      <c r="N948" s="472"/>
      <c r="O948" s="472"/>
      <c r="P948" s="472"/>
      <c r="Q948" s="472"/>
      <c r="R948" s="472"/>
      <c r="S948" s="472"/>
      <c r="T948" s="472"/>
      <c r="U948" s="472"/>
      <c r="V948" s="472"/>
      <c r="W948" s="472"/>
      <c r="X948" s="472"/>
      <c r="Y948" s="472"/>
      <c r="Z948" s="472"/>
      <c r="AA948" s="472"/>
    </row>
    <row r="949">
      <c r="A949" s="472"/>
      <c r="B949" s="472"/>
      <c r="C949" s="472"/>
      <c r="D949" s="472"/>
      <c r="E949" s="472"/>
      <c r="F949" s="472"/>
      <c r="G949" s="472"/>
      <c r="H949" s="472"/>
      <c r="I949" s="472"/>
      <c r="J949" s="472"/>
      <c r="K949" s="472"/>
      <c r="L949" s="472"/>
      <c r="M949" s="472"/>
      <c r="N949" s="472"/>
      <c r="O949" s="472"/>
      <c r="P949" s="472"/>
      <c r="Q949" s="472"/>
      <c r="R949" s="472"/>
      <c r="S949" s="472"/>
      <c r="T949" s="472"/>
      <c r="U949" s="472"/>
      <c r="V949" s="472"/>
      <c r="W949" s="472"/>
      <c r="X949" s="472"/>
      <c r="Y949" s="472"/>
      <c r="Z949" s="472"/>
      <c r="AA949" s="472"/>
    </row>
    <row r="950">
      <c r="A950" s="472"/>
      <c r="B950" s="472"/>
      <c r="C950" s="472"/>
      <c r="D950" s="472"/>
      <c r="E950" s="472"/>
      <c r="F950" s="472"/>
      <c r="G950" s="472"/>
      <c r="H950" s="472"/>
      <c r="I950" s="472"/>
      <c r="J950" s="472"/>
      <c r="K950" s="472"/>
      <c r="L950" s="472"/>
      <c r="M950" s="472"/>
      <c r="N950" s="472"/>
      <c r="O950" s="472"/>
      <c r="P950" s="472"/>
      <c r="Q950" s="472"/>
      <c r="R950" s="472"/>
      <c r="S950" s="472"/>
      <c r="T950" s="472"/>
      <c r="U950" s="472"/>
      <c r="V950" s="472"/>
      <c r="W950" s="472"/>
      <c r="X950" s="472"/>
      <c r="Y950" s="472"/>
      <c r="Z950" s="472"/>
      <c r="AA950" s="472"/>
    </row>
    <row r="951">
      <c r="A951" s="472"/>
      <c r="B951" s="472"/>
      <c r="C951" s="472"/>
      <c r="D951" s="472"/>
      <c r="E951" s="472"/>
      <c r="F951" s="472"/>
      <c r="G951" s="472"/>
      <c r="H951" s="472"/>
      <c r="I951" s="472"/>
      <c r="J951" s="472"/>
      <c r="K951" s="472"/>
      <c r="L951" s="472"/>
      <c r="M951" s="472"/>
      <c r="N951" s="472"/>
      <c r="O951" s="472"/>
      <c r="P951" s="472"/>
      <c r="Q951" s="472"/>
      <c r="R951" s="472"/>
      <c r="S951" s="472"/>
      <c r="T951" s="472"/>
      <c r="U951" s="472"/>
      <c r="V951" s="472"/>
      <c r="W951" s="472"/>
      <c r="X951" s="472"/>
      <c r="Y951" s="472"/>
      <c r="Z951" s="472"/>
      <c r="AA951" s="472"/>
    </row>
    <row r="952">
      <c r="A952" s="472"/>
      <c r="B952" s="472"/>
      <c r="C952" s="472"/>
      <c r="D952" s="472"/>
      <c r="E952" s="472"/>
      <c r="F952" s="472"/>
      <c r="G952" s="472"/>
      <c r="H952" s="472"/>
      <c r="I952" s="472"/>
      <c r="J952" s="472"/>
      <c r="K952" s="472"/>
      <c r="L952" s="472"/>
      <c r="M952" s="472"/>
      <c r="N952" s="472"/>
      <c r="O952" s="472"/>
      <c r="P952" s="472"/>
      <c r="Q952" s="472"/>
      <c r="R952" s="472"/>
      <c r="S952" s="472"/>
      <c r="T952" s="472"/>
      <c r="U952" s="472"/>
      <c r="V952" s="472"/>
      <c r="W952" s="472"/>
      <c r="X952" s="472"/>
      <c r="Y952" s="472"/>
      <c r="Z952" s="472"/>
      <c r="AA952" s="472"/>
    </row>
    <row r="953">
      <c r="A953" s="472"/>
      <c r="B953" s="472"/>
      <c r="C953" s="472"/>
      <c r="D953" s="472"/>
      <c r="E953" s="472"/>
      <c r="F953" s="472"/>
      <c r="G953" s="472"/>
      <c r="H953" s="472"/>
      <c r="I953" s="472"/>
      <c r="J953" s="472"/>
      <c r="K953" s="472"/>
      <c r="L953" s="472"/>
      <c r="M953" s="472"/>
      <c r="N953" s="472"/>
      <c r="O953" s="472"/>
      <c r="P953" s="472"/>
      <c r="Q953" s="472"/>
      <c r="R953" s="472"/>
      <c r="S953" s="472"/>
      <c r="T953" s="472"/>
      <c r="U953" s="472"/>
      <c r="V953" s="472"/>
      <c r="W953" s="472"/>
      <c r="X953" s="472"/>
      <c r="Y953" s="472"/>
      <c r="Z953" s="472"/>
      <c r="AA953" s="472"/>
    </row>
    <row r="954">
      <c r="A954" s="472"/>
      <c r="B954" s="472"/>
      <c r="C954" s="472"/>
      <c r="D954" s="472"/>
      <c r="E954" s="472"/>
      <c r="F954" s="472"/>
      <c r="G954" s="472"/>
      <c r="H954" s="472"/>
      <c r="I954" s="472"/>
      <c r="J954" s="472"/>
      <c r="K954" s="472"/>
      <c r="L954" s="472"/>
      <c r="M954" s="472"/>
      <c r="N954" s="472"/>
      <c r="O954" s="472"/>
      <c r="P954" s="472"/>
      <c r="Q954" s="472"/>
      <c r="R954" s="472"/>
      <c r="S954" s="472"/>
      <c r="T954" s="472"/>
      <c r="U954" s="472"/>
      <c r="V954" s="472"/>
      <c r="W954" s="472"/>
      <c r="X954" s="472"/>
      <c r="Y954" s="472"/>
      <c r="Z954" s="472"/>
      <c r="AA954" s="472"/>
    </row>
    <row r="955">
      <c r="A955" s="472"/>
      <c r="B955" s="472"/>
      <c r="C955" s="472"/>
      <c r="D955" s="472"/>
      <c r="E955" s="472"/>
      <c r="F955" s="472"/>
      <c r="G955" s="472"/>
      <c r="H955" s="472"/>
      <c r="I955" s="472"/>
      <c r="J955" s="472"/>
      <c r="K955" s="472"/>
      <c r="L955" s="472"/>
      <c r="M955" s="472"/>
      <c r="N955" s="472"/>
      <c r="O955" s="472"/>
      <c r="P955" s="472"/>
      <c r="Q955" s="472"/>
      <c r="R955" s="472"/>
      <c r="S955" s="472"/>
      <c r="T955" s="472"/>
      <c r="U955" s="472"/>
      <c r="V955" s="472"/>
      <c r="W955" s="472"/>
      <c r="X955" s="472"/>
      <c r="Y955" s="472"/>
      <c r="Z955" s="472"/>
      <c r="AA955" s="472"/>
    </row>
    <row r="956">
      <c r="A956" s="472"/>
      <c r="B956" s="472"/>
      <c r="C956" s="472"/>
      <c r="D956" s="472"/>
      <c r="E956" s="472"/>
      <c r="F956" s="472"/>
      <c r="G956" s="472"/>
      <c r="H956" s="472"/>
      <c r="I956" s="472"/>
      <c r="J956" s="472"/>
      <c r="K956" s="472"/>
      <c r="L956" s="472"/>
      <c r="M956" s="472"/>
      <c r="N956" s="472"/>
      <c r="O956" s="472"/>
      <c r="P956" s="472"/>
      <c r="Q956" s="472"/>
      <c r="R956" s="472"/>
      <c r="S956" s="472"/>
      <c r="T956" s="472"/>
      <c r="U956" s="472"/>
      <c r="V956" s="472"/>
      <c r="W956" s="472"/>
      <c r="X956" s="472"/>
      <c r="Y956" s="472"/>
      <c r="Z956" s="472"/>
      <c r="AA956" s="472"/>
    </row>
    <row r="957">
      <c r="A957" s="472"/>
      <c r="B957" s="472"/>
      <c r="C957" s="472"/>
      <c r="D957" s="472"/>
      <c r="E957" s="472"/>
      <c r="F957" s="472"/>
      <c r="G957" s="472"/>
      <c r="H957" s="472"/>
      <c r="I957" s="472"/>
      <c r="J957" s="472"/>
      <c r="K957" s="472"/>
      <c r="L957" s="472"/>
      <c r="M957" s="472"/>
      <c r="N957" s="472"/>
      <c r="O957" s="472"/>
      <c r="P957" s="472"/>
      <c r="Q957" s="472"/>
      <c r="R957" s="472"/>
      <c r="S957" s="472"/>
      <c r="T957" s="472"/>
      <c r="U957" s="472"/>
      <c r="V957" s="472"/>
      <c r="W957" s="472"/>
      <c r="X957" s="472"/>
      <c r="Y957" s="472"/>
      <c r="Z957" s="472"/>
      <c r="AA957" s="472"/>
    </row>
    <row r="958">
      <c r="A958" s="472"/>
      <c r="B958" s="472"/>
      <c r="C958" s="472"/>
      <c r="D958" s="472"/>
      <c r="E958" s="472"/>
      <c r="F958" s="472"/>
      <c r="G958" s="472"/>
      <c r="H958" s="472"/>
      <c r="I958" s="472"/>
      <c r="J958" s="472"/>
      <c r="K958" s="472"/>
      <c r="L958" s="472"/>
      <c r="M958" s="472"/>
      <c r="N958" s="472"/>
      <c r="O958" s="472"/>
      <c r="P958" s="472"/>
      <c r="Q958" s="472"/>
      <c r="R958" s="472"/>
      <c r="S958" s="472"/>
      <c r="T958" s="472"/>
      <c r="U958" s="472"/>
      <c r="V958" s="472"/>
      <c r="W958" s="472"/>
      <c r="X958" s="472"/>
      <c r="Y958" s="472"/>
      <c r="Z958" s="472"/>
      <c r="AA958" s="472"/>
    </row>
    <row r="959">
      <c r="A959" s="472"/>
      <c r="B959" s="472"/>
      <c r="C959" s="472"/>
      <c r="D959" s="472"/>
      <c r="E959" s="472"/>
      <c r="F959" s="472"/>
      <c r="G959" s="472"/>
      <c r="H959" s="472"/>
      <c r="I959" s="472"/>
      <c r="J959" s="472"/>
      <c r="K959" s="472"/>
      <c r="L959" s="472"/>
      <c r="M959" s="472"/>
      <c r="N959" s="472"/>
      <c r="O959" s="472"/>
      <c r="P959" s="472"/>
      <c r="Q959" s="472"/>
      <c r="R959" s="472"/>
      <c r="S959" s="472"/>
      <c r="T959" s="472"/>
      <c r="U959" s="472"/>
      <c r="V959" s="472"/>
      <c r="W959" s="472"/>
      <c r="X959" s="472"/>
      <c r="Y959" s="472"/>
      <c r="Z959" s="472"/>
      <c r="AA959" s="472"/>
    </row>
    <row r="960">
      <c r="A960" s="472"/>
      <c r="B960" s="472"/>
      <c r="C960" s="472"/>
      <c r="D960" s="472"/>
      <c r="E960" s="472"/>
      <c r="F960" s="472"/>
      <c r="G960" s="472"/>
      <c r="H960" s="472"/>
      <c r="I960" s="472"/>
      <c r="J960" s="472"/>
      <c r="K960" s="472"/>
      <c r="L960" s="472"/>
      <c r="M960" s="472"/>
      <c r="N960" s="472"/>
      <c r="O960" s="472"/>
      <c r="P960" s="472"/>
      <c r="Q960" s="472"/>
      <c r="R960" s="472"/>
      <c r="S960" s="472"/>
      <c r="T960" s="472"/>
      <c r="U960" s="472"/>
      <c r="V960" s="472"/>
      <c r="W960" s="472"/>
      <c r="X960" s="472"/>
      <c r="Y960" s="472"/>
      <c r="Z960" s="472"/>
      <c r="AA960" s="472"/>
    </row>
    <row r="961">
      <c r="A961" s="472"/>
      <c r="B961" s="472"/>
      <c r="C961" s="472"/>
      <c r="D961" s="472"/>
      <c r="E961" s="472"/>
      <c r="F961" s="472"/>
      <c r="G961" s="472"/>
      <c r="H961" s="472"/>
      <c r="I961" s="472"/>
      <c r="J961" s="472"/>
      <c r="K961" s="472"/>
      <c r="L961" s="472"/>
      <c r="M961" s="472"/>
      <c r="N961" s="472"/>
      <c r="O961" s="472"/>
      <c r="P961" s="472"/>
      <c r="Q961" s="472"/>
      <c r="R961" s="472"/>
      <c r="S961" s="472"/>
      <c r="T961" s="472"/>
      <c r="U961" s="472"/>
      <c r="V961" s="472"/>
      <c r="W961" s="472"/>
      <c r="X961" s="472"/>
      <c r="Y961" s="472"/>
      <c r="Z961" s="472"/>
      <c r="AA961" s="472"/>
    </row>
    <row r="962">
      <c r="A962" s="472"/>
      <c r="B962" s="472"/>
      <c r="C962" s="472"/>
      <c r="D962" s="472"/>
      <c r="E962" s="472"/>
      <c r="F962" s="472"/>
      <c r="G962" s="472"/>
      <c r="H962" s="472"/>
      <c r="I962" s="472"/>
      <c r="J962" s="472"/>
      <c r="K962" s="472"/>
      <c r="L962" s="472"/>
      <c r="M962" s="472"/>
      <c r="N962" s="472"/>
      <c r="O962" s="472"/>
      <c r="P962" s="472"/>
      <c r="Q962" s="472"/>
      <c r="R962" s="472"/>
      <c r="S962" s="472"/>
      <c r="T962" s="472"/>
      <c r="U962" s="472"/>
      <c r="V962" s="472"/>
      <c r="W962" s="472"/>
      <c r="X962" s="472"/>
      <c r="Y962" s="472"/>
      <c r="Z962" s="472"/>
      <c r="AA962" s="472"/>
    </row>
    <row r="963">
      <c r="A963" s="472"/>
      <c r="B963" s="472"/>
      <c r="C963" s="472"/>
      <c r="D963" s="472"/>
      <c r="E963" s="472"/>
      <c r="F963" s="472"/>
      <c r="G963" s="472"/>
      <c r="H963" s="472"/>
      <c r="I963" s="472"/>
      <c r="J963" s="472"/>
      <c r="K963" s="472"/>
      <c r="L963" s="472"/>
      <c r="M963" s="472"/>
      <c r="N963" s="472"/>
      <c r="O963" s="472"/>
      <c r="P963" s="472"/>
      <c r="Q963" s="472"/>
      <c r="R963" s="472"/>
      <c r="S963" s="472"/>
      <c r="T963" s="472"/>
      <c r="U963" s="472"/>
      <c r="V963" s="472"/>
      <c r="W963" s="472"/>
      <c r="X963" s="472"/>
      <c r="Y963" s="472"/>
      <c r="Z963" s="472"/>
      <c r="AA963" s="472"/>
    </row>
    <row r="964">
      <c r="A964" s="472"/>
      <c r="B964" s="472"/>
      <c r="C964" s="472"/>
      <c r="D964" s="472"/>
      <c r="E964" s="472"/>
      <c r="F964" s="472"/>
      <c r="G964" s="472"/>
      <c r="H964" s="472"/>
      <c r="I964" s="472"/>
      <c r="J964" s="472"/>
      <c r="K964" s="472"/>
      <c r="L964" s="472"/>
      <c r="M964" s="472"/>
      <c r="N964" s="472"/>
      <c r="O964" s="472"/>
      <c r="P964" s="472"/>
      <c r="Q964" s="472"/>
      <c r="R964" s="472"/>
      <c r="S964" s="472"/>
      <c r="T964" s="472"/>
      <c r="U964" s="472"/>
      <c r="V964" s="472"/>
      <c r="W964" s="472"/>
      <c r="X964" s="472"/>
      <c r="Y964" s="472"/>
      <c r="Z964" s="472"/>
      <c r="AA964" s="472"/>
    </row>
    <row r="965">
      <c r="A965" s="472"/>
      <c r="B965" s="472"/>
      <c r="C965" s="472"/>
      <c r="D965" s="472"/>
      <c r="E965" s="472"/>
      <c r="F965" s="472"/>
      <c r="G965" s="472"/>
      <c r="H965" s="472"/>
      <c r="I965" s="472"/>
      <c r="J965" s="472"/>
      <c r="K965" s="472"/>
      <c r="L965" s="472"/>
      <c r="M965" s="472"/>
      <c r="N965" s="472"/>
      <c r="O965" s="472"/>
      <c r="P965" s="472"/>
      <c r="Q965" s="472"/>
      <c r="R965" s="472"/>
      <c r="S965" s="472"/>
      <c r="T965" s="472"/>
      <c r="U965" s="472"/>
      <c r="V965" s="472"/>
      <c r="W965" s="472"/>
      <c r="X965" s="472"/>
      <c r="Y965" s="472"/>
      <c r="Z965" s="472"/>
      <c r="AA965" s="472"/>
    </row>
    <row r="966">
      <c r="A966" s="472"/>
      <c r="B966" s="472"/>
      <c r="C966" s="472"/>
      <c r="D966" s="472"/>
      <c r="E966" s="472"/>
      <c r="F966" s="472"/>
      <c r="G966" s="472"/>
      <c r="H966" s="472"/>
      <c r="I966" s="472"/>
      <c r="J966" s="472"/>
      <c r="K966" s="472"/>
      <c r="L966" s="472"/>
      <c r="M966" s="472"/>
      <c r="N966" s="472"/>
      <c r="O966" s="472"/>
      <c r="P966" s="472"/>
      <c r="Q966" s="472"/>
      <c r="R966" s="472"/>
      <c r="S966" s="472"/>
      <c r="T966" s="472"/>
      <c r="U966" s="472"/>
      <c r="V966" s="472"/>
      <c r="W966" s="472"/>
      <c r="X966" s="472"/>
      <c r="Y966" s="472"/>
      <c r="Z966" s="472"/>
      <c r="AA966" s="472"/>
    </row>
    <row r="967">
      <c r="A967" s="472"/>
      <c r="B967" s="472"/>
      <c r="C967" s="472"/>
      <c r="D967" s="472"/>
      <c r="E967" s="472"/>
      <c r="F967" s="472"/>
      <c r="G967" s="472"/>
      <c r="H967" s="472"/>
      <c r="I967" s="472"/>
      <c r="J967" s="472"/>
      <c r="K967" s="472"/>
      <c r="L967" s="472"/>
      <c r="M967" s="472"/>
      <c r="N967" s="472"/>
      <c r="O967" s="472"/>
      <c r="P967" s="472"/>
      <c r="Q967" s="472"/>
      <c r="R967" s="472"/>
      <c r="S967" s="472"/>
      <c r="T967" s="472"/>
      <c r="U967" s="472"/>
      <c r="V967" s="472"/>
      <c r="W967" s="472"/>
      <c r="X967" s="472"/>
      <c r="Y967" s="472"/>
      <c r="Z967" s="472"/>
      <c r="AA967" s="472"/>
    </row>
    <row r="968">
      <c r="A968" s="472"/>
      <c r="B968" s="472"/>
      <c r="C968" s="472"/>
      <c r="D968" s="472"/>
      <c r="E968" s="472"/>
      <c r="F968" s="472"/>
      <c r="G968" s="472"/>
      <c r="H968" s="472"/>
      <c r="I968" s="472"/>
      <c r="J968" s="472"/>
      <c r="K968" s="472"/>
      <c r="L968" s="472"/>
      <c r="M968" s="472"/>
      <c r="N968" s="472"/>
      <c r="O968" s="472"/>
      <c r="P968" s="472"/>
      <c r="Q968" s="472"/>
      <c r="R968" s="472"/>
      <c r="S968" s="472"/>
      <c r="T968" s="472"/>
      <c r="U968" s="472"/>
      <c r="V968" s="472"/>
      <c r="W968" s="472"/>
      <c r="X968" s="472"/>
      <c r="Y968" s="472"/>
      <c r="Z968" s="472"/>
      <c r="AA968" s="472"/>
    </row>
    <row r="969">
      <c r="A969" s="472"/>
      <c r="B969" s="472"/>
      <c r="C969" s="472"/>
      <c r="D969" s="472"/>
      <c r="E969" s="472"/>
      <c r="F969" s="472"/>
      <c r="G969" s="472"/>
      <c r="H969" s="472"/>
      <c r="I969" s="472"/>
      <c r="J969" s="472"/>
      <c r="K969" s="472"/>
      <c r="L969" s="472"/>
      <c r="M969" s="472"/>
      <c r="N969" s="472"/>
      <c r="O969" s="472"/>
      <c r="P969" s="472"/>
      <c r="Q969" s="472"/>
      <c r="R969" s="472"/>
      <c r="S969" s="472"/>
      <c r="T969" s="472"/>
      <c r="U969" s="472"/>
      <c r="V969" s="472"/>
      <c r="W969" s="472"/>
      <c r="X969" s="472"/>
      <c r="Y969" s="472"/>
      <c r="Z969" s="472"/>
      <c r="AA969" s="472"/>
    </row>
    <row r="970">
      <c r="A970" s="472"/>
      <c r="B970" s="472"/>
      <c r="C970" s="472"/>
      <c r="D970" s="472"/>
      <c r="E970" s="472"/>
      <c r="F970" s="472"/>
      <c r="G970" s="472"/>
      <c r="H970" s="472"/>
      <c r="I970" s="472"/>
      <c r="J970" s="472"/>
      <c r="K970" s="472"/>
      <c r="L970" s="472"/>
      <c r="M970" s="472"/>
      <c r="N970" s="472"/>
      <c r="O970" s="472"/>
      <c r="P970" s="472"/>
      <c r="Q970" s="472"/>
      <c r="R970" s="472"/>
      <c r="S970" s="472"/>
      <c r="T970" s="472"/>
      <c r="U970" s="472"/>
      <c r="V970" s="472"/>
      <c r="W970" s="472"/>
      <c r="X970" s="472"/>
      <c r="Y970" s="472"/>
      <c r="Z970" s="472"/>
      <c r="AA970" s="472"/>
    </row>
    <row r="971">
      <c r="A971" s="472"/>
      <c r="B971" s="472"/>
      <c r="C971" s="472"/>
      <c r="D971" s="472"/>
      <c r="E971" s="472"/>
      <c r="F971" s="472"/>
      <c r="G971" s="472"/>
      <c r="H971" s="472"/>
      <c r="I971" s="472"/>
      <c r="J971" s="472"/>
      <c r="K971" s="472"/>
      <c r="L971" s="472"/>
      <c r="M971" s="472"/>
      <c r="N971" s="472"/>
      <c r="O971" s="472"/>
      <c r="P971" s="472"/>
      <c r="Q971" s="472"/>
      <c r="R971" s="472"/>
      <c r="S971" s="472"/>
      <c r="T971" s="472"/>
      <c r="U971" s="472"/>
      <c r="V971" s="472"/>
      <c r="W971" s="472"/>
      <c r="X971" s="472"/>
      <c r="Y971" s="472"/>
      <c r="Z971" s="472"/>
      <c r="AA971" s="472"/>
    </row>
    <row r="972">
      <c r="A972" s="472"/>
      <c r="B972" s="472"/>
      <c r="C972" s="472"/>
      <c r="D972" s="472"/>
      <c r="E972" s="472"/>
      <c r="F972" s="472"/>
      <c r="G972" s="472"/>
      <c r="H972" s="472"/>
      <c r="I972" s="472"/>
      <c r="J972" s="472"/>
      <c r="K972" s="472"/>
      <c r="L972" s="472"/>
      <c r="M972" s="472"/>
      <c r="N972" s="472"/>
      <c r="O972" s="472"/>
      <c r="P972" s="472"/>
      <c r="Q972" s="472"/>
      <c r="R972" s="472"/>
      <c r="S972" s="472"/>
      <c r="T972" s="472"/>
      <c r="U972" s="472"/>
      <c r="V972" s="472"/>
      <c r="W972" s="472"/>
      <c r="X972" s="472"/>
      <c r="Y972" s="472"/>
      <c r="Z972" s="472"/>
      <c r="AA972" s="472"/>
    </row>
    <row r="973">
      <c r="A973" s="472"/>
      <c r="B973" s="472"/>
      <c r="C973" s="472"/>
      <c r="D973" s="472"/>
      <c r="E973" s="472"/>
      <c r="F973" s="472"/>
      <c r="G973" s="472"/>
      <c r="H973" s="472"/>
      <c r="I973" s="472"/>
      <c r="J973" s="472"/>
      <c r="K973" s="472"/>
      <c r="L973" s="472"/>
      <c r="M973" s="472"/>
      <c r="N973" s="472"/>
      <c r="O973" s="472"/>
      <c r="P973" s="472"/>
      <c r="Q973" s="472"/>
      <c r="R973" s="472"/>
      <c r="S973" s="472"/>
      <c r="T973" s="472"/>
      <c r="U973" s="472"/>
      <c r="V973" s="472"/>
      <c r="W973" s="472"/>
      <c r="X973" s="472"/>
      <c r="Y973" s="472"/>
      <c r="Z973" s="472"/>
      <c r="AA973" s="472"/>
    </row>
    <row r="974">
      <c r="A974" s="472"/>
      <c r="B974" s="472"/>
      <c r="C974" s="472"/>
      <c r="D974" s="472"/>
      <c r="E974" s="472"/>
      <c r="F974" s="472"/>
      <c r="G974" s="472"/>
      <c r="H974" s="472"/>
      <c r="I974" s="472"/>
      <c r="J974" s="472"/>
      <c r="K974" s="472"/>
      <c r="L974" s="472"/>
      <c r="M974" s="472"/>
      <c r="N974" s="472"/>
      <c r="O974" s="472"/>
      <c r="P974" s="472"/>
      <c r="Q974" s="472"/>
      <c r="R974" s="472"/>
      <c r="S974" s="472"/>
      <c r="T974" s="472"/>
      <c r="U974" s="472"/>
      <c r="V974" s="472"/>
      <c r="W974" s="472"/>
      <c r="X974" s="472"/>
      <c r="Y974" s="472"/>
      <c r="Z974" s="472"/>
      <c r="AA974" s="472"/>
    </row>
    <row r="975">
      <c r="A975" s="472"/>
      <c r="B975" s="472"/>
      <c r="C975" s="472"/>
      <c r="D975" s="472"/>
      <c r="E975" s="472"/>
      <c r="F975" s="472"/>
      <c r="G975" s="472"/>
      <c r="H975" s="472"/>
      <c r="I975" s="472"/>
      <c r="J975" s="472"/>
      <c r="K975" s="472"/>
      <c r="L975" s="472"/>
      <c r="M975" s="472"/>
      <c r="N975" s="472"/>
      <c r="O975" s="472"/>
      <c r="P975" s="472"/>
      <c r="Q975" s="472"/>
      <c r="R975" s="472"/>
      <c r="S975" s="472"/>
      <c r="T975" s="472"/>
      <c r="U975" s="472"/>
      <c r="V975" s="472"/>
      <c r="W975" s="472"/>
      <c r="X975" s="472"/>
      <c r="Y975" s="472"/>
      <c r="Z975" s="472"/>
      <c r="AA975" s="472"/>
    </row>
    <row r="976">
      <c r="A976" s="472"/>
      <c r="B976" s="472"/>
      <c r="C976" s="472"/>
      <c r="D976" s="472"/>
      <c r="E976" s="472"/>
      <c r="F976" s="472"/>
      <c r="G976" s="472"/>
      <c r="H976" s="472"/>
      <c r="I976" s="472"/>
      <c r="J976" s="472"/>
      <c r="K976" s="472"/>
      <c r="L976" s="472"/>
      <c r="M976" s="472"/>
      <c r="N976" s="472"/>
      <c r="O976" s="472"/>
      <c r="P976" s="472"/>
      <c r="Q976" s="472"/>
      <c r="R976" s="472"/>
      <c r="S976" s="472"/>
      <c r="T976" s="472"/>
      <c r="U976" s="472"/>
      <c r="V976" s="472"/>
      <c r="W976" s="472"/>
      <c r="X976" s="472"/>
      <c r="Y976" s="472"/>
      <c r="Z976" s="472"/>
      <c r="AA976" s="472"/>
    </row>
    <row r="977">
      <c r="A977" s="472"/>
      <c r="B977" s="472"/>
      <c r="C977" s="472"/>
      <c r="D977" s="472"/>
      <c r="E977" s="472"/>
      <c r="F977" s="472"/>
      <c r="G977" s="472"/>
      <c r="H977" s="472"/>
      <c r="I977" s="472"/>
      <c r="J977" s="472"/>
      <c r="K977" s="472"/>
      <c r="L977" s="472"/>
      <c r="M977" s="472"/>
      <c r="N977" s="472"/>
      <c r="O977" s="472"/>
      <c r="P977" s="472"/>
      <c r="Q977" s="472"/>
      <c r="R977" s="472"/>
      <c r="S977" s="472"/>
      <c r="T977" s="472"/>
      <c r="U977" s="472"/>
      <c r="V977" s="472"/>
      <c r="W977" s="472"/>
      <c r="X977" s="472"/>
      <c r="Y977" s="472"/>
      <c r="Z977" s="472"/>
      <c r="AA977" s="472"/>
    </row>
    <row r="978">
      <c r="A978" s="472"/>
      <c r="B978" s="472"/>
      <c r="C978" s="472"/>
      <c r="D978" s="472"/>
      <c r="E978" s="472"/>
      <c r="F978" s="472"/>
      <c r="G978" s="472"/>
      <c r="H978" s="472"/>
      <c r="I978" s="472"/>
      <c r="J978" s="472"/>
      <c r="K978" s="472"/>
      <c r="L978" s="472"/>
      <c r="M978" s="472"/>
      <c r="N978" s="472"/>
      <c r="O978" s="472"/>
      <c r="P978" s="472"/>
      <c r="Q978" s="472"/>
      <c r="R978" s="472"/>
      <c r="S978" s="472"/>
      <c r="T978" s="472"/>
      <c r="U978" s="472"/>
      <c r="V978" s="472"/>
      <c r="W978" s="472"/>
      <c r="X978" s="472"/>
      <c r="Y978" s="472"/>
      <c r="Z978" s="472"/>
      <c r="AA978" s="472"/>
    </row>
    <row r="979">
      <c r="A979" s="472"/>
      <c r="B979" s="472"/>
      <c r="C979" s="472"/>
      <c r="D979" s="472"/>
      <c r="E979" s="472"/>
      <c r="F979" s="472"/>
      <c r="G979" s="472"/>
      <c r="H979" s="472"/>
      <c r="I979" s="472"/>
      <c r="J979" s="472"/>
      <c r="K979" s="472"/>
      <c r="L979" s="472"/>
      <c r="M979" s="472"/>
      <c r="N979" s="472"/>
      <c r="O979" s="472"/>
      <c r="P979" s="472"/>
      <c r="Q979" s="472"/>
      <c r="R979" s="472"/>
      <c r="S979" s="472"/>
      <c r="T979" s="472"/>
      <c r="U979" s="472"/>
      <c r="V979" s="472"/>
      <c r="W979" s="472"/>
      <c r="X979" s="472"/>
      <c r="Y979" s="472"/>
      <c r="Z979" s="472"/>
      <c r="AA979" s="472"/>
    </row>
    <row r="980">
      <c r="A980" s="472"/>
      <c r="B980" s="472"/>
      <c r="C980" s="472"/>
      <c r="D980" s="472"/>
      <c r="E980" s="472"/>
      <c r="F980" s="472"/>
      <c r="G980" s="472"/>
      <c r="H980" s="472"/>
      <c r="I980" s="472"/>
      <c r="J980" s="472"/>
      <c r="K980" s="472"/>
      <c r="L980" s="472"/>
      <c r="M980" s="472"/>
      <c r="N980" s="472"/>
      <c r="O980" s="472"/>
      <c r="P980" s="472"/>
      <c r="Q980" s="472"/>
      <c r="R980" s="472"/>
      <c r="S980" s="472"/>
      <c r="T980" s="472"/>
      <c r="U980" s="472"/>
      <c r="V980" s="472"/>
      <c r="W980" s="472"/>
      <c r="X980" s="472"/>
      <c r="Y980" s="472"/>
      <c r="Z980" s="472"/>
      <c r="AA980" s="472"/>
    </row>
    <row r="981">
      <c r="A981" s="472"/>
      <c r="B981" s="472"/>
      <c r="C981" s="472"/>
      <c r="D981" s="472"/>
      <c r="E981" s="472"/>
      <c r="F981" s="472"/>
      <c r="G981" s="472"/>
      <c r="H981" s="472"/>
      <c r="I981" s="472"/>
      <c r="J981" s="472"/>
      <c r="K981" s="472"/>
      <c r="L981" s="472"/>
      <c r="M981" s="472"/>
      <c r="N981" s="472"/>
      <c r="O981" s="472"/>
      <c r="P981" s="472"/>
      <c r="Q981" s="472"/>
      <c r="R981" s="472"/>
      <c r="S981" s="472"/>
      <c r="T981" s="472"/>
      <c r="U981" s="472"/>
      <c r="V981" s="472"/>
      <c r="W981" s="472"/>
      <c r="X981" s="472"/>
      <c r="Y981" s="472"/>
      <c r="Z981" s="472"/>
      <c r="AA981" s="472"/>
    </row>
    <row r="982">
      <c r="A982" s="472"/>
      <c r="B982" s="472"/>
      <c r="C982" s="472"/>
      <c r="D982" s="472"/>
      <c r="E982" s="472"/>
      <c r="F982" s="472"/>
      <c r="G982" s="472"/>
      <c r="H982" s="472"/>
      <c r="I982" s="472"/>
      <c r="J982" s="472"/>
      <c r="K982" s="472"/>
      <c r="L982" s="472"/>
      <c r="M982" s="472"/>
      <c r="N982" s="472"/>
      <c r="O982" s="472"/>
      <c r="P982" s="472"/>
      <c r="Q982" s="472"/>
      <c r="R982" s="472"/>
      <c r="S982" s="472"/>
      <c r="T982" s="472"/>
      <c r="U982" s="472"/>
      <c r="V982" s="472"/>
      <c r="W982" s="472"/>
      <c r="X982" s="472"/>
      <c r="Y982" s="472"/>
      <c r="Z982" s="472"/>
      <c r="AA982" s="472"/>
    </row>
    <row r="983">
      <c r="A983" s="472"/>
      <c r="B983" s="472"/>
      <c r="C983" s="472"/>
      <c r="D983" s="472"/>
      <c r="E983" s="472"/>
      <c r="F983" s="472"/>
      <c r="G983" s="472"/>
      <c r="H983" s="472"/>
      <c r="I983" s="472"/>
      <c r="J983" s="472"/>
      <c r="K983" s="472"/>
      <c r="L983" s="472"/>
      <c r="M983" s="472"/>
      <c r="N983" s="472"/>
      <c r="O983" s="472"/>
      <c r="P983" s="472"/>
      <c r="Q983" s="472"/>
      <c r="R983" s="472"/>
      <c r="S983" s="472"/>
      <c r="T983" s="472"/>
      <c r="U983" s="472"/>
      <c r="V983" s="472"/>
      <c r="W983" s="472"/>
      <c r="X983" s="472"/>
      <c r="Y983" s="472"/>
      <c r="Z983" s="472"/>
      <c r="AA983" s="472"/>
    </row>
    <row r="984">
      <c r="A984" s="472"/>
      <c r="B984" s="472"/>
      <c r="C984" s="472"/>
      <c r="D984" s="472"/>
      <c r="E984" s="472"/>
      <c r="F984" s="472"/>
      <c r="G984" s="472"/>
      <c r="H984" s="472"/>
      <c r="I984" s="472"/>
      <c r="J984" s="472"/>
      <c r="K984" s="472"/>
      <c r="L984" s="472"/>
      <c r="M984" s="472"/>
      <c r="N984" s="472"/>
      <c r="O984" s="472"/>
      <c r="P984" s="472"/>
      <c r="Q984" s="472"/>
      <c r="R984" s="472"/>
      <c r="S984" s="472"/>
      <c r="T984" s="472"/>
      <c r="U984" s="472"/>
      <c r="V984" s="472"/>
      <c r="W984" s="472"/>
      <c r="X984" s="472"/>
      <c r="Y984" s="472"/>
      <c r="Z984" s="472"/>
      <c r="AA984" s="472"/>
    </row>
    <row r="985">
      <c r="A985" s="472"/>
      <c r="B985" s="472"/>
      <c r="C985" s="472"/>
      <c r="D985" s="472"/>
      <c r="E985" s="472"/>
      <c r="F985" s="472"/>
      <c r="G985" s="472"/>
      <c r="H985" s="472"/>
      <c r="I985" s="472"/>
      <c r="J985" s="472"/>
      <c r="K985" s="472"/>
      <c r="L985" s="472"/>
      <c r="M985" s="472"/>
      <c r="N985" s="472"/>
      <c r="O985" s="472"/>
      <c r="P985" s="472"/>
      <c r="Q985" s="472"/>
      <c r="R985" s="472"/>
      <c r="S985" s="472"/>
      <c r="T985" s="472"/>
      <c r="U985" s="472"/>
      <c r="V985" s="472"/>
      <c r="W985" s="472"/>
      <c r="X985" s="472"/>
      <c r="Y985" s="472"/>
      <c r="Z985" s="472"/>
      <c r="AA985" s="472"/>
    </row>
    <row r="986">
      <c r="A986" s="472"/>
      <c r="B986" s="472"/>
      <c r="C986" s="472"/>
      <c r="D986" s="472"/>
      <c r="E986" s="472"/>
      <c r="F986" s="472"/>
      <c r="G986" s="472"/>
      <c r="H986" s="472"/>
      <c r="I986" s="472"/>
      <c r="J986" s="472"/>
      <c r="K986" s="472"/>
      <c r="L986" s="472"/>
      <c r="M986" s="472"/>
      <c r="N986" s="472"/>
      <c r="O986" s="472"/>
      <c r="P986" s="472"/>
      <c r="Q986" s="472"/>
      <c r="R986" s="472"/>
      <c r="S986" s="472"/>
      <c r="T986" s="472"/>
      <c r="U986" s="472"/>
      <c r="V986" s="472"/>
      <c r="W986" s="472"/>
      <c r="X986" s="472"/>
      <c r="Y986" s="472"/>
      <c r="Z986" s="472"/>
      <c r="AA986" s="472"/>
    </row>
    <row r="987">
      <c r="A987" s="472"/>
      <c r="B987" s="472"/>
      <c r="C987" s="472"/>
      <c r="D987" s="472"/>
      <c r="E987" s="472"/>
      <c r="F987" s="472"/>
      <c r="G987" s="472"/>
      <c r="H987" s="472"/>
      <c r="I987" s="472"/>
      <c r="J987" s="472"/>
      <c r="K987" s="472"/>
      <c r="L987" s="472"/>
      <c r="M987" s="472"/>
      <c r="N987" s="472"/>
      <c r="O987" s="472"/>
      <c r="P987" s="472"/>
      <c r="Q987" s="472"/>
      <c r="R987" s="472"/>
      <c r="S987" s="472"/>
      <c r="T987" s="472"/>
      <c r="U987" s="472"/>
      <c r="V987" s="472"/>
      <c r="W987" s="472"/>
      <c r="X987" s="472"/>
      <c r="Y987" s="472"/>
      <c r="Z987" s="472"/>
      <c r="AA987" s="472"/>
    </row>
    <row r="988">
      <c r="A988" s="472"/>
      <c r="B988" s="472"/>
      <c r="C988" s="472"/>
      <c r="D988" s="472"/>
      <c r="E988" s="472"/>
      <c r="F988" s="472"/>
      <c r="G988" s="472"/>
      <c r="H988" s="472"/>
      <c r="I988" s="472"/>
      <c r="J988" s="472"/>
      <c r="K988" s="472"/>
      <c r="L988" s="472"/>
      <c r="M988" s="472"/>
      <c r="N988" s="472"/>
      <c r="O988" s="472"/>
      <c r="P988" s="472"/>
      <c r="Q988" s="472"/>
      <c r="R988" s="472"/>
      <c r="S988" s="472"/>
      <c r="T988" s="472"/>
      <c r="U988" s="472"/>
      <c r="V988" s="472"/>
      <c r="W988" s="472"/>
      <c r="X988" s="472"/>
      <c r="Y988" s="472"/>
      <c r="Z988" s="472"/>
      <c r="AA988" s="472"/>
    </row>
    <row r="989">
      <c r="A989" s="472"/>
      <c r="B989" s="472"/>
      <c r="C989" s="472"/>
      <c r="D989" s="472"/>
      <c r="E989" s="472"/>
      <c r="F989" s="472"/>
      <c r="G989" s="472"/>
      <c r="H989" s="472"/>
      <c r="I989" s="472"/>
      <c r="J989" s="472"/>
      <c r="K989" s="472"/>
      <c r="L989" s="472"/>
      <c r="M989" s="472"/>
      <c r="N989" s="472"/>
      <c r="O989" s="472"/>
      <c r="P989" s="472"/>
      <c r="Q989" s="472"/>
      <c r="R989" s="472"/>
      <c r="S989" s="472"/>
      <c r="T989" s="472"/>
      <c r="U989" s="472"/>
      <c r="V989" s="472"/>
      <c r="W989" s="472"/>
      <c r="X989" s="472"/>
      <c r="Y989" s="472"/>
      <c r="Z989" s="472"/>
      <c r="AA989" s="472"/>
    </row>
    <row r="990">
      <c r="A990" s="472"/>
      <c r="B990" s="472"/>
      <c r="C990" s="472"/>
      <c r="D990" s="472"/>
      <c r="E990" s="472"/>
      <c r="F990" s="472"/>
      <c r="G990" s="472"/>
      <c r="H990" s="472"/>
      <c r="I990" s="472"/>
      <c r="J990" s="472"/>
      <c r="K990" s="472"/>
      <c r="L990" s="472"/>
      <c r="M990" s="472"/>
      <c r="N990" s="472"/>
      <c r="O990" s="472"/>
      <c r="P990" s="472"/>
      <c r="Q990" s="472"/>
      <c r="R990" s="472"/>
      <c r="S990" s="472"/>
      <c r="T990" s="472"/>
      <c r="U990" s="472"/>
      <c r="V990" s="472"/>
      <c r="W990" s="472"/>
      <c r="X990" s="472"/>
      <c r="Y990" s="472"/>
      <c r="Z990" s="472"/>
      <c r="AA990" s="472"/>
    </row>
    <row r="991">
      <c r="A991" s="472"/>
      <c r="B991" s="472"/>
      <c r="C991" s="472"/>
      <c r="D991" s="472"/>
      <c r="E991" s="472"/>
      <c r="F991" s="472"/>
      <c r="G991" s="472"/>
      <c r="H991" s="472"/>
      <c r="I991" s="472"/>
      <c r="J991" s="472"/>
      <c r="K991" s="472"/>
      <c r="L991" s="472"/>
      <c r="M991" s="472"/>
      <c r="N991" s="472"/>
      <c r="O991" s="472"/>
      <c r="P991" s="472"/>
      <c r="Q991" s="472"/>
      <c r="R991" s="472"/>
      <c r="S991" s="472"/>
      <c r="T991" s="472"/>
      <c r="U991" s="472"/>
      <c r="V991" s="472"/>
      <c r="W991" s="472"/>
      <c r="X991" s="472"/>
      <c r="Y991" s="472"/>
      <c r="Z991" s="472"/>
      <c r="AA991" s="472"/>
    </row>
    <row r="992">
      <c r="A992" s="472"/>
      <c r="B992" s="472"/>
      <c r="C992" s="472"/>
      <c r="D992" s="472"/>
      <c r="E992" s="472"/>
      <c r="F992" s="472"/>
      <c r="G992" s="472"/>
      <c r="H992" s="472"/>
      <c r="I992" s="472"/>
      <c r="J992" s="472"/>
      <c r="K992" s="472"/>
      <c r="L992" s="472"/>
      <c r="M992" s="472"/>
      <c r="N992" s="472"/>
      <c r="O992" s="472"/>
      <c r="P992" s="472"/>
      <c r="Q992" s="472"/>
      <c r="R992" s="472"/>
      <c r="S992" s="472"/>
      <c r="T992" s="472"/>
      <c r="U992" s="472"/>
      <c r="V992" s="472"/>
      <c r="W992" s="472"/>
      <c r="X992" s="472"/>
      <c r="Y992" s="472"/>
      <c r="Z992" s="472"/>
      <c r="AA992" s="472"/>
    </row>
    <row r="993">
      <c r="A993" s="472"/>
      <c r="B993" s="472"/>
      <c r="C993" s="472"/>
      <c r="D993" s="472"/>
      <c r="E993" s="472"/>
      <c r="F993" s="472"/>
      <c r="G993" s="472"/>
      <c r="H993" s="472"/>
      <c r="I993" s="472"/>
      <c r="J993" s="472"/>
      <c r="K993" s="472"/>
      <c r="L993" s="472"/>
      <c r="M993" s="472"/>
      <c r="N993" s="472"/>
      <c r="O993" s="472"/>
      <c r="P993" s="472"/>
      <c r="Q993" s="472"/>
      <c r="R993" s="472"/>
      <c r="S993" s="472"/>
      <c r="T993" s="472"/>
      <c r="U993" s="472"/>
      <c r="V993" s="472"/>
      <c r="W993" s="472"/>
      <c r="X993" s="472"/>
      <c r="Y993" s="472"/>
      <c r="Z993" s="472"/>
      <c r="AA993" s="472"/>
    </row>
    <row r="994">
      <c r="A994" s="472"/>
      <c r="B994" s="472"/>
      <c r="C994" s="472"/>
      <c r="D994" s="472"/>
      <c r="E994" s="472"/>
      <c r="F994" s="472"/>
      <c r="G994" s="472"/>
      <c r="H994" s="472"/>
      <c r="I994" s="472"/>
      <c r="J994" s="472"/>
      <c r="K994" s="472"/>
      <c r="L994" s="472"/>
      <c r="M994" s="472"/>
      <c r="N994" s="472"/>
      <c r="O994" s="472"/>
      <c r="P994" s="472"/>
      <c r="Q994" s="472"/>
      <c r="R994" s="472"/>
      <c r="S994" s="472"/>
      <c r="T994" s="472"/>
      <c r="U994" s="472"/>
      <c r="V994" s="472"/>
      <c r="W994" s="472"/>
      <c r="X994" s="472"/>
      <c r="Y994" s="472"/>
      <c r="Z994" s="472"/>
      <c r="AA994" s="472"/>
    </row>
    <row r="995">
      <c r="A995" s="472"/>
      <c r="B995" s="472"/>
      <c r="C995" s="472"/>
      <c r="D995" s="472"/>
      <c r="E995" s="472"/>
      <c r="F995" s="472"/>
      <c r="G995" s="472"/>
      <c r="H995" s="472"/>
      <c r="I995" s="472"/>
      <c r="J995" s="472"/>
      <c r="K995" s="472"/>
      <c r="L995" s="472"/>
      <c r="M995" s="472"/>
      <c r="N995" s="472"/>
      <c r="O995" s="472"/>
      <c r="P995" s="472"/>
      <c r="Q995" s="472"/>
      <c r="R995" s="472"/>
      <c r="S995" s="472"/>
      <c r="T995" s="472"/>
      <c r="U995" s="472"/>
      <c r="V995" s="472"/>
      <c r="W995" s="472"/>
      <c r="X995" s="472"/>
      <c r="Y995" s="472"/>
      <c r="Z995" s="472"/>
      <c r="AA995" s="472"/>
    </row>
    <row r="996">
      <c r="A996" s="472"/>
      <c r="B996" s="472"/>
      <c r="C996" s="472"/>
      <c r="D996" s="472"/>
      <c r="E996" s="472"/>
      <c r="F996" s="472"/>
      <c r="G996" s="472"/>
      <c r="H996" s="472"/>
      <c r="I996" s="472"/>
      <c r="J996" s="472"/>
      <c r="K996" s="472"/>
      <c r="L996" s="472"/>
      <c r="M996" s="472"/>
      <c r="N996" s="472"/>
      <c r="O996" s="472"/>
      <c r="P996" s="472"/>
      <c r="Q996" s="472"/>
      <c r="R996" s="472"/>
      <c r="S996" s="472"/>
      <c r="T996" s="472"/>
      <c r="U996" s="472"/>
      <c r="V996" s="472"/>
      <c r="W996" s="472"/>
      <c r="X996" s="472"/>
      <c r="Y996" s="472"/>
      <c r="Z996" s="472"/>
      <c r="AA996" s="472"/>
    </row>
    <row r="997">
      <c r="A997" s="472"/>
      <c r="B997" s="472"/>
      <c r="C997" s="472"/>
      <c r="D997" s="472"/>
      <c r="E997" s="472"/>
      <c r="F997" s="472"/>
      <c r="G997" s="472"/>
      <c r="H997" s="472"/>
      <c r="I997" s="472"/>
      <c r="J997" s="472"/>
      <c r="K997" s="472"/>
      <c r="L997" s="472"/>
      <c r="M997" s="472"/>
      <c r="N997" s="472"/>
      <c r="O997" s="472"/>
      <c r="P997" s="472"/>
      <c r="Q997" s="472"/>
      <c r="R997" s="472"/>
      <c r="S997" s="472"/>
      <c r="T997" s="472"/>
      <c r="U997" s="472"/>
      <c r="V997" s="472"/>
      <c r="W997" s="472"/>
      <c r="X997" s="472"/>
      <c r="Y997" s="472"/>
      <c r="Z997" s="472"/>
      <c r="AA997" s="472"/>
    </row>
  </sheetData>
  <mergeCells count="77">
    <mergeCell ref="A573:F573"/>
    <mergeCell ref="A577:F577"/>
    <mergeCell ref="A585:F585"/>
    <mergeCell ref="A589:F589"/>
    <mergeCell ref="A594:F594"/>
    <mergeCell ref="A602:F602"/>
    <mergeCell ref="A613:F613"/>
    <mergeCell ref="A623:F623"/>
    <mergeCell ref="A627:F627"/>
    <mergeCell ref="A635:F635"/>
    <mergeCell ref="A642:F642"/>
    <mergeCell ref="A649:F649"/>
    <mergeCell ref="A661:F661"/>
    <mergeCell ref="A662:F662"/>
    <mergeCell ref="A850:F850"/>
    <mergeCell ref="A856:F856"/>
    <mergeCell ref="A862:F862"/>
    <mergeCell ref="A869:F869"/>
    <mergeCell ref="A873:F873"/>
    <mergeCell ref="A877:F877"/>
    <mergeCell ref="A880:F880"/>
    <mergeCell ref="A806:F806"/>
    <mergeCell ref="A813:F813"/>
    <mergeCell ref="A818:F818"/>
    <mergeCell ref="A832:F832"/>
    <mergeCell ref="A835:F835"/>
    <mergeCell ref="A844:F844"/>
    <mergeCell ref="A847:F847"/>
    <mergeCell ref="A1:F1"/>
    <mergeCell ref="I1:P1"/>
    <mergeCell ref="A2:F2"/>
    <mergeCell ref="A3:F3"/>
    <mergeCell ref="A7:F7"/>
    <mergeCell ref="A11:F11"/>
    <mergeCell ref="A14:F14"/>
    <mergeCell ref="A19:F19"/>
    <mergeCell ref="A20:F20"/>
    <mergeCell ref="A48:F48"/>
    <mergeCell ref="A91:F91"/>
    <mergeCell ref="A110:F110"/>
    <mergeCell ref="A138:F138"/>
    <mergeCell ref="A143:F143"/>
    <mergeCell ref="A179:F179"/>
    <mergeCell ref="A187:F187"/>
    <mergeCell ref="A193:F193"/>
    <mergeCell ref="A209:F209"/>
    <mergeCell ref="A215:F215"/>
    <mergeCell ref="A223:F223"/>
    <mergeCell ref="A230:F230"/>
    <mergeCell ref="A239:F239"/>
    <mergeCell ref="A244:F244"/>
    <mergeCell ref="A251:F251"/>
    <mergeCell ref="A257:F257"/>
    <mergeCell ref="A266:F266"/>
    <mergeCell ref="A269:F269"/>
    <mergeCell ref="A273:F273"/>
    <mergeCell ref="A276:F276"/>
    <mergeCell ref="A279:F279"/>
    <mergeCell ref="A283:F283"/>
    <mergeCell ref="A284:F284"/>
    <mergeCell ref="A318:F318"/>
    <mergeCell ref="A375:F375"/>
    <mergeCell ref="A415:F415"/>
    <mergeCell ref="A451:F451"/>
    <mergeCell ref="A458:F458"/>
    <mergeCell ref="A513:F513"/>
    <mergeCell ref="A523:F523"/>
    <mergeCell ref="A529:F529"/>
    <mergeCell ref="A544:F544"/>
    <mergeCell ref="A555:F555"/>
    <mergeCell ref="A684:F684"/>
    <mergeCell ref="A714:F714"/>
    <mergeCell ref="A730:F730"/>
    <mergeCell ref="A756:F756"/>
    <mergeCell ref="A761:F761"/>
    <mergeCell ref="A797:F797"/>
    <mergeCell ref="A802:F802"/>
  </mergeCells>
  <conditionalFormatting sqref="D1:E997 F21:F47 F92:F109 F195:F208 F285:F317 F376:F414 F459:F512 F531:F543 F546:F554 F663:F683 F762:F796 F851:F855">
    <cfRule type="cellIs" dxfId="7" priority="1" operator="equal">
      <formula>"SIM"</formula>
    </cfRule>
  </conditionalFormatting>
  <conditionalFormatting sqref="N23">
    <cfRule type="notContainsBlanks" dxfId="29" priority="2">
      <formula>LEN(TRIM(N23))&gt;0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38.5"/>
    <col customWidth="1" min="6" max="6" width="9.13"/>
  </cols>
  <sheetData>
    <row r="1" ht="20.25" customHeight="1">
      <c r="A1" s="505" t="s">
        <v>1253</v>
      </c>
      <c r="B1" s="506"/>
      <c r="C1" s="506"/>
      <c r="D1" s="507" t="s">
        <v>1254</v>
      </c>
      <c r="E1" s="506"/>
      <c r="F1" s="506"/>
      <c r="G1" s="508" t="s">
        <v>1255</v>
      </c>
      <c r="H1" s="506"/>
      <c r="I1" s="506"/>
      <c r="J1" s="506"/>
      <c r="K1" s="506"/>
      <c r="L1" s="506"/>
      <c r="M1" s="506"/>
      <c r="N1" s="506"/>
      <c r="O1" s="506"/>
      <c r="P1" s="506"/>
      <c r="Q1" s="506"/>
      <c r="R1" s="506"/>
      <c r="S1" s="506"/>
      <c r="T1" s="506"/>
      <c r="U1" s="506"/>
      <c r="V1" s="4"/>
      <c r="W1" s="4"/>
      <c r="X1" s="509"/>
      <c r="Y1" s="510" t="s">
        <v>123</v>
      </c>
    </row>
    <row r="2">
      <c r="A2" s="511" t="s">
        <v>151</v>
      </c>
      <c r="B2" s="512" t="s">
        <v>170</v>
      </c>
      <c r="C2" s="512" t="s">
        <v>167</v>
      </c>
      <c r="D2" s="512" t="s">
        <v>168</v>
      </c>
      <c r="E2" s="513" t="s">
        <v>169</v>
      </c>
      <c r="F2" s="514"/>
      <c r="G2" s="514" t="s">
        <v>1256</v>
      </c>
      <c r="H2" s="514" t="s">
        <v>1257</v>
      </c>
      <c r="I2" s="514" t="s">
        <v>1258</v>
      </c>
      <c r="J2" s="514" t="s">
        <v>1259</v>
      </c>
      <c r="K2" s="514" t="s">
        <v>1260</v>
      </c>
      <c r="L2" s="514" t="s">
        <v>1261</v>
      </c>
      <c r="M2" s="514" t="s">
        <v>1262</v>
      </c>
      <c r="N2" s="514" t="s">
        <v>1263</v>
      </c>
      <c r="O2" s="514" t="s">
        <v>1264</v>
      </c>
      <c r="P2" s="514" t="s">
        <v>1265</v>
      </c>
      <c r="Q2" s="514" t="s">
        <v>1266</v>
      </c>
      <c r="R2" s="514" t="s">
        <v>1267</v>
      </c>
      <c r="S2" s="514" t="s">
        <v>1268</v>
      </c>
      <c r="T2" s="514" t="s">
        <v>1269</v>
      </c>
      <c r="U2" s="514" t="s">
        <v>1270</v>
      </c>
      <c r="V2" s="4"/>
      <c r="W2" s="4"/>
      <c r="X2" s="4"/>
      <c r="Y2" s="515" t="s">
        <v>125</v>
      </c>
    </row>
    <row r="3">
      <c r="A3" s="516" t="s">
        <v>4</v>
      </c>
      <c r="B3" s="517">
        <f t="shared" ref="B3:B14" si="1">SUM(G3:U3)</f>
        <v>146</v>
      </c>
      <c r="C3" s="127">
        <v>0.0</v>
      </c>
      <c r="D3" s="127">
        <v>33.0</v>
      </c>
      <c r="E3" s="518">
        <v>113.0</v>
      </c>
      <c r="F3" s="517"/>
      <c r="G3" s="517">
        <f>IFERROR(__xludf.DUMMYFUNCTION("SUM(IMPORTRANGE(Y3, ""ENTREGAS E INDICADORES!m19:x19""))"),0.0)</f>
        <v>0</v>
      </c>
      <c r="H3" s="517">
        <f>IFERROR(__xludf.DUMMYFUNCTION("SUM(IMPORTRANGE(Y3, ""ENTREGAS E INDICADORES!M20:x20""))"),0.0)</f>
        <v>0</v>
      </c>
      <c r="I3" s="517">
        <f>IFERROR(__xludf.DUMMYFUNCTION("SUM(IMPORTRANGE(Y3, ""ENTREGAS E INDICADORES!M21:x21""))"),146.0)</f>
        <v>146</v>
      </c>
      <c r="J3" s="517">
        <f>IFERROR(__xludf.DUMMYFUNCTION("SUM(IMPORTRANGE(Y3, ""ENTREGAS E INDICADORES!M22:x22""))"),0.0)</f>
        <v>0</v>
      </c>
      <c r="K3" s="517">
        <f>IFERROR(__xludf.DUMMYFUNCTION("SUM(IMPORTRANGE(Y3, ""ENTREGAS E INDICADORES!M23:x23""))"),0.0)</f>
        <v>0</v>
      </c>
      <c r="L3" s="517">
        <f>IFERROR(__xludf.DUMMYFUNCTION("SUM(IMPORTRANGE(Y3, ""ENTREGAS E INDICADORES!M24:x24""))"),0.0)</f>
        <v>0</v>
      </c>
      <c r="M3" s="517">
        <f>IFERROR(__xludf.DUMMYFUNCTION("SUM(IMPORTRANGE(Y3, ""ENTREGAS E INDICADORES!M25:x25""))"),0.0)</f>
        <v>0</v>
      </c>
      <c r="N3" s="517">
        <f>IFERROR(__xludf.DUMMYFUNCTION("SUM(IMPORTRANGE(Y3, ""ENTREGAS E INDICADORES!M26:x26""))"),0.0)</f>
        <v>0</v>
      </c>
      <c r="O3" s="517">
        <f>IFERROR(__xludf.DUMMYFUNCTION("SUM(IMPORTRANGE(Y3, ""ENTREGAS E INDICADORES!M27:x27""))"),0.0)</f>
        <v>0</v>
      </c>
      <c r="P3" s="517">
        <f>IFERROR(__xludf.DUMMYFUNCTION("SUM(IMPORTRANGE(Y3, ""ENTREGAS E INDICADORES!M28:x28""))"),0.0)</f>
        <v>0</v>
      </c>
      <c r="Q3" s="517">
        <f>IFERROR(__xludf.DUMMYFUNCTION("SUM(IMPORTRANGE(Y3, ""ENTREGAS E INDICADORES!M29:x29""))"),0.0)</f>
        <v>0</v>
      </c>
      <c r="R3" s="517">
        <f>IFERROR(__xludf.DUMMYFUNCTION("SUM(IMPORTRANGE(Y3, ""ENTREGAS E INDICADORES!M30:x30""))"),0.0)</f>
        <v>0</v>
      </c>
      <c r="S3" s="517">
        <f>IFERROR(__xludf.DUMMYFUNCTION("SUM(IMPORTRANGE(Y3, ""ENTREGAS E INDICADORES!M31:x31""))"),0.0)</f>
        <v>0</v>
      </c>
      <c r="T3" s="517">
        <f>IFERROR(__xludf.DUMMYFUNCTION("SUM(IMPORTRANGE(Y3, ""ENTREGAS E INDICADORES!M32:x32""
))"),0.0)</f>
        <v>0</v>
      </c>
      <c r="U3" s="517">
        <f>IFERROR(__xludf.DUMMYFUNCTION("SUM(IMPORTRANGE(Y3, ""ENTREGAS E INDICADORES!M33:x33""))"),0.0)</f>
        <v>0</v>
      </c>
      <c r="V3" s="4"/>
      <c r="W3" s="4"/>
      <c r="X3" s="4"/>
      <c r="Y3" s="519" t="s">
        <v>1271</v>
      </c>
    </row>
    <row r="4">
      <c r="A4" s="516" t="s">
        <v>5</v>
      </c>
      <c r="B4" s="517">
        <f t="shared" si="1"/>
        <v>54</v>
      </c>
      <c r="C4" s="127">
        <v>0.0</v>
      </c>
      <c r="D4" s="127">
        <v>54.0</v>
      </c>
      <c r="E4" s="518">
        <v>0.0</v>
      </c>
      <c r="F4" s="517"/>
      <c r="G4" s="517">
        <f>IFERROR(__xludf.DUMMYFUNCTION("SUM(IMPORTRANGE(Y4, ""ENTREGAS E INDICADORES!m19:x19""))"),0.0)</f>
        <v>0</v>
      </c>
      <c r="H4" s="517">
        <f>IFERROR(__xludf.DUMMYFUNCTION("SUM(IMPORTRANGE(Y4, ""ENTREGAS E INDICADORES!M20:x20""))"),0.0)</f>
        <v>0</v>
      </c>
      <c r="I4" s="517">
        <f>IFERROR(__xludf.DUMMYFUNCTION("SUM(IMPORTRANGE(Y4, ""ENTREGAS E INDICADORES!M21:x21""))"),54.0)</f>
        <v>54</v>
      </c>
      <c r="J4" s="517">
        <f>IFERROR(__xludf.DUMMYFUNCTION("SUM(IMPORTRANGE(Y4, ""ENTREGAS E INDICADORES!M22:x22""))"),0.0)</f>
        <v>0</v>
      </c>
      <c r="K4" s="517">
        <f>IFERROR(__xludf.DUMMYFUNCTION("SUM(IMPORTRANGE(Y4, ""ENTREGAS E INDICADORES!M23:x23""))"),0.0)</f>
        <v>0</v>
      </c>
      <c r="L4" s="517">
        <f>IFERROR(__xludf.DUMMYFUNCTION("SUM(IMPORTRANGE(Y4, ""ENTREGAS E INDICADORES!M24:x24""))"),0.0)</f>
        <v>0</v>
      </c>
      <c r="M4" s="517">
        <f>IFERROR(__xludf.DUMMYFUNCTION("SUM(IMPORTRANGE(Y4, ""ENTREGAS E INDICADORES!M25:x25""))"),0.0)</f>
        <v>0</v>
      </c>
      <c r="N4" s="517">
        <f>IFERROR(__xludf.DUMMYFUNCTION("SUM(IMPORTRANGE(Y4, ""ENTREGAS E INDICADORES!M26:x26""))"),0.0)</f>
        <v>0</v>
      </c>
      <c r="O4" s="517">
        <f>IFERROR(__xludf.DUMMYFUNCTION("SUM(IMPORTRANGE(Y4, ""ENTREGAS E INDICADORES!M27:x27""))"),0.0)</f>
        <v>0</v>
      </c>
      <c r="P4" s="517">
        <f>IFERROR(__xludf.DUMMYFUNCTION("SUM(IMPORTRANGE(Y4, ""ENTREGAS E INDICADORES!M28:x28""))"),0.0)</f>
        <v>0</v>
      </c>
      <c r="Q4" s="517">
        <f>IFERROR(__xludf.DUMMYFUNCTION("SUM(IMPORTRANGE(Y4, ""ENTREGAS E INDICADORES!M29:x29""))"),0.0)</f>
        <v>0</v>
      </c>
      <c r="R4" s="517">
        <f>IFERROR(__xludf.DUMMYFUNCTION("SUM(IMPORTRANGE(Y4, ""ENTREGAS E INDICADORES!M30:x30""))"),0.0)</f>
        <v>0</v>
      </c>
      <c r="S4" s="517">
        <f>IFERROR(__xludf.DUMMYFUNCTION("SUM(IMPORTRANGE(Y4, ""ENTREGAS E INDICADORES!M31:x31""))"),0.0)</f>
        <v>0</v>
      </c>
      <c r="T4" s="517">
        <f>IFERROR(__xludf.DUMMYFUNCTION("SUM(IMPORTRANGE(Y4, ""ENTREGAS E INDICADORES!M32:x32""
))"),0.0)</f>
        <v>0</v>
      </c>
      <c r="U4" s="517">
        <f>IFERROR(__xludf.DUMMYFUNCTION("SUM(IMPORTRANGE(Y4, ""ENTREGAS E INDICADORES!M33:x33""))"),0.0)</f>
        <v>0</v>
      </c>
      <c r="V4" s="4"/>
      <c r="W4" s="4"/>
      <c r="X4" s="4"/>
      <c r="Y4" s="519" t="s">
        <v>1272</v>
      </c>
    </row>
    <row r="5">
      <c r="A5" s="516" t="s">
        <v>1</v>
      </c>
      <c r="B5" s="517">
        <f t="shared" si="1"/>
        <v>199</v>
      </c>
      <c r="C5" s="127">
        <v>20.0</v>
      </c>
      <c r="D5" s="127">
        <v>125.0</v>
      </c>
      <c r="E5" s="518">
        <v>54.0</v>
      </c>
      <c r="F5" s="517"/>
      <c r="G5" s="517">
        <f>IFERROR(__xludf.DUMMYFUNCTION("SUM(IMPORTRANGE(Y5, ""ENTREGAS E INDICADORES!m19:x19""))"),20.0)</f>
        <v>20</v>
      </c>
      <c r="H5" s="517">
        <f>IFERROR(__xludf.DUMMYFUNCTION("SUM(IMPORTRANGE(Y5, ""ENTREGAS E INDICADORES!M20:x20""))"),0.0)</f>
        <v>0</v>
      </c>
      <c r="I5" s="517">
        <f>IFERROR(__xludf.DUMMYFUNCTION("SUM(IMPORTRANGE(Y5, ""ENTREGAS E INDICADORES!M21:x21""))"),125.0)</f>
        <v>125</v>
      </c>
      <c r="J5" s="517">
        <f>IFERROR(__xludf.DUMMYFUNCTION("SUM(IMPORTRANGE(Y5, ""ENTREGAS E INDICADORES!M22:x22""))"),0.0)</f>
        <v>0</v>
      </c>
      <c r="K5" s="517">
        <f>IFERROR(__xludf.DUMMYFUNCTION("SUM(IMPORTRANGE(Y5, ""ENTREGAS E INDICADORES!M23:x23""))"),0.0)</f>
        <v>0</v>
      </c>
      <c r="L5" s="517">
        <f>IFERROR(__xludf.DUMMYFUNCTION("SUM(IMPORTRANGE(Y5, ""ENTREGAS E INDICADORES!M24:x24""))"),0.0)</f>
        <v>0</v>
      </c>
      <c r="M5" s="517">
        <f>IFERROR(__xludf.DUMMYFUNCTION("SUM(IMPORTRANGE(Y5, ""ENTREGAS E INDICADORES!M25:x25""))"),0.0)</f>
        <v>0</v>
      </c>
      <c r="N5" s="517">
        <f>IFERROR(__xludf.DUMMYFUNCTION("SUM(IMPORTRANGE(Y5, ""ENTREGAS E INDICADORES!M26:x26""))"),0.0)</f>
        <v>0</v>
      </c>
      <c r="O5" s="517">
        <f>IFERROR(__xludf.DUMMYFUNCTION("SUM(IMPORTRANGE(Y5, ""ENTREGAS E INDICADORES!M27:x27""))"),0.0)</f>
        <v>0</v>
      </c>
      <c r="P5" s="517">
        <f>IFERROR(__xludf.DUMMYFUNCTION("SUM(IMPORTRANGE(Y5, ""ENTREGAS E INDICADORES!M28:x28""))"),0.0)</f>
        <v>0</v>
      </c>
      <c r="Q5" s="517">
        <f>IFERROR(__xludf.DUMMYFUNCTION("SUM(IMPORTRANGE(Y5, ""ENTREGAS E INDICADORES!M29:x29""))"),24.0)</f>
        <v>24</v>
      </c>
      <c r="R5" s="517">
        <f>IFERROR(__xludf.DUMMYFUNCTION("SUM(IMPORTRANGE(Y5, ""ENTREGAS E INDICADORES!M30:x30""))"),0.0)</f>
        <v>0</v>
      </c>
      <c r="S5" s="517">
        <f>IFERROR(__xludf.DUMMYFUNCTION("SUM(IMPORTRANGE(Y5, ""ENTREGAS E INDICADORES!M31:x31""))"),16.0)</f>
        <v>16</v>
      </c>
      <c r="T5" s="517">
        <f>IFERROR(__xludf.DUMMYFUNCTION("SUM(IMPORTRANGE(Y5, ""ENTREGAS E INDICADORES!M32:x32""
))"),14.0)</f>
        <v>14</v>
      </c>
      <c r="U5" s="517">
        <f>IFERROR(__xludf.DUMMYFUNCTION("SUM(IMPORTRANGE(Y5, ""ENTREGAS E INDICADORES!M33:x33""))"),0.0)</f>
        <v>0</v>
      </c>
      <c r="V5" s="4"/>
      <c r="W5" s="4"/>
      <c r="X5" s="4"/>
      <c r="Y5" s="519" t="s">
        <v>1273</v>
      </c>
    </row>
    <row r="6">
      <c r="A6" s="516" t="s">
        <v>2</v>
      </c>
      <c r="B6" s="517">
        <f t="shared" si="1"/>
        <v>46</v>
      </c>
      <c r="C6" s="127">
        <v>0.0</v>
      </c>
      <c r="D6" s="127">
        <v>46.0</v>
      </c>
      <c r="E6" s="518"/>
      <c r="F6" s="517"/>
      <c r="G6" s="517">
        <f>IFERROR(__xludf.DUMMYFUNCTION("SUM(IMPORTRANGE(Y6, ""ENTREGAS E INDICADORES!m19:x19""))"),26.0)</f>
        <v>26</v>
      </c>
      <c r="H6" s="517">
        <f>IFERROR(__xludf.DUMMYFUNCTION("SUM(IMPORTRANGE(Y6, ""ENTREGAS E INDICADORES!M20:x20""))"),0.0)</f>
        <v>0</v>
      </c>
      <c r="I6" s="517">
        <f>IFERROR(__xludf.DUMMYFUNCTION("SUM(IMPORTRANGE(Y6, ""ENTREGAS E INDICADORES!M21:x21""))"),0.0)</f>
        <v>0</v>
      </c>
      <c r="J6" s="517">
        <f>IFERROR(__xludf.DUMMYFUNCTION("SUM(IMPORTRANGE(Y6, ""ENTREGAS E INDICADORES!M22:x22""))"),0.0)</f>
        <v>0</v>
      </c>
      <c r="K6" s="517">
        <f>IFERROR(__xludf.DUMMYFUNCTION("SUM(IMPORTRANGE(Y6, ""ENTREGAS E INDICADORES!M23:x23""))"),0.0)</f>
        <v>0</v>
      </c>
      <c r="L6" s="517">
        <f>IFERROR(__xludf.DUMMYFUNCTION("SUM(IMPORTRANGE(Y6, ""ENTREGAS E INDICADORES!M24:x24""))"),0.0)</f>
        <v>0</v>
      </c>
      <c r="M6" s="517">
        <f>IFERROR(__xludf.DUMMYFUNCTION("SUM(IMPORTRANGE(Y6, ""ENTREGAS E INDICADORES!M25:x25""))"),0.0)</f>
        <v>0</v>
      </c>
      <c r="N6" s="517">
        <f>IFERROR(__xludf.DUMMYFUNCTION("SUM(IMPORTRANGE(Y6, ""ENTREGAS E INDICADORES!M26:x26""))"),0.0)</f>
        <v>0</v>
      </c>
      <c r="O6" s="517">
        <f>IFERROR(__xludf.DUMMYFUNCTION("SUM(IMPORTRANGE(Y6, ""ENTREGAS E INDICADORES!M27:x27""))"),20.0)</f>
        <v>20</v>
      </c>
      <c r="P6" s="517">
        <f>IFERROR(__xludf.DUMMYFUNCTION("SUM(IMPORTRANGE(Y6, ""ENTREGAS E INDICADORES!M28:x28""))"),0.0)</f>
        <v>0</v>
      </c>
      <c r="Q6" s="517">
        <f>IFERROR(__xludf.DUMMYFUNCTION("SUM(IMPORTRANGE(Y6, ""ENTREGAS E INDICADORES!M29:x29""))"),0.0)</f>
        <v>0</v>
      </c>
      <c r="R6" s="517">
        <f>IFERROR(__xludf.DUMMYFUNCTION("SUM(IMPORTRANGE(Y6, ""ENTREGAS E INDICADORES!M30:x30""))"),0.0)</f>
        <v>0</v>
      </c>
      <c r="S6" s="517">
        <f>IFERROR(__xludf.DUMMYFUNCTION("SUM(IMPORTRANGE(Y6, ""ENTREGAS E INDICADORES!M31:x31""))"),0.0)</f>
        <v>0</v>
      </c>
      <c r="T6" s="517">
        <f>IFERROR(__xludf.DUMMYFUNCTION("SUM(IMPORTRANGE(Y6, ""ENTREGAS E INDICADORES!M32:x32""
))"),0.0)</f>
        <v>0</v>
      </c>
      <c r="U6" s="517">
        <f>IFERROR(__xludf.DUMMYFUNCTION("SUM(IMPORTRANGE(Y6, ""ENTREGAS E INDICADORES!M33:x33""))"),0.0)</f>
        <v>0</v>
      </c>
      <c r="V6" s="4"/>
      <c r="W6" s="4"/>
      <c r="X6" s="4"/>
      <c r="Y6" s="519" t="s">
        <v>1274</v>
      </c>
    </row>
    <row r="7">
      <c r="A7" s="516" t="s">
        <v>0</v>
      </c>
      <c r="B7" s="517">
        <f t="shared" si="1"/>
        <v>428</v>
      </c>
      <c r="C7" s="127">
        <v>0.0</v>
      </c>
      <c r="D7" s="127">
        <v>35.0</v>
      </c>
      <c r="E7" s="518">
        <v>393.0</v>
      </c>
      <c r="F7" s="517"/>
      <c r="G7" s="517">
        <f>IFERROR(__xludf.DUMMYFUNCTION("SUM(IMPORTRANGE(Y7, ""ENTREGAS E INDICADORES!m19:x19""))"),69.0)</f>
        <v>69</v>
      </c>
      <c r="H7" s="517">
        <f>IFERROR(__xludf.DUMMYFUNCTION("SUM(IMPORTRANGE(Y7, ""ENTREGAS E INDICADORES!M20:x20""))"),0.0)</f>
        <v>0</v>
      </c>
      <c r="I7" s="517">
        <f>IFERROR(__xludf.DUMMYFUNCTION("SUM(IMPORTRANGE(Y7, ""ENTREGAS E INDICADORES!M21:x21""))"),239.0)</f>
        <v>239</v>
      </c>
      <c r="J7" s="517">
        <f>IFERROR(__xludf.DUMMYFUNCTION("SUM(IMPORTRANGE(Y7, ""ENTREGAS E INDICADORES!M22:x22""))"),0.0)</f>
        <v>0</v>
      </c>
      <c r="K7" s="517">
        <f>IFERROR(__xludf.DUMMYFUNCTION("SUM(IMPORTRANGE(Y7, ""ENTREGAS E INDICADORES!M23:x23""))"),0.0)</f>
        <v>0</v>
      </c>
      <c r="L7" s="517">
        <f>IFERROR(__xludf.DUMMYFUNCTION("SUM(IMPORTRANGE(Y7, ""ENTREGAS E INDICADORES!M24:x24""))"),0.0)</f>
        <v>0</v>
      </c>
      <c r="M7" s="517">
        <f>IFERROR(__xludf.DUMMYFUNCTION("SUM(IMPORTRANGE(Y7, ""ENTREGAS E INDICADORES!M25:x25""))"),0.0)</f>
        <v>0</v>
      </c>
      <c r="N7" s="517">
        <f>IFERROR(__xludf.DUMMYFUNCTION("SUM(IMPORTRANGE(Y7, ""ENTREGAS E INDICADORES!M26:x26""))"),0.0)</f>
        <v>0</v>
      </c>
      <c r="O7" s="517">
        <f>IFERROR(__xludf.DUMMYFUNCTION("SUM(IMPORTRANGE(Y7, ""ENTREGAS E INDICADORES!M27:x27""))"),0.0)</f>
        <v>0</v>
      </c>
      <c r="P7" s="517">
        <f>IFERROR(__xludf.DUMMYFUNCTION("SUM(IMPORTRANGE(Y7, ""ENTREGAS E INDICADORES!M28:x28""))"),0.0)</f>
        <v>0</v>
      </c>
      <c r="Q7" s="517">
        <f>IFERROR(__xludf.DUMMYFUNCTION("SUM(IMPORTRANGE(Y7, ""ENTREGAS E INDICADORES!M29:x29""))"),25.0)</f>
        <v>25</v>
      </c>
      <c r="R7" s="517">
        <f>IFERROR(__xludf.DUMMYFUNCTION("SUM(IMPORTRANGE(Y7, ""ENTREGAS E INDICADORES!M30:x30""))"),0.0)</f>
        <v>0</v>
      </c>
      <c r="S7" s="517">
        <f>IFERROR(__xludf.DUMMYFUNCTION("SUM(IMPORTRANGE(Y7, ""ENTREGAS E INDICADORES!M31:x31""))"),0.0)</f>
        <v>0</v>
      </c>
      <c r="T7" s="517">
        <f>IFERROR(__xludf.DUMMYFUNCTION("SUM(IMPORTRANGE(Y7, ""ENTREGAS E INDICADORES!M32:x32""
))"),95.0)</f>
        <v>95</v>
      </c>
      <c r="U7" s="517">
        <f>IFERROR(__xludf.DUMMYFUNCTION("SUM(IMPORTRANGE(Y7, ""ENTREGAS E INDICADORES!M33:x33""))"),0.0)</f>
        <v>0</v>
      </c>
      <c r="V7" s="4"/>
      <c r="W7" s="4"/>
      <c r="X7" s="4"/>
      <c r="Y7" s="519" t="s">
        <v>1275</v>
      </c>
    </row>
    <row r="8">
      <c r="A8" s="213" t="s">
        <v>1276</v>
      </c>
      <c r="B8" s="517">
        <f t="shared" si="1"/>
        <v>218</v>
      </c>
      <c r="C8" s="127">
        <v>0.0</v>
      </c>
      <c r="D8" s="127">
        <v>108.0</v>
      </c>
      <c r="E8" s="518">
        <v>110.0</v>
      </c>
      <c r="F8" s="517"/>
      <c r="G8" s="517">
        <f>IFERROR(__xludf.DUMMYFUNCTION("SUM(IMPORTRANGE(Y8, ""ENTREGAS E INDICADORES!m19:x19""))"),15.0)</f>
        <v>15</v>
      </c>
      <c r="H8" s="517">
        <f>IFERROR(__xludf.DUMMYFUNCTION("SUM(IMPORTRANGE(Y8, ""ENTREGAS E INDICADORES!M20:x20""))"),0.0)</f>
        <v>0</v>
      </c>
      <c r="I8" s="517">
        <f>IFERROR(__xludf.DUMMYFUNCTION("SUM(IMPORTRANGE(Y8, ""ENTREGAS E INDICADORES!M21:x21""))"),113.0)</f>
        <v>113</v>
      </c>
      <c r="J8" s="517">
        <f>IFERROR(__xludf.DUMMYFUNCTION("SUM(IMPORTRANGE(Y8, ""ENTREGAS E INDICADORES!M22:x22""))"),0.0)</f>
        <v>0</v>
      </c>
      <c r="K8" s="517">
        <f>IFERROR(__xludf.DUMMYFUNCTION("SUM(IMPORTRANGE(Y8, ""ENTREGAS E INDICADORES!M23:x23""))"),0.0)</f>
        <v>0</v>
      </c>
      <c r="L8" s="517">
        <f>IFERROR(__xludf.DUMMYFUNCTION("SUM(IMPORTRANGE(Y8, ""ENTREGAS E INDICADORES!M24:x24""))"),0.0)</f>
        <v>0</v>
      </c>
      <c r="M8" s="517">
        <f>IFERROR(__xludf.DUMMYFUNCTION("SUM(IMPORTRANGE(Y8, ""ENTREGAS E INDICADORES!M25:x25""))"),0.0)</f>
        <v>0</v>
      </c>
      <c r="N8" s="517">
        <f>IFERROR(__xludf.DUMMYFUNCTION("SUM(IMPORTRANGE(Y8, ""ENTREGAS E INDICADORES!M26:x26""))"),0.0)</f>
        <v>0</v>
      </c>
      <c r="O8" s="517">
        <f>IFERROR(__xludf.DUMMYFUNCTION("SUM(IMPORTRANGE(Y8, ""ENTREGAS E INDICADORES!M27:x27""))"),24.0)</f>
        <v>24</v>
      </c>
      <c r="P8" s="517">
        <f>IFERROR(__xludf.DUMMYFUNCTION("SUM(IMPORTRANGE(Y8, ""ENTREGAS E INDICADORES!M28:x28""))"),0.0)</f>
        <v>0</v>
      </c>
      <c r="Q8" s="517">
        <f>IFERROR(__xludf.DUMMYFUNCTION("SUM(IMPORTRANGE(Y8, ""ENTREGAS E INDICADORES!M29:x29""))"),66.0)</f>
        <v>66</v>
      </c>
      <c r="R8" s="517">
        <f>IFERROR(__xludf.DUMMYFUNCTION("SUM(IMPORTRANGE(Y8, ""ENTREGAS E INDICADORES!M30:x30""))"),0.0)</f>
        <v>0</v>
      </c>
      <c r="S8" s="517">
        <f>IFERROR(__xludf.DUMMYFUNCTION("SUM(IMPORTRANGE(Y8, ""ENTREGAS E INDICADORES!M31:x31""))"),0.0)</f>
        <v>0</v>
      </c>
      <c r="T8" s="517">
        <f>IFERROR(__xludf.DUMMYFUNCTION("SUM(IMPORTRANGE(Y8, ""ENTREGAS E INDICADORES!M32:x32""
))"),0.0)</f>
        <v>0</v>
      </c>
      <c r="U8" s="517">
        <f>IFERROR(__xludf.DUMMYFUNCTION("SUM(IMPORTRANGE(Y8, ""ENTREGAS E INDICADORES!M33:x33""))"),0.0)</f>
        <v>0</v>
      </c>
      <c r="V8" s="4"/>
      <c r="W8" s="4"/>
      <c r="X8" s="4"/>
      <c r="Y8" s="520" t="s">
        <v>1277</v>
      </c>
    </row>
    <row r="9">
      <c r="A9" s="516" t="s">
        <v>6</v>
      </c>
      <c r="B9" s="517">
        <f t="shared" si="1"/>
        <v>65</v>
      </c>
      <c r="C9" s="127">
        <v>0.0</v>
      </c>
      <c r="D9" s="127">
        <v>25.0</v>
      </c>
      <c r="E9" s="518">
        <v>40.0</v>
      </c>
      <c r="F9" s="517"/>
      <c r="G9" s="517">
        <f>IFERROR(__xludf.DUMMYFUNCTION("SUM(IMPORTRANGE(Y9, ""ENTREGAS E INDICADORES!m19:x19""))"),0.0)</f>
        <v>0</v>
      </c>
      <c r="H9" s="517">
        <f>IFERROR(__xludf.DUMMYFUNCTION("SUM(IMPORTRANGE(Y9, ""ENTREGAS E INDICADORES!M20:x20""))"),0.0)</f>
        <v>0</v>
      </c>
      <c r="I9" s="517">
        <f>IFERROR(__xludf.DUMMYFUNCTION("SUM(IMPORTRANGE(Y9, ""ENTREGAS E INDICADORES!M21:x21""))"),65.0)</f>
        <v>65</v>
      </c>
      <c r="J9" s="517">
        <f>IFERROR(__xludf.DUMMYFUNCTION("SUM(IMPORTRANGE(Y9, ""ENTREGAS E INDICADORES!M22:x22""))"),0.0)</f>
        <v>0</v>
      </c>
      <c r="K9" s="517">
        <f>IFERROR(__xludf.DUMMYFUNCTION("SUM(IMPORTRANGE(Y9, ""ENTREGAS E INDICADORES!M23:x23""))"),0.0)</f>
        <v>0</v>
      </c>
      <c r="L9" s="517">
        <f>IFERROR(__xludf.DUMMYFUNCTION("SUM(IMPORTRANGE(Y9, ""ENTREGAS E INDICADORES!M24:x24""))"),0.0)</f>
        <v>0</v>
      </c>
      <c r="M9" s="517">
        <f>IFERROR(__xludf.DUMMYFUNCTION("SUM(IMPORTRANGE(Y9, ""ENTREGAS E INDICADORES!M25:x25""))"),0.0)</f>
        <v>0</v>
      </c>
      <c r="N9" s="517">
        <f>IFERROR(__xludf.DUMMYFUNCTION("SUM(IMPORTRANGE(Y9, ""ENTREGAS E INDICADORES!M26:x26""))"),0.0)</f>
        <v>0</v>
      </c>
      <c r="O9" s="517">
        <f>IFERROR(__xludf.DUMMYFUNCTION("SUM(IMPORTRANGE(Y9, ""ENTREGAS E INDICADORES!M27:x27""))"),0.0)</f>
        <v>0</v>
      </c>
      <c r="P9" s="517">
        <f>IFERROR(__xludf.DUMMYFUNCTION("SUM(IMPORTRANGE(Y9, ""ENTREGAS E INDICADORES!M28:x28""))"),0.0)</f>
        <v>0</v>
      </c>
      <c r="Q9" s="517">
        <f>IFERROR(__xludf.DUMMYFUNCTION("SUM(IMPORTRANGE(Y9, ""ENTREGAS E INDICADORES!M29:x29""))"),0.0)</f>
        <v>0</v>
      </c>
      <c r="R9" s="517">
        <f>IFERROR(__xludf.DUMMYFUNCTION("SUM(IMPORTRANGE(Y9, ""ENTREGAS E INDICADORES!M30:x30""))"),0.0)</f>
        <v>0</v>
      </c>
      <c r="S9" s="517">
        <f>IFERROR(__xludf.DUMMYFUNCTION("SUM(IMPORTRANGE(Y9, ""ENTREGAS E INDICADORES!M31:x31""))"),0.0)</f>
        <v>0</v>
      </c>
      <c r="T9" s="517">
        <f>IFERROR(__xludf.DUMMYFUNCTION("SUM(IMPORTRANGE(Y9, ""ENTREGAS E INDICADORES!M32:x32""
))"),0.0)</f>
        <v>0</v>
      </c>
      <c r="U9" s="517">
        <f>IFERROR(__xludf.DUMMYFUNCTION("SUM(IMPORTRANGE(Y9, ""ENTREGAS E INDICADORES!M33:x33""))"),0.0)</f>
        <v>0</v>
      </c>
      <c r="V9" s="4"/>
      <c r="W9" s="4"/>
      <c r="X9" s="4"/>
      <c r="Y9" s="519" t="s">
        <v>1278</v>
      </c>
    </row>
    <row r="10">
      <c r="A10" s="516" t="s">
        <v>14</v>
      </c>
      <c r="B10" s="517">
        <f t="shared" si="1"/>
        <v>443</v>
      </c>
      <c r="C10" s="127">
        <v>0.0</v>
      </c>
      <c r="D10" s="127">
        <v>129.0</v>
      </c>
      <c r="E10" s="518">
        <v>314.0</v>
      </c>
      <c r="F10" s="517"/>
      <c r="G10" s="517">
        <f>IFERROR(__xludf.DUMMYFUNCTION("SUM(IMPORTRANGE(Y10, ""ENTREGAS E INDICADORES!m19:x19""))"),37.0)</f>
        <v>37</v>
      </c>
      <c r="H10" s="517">
        <f>IFERROR(__xludf.DUMMYFUNCTION("SUM(IMPORTRANGE(Y10, ""ENTREGAS E INDICADORES!M20:x20""))"),0.0)</f>
        <v>0</v>
      </c>
      <c r="I10" s="517">
        <f>IFERROR(__xludf.DUMMYFUNCTION("SUM(IMPORTRANGE(Y10, ""ENTREGAS E INDICADORES!M21:x21""))"),374.0)</f>
        <v>374</v>
      </c>
      <c r="J10" s="517">
        <f>IFERROR(__xludf.DUMMYFUNCTION("SUM(IMPORTRANGE(Y10, ""ENTREGAS E INDICADORES!M22:x22""))"),0.0)</f>
        <v>0</v>
      </c>
      <c r="K10" s="517">
        <f>IFERROR(__xludf.DUMMYFUNCTION("SUM(IMPORTRANGE(Y10, ""ENTREGAS E INDICADORES!M23:x23""))"),0.0)</f>
        <v>0</v>
      </c>
      <c r="L10" s="517">
        <f>IFERROR(__xludf.DUMMYFUNCTION("SUM(IMPORTRANGE(Y10, ""ENTREGAS E INDICADORES!M24:x24""))"),0.0)</f>
        <v>0</v>
      </c>
      <c r="M10" s="517">
        <f>IFERROR(__xludf.DUMMYFUNCTION("SUM(IMPORTRANGE(Y10, ""ENTREGAS E INDICADORES!M25:x25""))"),0.0)</f>
        <v>0</v>
      </c>
      <c r="N10" s="517">
        <f>IFERROR(__xludf.DUMMYFUNCTION("SUM(IMPORTRANGE(Y10, ""ENTREGAS E INDICADORES!M26:x26""))"),0.0)</f>
        <v>0</v>
      </c>
      <c r="O10" s="517">
        <f>IFERROR(__xludf.DUMMYFUNCTION("SUM(IMPORTRANGE(Y10, ""ENTREGAS E INDICADORES!M27:x27""))"),22.0)</f>
        <v>22</v>
      </c>
      <c r="P10" s="517">
        <f>IFERROR(__xludf.DUMMYFUNCTION("SUM(IMPORTRANGE(Y10, ""ENTREGAS E INDICADORES!M28:x28""))"),0.0)</f>
        <v>0</v>
      </c>
      <c r="Q10" s="517">
        <f>IFERROR(__xludf.DUMMYFUNCTION("SUM(IMPORTRANGE(Y10, ""ENTREGAS E INDICADORES!M29:x29""))"),10.0)</f>
        <v>10</v>
      </c>
      <c r="R10" s="517">
        <f>IFERROR(__xludf.DUMMYFUNCTION("SUM(IMPORTRANGE(Y10, ""ENTREGAS E INDICADORES!M30:x30""))"),0.0)</f>
        <v>0</v>
      </c>
      <c r="S10" s="517">
        <f>IFERROR(__xludf.DUMMYFUNCTION("SUM(IMPORTRANGE(Y10, ""ENTREGAS E INDICADORES!M31:x31""))"),0.0)</f>
        <v>0</v>
      </c>
      <c r="T10" s="517">
        <f>IFERROR(__xludf.DUMMYFUNCTION("SUM(IMPORTRANGE(Y10, ""ENTREGAS E INDICADORES!M32:x32""
))"),0.0)</f>
        <v>0</v>
      </c>
      <c r="U10" s="517">
        <f>IFERROR(__xludf.DUMMYFUNCTION("SUM(IMPORTRANGE(Y10, ""ENTREGAS E INDICADORES!M33:x33""))"),0.0)</f>
        <v>0</v>
      </c>
      <c r="V10" s="4"/>
      <c r="W10" s="4"/>
      <c r="X10" s="4"/>
      <c r="Y10" s="519" t="s">
        <v>1279</v>
      </c>
    </row>
    <row r="11">
      <c r="A11" s="213" t="s">
        <v>1014</v>
      </c>
      <c r="B11" s="517">
        <f t="shared" si="1"/>
        <v>165</v>
      </c>
      <c r="C11" s="127">
        <v>0.0</v>
      </c>
      <c r="D11" s="127">
        <v>5.0</v>
      </c>
      <c r="E11" s="518">
        <v>163.0</v>
      </c>
      <c r="F11" s="517"/>
      <c r="G11" s="517">
        <f>IFERROR(__xludf.DUMMYFUNCTION("SUM(IMPORTRANGE(Y11, ""ENTREGAS E INDICADORES!m19:x19""))"),0.0)</f>
        <v>0</v>
      </c>
      <c r="H11" s="517">
        <f>IFERROR(__xludf.DUMMYFUNCTION("SUM(IMPORTRANGE(Y11, ""ENTREGAS E INDICADORES!M20:x20""))"),0.0)</f>
        <v>0</v>
      </c>
      <c r="I11" s="517">
        <f>IFERROR(__xludf.DUMMYFUNCTION("SUM(IMPORTRANGE(Y11, ""ENTREGAS E INDICADORES!M21:x21""))"),165.0)</f>
        <v>165</v>
      </c>
      <c r="J11" s="517">
        <f>IFERROR(__xludf.DUMMYFUNCTION("SUM(IMPORTRANGE(Y11, ""ENTREGAS E INDICADORES!M22:x22""))"),0.0)</f>
        <v>0</v>
      </c>
      <c r="K11" s="517">
        <f>IFERROR(__xludf.DUMMYFUNCTION("SUM(IMPORTRANGE(Y11, ""ENTREGAS E INDICADORES!M23:x23""))"),0.0)</f>
        <v>0</v>
      </c>
      <c r="L11" s="517">
        <f>IFERROR(__xludf.DUMMYFUNCTION("SUM(IMPORTRANGE(Y11, ""ENTREGAS E INDICADORES!M24:x24""))"),0.0)</f>
        <v>0</v>
      </c>
      <c r="M11" s="517">
        <f>IFERROR(__xludf.DUMMYFUNCTION("SUM(IMPORTRANGE(Y11, ""ENTREGAS E INDICADORES!M25:x25""))"),0.0)</f>
        <v>0</v>
      </c>
      <c r="N11" s="517">
        <f>IFERROR(__xludf.DUMMYFUNCTION("SUM(IMPORTRANGE(Y11, ""ENTREGAS E INDICADORES!M26:x26""))"),0.0)</f>
        <v>0</v>
      </c>
      <c r="O11" s="517">
        <f>IFERROR(__xludf.DUMMYFUNCTION("SUM(IMPORTRANGE(Y11, ""ENTREGAS E INDICADORES!M27:x27""))"),0.0)</f>
        <v>0</v>
      </c>
      <c r="P11" s="517">
        <f>IFERROR(__xludf.DUMMYFUNCTION("SUM(IMPORTRANGE(Y11, ""ENTREGAS E INDICADORES!M28:x28""))"),0.0)</f>
        <v>0</v>
      </c>
      <c r="Q11" s="517">
        <f>IFERROR(__xludf.DUMMYFUNCTION("SUM(IMPORTRANGE(Y11, ""ENTREGAS E INDICADORES!M29:x29""))"),0.0)</f>
        <v>0</v>
      </c>
      <c r="R11" s="517">
        <f>IFERROR(__xludf.DUMMYFUNCTION("SUM(IMPORTRANGE(Y11, ""ENTREGAS E INDICADORES!M30:x30""))"),0.0)</f>
        <v>0</v>
      </c>
      <c r="S11" s="517">
        <f>IFERROR(__xludf.DUMMYFUNCTION("SUM(IMPORTRANGE(Y11, ""ENTREGAS E INDICADORES!M31:x31""))"),0.0)</f>
        <v>0</v>
      </c>
      <c r="T11" s="517">
        <f>IFERROR(__xludf.DUMMYFUNCTION("SUM(IMPORTRANGE(Y11, ""ENTREGAS E INDICADORES!M32:x32""
))"),0.0)</f>
        <v>0</v>
      </c>
      <c r="U11" s="517">
        <f>IFERROR(__xludf.DUMMYFUNCTION("SUM(IMPORTRANGE(Y11, ""ENTREGAS E INDICADORES!M33:x33""))"),0.0)</f>
        <v>0</v>
      </c>
      <c r="V11" s="4"/>
      <c r="W11" s="4"/>
      <c r="X11" s="4"/>
      <c r="Y11" s="519" t="s">
        <v>1280</v>
      </c>
    </row>
    <row r="12">
      <c r="A12" s="516" t="s">
        <v>137</v>
      </c>
      <c r="B12" s="517">
        <f t="shared" si="1"/>
        <v>1033</v>
      </c>
      <c r="C12" s="127">
        <v>0.0</v>
      </c>
      <c r="D12" s="127">
        <v>345.0</v>
      </c>
      <c r="E12" s="518">
        <v>688.0</v>
      </c>
      <c r="F12" s="517"/>
      <c r="G12" s="517">
        <f>IFERROR(__xludf.DUMMYFUNCTION("SUM(IMPORTRANGE(Y12, ""ENTREGAS E INDICADORES!m19:x19""))"),54.0)</f>
        <v>54</v>
      </c>
      <c r="H12" s="517">
        <f>IFERROR(__xludf.DUMMYFUNCTION("SUM(IMPORTRANGE(Y12, ""ENTREGAS E INDICADORES!M20:x20""))"),0.0)</f>
        <v>0</v>
      </c>
      <c r="I12" s="517">
        <f>IFERROR(__xludf.DUMMYFUNCTION("SUM(IMPORTRANGE(Y12, ""ENTREGAS E INDICADORES!M21:x21""))"),623.0)</f>
        <v>623</v>
      </c>
      <c r="J12" s="517">
        <f>IFERROR(__xludf.DUMMYFUNCTION("SUM(IMPORTRANGE(Y12, ""ENTREGAS E INDICADORES!M22:x22""))"),0.0)</f>
        <v>0</v>
      </c>
      <c r="K12" s="517">
        <f>IFERROR(__xludf.DUMMYFUNCTION("SUM(IMPORTRANGE(Y12, ""ENTREGAS E INDICADORES!M23:x23""))"),94.0)</f>
        <v>94</v>
      </c>
      <c r="L12" s="517">
        <f>IFERROR(__xludf.DUMMYFUNCTION("SUM(IMPORTRANGE(Y12, ""ENTREGAS E INDICADORES!M24:x24""))"),0.0)</f>
        <v>0</v>
      </c>
      <c r="M12" s="517">
        <f>IFERROR(__xludf.DUMMYFUNCTION("SUM(IMPORTRANGE(Y12, ""ENTREGAS E INDICADORES!M25:x25""))"),0.0)</f>
        <v>0</v>
      </c>
      <c r="N12" s="517">
        <f>IFERROR(__xludf.DUMMYFUNCTION("SUM(IMPORTRANGE(Y12, ""ENTREGAS E INDICADORES!M26:x26""))"),51.0)</f>
        <v>51</v>
      </c>
      <c r="O12" s="517">
        <f>IFERROR(__xludf.DUMMYFUNCTION("SUM(IMPORTRANGE(Y12, ""ENTREGAS E INDICADORES!M27:x27""))"),55.0)</f>
        <v>55</v>
      </c>
      <c r="P12" s="517">
        <f>IFERROR(__xludf.DUMMYFUNCTION("SUM(IMPORTRANGE(Y12, ""ENTREGAS E INDICADORES!M28:x28""))"),0.0)</f>
        <v>0</v>
      </c>
      <c r="Q12" s="517">
        <f>IFERROR(__xludf.DUMMYFUNCTION("SUM(IMPORTRANGE(Y12, ""ENTREGAS E INDICADORES!M29:x29""))"),26.0)</f>
        <v>26</v>
      </c>
      <c r="R12" s="517">
        <f>IFERROR(__xludf.DUMMYFUNCTION("SUM(IMPORTRANGE(Y12, ""ENTREGAS E INDICADORES!M30:x30""))"),41.0)</f>
        <v>41</v>
      </c>
      <c r="S12" s="517">
        <f>IFERROR(__xludf.DUMMYFUNCTION("SUM(IMPORTRANGE(Y12, ""ENTREGAS E INDICADORES!M31:x31""))"),46.0)</f>
        <v>46</v>
      </c>
      <c r="T12" s="517">
        <f>IFERROR(__xludf.DUMMYFUNCTION("SUM(IMPORTRANGE(Y12, ""ENTREGAS E INDICADORES!M32:x32""
))"),43.0)</f>
        <v>43</v>
      </c>
      <c r="U12" s="517">
        <f>IFERROR(__xludf.DUMMYFUNCTION("SUM(IMPORTRANGE(Y12, ""ENTREGAS E INDICADORES!M33:x33""))"),0.0)</f>
        <v>0</v>
      </c>
      <c r="V12" s="4"/>
      <c r="W12" s="4"/>
      <c r="X12" s="4"/>
      <c r="Y12" s="519" t="s">
        <v>1281</v>
      </c>
    </row>
    <row r="13">
      <c r="A13" s="213" t="s">
        <v>1282</v>
      </c>
      <c r="B13" s="517">
        <f t="shared" si="1"/>
        <v>682</v>
      </c>
      <c r="C13" s="127">
        <v>0.0</v>
      </c>
      <c r="D13" s="127">
        <v>393.0</v>
      </c>
      <c r="E13" s="518">
        <v>275.0</v>
      </c>
      <c r="F13" s="517"/>
      <c r="G13" s="517">
        <f>IFERROR(__xludf.DUMMYFUNCTION("SUM(IMPORTRANGE(Y13, ""ENTREGAS E INDICADORES!m19:x19""))"),68.0)</f>
        <v>68</v>
      </c>
      <c r="H13" s="517">
        <f>IFERROR(__xludf.DUMMYFUNCTION("SUM(IMPORTRANGE(Y13, ""ENTREGAS E INDICADORES!M20:x20""))"),0.0)</f>
        <v>0</v>
      </c>
      <c r="I13" s="517">
        <f>IFERROR(__xludf.DUMMYFUNCTION("SUM(IMPORTRANGE(Y13, ""ENTREGAS E INDICADORES!M21:x21""))"),426.0)</f>
        <v>426</v>
      </c>
      <c r="J13" s="517">
        <f>IFERROR(__xludf.DUMMYFUNCTION("SUM(IMPORTRANGE(Y13, ""ENTREGAS E INDICADORES!M22:x22""))"),0.0)</f>
        <v>0</v>
      </c>
      <c r="K13" s="517">
        <f>IFERROR(__xludf.DUMMYFUNCTION("SUM(IMPORTRANGE(Y13, ""ENTREGAS E INDICADORES!M23:x23""))"),0.0)</f>
        <v>0</v>
      </c>
      <c r="L13" s="517">
        <f>IFERROR(__xludf.DUMMYFUNCTION("SUM(IMPORTRANGE(Y13, ""ENTREGAS E INDICADORES!M24:x24""))"),0.0)</f>
        <v>0</v>
      </c>
      <c r="M13" s="517">
        <f>IFERROR(__xludf.DUMMYFUNCTION("SUM(IMPORTRANGE(Y13, ""ENTREGAS E INDICADORES!M25:x25""))"),0.0)</f>
        <v>0</v>
      </c>
      <c r="N13" s="517">
        <f>IFERROR(__xludf.DUMMYFUNCTION("SUM(IMPORTRANGE(Y13, ""ENTREGAS E INDICADORES!M26:x26""))"),0.0)</f>
        <v>0</v>
      </c>
      <c r="O13" s="517">
        <f>IFERROR(__xludf.DUMMYFUNCTION("SUM(IMPORTRANGE(Y13, ""ENTREGAS E INDICADORES!M27:x27""))"),72.0)</f>
        <v>72</v>
      </c>
      <c r="P13" s="517">
        <f>IFERROR(__xludf.DUMMYFUNCTION("SUM(IMPORTRANGE(Y13, ""ENTREGAS E INDICADORES!M28:x28""))"),0.0)</f>
        <v>0</v>
      </c>
      <c r="Q13" s="517">
        <f>IFERROR(__xludf.DUMMYFUNCTION("SUM(IMPORTRANGE(Y13, ""ENTREGAS E INDICADORES!M29:x29""))"),0.0)</f>
        <v>0</v>
      </c>
      <c r="R13" s="517">
        <f>IFERROR(__xludf.DUMMYFUNCTION("SUM(IMPORTRANGE(Y13, ""ENTREGAS E INDICADORES!M30:x30""))"),0.0)</f>
        <v>0</v>
      </c>
      <c r="S13" s="517">
        <f>IFERROR(__xludf.DUMMYFUNCTION("SUM(IMPORTRANGE(Y13, ""ENTREGAS E INDICADORES!M31:x31""))"),0.0)</f>
        <v>0</v>
      </c>
      <c r="T13" s="517">
        <f>IFERROR(__xludf.DUMMYFUNCTION("SUM(IMPORTRANGE(Y13, ""ENTREGAS E INDICADORES!M32:x32""
))"),116.0)</f>
        <v>116</v>
      </c>
      <c r="U13" s="517">
        <f>IFERROR(__xludf.DUMMYFUNCTION("SUM(IMPORTRANGE(Y13, ""ENTREGAS E INDICADORES!M33:x33""))"),0.0)</f>
        <v>0</v>
      </c>
      <c r="V13" s="4"/>
      <c r="W13" s="4"/>
      <c r="X13" s="4"/>
      <c r="Y13" s="519" t="s">
        <v>1283</v>
      </c>
    </row>
    <row r="14">
      <c r="A14" s="213" t="s">
        <v>1284</v>
      </c>
      <c r="B14" s="517">
        <f t="shared" si="1"/>
        <v>0</v>
      </c>
      <c r="C14" s="127">
        <v>0.0</v>
      </c>
      <c r="D14" s="127">
        <v>0.0</v>
      </c>
      <c r="E14" s="518">
        <v>0.0</v>
      </c>
      <c r="F14" s="517"/>
      <c r="G14" s="517">
        <f>IFERROR(__xludf.DUMMYFUNCTION("SUM(IMPORTRANGE(Y14, ""ENTREGAS E INDICADORES!m19:x19""))"),0.0)</f>
        <v>0</v>
      </c>
      <c r="H14" s="517">
        <f>IFERROR(__xludf.DUMMYFUNCTION("SUM(IMPORTRANGE(Y14, ""ENTREGAS E INDICADORES!M20:x20""))"),0.0)</f>
        <v>0</v>
      </c>
      <c r="I14" s="517">
        <f>IFERROR(__xludf.DUMMYFUNCTION("SUM(IMPORTRANGE(Y14, ""ENTREGAS E INDICADORES!M21:x21""))"),0.0)</f>
        <v>0</v>
      </c>
      <c r="J14" s="517">
        <f>IFERROR(__xludf.DUMMYFUNCTION("SUM(IMPORTRANGE(Y14, ""ENTREGAS E INDICADORES!M22:x22""))"),0.0)</f>
        <v>0</v>
      </c>
      <c r="K14" s="517">
        <f>IFERROR(__xludf.DUMMYFUNCTION("SUM(IMPORTRANGE(Y14, ""ENTREGAS E INDICADORES!M23:x23""))"),0.0)</f>
        <v>0</v>
      </c>
      <c r="L14" s="517">
        <f>IFERROR(__xludf.DUMMYFUNCTION("SUM(IMPORTRANGE(Y14, ""ENTREGAS E INDICADORES!M24:x24""))"),0.0)</f>
        <v>0</v>
      </c>
      <c r="M14" s="517">
        <f>IFERROR(__xludf.DUMMYFUNCTION("SUM(IMPORTRANGE(Y14, ""ENTREGAS E INDICADORES!M25:x25""))"),0.0)</f>
        <v>0</v>
      </c>
      <c r="N14" s="517">
        <f>IFERROR(__xludf.DUMMYFUNCTION("SUM(IMPORTRANGE(Y14, ""ENTREGAS E INDICADORES!M26:x26""))"),0.0)</f>
        <v>0</v>
      </c>
      <c r="O14" s="517">
        <f>IFERROR(__xludf.DUMMYFUNCTION("SUM(IMPORTRANGE(Y14, ""ENTREGAS E INDICADORES!M27:x27""))"),0.0)</f>
        <v>0</v>
      </c>
      <c r="P14" s="517">
        <f>IFERROR(__xludf.DUMMYFUNCTION("SUM(IMPORTRANGE(Y14, ""ENTREGAS E INDICADORES!M28:x28""))"),0.0)</f>
        <v>0</v>
      </c>
      <c r="Q14" s="517">
        <f>IFERROR(__xludf.DUMMYFUNCTION("SUM(IMPORTRANGE(Y14, ""ENTREGAS E INDICADORES!M29:x29""))"),0.0)</f>
        <v>0</v>
      </c>
      <c r="R14" s="517">
        <f>IFERROR(__xludf.DUMMYFUNCTION("SUM(IMPORTRANGE(Y14, ""ENTREGAS E INDICADORES!M30:x30""))"),0.0)</f>
        <v>0</v>
      </c>
      <c r="S14" s="517">
        <f>IFERROR(__xludf.DUMMYFUNCTION("SUM(IMPORTRANGE(Y14, ""ENTREGAS E INDICADORES!M31:x31""))"),0.0)</f>
        <v>0</v>
      </c>
      <c r="T14" s="517">
        <f>IFERROR(__xludf.DUMMYFUNCTION("SUM(IMPORTRANGE(Y14, ""ENTREGAS E INDICADORES!M32:x32""
))"),0.0)</f>
        <v>0</v>
      </c>
      <c r="U14" s="517">
        <f>IFERROR(__xludf.DUMMYFUNCTION("SUM(IMPORTRANGE(Y14, ""ENTREGAS E INDICADORES!M33:x33""))"),0.0)</f>
        <v>0</v>
      </c>
      <c r="V14" s="4"/>
      <c r="W14" s="4"/>
      <c r="X14" s="4"/>
      <c r="Y14" s="519" t="s">
        <v>1285</v>
      </c>
    </row>
    <row r="15">
      <c r="A15" s="213" t="s">
        <v>10</v>
      </c>
      <c r="B15" s="127">
        <v>0.0</v>
      </c>
      <c r="C15" s="127">
        <v>0.0</v>
      </c>
      <c r="D15" s="127">
        <v>0.0</v>
      </c>
      <c r="E15" s="518">
        <v>35.0</v>
      </c>
      <c r="F15" s="517"/>
      <c r="G15" s="127">
        <v>0.0</v>
      </c>
      <c r="H15" s="127">
        <v>0.0</v>
      </c>
      <c r="I15" s="127">
        <v>0.0</v>
      </c>
      <c r="J15" s="127">
        <v>0.0</v>
      </c>
      <c r="K15" s="127">
        <v>0.0</v>
      </c>
      <c r="L15" s="127">
        <v>0.0</v>
      </c>
      <c r="M15" s="127">
        <v>0.0</v>
      </c>
      <c r="N15" s="127">
        <v>0.0</v>
      </c>
      <c r="O15" s="127">
        <v>0.0</v>
      </c>
      <c r="P15" s="127">
        <v>0.0</v>
      </c>
      <c r="Q15" s="127">
        <v>0.0</v>
      </c>
      <c r="R15" s="127">
        <v>0.0</v>
      </c>
      <c r="S15" s="127">
        <v>0.0</v>
      </c>
      <c r="T15" s="127">
        <v>0.0</v>
      </c>
      <c r="U15" s="521">
        <v>0.0</v>
      </c>
      <c r="V15" s="10"/>
      <c r="W15" s="4"/>
      <c r="X15" s="4"/>
      <c r="Y15" s="509"/>
    </row>
    <row r="16">
      <c r="A16" s="516"/>
      <c r="B16" s="517"/>
      <c r="C16" s="517"/>
      <c r="D16" s="517"/>
      <c r="E16" s="522" t="s">
        <v>1286</v>
      </c>
      <c r="F16" s="517"/>
      <c r="G16" s="517"/>
      <c r="H16" s="517"/>
      <c r="I16" s="517"/>
      <c r="J16" s="517"/>
      <c r="K16" s="517"/>
      <c r="L16" s="517"/>
      <c r="M16" s="517"/>
      <c r="N16" s="517"/>
      <c r="O16" s="517"/>
      <c r="P16" s="517"/>
      <c r="Q16" s="517"/>
      <c r="R16" s="517"/>
      <c r="S16" s="517"/>
      <c r="T16" s="517"/>
      <c r="U16" s="523"/>
      <c r="V16" s="4"/>
      <c r="W16" s="4"/>
      <c r="X16" s="4"/>
      <c r="Y16" s="509"/>
    </row>
    <row r="17">
      <c r="A17" s="516"/>
      <c r="B17" s="517"/>
      <c r="C17" s="517"/>
      <c r="D17" s="517"/>
      <c r="E17" s="517"/>
      <c r="F17" s="517"/>
      <c r="G17" s="517"/>
      <c r="H17" s="517"/>
      <c r="I17" s="517"/>
      <c r="J17" s="517"/>
      <c r="K17" s="517"/>
      <c r="L17" s="517"/>
      <c r="M17" s="517"/>
      <c r="N17" s="517"/>
      <c r="O17" s="517"/>
      <c r="P17" s="517"/>
      <c r="Q17" s="517"/>
      <c r="R17" s="517"/>
      <c r="S17" s="517"/>
      <c r="T17" s="517"/>
      <c r="U17" s="523"/>
      <c r="V17" s="4"/>
      <c r="W17" s="4"/>
      <c r="X17" s="4"/>
      <c r="Y17" s="509"/>
    </row>
    <row r="18">
      <c r="A18" s="511" t="s">
        <v>1287</v>
      </c>
      <c r="B18" s="512" t="s">
        <v>1288</v>
      </c>
      <c r="C18" s="517"/>
      <c r="D18" s="517"/>
      <c r="E18" s="517"/>
      <c r="F18" s="517"/>
      <c r="G18" s="517"/>
      <c r="H18" s="517"/>
      <c r="I18" s="517"/>
      <c r="J18" s="524"/>
      <c r="K18" s="525"/>
      <c r="L18" s="517"/>
      <c r="M18" s="517"/>
      <c r="N18" s="517"/>
      <c r="O18" s="517"/>
      <c r="P18" s="517"/>
      <c r="Q18" s="517"/>
      <c r="R18" s="517"/>
      <c r="S18" s="517"/>
      <c r="T18" s="517"/>
      <c r="U18" s="523"/>
      <c r="V18" s="4"/>
      <c r="W18" s="4"/>
      <c r="X18" s="4"/>
      <c r="Y18" s="509"/>
    </row>
    <row r="19">
      <c r="A19" s="516" t="s">
        <v>1289</v>
      </c>
      <c r="B19" s="516">
        <f>SUM(G3:G14)</f>
        <v>289</v>
      </c>
      <c r="C19" s="517"/>
      <c r="D19" s="517"/>
      <c r="E19" s="517"/>
      <c r="F19" s="517"/>
      <c r="G19" s="517"/>
      <c r="H19" s="517"/>
      <c r="I19" s="517"/>
      <c r="J19" s="524"/>
      <c r="K19" s="525"/>
      <c r="L19" s="516"/>
      <c r="M19" s="516"/>
      <c r="N19" s="516"/>
      <c r="O19" s="516"/>
      <c r="P19" s="516"/>
      <c r="Q19" s="516"/>
      <c r="R19" s="516"/>
      <c r="S19" s="516"/>
      <c r="T19" s="516"/>
      <c r="U19" s="516"/>
      <c r="V19" s="4"/>
      <c r="W19" s="4"/>
      <c r="X19" s="4"/>
      <c r="Y19" s="509"/>
    </row>
    <row r="20">
      <c r="A20" s="516" t="s">
        <v>1290</v>
      </c>
      <c r="B20" s="516">
        <f>SUM(H3:H14)</f>
        <v>0</v>
      </c>
      <c r="C20" s="517"/>
      <c r="D20" s="517"/>
      <c r="E20" s="517"/>
      <c r="F20" s="517"/>
      <c r="G20" s="517"/>
      <c r="H20" s="517"/>
      <c r="I20" s="517"/>
      <c r="J20" s="524"/>
      <c r="K20" s="525"/>
      <c r="L20" s="516"/>
      <c r="M20" s="516"/>
      <c r="N20" s="516"/>
      <c r="O20" s="516"/>
      <c r="P20" s="516"/>
      <c r="Q20" s="516"/>
      <c r="R20" s="516"/>
      <c r="S20" s="516"/>
      <c r="T20" s="516"/>
      <c r="U20" s="516"/>
      <c r="V20" s="4"/>
      <c r="W20" s="4"/>
      <c r="X20" s="4"/>
      <c r="Y20" s="509"/>
    </row>
    <row r="21">
      <c r="A21" s="516" t="s">
        <v>1291</v>
      </c>
      <c r="B21" s="516">
        <f>SUM(I3:I14)</f>
        <v>2330</v>
      </c>
      <c r="C21" s="517"/>
      <c r="D21" s="517"/>
      <c r="E21" s="517"/>
      <c r="F21" s="517"/>
      <c r="G21" s="517"/>
      <c r="H21" s="517"/>
      <c r="I21" s="517"/>
      <c r="J21" s="524"/>
      <c r="K21" s="525"/>
      <c r="L21" s="516"/>
      <c r="M21" s="516"/>
      <c r="N21" s="516"/>
      <c r="O21" s="516"/>
      <c r="P21" s="516"/>
      <c r="Q21" s="516"/>
      <c r="R21" s="516"/>
      <c r="S21" s="516"/>
      <c r="T21" s="516"/>
      <c r="U21" s="516"/>
      <c r="V21" s="4"/>
      <c r="W21" s="4"/>
      <c r="X21" s="4"/>
      <c r="Y21" s="509"/>
    </row>
    <row r="22">
      <c r="A22" s="516" t="s">
        <v>1292</v>
      </c>
      <c r="B22" s="516">
        <f>SUM(J3:J14)</f>
        <v>0</v>
      </c>
      <c r="C22" s="517"/>
      <c r="D22" s="517"/>
      <c r="E22" s="517"/>
      <c r="F22" s="517"/>
      <c r="G22" s="517"/>
      <c r="H22" s="517"/>
      <c r="I22" s="517"/>
      <c r="J22" s="524"/>
      <c r="K22" s="525"/>
      <c r="L22" s="516"/>
      <c r="M22" s="516"/>
      <c r="N22" s="516"/>
      <c r="O22" s="516"/>
      <c r="P22" s="516"/>
      <c r="Q22" s="516"/>
      <c r="R22" s="516"/>
      <c r="S22" s="516"/>
      <c r="T22" s="516"/>
      <c r="U22" s="516"/>
      <c r="V22" s="4"/>
      <c r="W22" s="4"/>
      <c r="X22" s="4"/>
      <c r="Y22" s="4"/>
    </row>
    <row r="23">
      <c r="A23" s="516" t="s">
        <v>1293</v>
      </c>
      <c r="B23" s="516">
        <f>SUM(K3:K14)</f>
        <v>94</v>
      </c>
      <c r="C23" s="517"/>
      <c r="D23" s="517"/>
      <c r="E23" s="517"/>
      <c r="F23" s="517"/>
      <c r="G23" s="517"/>
      <c r="H23" s="517"/>
      <c r="I23" s="517"/>
      <c r="J23" s="524"/>
      <c r="K23" s="525"/>
      <c r="L23" s="516"/>
      <c r="M23" s="516"/>
      <c r="N23" s="516"/>
      <c r="O23" s="516"/>
      <c r="P23" s="516"/>
      <c r="Q23" s="516"/>
      <c r="R23" s="516"/>
      <c r="S23" s="516"/>
      <c r="T23" s="516"/>
      <c r="U23" s="516"/>
      <c r="V23" s="4"/>
      <c r="W23" s="4"/>
      <c r="X23" s="4"/>
      <c r="Y23" s="4"/>
    </row>
    <row r="24">
      <c r="A24" s="516" t="s">
        <v>1294</v>
      </c>
      <c r="B24" s="516">
        <f>SUM(L3:L14)</f>
        <v>0</v>
      </c>
      <c r="C24" s="517"/>
      <c r="D24" s="517"/>
      <c r="E24" s="517"/>
      <c r="F24" s="517"/>
      <c r="G24" s="517"/>
      <c r="H24" s="517"/>
      <c r="I24" s="517"/>
      <c r="J24" s="524"/>
      <c r="K24" s="525"/>
      <c r="L24" s="516"/>
      <c r="M24" s="516"/>
      <c r="N24" s="516"/>
      <c r="O24" s="516"/>
      <c r="P24" s="516"/>
      <c r="Q24" s="516"/>
      <c r="R24" s="516"/>
      <c r="S24" s="516"/>
      <c r="T24" s="516"/>
      <c r="U24" s="516"/>
      <c r="V24" s="4"/>
      <c r="W24" s="4"/>
      <c r="X24" s="4"/>
      <c r="Y24" s="4"/>
    </row>
    <row r="25">
      <c r="A25" s="516" t="s">
        <v>1295</v>
      </c>
      <c r="B25" s="516">
        <f>SUM(M3:M14)</f>
        <v>0</v>
      </c>
      <c r="C25" s="517"/>
      <c r="D25" s="517"/>
      <c r="E25" s="517"/>
      <c r="F25" s="517"/>
      <c r="G25" s="517"/>
      <c r="H25" s="517"/>
      <c r="I25" s="517"/>
      <c r="J25" s="524"/>
      <c r="K25" s="525"/>
      <c r="L25" s="516"/>
      <c r="M25" s="516"/>
      <c r="N25" s="516"/>
      <c r="O25" s="516"/>
      <c r="P25" s="516"/>
      <c r="Q25" s="516"/>
      <c r="R25" s="516"/>
      <c r="S25" s="516"/>
      <c r="T25" s="516"/>
      <c r="U25" s="516"/>
      <c r="V25" s="4"/>
      <c r="W25" s="4"/>
      <c r="X25" s="4"/>
      <c r="Y25" s="4"/>
    </row>
    <row r="26">
      <c r="A26" s="516" t="s">
        <v>1296</v>
      </c>
      <c r="B26" s="516">
        <f>SUM(N3:N14)</f>
        <v>51</v>
      </c>
      <c r="C26" s="517"/>
      <c r="D26" s="517"/>
      <c r="E26" s="517"/>
      <c r="F26" s="517"/>
      <c r="G26" s="517"/>
      <c r="H26" s="517"/>
      <c r="I26" s="517"/>
      <c r="J26" s="524"/>
      <c r="K26" s="525"/>
      <c r="L26" s="516"/>
      <c r="M26" s="516"/>
      <c r="N26" s="516"/>
      <c r="O26" s="516"/>
      <c r="P26" s="516"/>
      <c r="Q26" s="516"/>
      <c r="R26" s="516"/>
      <c r="S26" s="516"/>
      <c r="T26" s="516"/>
      <c r="U26" s="516"/>
      <c r="V26" s="4"/>
      <c r="W26" s="4"/>
      <c r="X26" s="4"/>
      <c r="Y26" s="4"/>
    </row>
    <row r="27">
      <c r="A27" s="516" t="s">
        <v>1297</v>
      </c>
      <c r="B27" s="516">
        <f>SUM(O3:O14)</f>
        <v>193</v>
      </c>
      <c r="C27" s="517"/>
      <c r="D27" s="517"/>
      <c r="E27" s="517"/>
      <c r="F27" s="517"/>
      <c r="G27" s="517"/>
      <c r="H27" s="517"/>
      <c r="I27" s="517"/>
      <c r="J27" s="524"/>
      <c r="K27" s="525"/>
      <c r="L27" s="516"/>
      <c r="M27" s="516"/>
      <c r="N27" s="516"/>
      <c r="O27" s="516"/>
      <c r="P27" s="516"/>
      <c r="Q27" s="516"/>
      <c r="R27" s="516"/>
      <c r="S27" s="516"/>
      <c r="T27" s="516"/>
      <c r="U27" s="516"/>
      <c r="V27" s="4"/>
      <c r="W27" s="4"/>
      <c r="X27" s="4"/>
      <c r="Y27" s="4"/>
    </row>
    <row r="28">
      <c r="A28" s="516" t="s">
        <v>1298</v>
      </c>
      <c r="B28" s="516">
        <f>SUM(P3:P14)</f>
        <v>0</v>
      </c>
      <c r="C28" s="517"/>
      <c r="D28" s="517"/>
      <c r="E28" s="517"/>
      <c r="F28" s="517"/>
      <c r="G28" s="517"/>
      <c r="H28" s="517"/>
      <c r="I28" s="517"/>
      <c r="J28" s="524"/>
      <c r="K28" s="525"/>
      <c r="L28" s="516"/>
      <c r="M28" s="516"/>
      <c r="N28" s="516"/>
      <c r="O28" s="516"/>
      <c r="P28" s="516"/>
      <c r="Q28" s="516"/>
      <c r="R28" s="516"/>
      <c r="S28" s="516"/>
      <c r="T28" s="516"/>
      <c r="U28" s="516"/>
      <c r="V28" s="4"/>
      <c r="W28" s="4"/>
      <c r="X28" s="4"/>
      <c r="Y28" s="4"/>
    </row>
    <row r="29">
      <c r="A29" s="516" t="s">
        <v>1299</v>
      </c>
      <c r="B29" s="516">
        <f>SUM(Q3:Q14)</f>
        <v>151</v>
      </c>
      <c r="C29" s="517"/>
      <c r="D29" s="517"/>
      <c r="E29" s="517"/>
      <c r="F29" s="517"/>
      <c r="G29" s="517"/>
      <c r="H29" s="517"/>
      <c r="I29" s="517"/>
      <c r="J29" s="524"/>
      <c r="K29" s="525"/>
      <c r="L29" s="516"/>
      <c r="M29" s="516"/>
      <c r="N29" s="516"/>
      <c r="O29" s="516"/>
      <c r="P29" s="516"/>
      <c r="Q29" s="516"/>
      <c r="R29" s="516"/>
      <c r="S29" s="516"/>
      <c r="T29" s="516"/>
      <c r="U29" s="516"/>
      <c r="V29" s="4"/>
      <c r="W29" s="4"/>
      <c r="X29" s="4"/>
      <c r="Y29" s="4"/>
    </row>
    <row r="30">
      <c r="A30" s="516" t="s">
        <v>1300</v>
      </c>
      <c r="B30" s="516">
        <f>SUM(R3:R14)</f>
        <v>41</v>
      </c>
      <c r="C30" s="517"/>
      <c r="D30" s="517"/>
      <c r="E30" s="517"/>
      <c r="F30" s="517"/>
      <c r="G30" s="517"/>
      <c r="H30" s="517"/>
      <c r="I30" s="517"/>
      <c r="J30" s="524"/>
      <c r="K30" s="525"/>
      <c r="L30" s="516"/>
      <c r="M30" s="516"/>
      <c r="N30" s="516"/>
      <c r="O30" s="516"/>
      <c r="P30" s="516"/>
      <c r="Q30" s="516"/>
      <c r="R30" s="516"/>
      <c r="S30" s="516"/>
      <c r="T30" s="516"/>
      <c r="U30" s="516"/>
      <c r="V30" s="4"/>
      <c r="W30" s="4"/>
      <c r="X30" s="4"/>
      <c r="Y30" s="4"/>
    </row>
    <row r="31">
      <c r="A31" s="516" t="s">
        <v>1301</v>
      </c>
      <c r="B31" s="516">
        <f>SUM(S3:S14)</f>
        <v>62</v>
      </c>
      <c r="C31" s="517"/>
      <c r="D31" s="517"/>
      <c r="E31" s="517"/>
      <c r="F31" s="517"/>
      <c r="G31" s="517"/>
      <c r="H31" s="517"/>
      <c r="I31" s="517"/>
      <c r="J31" s="516"/>
      <c r="K31" s="516"/>
      <c r="L31" s="516"/>
      <c r="M31" s="516"/>
      <c r="N31" s="516"/>
      <c r="O31" s="516"/>
      <c r="P31" s="516"/>
      <c r="Q31" s="516"/>
      <c r="R31" s="516"/>
      <c r="S31" s="516"/>
      <c r="T31" s="516"/>
      <c r="U31" s="516"/>
      <c r="V31" s="4"/>
      <c r="W31" s="4"/>
      <c r="X31" s="4"/>
      <c r="Y31" s="4"/>
    </row>
    <row r="32">
      <c r="A32" s="516" t="s">
        <v>1302</v>
      </c>
      <c r="B32" s="516">
        <f>SUM(T3:T14)</f>
        <v>268</v>
      </c>
      <c r="C32" s="517"/>
      <c r="D32" s="517"/>
      <c r="E32" s="517"/>
      <c r="F32" s="517"/>
      <c r="G32" s="517"/>
      <c r="H32" s="517"/>
      <c r="I32" s="517"/>
      <c r="J32" s="516"/>
      <c r="K32" s="516"/>
      <c r="L32" s="516"/>
      <c r="M32" s="516"/>
      <c r="N32" s="516"/>
      <c r="O32" s="516"/>
      <c r="P32" s="516"/>
      <c r="Q32" s="516"/>
      <c r="R32" s="516"/>
      <c r="S32" s="516"/>
      <c r="T32" s="516"/>
      <c r="U32" s="516"/>
      <c r="V32" s="4"/>
      <c r="W32" s="4"/>
      <c r="X32" s="4"/>
      <c r="Y32" s="4"/>
    </row>
    <row r="33">
      <c r="A33" s="511" t="s">
        <v>170</v>
      </c>
      <c r="B33" s="526">
        <f>SUM(B19:B32)</f>
        <v>3479</v>
      </c>
      <c r="C33" s="517"/>
      <c r="D33" s="517"/>
      <c r="E33" s="517"/>
      <c r="F33" s="517"/>
      <c r="G33" s="517"/>
      <c r="H33" s="517"/>
      <c r="I33" s="517"/>
      <c r="J33" s="516"/>
      <c r="K33" s="516"/>
      <c r="L33" s="516"/>
      <c r="M33" s="516"/>
      <c r="N33" s="516"/>
      <c r="O33" s="516"/>
      <c r="P33" s="516"/>
      <c r="Q33" s="516"/>
      <c r="R33" s="516"/>
      <c r="S33" s="516"/>
      <c r="T33" s="516"/>
      <c r="U33" s="516"/>
      <c r="V33" s="4"/>
      <c r="W33" s="4"/>
      <c r="X33" s="4"/>
      <c r="Y33" s="4"/>
    </row>
    <row r="34">
      <c r="A34" s="4"/>
      <c r="B34" s="4"/>
      <c r="C34" s="517"/>
      <c r="D34" s="517"/>
      <c r="E34" s="517"/>
      <c r="F34" s="517"/>
      <c r="G34" s="517"/>
      <c r="H34" s="517"/>
      <c r="I34" s="517"/>
      <c r="J34" s="516"/>
      <c r="K34" s="516"/>
      <c r="L34" s="516"/>
      <c r="M34" s="516"/>
      <c r="N34" s="516"/>
      <c r="O34" s="516"/>
      <c r="P34" s="516"/>
      <c r="Q34" s="516"/>
      <c r="R34" s="516"/>
      <c r="S34" s="516"/>
      <c r="T34" s="516"/>
      <c r="U34" s="516"/>
      <c r="V34" s="4"/>
      <c r="W34" s="4"/>
      <c r="X34" s="4"/>
      <c r="Y34" s="4"/>
    </row>
    <row r="35">
      <c r="A35" s="4"/>
      <c r="B35" s="4"/>
      <c r="C35" s="517"/>
      <c r="D35" s="517"/>
      <c r="E35" s="517"/>
      <c r="F35" s="517"/>
      <c r="G35" s="517"/>
      <c r="H35" s="517"/>
      <c r="I35" s="517"/>
      <c r="J35" s="516"/>
      <c r="K35" s="516"/>
      <c r="L35" s="516"/>
      <c r="M35" s="516"/>
      <c r="N35" s="516"/>
      <c r="O35" s="516"/>
      <c r="P35" s="516"/>
      <c r="Q35" s="516"/>
      <c r="R35" s="516"/>
      <c r="S35" s="516"/>
      <c r="T35" s="516"/>
      <c r="U35" s="516"/>
      <c r="V35" s="4"/>
      <c r="W35" s="4"/>
      <c r="X35" s="4"/>
      <c r="Y35" s="4"/>
    </row>
    <row r="36">
      <c r="A36" s="4"/>
      <c r="B36" s="4"/>
      <c r="C36" s="517"/>
      <c r="D36" s="517"/>
      <c r="E36" s="517"/>
      <c r="F36" s="517"/>
      <c r="G36" s="517"/>
      <c r="H36" s="517"/>
      <c r="I36" s="517"/>
      <c r="J36" s="516"/>
      <c r="K36" s="516"/>
      <c r="L36" s="516"/>
      <c r="M36" s="516"/>
      <c r="N36" s="516"/>
      <c r="O36" s="516"/>
      <c r="P36" s="516"/>
      <c r="Q36" s="516"/>
      <c r="R36" s="516"/>
      <c r="S36" s="516"/>
      <c r="T36" s="516"/>
      <c r="U36" s="516"/>
      <c r="V36" s="4"/>
      <c r="W36" s="4"/>
      <c r="X36" s="4"/>
      <c r="Y36" s="4"/>
    </row>
    <row r="37">
      <c r="A37" s="4"/>
      <c r="B37" s="4"/>
      <c r="C37" s="517"/>
      <c r="D37" s="517"/>
      <c r="E37" s="517"/>
      <c r="F37" s="517"/>
      <c r="G37" s="517"/>
      <c r="H37" s="517"/>
      <c r="I37" s="517"/>
      <c r="J37" s="516"/>
      <c r="K37" s="516"/>
      <c r="L37" s="516"/>
      <c r="M37" s="516"/>
      <c r="N37" s="516"/>
      <c r="O37" s="516"/>
      <c r="P37" s="516"/>
      <c r="Q37" s="516"/>
      <c r="R37" s="516"/>
      <c r="S37" s="516"/>
      <c r="T37" s="516"/>
      <c r="U37" s="516"/>
      <c r="V37" s="4"/>
      <c r="W37" s="4"/>
      <c r="X37" s="4"/>
      <c r="Y37" s="4"/>
    </row>
    <row r="38">
      <c r="A38" s="4"/>
      <c r="B38" s="4"/>
      <c r="C38" s="4"/>
      <c r="D38" s="4"/>
      <c r="E38" s="4"/>
      <c r="F38" s="4"/>
      <c r="G38" s="4"/>
      <c r="H38" s="515"/>
      <c r="I38" s="516"/>
      <c r="J38" s="516"/>
      <c r="K38" s="516"/>
      <c r="L38" s="516"/>
      <c r="M38" s="516"/>
      <c r="N38" s="516"/>
      <c r="O38" s="516"/>
      <c r="P38" s="516"/>
      <c r="Q38" s="516"/>
      <c r="R38" s="516"/>
      <c r="S38" s="516"/>
      <c r="T38" s="516"/>
      <c r="U38" s="516"/>
      <c r="V38" s="4"/>
      <c r="W38" s="4"/>
      <c r="X38" s="4"/>
      <c r="Y38" s="4"/>
    </row>
    <row r="39">
      <c r="A39" s="4"/>
      <c r="B39" s="4"/>
      <c r="C39" s="4"/>
      <c r="D39" s="4"/>
      <c r="E39" s="4"/>
      <c r="F39" s="4"/>
      <c r="G39" s="4"/>
      <c r="H39" s="515"/>
      <c r="I39" s="516"/>
      <c r="J39" s="516"/>
      <c r="K39" s="516"/>
      <c r="L39" s="516"/>
      <c r="M39" s="516"/>
      <c r="N39" s="516"/>
      <c r="O39" s="516"/>
      <c r="P39" s="516"/>
      <c r="Q39" s="516"/>
      <c r="R39" s="516"/>
      <c r="S39" s="516"/>
      <c r="T39" s="516"/>
      <c r="U39" s="516"/>
      <c r="V39" s="4"/>
      <c r="W39" s="4"/>
      <c r="X39" s="4"/>
      <c r="Y39" s="4"/>
    </row>
    <row r="40">
      <c r="A40" s="4"/>
      <c r="B40" s="4"/>
      <c r="C40" s="4"/>
      <c r="D40" s="4"/>
      <c r="E40" s="4"/>
      <c r="F40" s="4"/>
      <c r="G40" s="4"/>
      <c r="H40" s="515"/>
      <c r="I40" s="516"/>
      <c r="J40" s="516"/>
      <c r="K40" s="516"/>
      <c r="L40" s="516"/>
      <c r="M40" s="516"/>
      <c r="N40" s="516"/>
      <c r="O40" s="516"/>
      <c r="P40" s="516"/>
      <c r="Q40" s="516"/>
      <c r="R40" s="516"/>
      <c r="S40" s="516"/>
      <c r="T40" s="516"/>
      <c r="U40" s="516"/>
      <c r="V40" s="4"/>
      <c r="W40" s="4"/>
      <c r="X40" s="4"/>
      <c r="Y40" s="4"/>
    </row>
    <row r="41">
      <c r="A41" s="4"/>
      <c r="B41" s="4"/>
      <c r="C41" s="4"/>
      <c r="D41" s="4"/>
      <c r="E41" s="4"/>
      <c r="F41" s="4"/>
      <c r="G41" s="4"/>
      <c r="H41" s="509"/>
      <c r="I41" s="516"/>
      <c r="J41" s="516"/>
      <c r="K41" s="516"/>
      <c r="L41" s="516"/>
      <c r="M41" s="516"/>
      <c r="N41" s="516"/>
      <c r="O41" s="516"/>
      <c r="P41" s="516"/>
      <c r="Q41" s="516"/>
      <c r="R41" s="516"/>
      <c r="S41" s="516"/>
      <c r="T41" s="516"/>
      <c r="U41" s="516"/>
      <c r="V41" s="4"/>
      <c r="W41" s="4"/>
      <c r="X41" s="4"/>
      <c r="Y41" s="4"/>
    </row>
    <row r="42">
      <c r="A42" s="4"/>
      <c r="B42" s="4"/>
      <c r="C42" s="4"/>
      <c r="D42" s="4"/>
      <c r="E42" s="4"/>
      <c r="F42" s="4"/>
      <c r="G42" s="4"/>
      <c r="H42" s="509"/>
      <c r="I42" s="516"/>
      <c r="J42" s="516"/>
      <c r="K42" s="516"/>
      <c r="L42" s="516"/>
      <c r="M42" s="516"/>
      <c r="N42" s="516"/>
      <c r="O42" s="516"/>
      <c r="P42" s="516"/>
      <c r="Q42" s="516"/>
      <c r="R42" s="516"/>
      <c r="S42" s="516"/>
      <c r="T42" s="516"/>
      <c r="U42" s="516"/>
      <c r="V42" s="4"/>
      <c r="W42" s="4"/>
      <c r="X42" s="4"/>
      <c r="Y42" s="4"/>
    </row>
    <row r="43">
      <c r="A43" s="4"/>
      <c r="B43" s="4"/>
      <c r="C43" s="4"/>
      <c r="D43" s="4"/>
      <c r="E43" s="4"/>
      <c r="F43" s="4"/>
      <c r="G43" s="4"/>
      <c r="H43" s="509"/>
      <c r="I43" s="516"/>
      <c r="J43" s="516"/>
      <c r="K43" s="516"/>
      <c r="L43" s="516"/>
      <c r="M43" s="516"/>
      <c r="N43" s="516"/>
      <c r="O43" s="516"/>
      <c r="P43" s="516"/>
      <c r="Q43" s="516"/>
      <c r="R43" s="516"/>
      <c r="S43" s="516"/>
      <c r="T43" s="516"/>
      <c r="U43" s="516"/>
      <c r="V43" s="4"/>
      <c r="W43" s="4"/>
      <c r="X43" s="4"/>
      <c r="Y43" s="4"/>
    </row>
    <row r="44">
      <c r="A44" s="4"/>
      <c r="B44" s="4"/>
      <c r="C44" s="4"/>
      <c r="D44" s="4"/>
      <c r="E44" s="4"/>
      <c r="F44" s="4"/>
      <c r="G44" s="4"/>
      <c r="H44" s="509"/>
      <c r="I44" s="516"/>
      <c r="J44" s="516"/>
      <c r="K44" s="516"/>
      <c r="L44" s="516"/>
      <c r="M44" s="516"/>
      <c r="N44" s="516"/>
      <c r="O44" s="516"/>
      <c r="P44" s="516"/>
      <c r="Q44" s="516"/>
      <c r="R44" s="516"/>
      <c r="S44" s="516"/>
      <c r="T44" s="516"/>
      <c r="U44" s="516"/>
      <c r="V44" s="4"/>
      <c r="W44" s="4"/>
      <c r="X44" s="4"/>
      <c r="Y44" s="4"/>
    </row>
    <row r="45">
      <c r="A45" s="4"/>
      <c r="B45" s="4"/>
      <c r="C45" s="4"/>
      <c r="D45" s="4"/>
      <c r="E45" s="4"/>
      <c r="F45" s="4"/>
      <c r="G45" s="4"/>
      <c r="H45" s="509"/>
      <c r="I45" s="516"/>
      <c r="J45" s="516"/>
      <c r="K45" s="516"/>
      <c r="L45" s="516"/>
      <c r="M45" s="516"/>
      <c r="N45" s="516"/>
      <c r="O45" s="516"/>
      <c r="P45" s="516"/>
      <c r="Q45" s="516"/>
      <c r="R45" s="516"/>
      <c r="S45" s="516"/>
      <c r="T45" s="516"/>
      <c r="U45" s="516"/>
      <c r="V45" s="4"/>
      <c r="W45" s="4"/>
      <c r="X45" s="4"/>
      <c r="Y45" s="4"/>
    </row>
    <row r="46">
      <c r="A46" s="4"/>
      <c r="B46" s="4"/>
      <c r="C46" s="4"/>
      <c r="D46" s="4"/>
      <c r="E46" s="4"/>
      <c r="F46" s="4"/>
      <c r="G46" s="4"/>
      <c r="H46" s="509"/>
      <c r="I46" s="516"/>
      <c r="J46" s="516"/>
      <c r="K46" s="516"/>
      <c r="L46" s="516"/>
      <c r="M46" s="516"/>
      <c r="N46" s="516"/>
      <c r="O46" s="516"/>
      <c r="P46" s="516"/>
      <c r="Q46" s="516"/>
      <c r="R46" s="516"/>
      <c r="S46" s="516"/>
      <c r="T46" s="516"/>
      <c r="U46" s="516"/>
      <c r="V46" s="4"/>
      <c r="W46" s="4"/>
      <c r="X46" s="4"/>
      <c r="Y46" s="4"/>
    </row>
    <row r="47">
      <c r="A47" s="4"/>
      <c r="B47" s="4"/>
      <c r="C47" s="4"/>
      <c r="D47" s="4"/>
      <c r="E47" s="4"/>
      <c r="F47" s="4"/>
      <c r="G47" s="4"/>
      <c r="H47" s="509"/>
      <c r="I47" s="516"/>
      <c r="J47" s="516"/>
      <c r="K47" s="516"/>
      <c r="L47" s="516"/>
      <c r="M47" s="516"/>
      <c r="N47" s="516"/>
      <c r="O47" s="516"/>
      <c r="P47" s="516"/>
      <c r="Q47" s="516"/>
      <c r="R47" s="516"/>
      <c r="S47" s="516"/>
      <c r="T47" s="516"/>
      <c r="U47" s="516"/>
      <c r="V47" s="4"/>
      <c r="W47" s="4"/>
      <c r="X47" s="4"/>
      <c r="Y47" s="4"/>
    </row>
    <row r="48">
      <c r="A48" s="4"/>
      <c r="B48" s="4"/>
      <c r="C48" s="4"/>
      <c r="D48" s="4"/>
      <c r="E48" s="4"/>
      <c r="F48" s="4"/>
      <c r="G48" s="4"/>
      <c r="H48" s="509"/>
      <c r="I48" s="516"/>
      <c r="J48" s="516"/>
      <c r="K48" s="516"/>
      <c r="L48" s="516"/>
      <c r="M48" s="516"/>
      <c r="N48" s="516"/>
      <c r="O48" s="516"/>
      <c r="P48" s="516"/>
      <c r="Q48" s="516"/>
      <c r="R48" s="516"/>
      <c r="S48" s="516"/>
      <c r="T48" s="516"/>
      <c r="U48" s="516"/>
      <c r="V48" s="4"/>
      <c r="W48" s="4"/>
      <c r="X48" s="4"/>
      <c r="Y48" s="4"/>
    </row>
    <row r="49">
      <c r="A49" s="516"/>
      <c r="B49" s="516"/>
      <c r="C49" s="516"/>
      <c r="D49" s="516"/>
      <c r="E49" s="516"/>
      <c r="F49" s="516"/>
      <c r="G49" s="516"/>
      <c r="H49" s="516"/>
      <c r="I49" s="516"/>
      <c r="J49" s="516"/>
      <c r="K49" s="516"/>
      <c r="L49" s="516"/>
      <c r="M49" s="516"/>
      <c r="N49" s="516"/>
      <c r="O49" s="516"/>
      <c r="P49" s="516"/>
      <c r="Q49" s="516"/>
      <c r="R49" s="516"/>
      <c r="S49" s="516"/>
      <c r="T49" s="516"/>
      <c r="U49" s="516"/>
      <c r="V49" s="4"/>
      <c r="W49" s="4"/>
      <c r="X49" s="4"/>
      <c r="Y49" s="4"/>
    </row>
    <row r="50">
      <c r="A50" s="516"/>
      <c r="B50" s="516"/>
      <c r="C50" s="516"/>
      <c r="D50" s="516"/>
      <c r="E50" s="516"/>
      <c r="F50" s="516"/>
      <c r="G50" s="516"/>
      <c r="H50" s="516"/>
      <c r="I50" s="516"/>
      <c r="J50" s="516"/>
      <c r="K50" s="516"/>
      <c r="L50" s="516"/>
      <c r="M50" s="516"/>
      <c r="N50" s="516"/>
      <c r="O50" s="516"/>
      <c r="P50" s="516"/>
      <c r="Q50" s="516"/>
      <c r="R50" s="516"/>
      <c r="S50" s="516"/>
      <c r="T50" s="516"/>
      <c r="U50" s="516"/>
      <c r="V50" s="4"/>
      <c r="W50" s="4"/>
      <c r="X50" s="4"/>
      <c r="Y50" s="4"/>
    </row>
    <row r="51">
      <c r="A51" s="516"/>
      <c r="B51" s="516"/>
      <c r="C51" s="516"/>
      <c r="D51" s="516"/>
      <c r="E51" s="516"/>
      <c r="F51" s="516"/>
      <c r="G51" s="516"/>
      <c r="H51" s="516"/>
      <c r="I51" s="516"/>
      <c r="J51" s="516"/>
      <c r="K51" s="516"/>
      <c r="L51" s="516"/>
      <c r="M51" s="516"/>
      <c r="N51" s="516"/>
      <c r="O51" s="516"/>
      <c r="P51" s="516"/>
      <c r="Q51" s="516"/>
      <c r="R51" s="516"/>
      <c r="S51" s="516"/>
      <c r="T51" s="516"/>
      <c r="U51" s="516"/>
      <c r="V51" s="4"/>
      <c r="W51" s="4"/>
      <c r="X51" s="4"/>
      <c r="Y51" s="4"/>
    </row>
    <row r="52">
      <c r="A52" s="516"/>
      <c r="B52" s="516"/>
      <c r="C52" s="516"/>
      <c r="D52" s="516"/>
      <c r="E52" s="516"/>
      <c r="F52" s="516"/>
      <c r="G52" s="516"/>
      <c r="H52" s="516"/>
      <c r="I52" s="516"/>
      <c r="J52" s="516"/>
      <c r="K52" s="516"/>
      <c r="L52" s="516"/>
      <c r="M52" s="516"/>
      <c r="N52" s="516"/>
      <c r="O52" s="516"/>
      <c r="P52" s="516"/>
      <c r="Q52" s="516"/>
      <c r="R52" s="516"/>
      <c r="S52" s="516"/>
      <c r="T52" s="516"/>
      <c r="U52" s="516"/>
      <c r="V52" s="4"/>
      <c r="W52" s="4"/>
      <c r="X52" s="4"/>
      <c r="Y52" s="4"/>
    </row>
    <row r="53">
      <c r="A53" s="516"/>
      <c r="B53" s="516"/>
      <c r="C53" s="516"/>
      <c r="D53" s="516"/>
      <c r="E53" s="516"/>
      <c r="F53" s="516"/>
      <c r="G53" s="516"/>
      <c r="H53" s="516"/>
      <c r="I53" s="516"/>
      <c r="J53" s="516"/>
      <c r="K53" s="516"/>
      <c r="L53" s="516"/>
      <c r="M53" s="516"/>
      <c r="N53" s="516"/>
      <c r="O53" s="516"/>
      <c r="P53" s="516"/>
      <c r="Q53" s="516"/>
      <c r="R53" s="516"/>
      <c r="S53" s="516"/>
      <c r="T53" s="516"/>
      <c r="U53" s="516"/>
      <c r="V53" s="4"/>
      <c r="W53" s="4"/>
      <c r="X53" s="4"/>
      <c r="Y53" s="4"/>
    </row>
    <row r="54">
      <c r="A54" s="516"/>
      <c r="B54" s="516"/>
      <c r="C54" s="516"/>
      <c r="D54" s="516"/>
      <c r="E54" s="516"/>
      <c r="F54" s="516"/>
      <c r="G54" s="516"/>
      <c r="H54" s="516"/>
      <c r="I54" s="516"/>
      <c r="J54" s="516"/>
      <c r="K54" s="516"/>
      <c r="L54" s="516"/>
      <c r="M54" s="516"/>
      <c r="N54" s="516"/>
      <c r="O54" s="516"/>
      <c r="P54" s="516"/>
      <c r="Q54" s="516"/>
      <c r="R54" s="516"/>
      <c r="S54" s="516"/>
      <c r="T54" s="516"/>
      <c r="U54" s="516"/>
      <c r="V54" s="4"/>
      <c r="W54" s="4"/>
      <c r="X54" s="4"/>
      <c r="Y54" s="4"/>
    </row>
    <row r="55">
      <c r="A55" s="516"/>
      <c r="B55" s="516"/>
      <c r="C55" s="516"/>
      <c r="D55" s="516"/>
      <c r="E55" s="516"/>
      <c r="F55" s="516"/>
      <c r="G55" s="516"/>
      <c r="H55" s="516"/>
      <c r="I55" s="516"/>
      <c r="J55" s="516"/>
      <c r="K55" s="516"/>
      <c r="L55" s="516"/>
      <c r="M55" s="516"/>
      <c r="N55" s="516"/>
      <c r="O55" s="516"/>
      <c r="P55" s="516"/>
      <c r="Q55" s="516"/>
      <c r="R55" s="516"/>
      <c r="S55" s="516"/>
      <c r="T55" s="516"/>
      <c r="U55" s="516"/>
      <c r="V55" s="4"/>
      <c r="W55" s="4"/>
      <c r="X55" s="4"/>
      <c r="Y55" s="4"/>
    </row>
    <row r="56">
      <c r="A56" s="516"/>
      <c r="B56" s="516"/>
      <c r="C56" s="516"/>
      <c r="D56" s="516"/>
      <c r="E56" s="516"/>
      <c r="F56" s="516"/>
      <c r="G56" s="516"/>
      <c r="H56" s="516"/>
      <c r="I56" s="516"/>
      <c r="J56" s="516"/>
      <c r="K56" s="516"/>
      <c r="L56" s="516"/>
      <c r="M56" s="516"/>
      <c r="N56" s="516"/>
      <c r="O56" s="516"/>
      <c r="P56" s="516"/>
      <c r="Q56" s="516"/>
      <c r="R56" s="516"/>
      <c r="S56" s="516"/>
      <c r="T56" s="516"/>
      <c r="U56" s="516"/>
      <c r="V56" s="4"/>
      <c r="W56" s="4"/>
      <c r="X56" s="4"/>
      <c r="Y56" s="4"/>
    </row>
    <row r="57">
      <c r="A57" s="516"/>
      <c r="B57" s="516"/>
      <c r="C57" s="516"/>
      <c r="D57" s="516"/>
      <c r="E57" s="516"/>
      <c r="F57" s="516"/>
      <c r="G57" s="516"/>
      <c r="H57" s="516"/>
      <c r="I57" s="516"/>
      <c r="J57" s="516"/>
      <c r="K57" s="516"/>
      <c r="L57" s="516"/>
      <c r="M57" s="516"/>
      <c r="N57" s="516"/>
      <c r="O57" s="516"/>
      <c r="P57" s="516"/>
      <c r="Q57" s="516"/>
      <c r="R57" s="516"/>
      <c r="S57" s="516"/>
      <c r="T57" s="516"/>
      <c r="U57" s="516"/>
      <c r="V57" s="4"/>
      <c r="W57" s="4"/>
      <c r="X57" s="4"/>
      <c r="Y57" s="4"/>
    </row>
    <row r="58">
      <c r="A58" s="516"/>
      <c r="B58" s="516"/>
      <c r="C58" s="516"/>
      <c r="D58" s="516"/>
      <c r="E58" s="516"/>
      <c r="F58" s="516"/>
      <c r="G58" s="516"/>
      <c r="H58" s="516"/>
      <c r="I58" s="516"/>
      <c r="J58" s="516"/>
      <c r="K58" s="516"/>
      <c r="L58" s="516"/>
      <c r="M58" s="516"/>
      <c r="N58" s="516"/>
      <c r="O58" s="516"/>
      <c r="P58" s="516"/>
      <c r="Q58" s="516"/>
      <c r="R58" s="516"/>
      <c r="S58" s="516"/>
      <c r="T58" s="516"/>
      <c r="U58" s="516"/>
      <c r="V58" s="4"/>
      <c r="W58" s="4"/>
      <c r="X58" s="4"/>
      <c r="Y58" s="4"/>
    </row>
    <row r="59">
      <c r="A59" s="516"/>
      <c r="B59" s="516"/>
      <c r="C59" s="516"/>
      <c r="D59" s="516"/>
      <c r="E59" s="516"/>
      <c r="F59" s="516"/>
      <c r="G59" s="516"/>
      <c r="H59" s="516"/>
      <c r="I59" s="516"/>
      <c r="J59" s="516"/>
      <c r="K59" s="516"/>
      <c r="L59" s="516"/>
      <c r="M59" s="516"/>
      <c r="N59" s="516"/>
      <c r="O59" s="516"/>
      <c r="P59" s="516"/>
      <c r="Q59" s="516"/>
      <c r="R59" s="516"/>
      <c r="S59" s="516"/>
      <c r="T59" s="516"/>
      <c r="U59" s="516"/>
      <c r="V59" s="4"/>
      <c r="W59" s="4"/>
      <c r="X59" s="4"/>
      <c r="Y59" s="4"/>
    </row>
    <row r="60">
      <c r="A60" s="516"/>
      <c r="B60" s="516"/>
      <c r="C60" s="516"/>
      <c r="D60" s="516"/>
      <c r="E60" s="516"/>
      <c r="F60" s="516"/>
      <c r="G60" s="516"/>
      <c r="H60" s="516"/>
      <c r="I60" s="516"/>
      <c r="J60" s="516"/>
      <c r="K60" s="516"/>
      <c r="L60" s="516"/>
      <c r="M60" s="516"/>
      <c r="N60" s="516"/>
      <c r="O60" s="516"/>
      <c r="P60" s="516"/>
      <c r="Q60" s="516"/>
      <c r="R60" s="516"/>
      <c r="S60" s="516"/>
      <c r="T60" s="516"/>
      <c r="U60" s="516"/>
      <c r="V60" s="4"/>
      <c r="W60" s="4"/>
      <c r="X60" s="4"/>
      <c r="Y60" s="4"/>
    </row>
    <row r="61">
      <c r="A61" s="516"/>
      <c r="B61" s="516"/>
      <c r="C61" s="516"/>
      <c r="D61" s="516"/>
      <c r="E61" s="516"/>
      <c r="F61" s="516"/>
      <c r="G61" s="516"/>
      <c r="H61" s="516"/>
      <c r="I61" s="516"/>
      <c r="J61" s="516"/>
      <c r="K61" s="516"/>
      <c r="L61" s="516"/>
      <c r="M61" s="516"/>
      <c r="N61" s="516"/>
      <c r="O61" s="516"/>
      <c r="P61" s="516"/>
      <c r="Q61" s="516"/>
      <c r="R61" s="516"/>
      <c r="S61" s="516"/>
      <c r="T61" s="516"/>
      <c r="U61" s="516"/>
      <c r="V61" s="4"/>
      <c r="W61" s="4"/>
      <c r="X61" s="4"/>
      <c r="Y61" s="4"/>
    </row>
    <row r="62">
      <c r="A62" s="516"/>
      <c r="B62" s="516"/>
      <c r="C62" s="516"/>
      <c r="D62" s="516"/>
      <c r="E62" s="516"/>
      <c r="F62" s="516"/>
      <c r="G62" s="516"/>
      <c r="H62" s="516"/>
      <c r="I62" s="516"/>
      <c r="J62" s="516"/>
      <c r="K62" s="516"/>
      <c r="L62" s="516"/>
      <c r="M62" s="516"/>
      <c r="N62" s="516"/>
      <c r="O62" s="516"/>
      <c r="P62" s="516"/>
      <c r="Q62" s="516"/>
      <c r="R62" s="516"/>
      <c r="S62" s="516"/>
      <c r="T62" s="516"/>
      <c r="U62" s="516"/>
      <c r="V62" s="4"/>
      <c r="W62" s="4"/>
      <c r="X62" s="4"/>
      <c r="Y62" s="4"/>
    </row>
    <row r="63">
      <c r="A63" s="516"/>
      <c r="B63" s="516"/>
      <c r="C63" s="516"/>
      <c r="D63" s="516"/>
      <c r="E63" s="516"/>
      <c r="F63" s="516"/>
      <c r="G63" s="516"/>
      <c r="H63" s="516"/>
      <c r="I63" s="516"/>
      <c r="J63" s="516"/>
      <c r="K63" s="516"/>
      <c r="L63" s="516"/>
      <c r="M63" s="516"/>
      <c r="N63" s="516"/>
      <c r="O63" s="516"/>
      <c r="P63" s="516"/>
      <c r="Q63" s="516"/>
      <c r="R63" s="516"/>
      <c r="S63" s="516"/>
      <c r="T63" s="516"/>
      <c r="U63" s="516"/>
      <c r="V63" s="4"/>
      <c r="W63" s="4"/>
      <c r="X63" s="4"/>
      <c r="Y63" s="4"/>
    </row>
    <row r="64">
      <c r="A64" s="516"/>
      <c r="B64" s="516"/>
      <c r="C64" s="516"/>
      <c r="D64" s="516"/>
      <c r="E64" s="516"/>
      <c r="F64" s="516"/>
      <c r="G64" s="516"/>
      <c r="H64" s="516"/>
      <c r="I64" s="516"/>
      <c r="J64" s="516"/>
      <c r="K64" s="516"/>
      <c r="L64" s="516"/>
      <c r="M64" s="516"/>
      <c r="N64" s="516"/>
      <c r="O64" s="516"/>
      <c r="P64" s="516"/>
      <c r="Q64" s="516"/>
      <c r="R64" s="516"/>
      <c r="S64" s="516"/>
      <c r="T64" s="516"/>
      <c r="U64" s="516"/>
      <c r="V64" s="4"/>
      <c r="W64" s="4"/>
      <c r="X64" s="4"/>
      <c r="Y64" s="4"/>
    </row>
    <row r="65">
      <c r="A65" s="516"/>
      <c r="B65" s="516"/>
      <c r="C65" s="516"/>
      <c r="D65" s="516"/>
      <c r="E65" s="516"/>
      <c r="F65" s="516"/>
      <c r="G65" s="516"/>
      <c r="H65" s="516"/>
      <c r="I65" s="516"/>
      <c r="J65" s="516"/>
      <c r="K65" s="516"/>
      <c r="L65" s="516"/>
      <c r="M65" s="516"/>
      <c r="N65" s="516"/>
      <c r="O65" s="516"/>
      <c r="P65" s="516"/>
      <c r="Q65" s="516"/>
      <c r="R65" s="516"/>
      <c r="S65" s="516"/>
      <c r="T65" s="516"/>
      <c r="U65" s="516"/>
      <c r="V65" s="4"/>
      <c r="W65" s="4"/>
      <c r="X65" s="4"/>
      <c r="Y65" s="4"/>
    </row>
    <row r="66">
      <c r="A66" s="516"/>
      <c r="B66" s="516"/>
      <c r="C66" s="516"/>
      <c r="D66" s="516"/>
      <c r="E66" s="516"/>
      <c r="F66" s="516"/>
      <c r="G66" s="516"/>
      <c r="H66" s="516"/>
      <c r="I66" s="516"/>
      <c r="J66" s="516"/>
      <c r="K66" s="516"/>
      <c r="L66" s="516"/>
      <c r="M66" s="516"/>
      <c r="N66" s="516"/>
      <c r="O66" s="516"/>
      <c r="P66" s="516"/>
      <c r="Q66" s="516"/>
      <c r="R66" s="516"/>
      <c r="S66" s="516"/>
      <c r="T66" s="516"/>
      <c r="U66" s="516"/>
      <c r="V66" s="4"/>
      <c r="W66" s="4"/>
      <c r="X66" s="4"/>
      <c r="Y66" s="4"/>
    </row>
    <row r="67">
      <c r="A67" s="516"/>
      <c r="B67" s="516"/>
      <c r="C67" s="516"/>
      <c r="D67" s="516"/>
      <c r="E67" s="516"/>
      <c r="F67" s="516"/>
      <c r="G67" s="516"/>
      <c r="H67" s="516"/>
      <c r="I67" s="516"/>
      <c r="J67" s="516"/>
      <c r="K67" s="516"/>
      <c r="L67" s="516"/>
      <c r="M67" s="516"/>
      <c r="N67" s="516"/>
      <c r="O67" s="516"/>
      <c r="P67" s="516"/>
      <c r="Q67" s="516"/>
      <c r="R67" s="516"/>
      <c r="S67" s="516"/>
      <c r="T67" s="516"/>
      <c r="U67" s="516"/>
      <c r="V67" s="4"/>
      <c r="W67" s="4"/>
      <c r="X67" s="4"/>
      <c r="Y67" s="4"/>
    </row>
    <row r="68">
      <c r="A68" s="516"/>
      <c r="B68" s="516"/>
      <c r="C68" s="516"/>
      <c r="D68" s="516"/>
      <c r="E68" s="516"/>
      <c r="F68" s="516"/>
      <c r="G68" s="516"/>
      <c r="H68" s="516"/>
      <c r="I68" s="516"/>
      <c r="J68" s="516"/>
      <c r="K68" s="516"/>
      <c r="L68" s="516"/>
      <c r="M68" s="516"/>
      <c r="N68" s="516"/>
      <c r="O68" s="516"/>
      <c r="P68" s="516"/>
      <c r="Q68" s="516"/>
      <c r="R68" s="516"/>
      <c r="S68" s="516"/>
      <c r="T68" s="516"/>
      <c r="U68" s="516"/>
      <c r="V68" s="4"/>
      <c r="W68" s="4"/>
      <c r="X68" s="4"/>
      <c r="Y68" s="4"/>
    </row>
    <row r="69">
      <c r="A69" s="516"/>
      <c r="B69" s="516"/>
      <c r="C69" s="516"/>
      <c r="D69" s="516"/>
      <c r="E69" s="516"/>
      <c r="F69" s="516"/>
      <c r="G69" s="516"/>
      <c r="H69" s="516"/>
      <c r="I69" s="516"/>
      <c r="J69" s="516"/>
      <c r="K69" s="516"/>
      <c r="L69" s="516"/>
      <c r="M69" s="516"/>
      <c r="N69" s="516"/>
      <c r="O69" s="516"/>
      <c r="P69" s="516"/>
      <c r="Q69" s="516"/>
      <c r="R69" s="516"/>
      <c r="S69" s="516"/>
      <c r="T69" s="516"/>
      <c r="U69" s="516"/>
      <c r="V69" s="4"/>
      <c r="W69" s="4"/>
      <c r="X69" s="4"/>
      <c r="Y69" s="4"/>
    </row>
    <row r="70">
      <c r="A70" s="516"/>
      <c r="B70" s="516"/>
      <c r="C70" s="516"/>
      <c r="D70" s="516"/>
      <c r="E70" s="516"/>
      <c r="F70" s="516"/>
      <c r="G70" s="516"/>
      <c r="H70" s="516"/>
      <c r="I70" s="516"/>
      <c r="J70" s="516"/>
      <c r="K70" s="516"/>
      <c r="L70" s="516"/>
      <c r="M70" s="516"/>
      <c r="N70" s="516"/>
      <c r="O70" s="516"/>
      <c r="P70" s="516"/>
      <c r="Q70" s="516"/>
      <c r="R70" s="516"/>
      <c r="S70" s="516"/>
      <c r="T70" s="516"/>
      <c r="U70" s="516"/>
      <c r="V70" s="4"/>
      <c r="W70" s="4"/>
      <c r="X70" s="4"/>
      <c r="Y70" s="4"/>
    </row>
    <row r="71">
      <c r="A71" s="516"/>
      <c r="B71" s="516"/>
      <c r="C71" s="516"/>
      <c r="D71" s="516"/>
      <c r="E71" s="516"/>
      <c r="F71" s="516"/>
      <c r="G71" s="516"/>
      <c r="H71" s="516"/>
      <c r="I71" s="516"/>
      <c r="J71" s="516"/>
      <c r="K71" s="516"/>
      <c r="L71" s="516"/>
      <c r="M71" s="516"/>
      <c r="N71" s="516"/>
      <c r="O71" s="516"/>
      <c r="P71" s="516"/>
      <c r="Q71" s="516"/>
      <c r="R71" s="516"/>
      <c r="S71" s="516"/>
      <c r="T71" s="516"/>
      <c r="U71" s="516"/>
      <c r="V71" s="4"/>
      <c r="W71" s="4"/>
      <c r="X71" s="4"/>
      <c r="Y71" s="4"/>
    </row>
    <row r="72">
      <c r="A72" s="516"/>
      <c r="B72" s="516"/>
      <c r="C72" s="516"/>
      <c r="D72" s="516"/>
      <c r="E72" s="516"/>
      <c r="F72" s="516"/>
      <c r="G72" s="516"/>
      <c r="H72" s="516"/>
      <c r="I72" s="516"/>
      <c r="J72" s="516"/>
      <c r="K72" s="516"/>
      <c r="L72" s="516"/>
      <c r="M72" s="516"/>
      <c r="N72" s="516"/>
      <c r="O72" s="516"/>
      <c r="P72" s="516"/>
      <c r="Q72" s="516"/>
      <c r="R72" s="516"/>
      <c r="S72" s="516"/>
      <c r="T72" s="516"/>
      <c r="U72" s="516"/>
      <c r="V72" s="4"/>
      <c r="W72" s="4"/>
      <c r="X72" s="4"/>
      <c r="Y72" s="4"/>
    </row>
    <row r="73">
      <c r="A73" s="516"/>
      <c r="B73" s="516"/>
      <c r="C73" s="516"/>
      <c r="D73" s="516"/>
      <c r="E73" s="516"/>
      <c r="F73" s="516"/>
      <c r="G73" s="516"/>
      <c r="H73" s="516"/>
      <c r="I73" s="516"/>
      <c r="J73" s="516"/>
      <c r="K73" s="516"/>
      <c r="L73" s="516"/>
      <c r="M73" s="516"/>
      <c r="N73" s="516"/>
      <c r="O73" s="516"/>
      <c r="P73" s="516"/>
      <c r="Q73" s="516"/>
      <c r="R73" s="516"/>
      <c r="S73" s="516"/>
      <c r="T73" s="516"/>
      <c r="U73" s="516"/>
      <c r="V73" s="4"/>
      <c r="W73" s="4"/>
      <c r="X73" s="4"/>
      <c r="Y73" s="4"/>
    </row>
    <row r="74">
      <c r="A74" s="516"/>
      <c r="B74" s="516"/>
      <c r="C74" s="516"/>
      <c r="D74" s="516"/>
      <c r="E74" s="516"/>
      <c r="F74" s="516"/>
      <c r="G74" s="516"/>
      <c r="H74" s="516"/>
      <c r="I74" s="516"/>
      <c r="J74" s="516"/>
      <c r="K74" s="516"/>
      <c r="L74" s="516"/>
      <c r="M74" s="516"/>
      <c r="N74" s="516"/>
      <c r="O74" s="516"/>
      <c r="P74" s="516"/>
      <c r="Q74" s="516"/>
      <c r="R74" s="516"/>
      <c r="S74" s="516"/>
      <c r="T74" s="516"/>
      <c r="U74" s="516"/>
      <c r="V74" s="4"/>
      <c r="W74" s="4"/>
      <c r="X74" s="4"/>
      <c r="Y74" s="4"/>
    </row>
    <row r="75">
      <c r="A75" s="516"/>
      <c r="B75" s="516"/>
      <c r="C75" s="516"/>
      <c r="D75" s="516"/>
      <c r="E75" s="516"/>
      <c r="F75" s="516"/>
      <c r="G75" s="516"/>
      <c r="H75" s="516"/>
      <c r="I75" s="516"/>
      <c r="J75" s="516"/>
      <c r="K75" s="516"/>
      <c r="L75" s="516"/>
      <c r="M75" s="516"/>
      <c r="N75" s="516"/>
      <c r="O75" s="516"/>
      <c r="P75" s="516"/>
      <c r="Q75" s="516"/>
      <c r="R75" s="516"/>
      <c r="S75" s="516"/>
      <c r="T75" s="516"/>
      <c r="U75" s="516"/>
      <c r="V75" s="4"/>
      <c r="W75" s="4"/>
      <c r="X75" s="4"/>
      <c r="Y75" s="4"/>
    </row>
    <row r="76">
      <c r="A76" s="516"/>
      <c r="B76" s="516"/>
      <c r="C76" s="516"/>
      <c r="D76" s="516"/>
      <c r="E76" s="516"/>
      <c r="F76" s="516"/>
      <c r="G76" s="516"/>
      <c r="H76" s="516"/>
      <c r="I76" s="516"/>
      <c r="J76" s="516"/>
      <c r="K76" s="516"/>
      <c r="L76" s="516"/>
      <c r="M76" s="516"/>
      <c r="N76" s="516"/>
      <c r="O76" s="516"/>
      <c r="P76" s="516"/>
      <c r="Q76" s="516"/>
      <c r="R76" s="516"/>
      <c r="S76" s="516"/>
      <c r="T76" s="516"/>
      <c r="U76" s="516"/>
      <c r="V76" s="4"/>
      <c r="W76" s="4"/>
      <c r="X76" s="4"/>
      <c r="Y76" s="4"/>
    </row>
    <row r="77">
      <c r="A77" s="516"/>
      <c r="B77" s="516"/>
      <c r="C77" s="516"/>
      <c r="D77" s="516"/>
      <c r="E77" s="516"/>
      <c r="F77" s="516"/>
      <c r="G77" s="516"/>
      <c r="H77" s="516"/>
      <c r="I77" s="516"/>
      <c r="J77" s="516"/>
      <c r="K77" s="516"/>
      <c r="L77" s="516"/>
      <c r="M77" s="516"/>
      <c r="N77" s="516"/>
      <c r="O77" s="516"/>
      <c r="P77" s="516"/>
      <c r="Q77" s="516"/>
      <c r="R77" s="516"/>
      <c r="S77" s="516"/>
      <c r="T77" s="516"/>
      <c r="U77" s="516"/>
      <c r="V77" s="4"/>
      <c r="W77" s="4"/>
      <c r="X77" s="4"/>
      <c r="Y77" s="4"/>
    </row>
    <row r="78">
      <c r="A78" s="516"/>
      <c r="B78" s="516"/>
      <c r="C78" s="516"/>
      <c r="D78" s="516"/>
      <c r="E78" s="516"/>
      <c r="F78" s="516"/>
      <c r="G78" s="516"/>
      <c r="H78" s="516"/>
      <c r="I78" s="516"/>
      <c r="J78" s="516"/>
      <c r="K78" s="516"/>
      <c r="L78" s="516"/>
      <c r="M78" s="516"/>
      <c r="N78" s="516"/>
      <c r="O78" s="516"/>
      <c r="P78" s="516"/>
      <c r="Q78" s="516"/>
      <c r="R78" s="516"/>
      <c r="S78" s="516"/>
      <c r="T78" s="516"/>
      <c r="U78" s="516"/>
      <c r="V78" s="4"/>
      <c r="W78" s="4"/>
      <c r="X78" s="4"/>
      <c r="Y78" s="4"/>
    </row>
    <row r="79">
      <c r="A79" s="516"/>
      <c r="B79" s="516"/>
      <c r="C79" s="516"/>
      <c r="D79" s="516"/>
      <c r="E79" s="516"/>
      <c r="F79" s="516"/>
      <c r="G79" s="516"/>
      <c r="H79" s="516"/>
      <c r="I79" s="516"/>
      <c r="J79" s="516"/>
      <c r="K79" s="516"/>
      <c r="L79" s="516"/>
      <c r="M79" s="516"/>
      <c r="N79" s="516"/>
      <c r="O79" s="516"/>
      <c r="P79" s="516"/>
      <c r="Q79" s="516"/>
      <c r="R79" s="516"/>
      <c r="S79" s="516"/>
      <c r="T79" s="516"/>
      <c r="U79" s="516"/>
      <c r="V79" s="4"/>
      <c r="W79" s="4"/>
      <c r="X79" s="4"/>
      <c r="Y79" s="4"/>
    </row>
    <row r="80">
      <c r="A80" s="516"/>
      <c r="B80" s="516"/>
      <c r="C80" s="516"/>
      <c r="D80" s="516"/>
      <c r="E80" s="516"/>
      <c r="F80" s="516"/>
      <c r="G80" s="516"/>
      <c r="H80" s="516"/>
      <c r="I80" s="516"/>
      <c r="J80" s="516"/>
      <c r="K80" s="516"/>
      <c r="L80" s="516"/>
      <c r="M80" s="516"/>
      <c r="N80" s="516"/>
      <c r="O80" s="516"/>
      <c r="P80" s="516"/>
      <c r="Q80" s="516"/>
      <c r="R80" s="516"/>
      <c r="S80" s="516"/>
      <c r="T80" s="516"/>
      <c r="U80" s="516"/>
      <c r="V80" s="4"/>
      <c r="W80" s="4"/>
      <c r="X80" s="4"/>
      <c r="Y80" s="4"/>
    </row>
    <row r="81">
      <c r="A81" s="516"/>
      <c r="B81" s="516"/>
      <c r="C81" s="516"/>
      <c r="D81" s="516"/>
      <c r="E81" s="516"/>
      <c r="F81" s="516"/>
      <c r="G81" s="516"/>
      <c r="H81" s="516"/>
      <c r="I81" s="516"/>
      <c r="J81" s="516"/>
      <c r="K81" s="516"/>
      <c r="L81" s="516"/>
      <c r="M81" s="516"/>
      <c r="N81" s="516"/>
      <c r="O81" s="516"/>
      <c r="P81" s="516"/>
      <c r="Q81" s="516"/>
      <c r="R81" s="516"/>
      <c r="S81" s="516"/>
      <c r="T81" s="516"/>
      <c r="U81" s="516"/>
      <c r="V81" s="4"/>
      <c r="W81" s="4"/>
      <c r="X81" s="4"/>
      <c r="Y81" s="4"/>
    </row>
    <row r="82">
      <c r="A82" s="516"/>
      <c r="B82" s="516"/>
      <c r="C82" s="516"/>
      <c r="D82" s="516"/>
      <c r="E82" s="516"/>
      <c r="F82" s="516"/>
      <c r="G82" s="516"/>
      <c r="H82" s="516"/>
      <c r="I82" s="516"/>
      <c r="J82" s="516"/>
      <c r="K82" s="516"/>
      <c r="L82" s="516"/>
      <c r="M82" s="516"/>
      <c r="N82" s="516"/>
      <c r="O82" s="516"/>
      <c r="P82" s="516"/>
      <c r="Q82" s="516"/>
      <c r="R82" s="516"/>
      <c r="S82" s="516"/>
      <c r="T82" s="516"/>
      <c r="U82" s="516"/>
      <c r="V82" s="4"/>
      <c r="W82" s="4"/>
      <c r="X82" s="4"/>
      <c r="Y82" s="4"/>
    </row>
    <row r="83">
      <c r="A83" s="516"/>
      <c r="B83" s="516"/>
      <c r="C83" s="516"/>
      <c r="D83" s="516"/>
      <c r="E83" s="516"/>
      <c r="F83" s="516"/>
      <c r="G83" s="516"/>
      <c r="H83" s="516"/>
      <c r="I83" s="516"/>
      <c r="J83" s="516"/>
      <c r="K83" s="516"/>
      <c r="L83" s="516"/>
      <c r="M83" s="516"/>
      <c r="N83" s="516"/>
      <c r="O83" s="516"/>
      <c r="P83" s="516"/>
      <c r="Q83" s="516"/>
      <c r="R83" s="516"/>
      <c r="S83" s="516"/>
      <c r="T83" s="516"/>
      <c r="U83" s="516"/>
      <c r="V83" s="4"/>
      <c r="W83" s="4"/>
      <c r="X83" s="4"/>
      <c r="Y83" s="4"/>
    </row>
    <row r="84">
      <c r="A84" s="516"/>
      <c r="B84" s="516"/>
      <c r="C84" s="516"/>
      <c r="D84" s="516"/>
      <c r="E84" s="516"/>
      <c r="F84" s="516"/>
      <c r="G84" s="516"/>
      <c r="H84" s="516"/>
      <c r="I84" s="516"/>
      <c r="J84" s="516"/>
      <c r="K84" s="516"/>
      <c r="L84" s="516"/>
      <c r="M84" s="516"/>
      <c r="N84" s="516"/>
      <c r="O84" s="516"/>
      <c r="P84" s="516"/>
      <c r="Q84" s="516"/>
      <c r="R84" s="516"/>
      <c r="S84" s="516"/>
      <c r="T84" s="516"/>
      <c r="U84" s="516"/>
      <c r="V84" s="4"/>
      <c r="W84" s="4"/>
      <c r="X84" s="4"/>
      <c r="Y84" s="4"/>
    </row>
    <row r="85">
      <c r="A85" s="516"/>
      <c r="B85" s="516"/>
      <c r="C85" s="516"/>
      <c r="D85" s="516"/>
      <c r="E85" s="516"/>
      <c r="F85" s="516"/>
      <c r="G85" s="516"/>
      <c r="H85" s="516"/>
      <c r="I85" s="516"/>
      <c r="J85" s="516"/>
      <c r="K85" s="516"/>
      <c r="L85" s="516"/>
      <c r="M85" s="516"/>
      <c r="N85" s="516"/>
      <c r="O85" s="516"/>
      <c r="P85" s="516"/>
      <c r="Q85" s="516"/>
      <c r="R85" s="516"/>
      <c r="S85" s="516"/>
      <c r="T85" s="516"/>
      <c r="U85" s="516"/>
      <c r="V85" s="4"/>
      <c r="W85" s="4"/>
      <c r="X85" s="4"/>
      <c r="Y85" s="4"/>
    </row>
    <row r="86">
      <c r="A86" s="516"/>
      <c r="B86" s="516"/>
      <c r="C86" s="516"/>
      <c r="D86" s="516"/>
      <c r="E86" s="516"/>
      <c r="F86" s="516"/>
      <c r="G86" s="516"/>
      <c r="H86" s="516"/>
      <c r="I86" s="516"/>
      <c r="J86" s="516"/>
      <c r="K86" s="516"/>
      <c r="L86" s="516"/>
      <c r="M86" s="516"/>
      <c r="N86" s="516"/>
      <c r="O86" s="516"/>
      <c r="P86" s="516"/>
      <c r="Q86" s="516"/>
      <c r="R86" s="516"/>
      <c r="S86" s="516"/>
      <c r="T86" s="516"/>
      <c r="U86" s="516"/>
      <c r="V86" s="4"/>
      <c r="W86" s="4"/>
      <c r="X86" s="4"/>
      <c r="Y86" s="4"/>
    </row>
    <row r="87">
      <c r="A87" s="516"/>
      <c r="B87" s="516"/>
      <c r="C87" s="516"/>
      <c r="D87" s="516"/>
      <c r="E87" s="516"/>
      <c r="F87" s="516"/>
      <c r="G87" s="516"/>
      <c r="H87" s="516"/>
      <c r="I87" s="516"/>
      <c r="J87" s="516"/>
      <c r="K87" s="516"/>
      <c r="L87" s="516"/>
      <c r="M87" s="516"/>
      <c r="N87" s="516"/>
      <c r="O87" s="516"/>
      <c r="P87" s="516"/>
      <c r="Q87" s="516"/>
      <c r="R87" s="516"/>
      <c r="S87" s="516"/>
      <c r="T87" s="516"/>
      <c r="U87" s="516"/>
      <c r="V87" s="4"/>
      <c r="W87" s="4"/>
      <c r="X87" s="4"/>
      <c r="Y87" s="4"/>
    </row>
    <row r="88">
      <c r="A88" s="516"/>
      <c r="B88" s="516"/>
      <c r="C88" s="516"/>
      <c r="D88" s="516"/>
      <c r="E88" s="516"/>
      <c r="F88" s="516"/>
      <c r="G88" s="516"/>
      <c r="H88" s="516"/>
      <c r="I88" s="516"/>
      <c r="J88" s="516"/>
      <c r="K88" s="516"/>
      <c r="L88" s="516"/>
      <c r="M88" s="516"/>
      <c r="N88" s="516"/>
      <c r="O88" s="516"/>
      <c r="P88" s="516"/>
      <c r="Q88" s="516"/>
      <c r="R88" s="516"/>
      <c r="S88" s="516"/>
      <c r="T88" s="516"/>
      <c r="U88" s="516"/>
      <c r="V88" s="4"/>
      <c r="W88" s="4"/>
      <c r="X88" s="4"/>
      <c r="Y88" s="4"/>
    </row>
    <row r="89">
      <c r="A89" s="516"/>
      <c r="B89" s="516"/>
      <c r="C89" s="516"/>
      <c r="D89" s="516"/>
      <c r="E89" s="516"/>
      <c r="F89" s="516"/>
      <c r="G89" s="516"/>
      <c r="H89" s="516"/>
      <c r="I89" s="516"/>
      <c r="J89" s="516"/>
      <c r="K89" s="516"/>
      <c r="L89" s="516"/>
      <c r="M89" s="516"/>
      <c r="N89" s="516"/>
      <c r="O89" s="516"/>
      <c r="P89" s="516"/>
      <c r="Q89" s="516"/>
      <c r="R89" s="516"/>
      <c r="S89" s="516"/>
      <c r="T89" s="516"/>
      <c r="U89" s="516"/>
      <c r="V89" s="4"/>
      <c r="W89" s="4"/>
      <c r="X89" s="4"/>
      <c r="Y89" s="4"/>
    </row>
    <row r="90">
      <c r="A90" s="516"/>
      <c r="B90" s="516"/>
      <c r="C90" s="516"/>
      <c r="D90" s="516"/>
      <c r="E90" s="516"/>
      <c r="F90" s="516"/>
      <c r="G90" s="516"/>
      <c r="H90" s="516"/>
      <c r="I90" s="516"/>
      <c r="J90" s="516"/>
      <c r="K90" s="516"/>
      <c r="L90" s="516"/>
      <c r="M90" s="516"/>
      <c r="N90" s="516"/>
      <c r="O90" s="516"/>
      <c r="P90" s="516"/>
      <c r="Q90" s="516"/>
      <c r="R90" s="516"/>
      <c r="S90" s="516"/>
      <c r="T90" s="516"/>
      <c r="U90" s="516"/>
      <c r="V90" s="4"/>
      <c r="W90" s="4"/>
      <c r="X90" s="4"/>
      <c r="Y90" s="4"/>
    </row>
    <row r="91">
      <c r="A91" s="516"/>
      <c r="B91" s="516"/>
      <c r="C91" s="516"/>
      <c r="D91" s="516"/>
      <c r="E91" s="516"/>
      <c r="F91" s="516"/>
      <c r="G91" s="516"/>
      <c r="H91" s="516"/>
      <c r="I91" s="516"/>
      <c r="J91" s="516"/>
      <c r="K91" s="516"/>
      <c r="L91" s="516"/>
      <c r="M91" s="516"/>
      <c r="N91" s="516"/>
      <c r="O91" s="516"/>
      <c r="P91" s="516"/>
      <c r="Q91" s="516"/>
      <c r="R91" s="516"/>
      <c r="S91" s="516"/>
      <c r="T91" s="516"/>
      <c r="U91" s="516"/>
      <c r="V91" s="4"/>
      <c r="W91" s="4"/>
      <c r="X91" s="4"/>
      <c r="Y91" s="4"/>
    </row>
    <row r="92">
      <c r="A92" s="516"/>
      <c r="B92" s="516"/>
      <c r="C92" s="516"/>
      <c r="D92" s="516"/>
      <c r="E92" s="516"/>
      <c r="F92" s="516"/>
      <c r="G92" s="516"/>
      <c r="H92" s="516"/>
      <c r="I92" s="516"/>
      <c r="J92" s="516"/>
      <c r="K92" s="516"/>
      <c r="L92" s="516"/>
      <c r="M92" s="516"/>
      <c r="N92" s="516"/>
      <c r="O92" s="516"/>
      <c r="P92" s="516"/>
      <c r="Q92" s="516"/>
      <c r="R92" s="516"/>
      <c r="S92" s="516"/>
      <c r="T92" s="516"/>
      <c r="U92" s="516"/>
      <c r="V92" s="4"/>
      <c r="W92" s="4"/>
      <c r="X92" s="4"/>
      <c r="Y92" s="4"/>
    </row>
    <row r="93">
      <c r="A93" s="516"/>
      <c r="B93" s="516"/>
      <c r="C93" s="516"/>
      <c r="D93" s="516"/>
      <c r="E93" s="516"/>
      <c r="F93" s="516"/>
      <c r="G93" s="516"/>
      <c r="H93" s="516"/>
      <c r="I93" s="516"/>
      <c r="J93" s="516"/>
      <c r="K93" s="516"/>
      <c r="L93" s="516"/>
      <c r="M93" s="516"/>
      <c r="N93" s="516"/>
      <c r="O93" s="516"/>
      <c r="P93" s="516"/>
      <c r="Q93" s="516"/>
      <c r="R93" s="516"/>
      <c r="S93" s="516"/>
      <c r="T93" s="516"/>
      <c r="U93" s="516"/>
      <c r="V93" s="4"/>
      <c r="W93" s="4"/>
      <c r="X93" s="4"/>
      <c r="Y93" s="4"/>
    </row>
    <row r="94">
      <c r="A94" s="516"/>
      <c r="B94" s="516"/>
      <c r="C94" s="516"/>
      <c r="D94" s="516"/>
      <c r="E94" s="516"/>
      <c r="F94" s="516"/>
      <c r="G94" s="516"/>
      <c r="H94" s="516"/>
      <c r="I94" s="516"/>
      <c r="J94" s="516"/>
      <c r="K94" s="516"/>
      <c r="L94" s="516"/>
      <c r="M94" s="516"/>
      <c r="N94" s="516"/>
      <c r="O94" s="516"/>
      <c r="P94" s="516"/>
      <c r="Q94" s="516"/>
      <c r="R94" s="516"/>
      <c r="S94" s="516"/>
      <c r="T94" s="516"/>
      <c r="U94" s="516"/>
      <c r="V94" s="4"/>
      <c r="W94" s="4"/>
      <c r="X94" s="4"/>
      <c r="Y94" s="4"/>
    </row>
    <row r="95">
      <c r="A95" s="516"/>
      <c r="B95" s="516"/>
      <c r="C95" s="516"/>
      <c r="D95" s="516"/>
      <c r="E95" s="516"/>
      <c r="F95" s="516"/>
      <c r="G95" s="516"/>
      <c r="H95" s="516"/>
      <c r="I95" s="516"/>
      <c r="J95" s="516"/>
      <c r="K95" s="516"/>
      <c r="L95" s="516"/>
      <c r="M95" s="516"/>
      <c r="N95" s="516"/>
      <c r="O95" s="516"/>
      <c r="P95" s="516"/>
      <c r="Q95" s="516"/>
      <c r="R95" s="516"/>
      <c r="S95" s="516"/>
      <c r="T95" s="516"/>
      <c r="U95" s="516"/>
      <c r="V95" s="4"/>
      <c r="W95" s="4"/>
      <c r="X95" s="4"/>
      <c r="Y95" s="4"/>
    </row>
    <row r="96">
      <c r="A96" s="516"/>
      <c r="B96" s="516"/>
      <c r="C96" s="516"/>
      <c r="D96" s="516"/>
      <c r="E96" s="516"/>
      <c r="F96" s="516"/>
      <c r="G96" s="516"/>
      <c r="H96" s="516"/>
      <c r="I96" s="516"/>
      <c r="J96" s="516"/>
      <c r="K96" s="516"/>
      <c r="L96" s="516"/>
      <c r="M96" s="516"/>
      <c r="N96" s="516"/>
      <c r="O96" s="516"/>
      <c r="P96" s="516"/>
      <c r="Q96" s="516"/>
      <c r="R96" s="516"/>
      <c r="S96" s="516"/>
      <c r="T96" s="516"/>
      <c r="U96" s="516"/>
      <c r="V96" s="4"/>
      <c r="W96" s="4"/>
      <c r="X96" s="4"/>
      <c r="Y96" s="4"/>
    </row>
    <row r="97">
      <c r="A97" s="516"/>
      <c r="B97" s="516"/>
      <c r="C97" s="516"/>
      <c r="D97" s="516"/>
      <c r="E97" s="516"/>
      <c r="F97" s="516"/>
      <c r="G97" s="516"/>
      <c r="H97" s="516"/>
      <c r="I97" s="516"/>
      <c r="J97" s="516"/>
      <c r="K97" s="516"/>
      <c r="L97" s="516"/>
      <c r="M97" s="516"/>
      <c r="N97" s="516"/>
      <c r="O97" s="516"/>
      <c r="P97" s="516"/>
      <c r="Q97" s="516"/>
      <c r="R97" s="516"/>
      <c r="S97" s="516"/>
      <c r="T97" s="516"/>
      <c r="U97" s="516"/>
      <c r="V97" s="4"/>
      <c r="W97" s="4"/>
      <c r="X97" s="4"/>
      <c r="Y97" s="4"/>
    </row>
    <row r="98">
      <c r="A98" s="516"/>
      <c r="B98" s="516"/>
      <c r="C98" s="516"/>
      <c r="D98" s="516"/>
      <c r="E98" s="516"/>
      <c r="F98" s="516"/>
      <c r="G98" s="516"/>
      <c r="H98" s="516"/>
      <c r="I98" s="516"/>
      <c r="J98" s="516"/>
      <c r="K98" s="516"/>
      <c r="L98" s="516"/>
      <c r="M98" s="516"/>
      <c r="N98" s="516"/>
      <c r="O98" s="516"/>
      <c r="P98" s="516"/>
      <c r="Q98" s="516"/>
      <c r="R98" s="516"/>
      <c r="S98" s="516"/>
      <c r="T98" s="516"/>
      <c r="U98" s="516"/>
      <c r="V98" s="4"/>
      <c r="W98" s="4"/>
      <c r="X98" s="4"/>
      <c r="Y98" s="4"/>
    </row>
    <row r="99">
      <c r="A99" s="516"/>
      <c r="B99" s="516"/>
      <c r="C99" s="516"/>
      <c r="D99" s="516"/>
      <c r="E99" s="516"/>
      <c r="F99" s="516"/>
      <c r="G99" s="516"/>
      <c r="H99" s="516"/>
      <c r="I99" s="516"/>
      <c r="J99" s="516"/>
      <c r="K99" s="516"/>
      <c r="L99" s="516"/>
      <c r="M99" s="516"/>
      <c r="N99" s="516"/>
      <c r="O99" s="516"/>
      <c r="P99" s="516"/>
      <c r="Q99" s="516"/>
      <c r="R99" s="516"/>
      <c r="S99" s="516"/>
      <c r="T99" s="516"/>
      <c r="U99" s="516"/>
      <c r="V99" s="4"/>
      <c r="W99" s="4"/>
      <c r="X99" s="4"/>
      <c r="Y99" s="4"/>
    </row>
    <row r="100">
      <c r="A100" s="516"/>
      <c r="B100" s="516"/>
      <c r="C100" s="516"/>
      <c r="D100" s="516"/>
      <c r="E100" s="516"/>
      <c r="F100" s="516"/>
      <c r="G100" s="516"/>
      <c r="H100" s="516"/>
      <c r="I100" s="516"/>
      <c r="J100" s="516"/>
      <c r="K100" s="516"/>
      <c r="L100" s="516"/>
      <c r="M100" s="516"/>
      <c r="N100" s="516"/>
      <c r="O100" s="516"/>
      <c r="P100" s="516"/>
      <c r="Q100" s="516"/>
      <c r="R100" s="516"/>
      <c r="S100" s="516"/>
      <c r="T100" s="516"/>
      <c r="U100" s="516"/>
      <c r="V100" s="4"/>
      <c r="W100" s="4"/>
      <c r="X100" s="4"/>
      <c r="Y100" s="4"/>
    </row>
    <row r="101">
      <c r="A101" s="516"/>
      <c r="B101" s="516"/>
      <c r="C101" s="516"/>
      <c r="D101" s="516"/>
      <c r="E101" s="516"/>
      <c r="F101" s="516"/>
      <c r="G101" s="516"/>
      <c r="H101" s="516"/>
      <c r="I101" s="516"/>
      <c r="J101" s="516"/>
      <c r="K101" s="516"/>
      <c r="L101" s="516"/>
      <c r="M101" s="516"/>
      <c r="N101" s="516"/>
      <c r="O101" s="516"/>
      <c r="P101" s="516"/>
      <c r="Q101" s="516"/>
      <c r="R101" s="516"/>
      <c r="S101" s="516"/>
      <c r="T101" s="516"/>
      <c r="U101" s="516"/>
      <c r="V101" s="4"/>
      <c r="W101" s="4"/>
      <c r="X101" s="4"/>
      <c r="Y101" s="4"/>
    </row>
    <row r="102">
      <c r="A102" s="516"/>
      <c r="B102" s="516"/>
      <c r="C102" s="516"/>
      <c r="D102" s="516"/>
      <c r="E102" s="516"/>
      <c r="F102" s="516"/>
      <c r="G102" s="516"/>
      <c r="H102" s="516"/>
      <c r="I102" s="516"/>
      <c r="J102" s="516"/>
      <c r="K102" s="516"/>
      <c r="L102" s="516"/>
      <c r="M102" s="516"/>
      <c r="N102" s="516"/>
      <c r="O102" s="516"/>
      <c r="P102" s="516"/>
      <c r="Q102" s="516"/>
      <c r="R102" s="516"/>
      <c r="S102" s="516"/>
      <c r="T102" s="516"/>
      <c r="U102" s="516"/>
      <c r="V102" s="4"/>
      <c r="W102" s="4"/>
      <c r="X102" s="4"/>
      <c r="Y102" s="4"/>
    </row>
    <row r="103">
      <c r="A103" s="516"/>
      <c r="B103" s="516"/>
      <c r="C103" s="516"/>
      <c r="D103" s="516"/>
      <c r="E103" s="516"/>
      <c r="F103" s="516"/>
      <c r="G103" s="516"/>
      <c r="H103" s="516"/>
      <c r="I103" s="516"/>
      <c r="J103" s="516"/>
      <c r="K103" s="516"/>
      <c r="L103" s="516"/>
      <c r="M103" s="516"/>
      <c r="N103" s="516"/>
      <c r="O103" s="516"/>
      <c r="P103" s="516"/>
      <c r="Q103" s="516"/>
      <c r="R103" s="516"/>
      <c r="S103" s="516"/>
      <c r="T103" s="516"/>
      <c r="U103" s="516"/>
      <c r="V103" s="4"/>
      <c r="W103" s="4"/>
      <c r="X103" s="4"/>
      <c r="Y103" s="4"/>
    </row>
    <row r="104">
      <c r="A104" s="516"/>
      <c r="B104" s="516"/>
      <c r="C104" s="516"/>
      <c r="D104" s="516"/>
      <c r="E104" s="516"/>
      <c r="F104" s="516"/>
      <c r="G104" s="516"/>
      <c r="H104" s="516"/>
      <c r="I104" s="516"/>
      <c r="J104" s="516"/>
      <c r="K104" s="516"/>
      <c r="L104" s="516"/>
      <c r="M104" s="516"/>
      <c r="N104" s="516"/>
      <c r="O104" s="516"/>
      <c r="P104" s="516"/>
      <c r="Q104" s="516"/>
      <c r="R104" s="516"/>
      <c r="S104" s="516"/>
      <c r="T104" s="516"/>
      <c r="U104" s="516"/>
      <c r="V104" s="4"/>
      <c r="W104" s="4"/>
      <c r="X104" s="4"/>
      <c r="Y104" s="4"/>
    </row>
    <row r="105">
      <c r="A105" s="516"/>
      <c r="B105" s="516"/>
      <c r="C105" s="516"/>
      <c r="D105" s="516"/>
      <c r="E105" s="516"/>
      <c r="F105" s="516"/>
      <c r="G105" s="516"/>
      <c r="H105" s="516"/>
      <c r="I105" s="516"/>
      <c r="J105" s="516"/>
      <c r="K105" s="516"/>
      <c r="L105" s="516"/>
      <c r="M105" s="516"/>
      <c r="N105" s="516"/>
      <c r="O105" s="516"/>
      <c r="P105" s="516"/>
      <c r="Q105" s="516"/>
      <c r="R105" s="516"/>
      <c r="S105" s="516"/>
      <c r="T105" s="516"/>
      <c r="U105" s="516"/>
      <c r="V105" s="4"/>
      <c r="W105" s="4"/>
      <c r="X105" s="4"/>
      <c r="Y105" s="4"/>
    </row>
    <row r="106">
      <c r="A106" s="516"/>
      <c r="B106" s="516"/>
      <c r="C106" s="516"/>
      <c r="D106" s="516"/>
      <c r="E106" s="516"/>
      <c r="F106" s="516"/>
      <c r="G106" s="516"/>
      <c r="H106" s="516"/>
      <c r="I106" s="516"/>
      <c r="J106" s="516"/>
      <c r="K106" s="516"/>
      <c r="L106" s="516"/>
      <c r="M106" s="516"/>
      <c r="N106" s="516"/>
      <c r="O106" s="516"/>
      <c r="P106" s="516"/>
      <c r="Q106" s="516"/>
      <c r="R106" s="516"/>
      <c r="S106" s="516"/>
      <c r="T106" s="516"/>
      <c r="U106" s="516"/>
      <c r="V106" s="4"/>
      <c r="W106" s="4"/>
      <c r="X106" s="4"/>
      <c r="Y106" s="4"/>
    </row>
    <row r="107">
      <c r="A107" s="516"/>
      <c r="B107" s="516"/>
      <c r="C107" s="516"/>
      <c r="D107" s="516"/>
      <c r="E107" s="516"/>
      <c r="F107" s="516"/>
      <c r="G107" s="516"/>
      <c r="H107" s="516"/>
      <c r="I107" s="516"/>
      <c r="J107" s="516"/>
      <c r="K107" s="516"/>
      <c r="L107" s="516"/>
      <c r="M107" s="516"/>
      <c r="N107" s="516"/>
      <c r="O107" s="516"/>
      <c r="P107" s="516"/>
      <c r="Q107" s="516"/>
      <c r="R107" s="516"/>
      <c r="S107" s="516"/>
      <c r="T107" s="516"/>
      <c r="U107" s="516"/>
      <c r="V107" s="4"/>
      <c r="W107" s="4"/>
      <c r="X107" s="4"/>
      <c r="Y107" s="4"/>
    </row>
    <row r="108">
      <c r="A108" s="516"/>
      <c r="B108" s="516"/>
      <c r="C108" s="516"/>
      <c r="D108" s="516"/>
      <c r="E108" s="516"/>
      <c r="F108" s="516"/>
      <c r="G108" s="516"/>
      <c r="H108" s="516"/>
      <c r="I108" s="516"/>
      <c r="J108" s="516"/>
      <c r="K108" s="516"/>
      <c r="L108" s="516"/>
      <c r="M108" s="516"/>
      <c r="N108" s="516"/>
      <c r="O108" s="516"/>
      <c r="P108" s="516"/>
      <c r="Q108" s="516"/>
      <c r="R108" s="516"/>
      <c r="S108" s="516"/>
      <c r="T108" s="516"/>
      <c r="U108" s="516"/>
      <c r="V108" s="4"/>
      <c r="W108" s="4"/>
      <c r="X108" s="4"/>
      <c r="Y108" s="4"/>
    </row>
    <row r="109">
      <c r="A109" s="516"/>
      <c r="B109" s="516"/>
      <c r="C109" s="516"/>
      <c r="D109" s="516"/>
      <c r="E109" s="516"/>
      <c r="F109" s="516"/>
      <c r="G109" s="516"/>
      <c r="H109" s="516"/>
      <c r="I109" s="516"/>
      <c r="J109" s="516"/>
      <c r="K109" s="516"/>
      <c r="L109" s="516"/>
      <c r="M109" s="516"/>
      <c r="N109" s="516"/>
      <c r="O109" s="516"/>
      <c r="P109" s="516"/>
      <c r="Q109" s="516"/>
      <c r="R109" s="516"/>
      <c r="S109" s="516"/>
      <c r="T109" s="516"/>
      <c r="U109" s="516"/>
      <c r="V109" s="4"/>
      <c r="W109" s="4"/>
      <c r="X109" s="4"/>
      <c r="Y109" s="4"/>
    </row>
    <row r="110">
      <c r="A110" s="516"/>
      <c r="B110" s="516"/>
      <c r="C110" s="516"/>
      <c r="D110" s="516"/>
      <c r="E110" s="516"/>
      <c r="F110" s="516"/>
      <c r="G110" s="516"/>
      <c r="H110" s="516"/>
      <c r="I110" s="516"/>
      <c r="J110" s="516"/>
      <c r="K110" s="516"/>
      <c r="L110" s="516"/>
      <c r="M110" s="516"/>
      <c r="N110" s="516"/>
      <c r="O110" s="516"/>
      <c r="P110" s="516"/>
      <c r="Q110" s="516"/>
      <c r="R110" s="516"/>
      <c r="S110" s="516"/>
      <c r="T110" s="516"/>
      <c r="U110" s="516"/>
      <c r="V110" s="4"/>
      <c r="W110" s="4"/>
      <c r="X110" s="4"/>
      <c r="Y110" s="4"/>
    </row>
    <row r="111">
      <c r="A111" s="516"/>
      <c r="B111" s="516"/>
      <c r="C111" s="516"/>
      <c r="D111" s="516"/>
      <c r="E111" s="516"/>
      <c r="F111" s="516"/>
      <c r="G111" s="516"/>
      <c r="H111" s="516"/>
      <c r="I111" s="516"/>
      <c r="J111" s="516"/>
      <c r="K111" s="516"/>
      <c r="L111" s="516"/>
      <c r="M111" s="516"/>
      <c r="N111" s="516"/>
      <c r="O111" s="516"/>
      <c r="P111" s="516"/>
      <c r="Q111" s="516"/>
      <c r="R111" s="516"/>
      <c r="S111" s="516"/>
      <c r="T111" s="516"/>
      <c r="U111" s="516"/>
      <c r="V111" s="4"/>
      <c r="W111" s="4"/>
      <c r="X111" s="4"/>
      <c r="Y111" s="4"/>
    </row>
    <row r="112">
      <c r="A112" s="516"/>
      <c r="B112" s="516"/>
      <c r="C112" s="516"/>
      <c r="D112" s="516"/>
      <c r="E112" s="516"/>
      <c r="F112" s="516"/>
      <c r="G112" s="516"/>
      <c r="H112" s="516"/>
      <c r="I112" s="516"/>
      <c r="J112" s="516"/>
      <c r="K112" s="516"/>
      <c r="L112" s="516"/>
      <c r="M112" s="516"/>
      <c r="N112" s="516"/>
      <c r="O112" s="516"/>
      <c r="P112" s="516"/>
      <c r="Q112" s="516"/>
      <c r="R112" s="516"/>
      <c r="S112" s="516"/>
      <c r="T112" s="516"/>
      <c r="U112" s="516"/>
      <c r="V112" s="4"/>
      <c r="W112" s="4"/>
      <c r="X112" s="4"/>
      <c r="Y112" s="4"/>
    </row>
    <row r="113">
      <c r="A113" s="516"/>
      <c r="B113" s="516"/>
      <c r="C113" s="516"/>
      <c r="D113" s="516"/>
      <c r="E113" s="516"/>
      <c r="F113" s="516"/>
      <c r="G113" s="516"/>
      <c r="H113" s="516"/>
      <c r="I113" s="516"/>
      <c r="J113" s="516"/>
      <c r="K113" s="516"/>
      <c r="L113" s="516"/>
      <c r="M113" s="516"/>
      <c r="N113" s="516"/>
      <c r="O113" s="516"/>
      <c r="P113" s="516"/>
      <c r="Q113" s="516"/>
      <c r="R113" s="516"/>
      <c r="S113" s="516"/>
      <c r="T113" s="516"/>
      <c r="U113" s="516"/>
      <c r="V113" s="4"/>
      <c r="W113" s="4"/>
      <c r="X113" s="4"/>
      <c r="Y113" s="4"/>
    </row>
    <row r="114">
      <c r="A114" s="516"/>
      <c r="B114" s="516"/>
      <c r="C114" s="516"/>
      <c r="D114" s="516"/>
      <c r="E114" s="516"/>
      <c r="F114" s="516"/>
      <c r="G114" s="516"/>
      <c r="H114" s="516"/>
      <c r="I114" s="516"/>
      <c r="J114" s="516"/>
      <c r="K114" s="516"/>
      <c r="L114" s="516"/>
      <c r="M114" s="516"/>
      <c r="N114" s="516"/>
      <c r="O114" s="516"/>
      <c r="P114" s="516"/>
      <c r="Q114" s="516"/>
      <c r="R114" s="516"/>
      <c r="S114" s="516"/>
      <c r="T114" s="516"/>
      <c r="U114" s="516"/>
      <c r="V114" s="4"/>
      <c r="W114" s="4"/>
      <c r="X114" s="4"/>
      <c r="Y114" s="4"/>
    </row>
    <row r="115">
      <c r="A115" s="516"/>
      <c r="B115" s="516"/>
      <c r="C115" s="516"/>
      <c r="D115" s="516"/>
      <c r="E115" s="516"/>
      <c r="F115" s="516"/>
      <c r="G115" s="516"/>
      <c r="H115" s="516"/>
      <c r="I115" s="516"/>
      <c r="J115" s="516"/>
      <c r="K115" s="516"/>
      <c r="L115" s="516"/>
      <c r="M115" s="516"/>
      <c r="N115" s="516"/>
      <c r="O115" s="516"/>
      <c r="P115" s="516"/>
      <c r="Q115" s="516"/>
      <c r="R115" s="516"/>
      <c r="S115" s="516"/>
      <c r="T115" s="516"/>
      <c r="U115" s="516"/>
      <c r="V115" s="4"/>
      <c r="W115" s="4"/>
      <c r="X115" s="4"/>
      <c r="Y115" s="4"/>
    </row>
    <row r="116">
      <c r="A116" s="516"/>
      <c r="B116" s="516"/>
      <c r="C116" s="516"/>
      <c r="D116" s="516"/>
      <c r="E116" s="516"/>
      <c r="F116" s="516"/>
      <c r="G116" s="516"/>
      <c r="H116" s="516"/>
      <c r="I116" s="516"/>
      <c r="J116" s="516"/>
      <c r="K116" s="516"/>
      <c r="L116" s="516"/>
      <c r="M116" s="516"/>
      <c r="N116" s="516"/>
      <c r="O116" s="516"/>
      <c r="P116" s="516"/>
      <c r="Q116" s="516"/>
      <c r="R116" s="516"/>
      <c r="S116" s="516"/>
      <c r="T116" s="516"/>
      <c r="U116" s="516"/>
      <c r="V116" s="4"/>
      <c r="W116" s="4"/>
      <c r="X116" s="4"/>
      <c r="Y116" s="4"/>
    </row>
    <row r="117">
      <c r="A117" s="516"/>
      <c r="B117" s="516"/>
      <c r="C117" s="516"/>
      <c r="D117" s="516"/>
      <c r="E117" s="516"/>
      <c r="F117" s="516"/>
      <c r="G117" s="516"/>
      <c r="H117" s="516"/>
      <c r="I117" s="516"/>
      <c r="J117" s="516"/>
      <c r="K117" s="516"/>
      <c r="L117" s="516"/>
      <c r="M117" s="516"/>
      <c r="N117" s="516"/>
      <c r="O117" s="516"/>
      <c r="P117" s="516"/>
      <c r="Q117" s="516"/>
      <c r="R117" s="516"/>
      <c r="S117" s="516"/>
      <c r="T117" s="516"/>
      <c r="U117" s="516"/>
      <c r="V117" s="4"/>
      <c r="W117" s="4"/>
      <c r="X117" s="4"/>
      <c r="Y117" s="4"/>
    </row>
    <row r="118">
      <c r="A118" s="516"/>
      <c r="B118" s="516"/>
      <c r="C118" s="516"/>
      <c r="D118" s="516"/>
      <c r="E118" s="516"/>
      <c r="F118" s="516"/>
      <c r="G118" s="516"/>
      <c r="H118" s="516"/>
      <c r="I118" s="516"/>
      <c r="J118" s="516"/>
      <c r="K118" s="516"/>
      <c r="L118" s="516"/>
      <c r="M118" s="516"/>
      <c r="N118" s="516"/>
      <c r="O118" s="516"/>
      <c r="P118" s="516"/>
      <c r="Q118" s="516"/>
      <c r="R118" s="516"/>
      <c r="S118" s="516"/>
      <c r="T118" s="516"/>
      <c r="U118" s="516"/>
      <c r="V118" s="4"/>
      <c r="W118" s="4"/>
      <c r="X118" s="4"/>
      <c r="Y118" s="4"/>
    </row>
    <row r="119">
      <c r="A119" s="516"/>
      <c r="B119" s="516"/>
      <c r="C119" s="516"/>
      <c r="D119" s="516"/>
      <c r="E119" s="516"/>
      <c r="F119" s="516"/>
      <c r="G119" s="516"/>
      <c r="H119" s="516"/>
      <c r="I119" s="516"/>
      <c r="J119" s="516"/>
      <c r="K119" s="516"/>
      <c r="L119" s="516"/>
      <c r="M119" s="516"/>
      <c r="N119" s="516"/>
      <c r="O119" s="516"/>
      <c r="P119" s="516"/>
      <c r="Q119" s="516"/>
      <c r="R119" s="516"/>
      <c r="S119" s="516"/>
      <c r="T119" s="516"/>
      <c r="U119" s="516"/>
      <c r="V119" s="4"/>
      <c r="W119" s="4"/>
      <c r="X119" s="4"/>
      <c r="Y119" s="4"/>
    </row>
    <row r="120">
      <c r="A120" s="516"/>
      <c r="B120" s="516"/>
      <c r="C120" s="516"/>
      <c r="D120" s="516"/>
      <c r="E120" s="516"/>
      <c r="F120" s="516"/>
      <c r="G120" s="516"/>
      <c r="H120" s="516"/>
      <c r="I120" s="516"/>
      <c r="J120" s="516"/>
      <c r="K120" s="516"/>
      <c r="L120" s="516"/>
      <c r="M120" s="516"/>
      <c r="N120" s="516"/>
      <c r="O120" s="516"/>
      <c r="P120" s="516"/>
      <c r="Q120" s="516"/>
      <c r="R120" s="516"/>
      <c r="S120" s="516"/>
      <c r="T120" s="516"/>
      <c r="U120" s="516"/>
      <c r="V120" s="4"/>
      <c r="W120" s="4"/>
      <c r="X120" s="4"/>
      <c r="Y120" s="4"/>
    </row>
    <row r="121">
      <c r="A121" s="516"/>
      <c r="B121" s="516"/>
      <c r="C121" s="516"/>
      <c r="D121" s="516"/>
      <c r="E121" s="516"/>
      <c r="F121" s="516"/>
      <c r="G121" s="516"/>
      <c r="H121" s="516"/>
      <c r="I121" s="516"/>
      <c r="J121" s="516"/>
      <c r="K121" s="516"/>
      <c r="L121" s="516"/>
      <c r="M121" s="516"/>
      <c r="N121" s="516"/>
      <c r="O121" s="516"/>
      <c r="P121" s="516"/>
      <c r="Q121" s="516"/>
      <c r="R121" s="516"/>
      <c r="S121" s="516"/>
      <c r="T121" s="516"/>
      <c r="U121" s="516"/>
      <c r="V121" s="4"/>
      <c r="W121" s="4"/>
      <c r="X121" s="4"/>
      <c r="Y121" s="4"/>
    </row>
    <row r="122">
      <c r="A122" s="516"/>
      <c r="B122" s="516"/>
      <c r="C122" s="516"/>
      <c r="D122" s="516"/>
      <c r="E122" s="516"/>
      <c r="F122" s="516"/>
      <c r="G122" s="516"/>
      <c r="H122" s="516"/>
      <c r="I122" s="516"/>
      <c r="J122" s="516"/>
      <c r="K122" s="516"/>
      <c r="L122" s="516"/>
      <c r="M122" s="516"/>
      <c r="N122" s="516"/>
      <c r="O122" s="516"/>
      <c r="P122" s="516"/>
      <c r="Q122" s="516"/>
      <c r="R122" s="516"/>
      <c r="S122" s="516"/>
      <c r="T122" s="516"/>
      <c r="U122" s="516"/>
      <c r="V122" s="4"/>
      <c r="W122" s="4"/>
      <c r="X122" s="4"/>
      <c r="Y122" s="4"/>
    </row>
    <row r="123">
      <c r="A123" s="516"/>
      <c r="B123" s="516"/>
      <c r="C123" s="516"/>
      <c r="D123" s="516"/>
      <c r="E123" s="516"/>
      <c r="F123" s="516"/>
      <c r="G123" s="516"/>
      <c r="H123" s="516"/>
      <c r="I123" s="516"/>
      <c r="J123" s="516"/>
      <c r="K123" s="516"/>
      <c r="L123" s="516"/>
      <c r="M123" s="516"/>
      <c r="N123" s="516"/>
      <c r="O123" s="516"/>
      <c r="P123" s="516"/>
      <c r="Q123" s="516"/>
      <c r="R123" s="516"/>
      <c r="S123" s="516"/>
      <c r="T123" s="516"/>
      <c r="U123" s="516"/>
      <c r="V123" s="4"/>
      <c r="W123" s="4"/>
      <c r="X123" s="4"/>
      <c r="Y123" s="4"/>
    </row>
    <row r="124">
      <c r="A124" s="516"/>
      <c r="B124" s="516"/>
      <c r="C124" s="516"/>
      <c r="D124" s="516"/>
      <c r="E124" s="516"/>
      <c r="F124" s="516"/>
      <c r="G124" s="516"/>
      <c r="H124" s="516"/>
      <c r="I124" s="516"/>
      <c r="J124" s="516"/>
      <c r="K124" s="516"/>
      <c r="L124" s="516"/>
      <c r="M124" s="516"/>
      <c r="N124" s="516"/>
      <c r="O124" s="516"/>
      <c r="P124" s="516"/>
      <c r="Q124" s="516"/>
      <c r="R124" s="516"/>
      <c r="S124" s="516"/>
      <c r="T124" s="516"/>
      <c r="U124" s="516"/>
      <c r="V124" s="4"/>
      <c r="W124" s="4"/>
      <c r="X124" s="4"/>
      <c r="Y124" s="4"/>
    </row>
    <row r="125">
      <c r="A125" s="516"/>
      <c r="B125" s="516"/>
      <c r="C125" s="516"/>
      <c r="D125" s="516"/>
      <c r="E125" s="516"/>
      <c r="F125" s="516"/>
      <c r="G125" s="516"/>
      <c r="H125" s="516"/>
      <c r="I125" s="516"/>
      <c r="J125" s="516"/>
      <c r="K125" s="516"/>
      <c r="L125" s="516"/>
      <c r="M125" s="516"/>
      <c r="N125" s="516"/>
      <c r="O125" s="516"/>
      <c r="P125" s="516"/>
      <c r="Q125" s="516"/>
      <c r="R125" s="516"/>
      <c r="S125" s="516"/>
      <c r="T125" s="516"/>
      <c r="U125" s="516"/>
      <c r="V125" s="4"/>
      <c r="W125" s="4"/>
      <c r="X125" s="4"/>
      <c r="Y125" s="4"/>
    </row>
    <row r="126">
      <c r="A126" s="516"/>
      <c r="B126" s="516"/>
      <c r="C126" s="516"/>
      <c r="D126" s="516"/>
      <c r="E126" s="516"/>
      <c r="F126" s="516"/>
      <c r="G126" s="516"/>
      <c r="H126" s="516"/>
      <c r="I126" s="516"/>
      <c r="J126" s="516"/>
      <c r="K126" s="516"/>
      <c r="L126" s="516"/>
      <c r="M126" s="516"/>
      <c r="N126" s="516"/>
      <c r="O126" s="516"/>
      <c r="P126" s="516"/>
      <c r="Q126" s="516"/>
      <c r="R126" s="516"/>
      <c r="S126" s="516"/>
      <c r="T126" s="516"/>
      <c r="U126" s="516"/>
      <c r="V126" s="4"/>
      <c r="W126" s="4"/>
      <c r="X126" s="4"/>
      <c r="Y126" s="4"/>
    </row>
    <row r="127">
      <c r="A127" s="516"/>
      <c r="B127" s="516"/>
      <c r="C127" s="516"/>
      <c r="D127" s="516"/>
      <c r="E127" s="516"/>
      <c r="F127" s="516"/>
      <c r="G127" s="516"/>
      <c r="H127" s="516"/>
      <c r="I127" s="516"/>
      <c r="J127" s="516"/>
      <c r="K127" s="516"/>
      <c r="L127" s="516"/>
      <c r="M127" s="516"/>
      <c r="N127" s="516"/>
      <c r="O127" s="516"/>
      <c r="P127" s="516"/>
      <c r="Q127" s="516"/>
      <c r="R127" s="516"/>
      <c r="S127" s="516"/>
      <c r="T127" s="516"/>
      <c r="U127" s="516"/>
      <c r="V127" s="4"/>
      <c r="W127" s="4"/>
      <c r="X127" s="4"/>
      <c r="Y127" s="4"/>
    </row>
    <row r="128">
      <c r="A128" s="516"/>
      <c r="B128" s="516"/>
      <c r="C128" s="516"/>
      <c r="D128" s="516"/>
      <c r="E128" s="516"/>
      <c r="F128" s="516"/>
      <c r="G128" s="516"/>
      <c r="H128" s="516"/>
      <c r="I128" s="516"/>
      <c r="J128" s="516"/>
      <c r="K128" s="516"/>
      <c r="L128" s="516"/>
      <c r="M128" s="516"/>
      <c r="N128" s="516"/>
      <c r="O128" s="516"/>
      <c r="P128" s="516"/>
      <c r="Q128" s="516"/>
      <c r="R128" s="516"/>
      <c r="S128" s="516"/>
      <c r="T128" s="516"/>
      <c r="U128" s="516"/>
      <c r="V128" s="4"/>
      <c r="W128" s="4"/>
      <c r="X128" s="4"/>
      <c r="Y128" s="4"/>
    </row>
    <row r="129">
      <c r="A129" s="516"/>
      <c r="B129" s="516"/>
      <c r="C129" s="516"/>
      <c r="D129" s="516"/>
      <c r="E129" s="516"/>
      <c r="F129" s="516"/>
      <c r="G129" s="516"/>
      <c r="H129" s="516"/>
      <c r="I129" s="516"/>
      <c r="J129" s="516"/>
      <c r="K129" s="516"/>
      <c r="L129" s="516"/>
      <c r="M129" s="516"/>
      <c r="N129" s="516"/>
      <c r="O129" s="516"/>
      <c r="P129" s="516"/>
      <c r="Q129" s="516"/>
      <c r="R129" s="516"/>
      <c r="S129" s="516"/>
      <c r="T129" s="516"/>
      <c r="U129" s="516"/>
      <c r="V129" s="4"/>
      <c r="W129" s="4"/>
      <c r="X129" s="4"/>
      <c r="Y129" s="4"/>
    </row>
    <row r="130">
      <c r="A130" s="516"/>
      <c r="B130" s="516"/>
      <c r="C130" s="516"/>
      <c r="D130" s="516"/>
      <c r="E130" s="516"/>
      <c r="F130" s="516"/>
      <c r="G130" s="516"/>
      <c r="H130" s="516"/>
      <c r="I130" s="516"/>
      <c r="J130" s="516"/>
      <c r="K130" s="516"/>
      <c r="L130" s="516"/>
      <c r="M130" s="516"/>
      <c r="N130" s="516"/>
      <c r="O130" s="516"/>
      <c r="P130" s="516"/>
      <c r="Q130" s="516"/>
      <c r="R130" s="516"/>
      <c r="S130" s="516"/>
      <c r="T130" s="516"/>
      <c r="U130" s="516"/>
      <c r="V130" s="4"/>
      <c r="W130" s="4"/>
      <c r="X130" s="4"/>
      <c r="Y130" s="4"/>
    </row>
    <row r="131">
      <c r="A131" s="516"/>
      <c r="B131" s="516"/>
      <c r="C131" s="516"/>
      <c r="D131" s="516"/>
      <c r="E131" s="516"/>
      <c r="F131" s="516"/>
      <c r="G131" s="516"/>
      <c r="H131" s="516"/>
      <c r="I131" s="516"/>
      <c r="J131" s="516"/>
      <c r="K131" s="516"/>
      <c r="L131" s="516"/>
      <c r="M131" s="516"/>
      <c r="N131" s="516"/>
      <c r="O131" s="516"/>
      <c r="P131" s="516"/>
      <c r="Q131" s="516"/>
      <c r="R131" s="516"/>
      <c r="S131" s="516"/>
      <c r="T131" s="516"/>
      <c r="U131" s="516"/>
      <c r="V131" s="4"/>
      <c r="W131" s="4"/>
      <c r="X131" s="4"/>
      <c r="Y131" s="4"/>
    </row>
    <row r="132">
      <c r="A132" s="516"/>
      <c r="B132" s="516"/>
      <c r="C132" s="516"/>
      <c r="D132" s="516"/>
      <c r="E132" s="516"/>
      <c r="F132" s="516"/>
      <c r="G132" s="516"/>
      <c r="H132" s="516"/>
      <c r="I132" s="516"/>
      <c r="J132" s="516"/>
      <c r="K132" s="516"/>
      <c r="L132" s="516"/>
      <c r="M132" s="516"/>
      <c r="N132" s="516"/>
      <c r="O132" s="516"/>
      <c r="P132" s="516"/>
      <c r="Q132" s="516"/>
      <c r="R132" s="516"/>
      <c r="S132" s="516"/>
      <c r="T132" s="516"/>
      <c r="U132" s="516"/>
      <c r="V132" s="4"/>
      <c r="W132" s="4"/>
      <c r="X132" s="4"/>
      <c r="Y132" s="4"/>
    </row>
    <row r="133">
      <c r="A133" s="516"/>
      <c r="B133" s="516"/>
      <c r="C133" s="516"/>
      <c r="D133" s="516"/>
      <c r="E133" s="516"/>
      <c r="F133" s="516"/>
      <c r="G133" s="516"/>
      <c r="H133" s="516"/>
      <c r="I133" s="516"/>
      <c r="J133" s="516"/>
      <c r="K133" s="516"/>
      <c r="L133" s="516"/>
      <c r="M133" s="516"/>
      <c r="N133" s="516"/>
      <c r="O133" s="516"/>
      <c r="P133" s="516"/>
      <c r="Q133" s="516"/>
      <c r="R133" s="516"/>
      <c r="S133" s="516"/>
      <c r="T133" s="516"/>
      <c r="U133" s="516"/>
      <c r="V133" s="4"/>
      <c r="W133" s="4"/>
      <c r="X133" s="4"/>
      <c r="Y133" s="4"/>
    </row>
    <row r="134">
      <c r="A134" s="516"/>
      <c r="B134" s="516"/>
      <c r="C134" s="516"/>
      <c r="D134" s="516"/>
      <c r="E134" s="516"/>
      <c r="F134" s="516"/>
      <c r="G134" s="516"/>
      <c r="H134" s="516"/>
      <c r="I134" s="516"/>
      <c r="J134" s="516"/>
      <c r="K134" s="516"/>
      <c r="L134" s="516"/>
      <c r="M134" s="516"/>
      <c r="N134" s="516"/>
      <c r="O134" s="516"/>
      <c r="P134" s="516"/>
      <c r="Q134" s="516"/>
      <c r="R134" s="516"/>
      <c r="S134" s="516"/>
      <c r="T134" s="516"/>
      <c r="U134" s="516"/>
      <c r="V134" s="4"/>
      <c r="W134" s="4"/>
      <c r="X134" s="4"/>
      <c r="Y134" s="4"/>
    </row>
    <row r="135">
      <c r="A135" s="516"/>
      <c r="B135" s="516"/>
      <c r="C135" s="516"/>
      <c r="D135" s="516"/>
      <c r="E135" s="516"/>
      <c r="F135" s="516"/>
      <c r="G135" s="516"/>
      <c r="H135" s="516"/>
      <c r="I135" s="516"/>
      <c r="J135" s="516"/>
      <c r="K135" s="516"/>
      <c r="L135" s="516"/>
      <c r="M135" s="516"/>
      <c r="N135" s="516"/>
      <c r="O135" s="516"/>
      <c r="P135" s="516"/>
      <c r="Q135" s="516"/>
      <c r="R135" s="516"/>
      <c r="S135" s="516"/>
      <c r="T135" s="516"/>
      <c r="U135" s="516"/>
      <c r="V135" s="4"/>
      <c r="W135" s="4"/>
      <c r="X135" s="4"/>
      <c r="Y135" s="4"/>
    </row>
    <row r="136">
      <c r="A136" s="516"/>
      <c r="B136" s="516"/>
      <c r="C136" s="516"/>
      <c r="D136" s="516"/>
      <c r="E136" s="516"/>
      <c r="F136" s="516"/>
      <c r="G136" s="516"/>
      <c r="H136" s="516"/>
      <c r="I136" s="516"/>
      <c r="J136" s="516"/>
      <c r="K136" s="516"/>
      <c r="L136" s="516"/>
      <c r="M136" s="516"/>
      <c r="N136" s="516"/>
      <c r="O136" s="516"/>
      <c r="P136" s="516"/>
      <c r="Q136" s="516"/>
      <c r="R136" s="516"/>
      <c r="S136" s="516"/>
      <c r="T136" s="516"/>
      <c r="U136" s="516"/>
      <c r="V136" s="4"/>
      <c r="W136" s="4"/>
      <c r="X136" s="4"/>
      <c r="Y136" s="4"/>
    </row>
    <row r="137">
      <c r="A137" s="516"/>
      <c r="B137" s="516"/>
      <c r="C137" s="516"/>
      <c r="D137" s="516"/>
      <c r="E137" s="516"/>
      <c r="F137" s="516"/>
      <c r="G137" s="516"/>
      <c r="H137" s="516"/>
      <c r="I137" s="516"/>
      <c r="J137" s="516"/>
      <c r="K137" s="516"/>
      <c r="L137" s="516"/>
      <c r="M137" s="516"/>
      <c r="N137" s="516"/>
      <c r="O137" s="516"/>
      <c r="P137" s="516"/>
      <c r="Q137" s="516"/>
      <c r="R137" s="516"/>
      <c r="S137" s="516"/>
      <c r="T137" s="516"/>
      <c r="U137" s="516"/>
      <c r="V137" s="4"/>
      <c r="W137" s="4"/>
      <c r="X137" s="4"/>
      <c r="Y137" s="4"/>
    </row>
    <row r="138">
      <c r="A138" s="516"/>
      <c r="B138" s="516"/>
      <c r="C138" s="516"/>
      <c r="D138" s="516"/>
      <c r="E138" s="516"/>
      <c r="F138" s="516"/>
      <c r="G138" s="516"/>
      <c r="H138" s="516"/>
      <c r="I138" s="516"/>
      <c r="J138" s="516"/>
      <c r="K138" s="516"/>
      <c r="L138" s="516"/>
      <c r="M138" s="516"/>
      <c r="N138" s="516"/>
      <c r="O138" s="516"/>
      <c r="P138" s="516"/>
      <c r="Q138" s="516"/>
      <c r="R138" s="516"/>
      <c r="S138" s="516"/>
      <c r="T138" s="516"/>
      <c r="U138" s="516"/>
      <c r="V138" s="4"/>
      <c r="W138" s="4"/>
      <c r="X138" s="4"/>
      <c r="Y138" s="4"/>
    </row>
    <row r="139">
      <c r="A139" s="516"/>
      <c r="B139" s="516"/>
      <c r="C139" s="516"/>
      <c r="D139" s="516"/>
      <c r="E139" s="516"/>
      <c r="F139" s="516"/>
      <c r="G139" s="516"/>
      <c r="H139" s="516"/>
      <c r="I139" s="516"/>
      <c r="J139" s="516"/>
      <c r="K139" s="516"/>
      <c r="L139" s="516"/>
      <c r="M139" s="516"/>
      <c r="N139" s="516"/>
      <c r="O139" s="516"/>
      <c r="P139" s="516"/>
      <c r="Q139" s="516"/>
      <c r="R139" s="516"/>
      <c r="S139" s="516"/>
      <c r="T139" s="516"/>
      <c r="U139" s="516"/>
      <c r="V139" s="4"/>
      <c r="W139" s="4"/>
      <c r="X139" s="4"/>
      <c r="Y139" s="4"/>
    </row>
    <row r="140">
      <c r="A140" s="516"/>
      <c r="B140" s="516"/>
      <c r="C140" s="516"/>
      <c r="D140" s="516"/>
      <c r="E140" s="516"/>
      <c r="F140" s="516"/>
      <c r="G140" s="516"/>
      <c r="H140" s="516"/>
      <c r="I140" s="516"/>
      <c r="J140" s="516"/>
      <c r="K140" s="516"/>
      <c r="L140" s="516"/>
      <c r="M140" s="516"/>
      <c r="N140" s="516"/>
      <c r="O140" s="516"/>
      <c r="P140" s="516"/>
      <c r="Q140" s="516"/>
      <c r="R140" s="516"/>
      <c r="S140" s="516"/>
      <c r="T140" s="516"/>
      <c r="U140" s="516"/>
      <c r="V140" s="4"/>
      <c r="W140" s="4"/>
      <c r="X140" s="4"/>
      <c r="Y140" s="4"/>
    </row>
    <row r="141">
      <c r="A141" s="516"/>
      <c r="B141" s="516"/>
      <c r="C141" s="516"/>
      <c r="D141" s="516"/>
      <c r="E141" s="516"/>
      <c r="F141" s="516"/>
      <c r="G141" s="516"/>
      <c r="H141" s="516"/>
      <c r="I141" s="516"/>
      <c r="J141" s="516"/>
      <c r="K141" s="516"/>
      <c r="L141" s="516"/>
      <c r="M141" s="516"/>
      <c r="N141" s="516"/>
      <c r="O141" s="516"/>
      <c r="P141" s="516"/>
      <c r="Q141" s="516"/>
      <c r="R141" s="516"/>
      <c r="S141" s="516"/>
      <c r="T141" s="516"/>
      <c r="U141" s="516"/>
      <c r="V141" s="4"/>
      <c r="W141" s="4"/>
      <c r="X141" s="4"/>
      <c r="Y141" s="4"/>
    </row>
    <row r="142">
      <c r="A142" s="516"/>
      <c r="B142" s="516"/>
      <c r="C142" s="516"/>
      <c r="D142" s="516"/>
      <c r="E142" s="516"/>
      <c r="F142" s="516"/>
      <c r="G142" s="516"/>
      <c r="H142" s="516"/>
      <c r="I142" s="516"/>
      <c r="J142" s="516"/>
      <c r="K142" s="516"/>
      <c r="L142" s="516"/>
      <c r="M142" s="516"/>
      <c r="N142" s="516"/>
      <c r="O142" s="516"/>
      <c r="P142" s="516"/>
      <c r="Q142" s="516"/>
      <c r="R142" s="516"/>
      <c r="S142" s="516"/>
      <c r="T142" s="516"/>
      <c r="U142" s="516"/>
      <c r="V142" s="4"/>
      <c r="W142" s="4"/>
      <c r="X142" s="4"/>
      <c r="Y142" s="4"/>
    </row>
    <row r="143">
      <c r="A143" s="516"/>
      <c r="B143" s="516"/>
      <c r="C143" s="516"/>
      <c r="D143" s="516"/>
      <c r="E143" s="516"/>
      <c r="F143" s="516"/>
      <c r="G143" s="516"/>
      <c r="H143" s="516"/>
      <c r="I143" s="516"/>
      <c r="J143" s="516"/>
      <c r="K143" s="516"/>
      <c r="L143" s="516"/>
      <c r="M143" s="516"/>
      <c r="N143" s="516"/>
      <c r="O143" s="516"/>
      <c r="P143" s="516"/>
      <c r="Q143" s="516"/>
      <c r="R143" s="516"/>
      <c r="S143" s="516"/>
      <c r="T143" s="516"/>
      <c r="U143" s="516"/>
      <c r="V143" s="4"/>
      <c r="W143" s="4"/>
      <c r="X143" s="4"/>
      <c r="Y143" s="4"/>
    </row>
    <row r="144">
      <c r="A144" s="516"/>
      <c r="B144" s="516"/>
      <c r="C144" s="516"/>
      <c r="D144" s="516"/>
      <c r="E144" s="516"/>
      <c r="F144" s="516"/>
      <c r="G144" s="516"/>
      <c r="H144" s="516"/>
      <c r="I144" s="516"/>
      <c r="J144" s="516"/>
      <c r="K144" s="516"/>
      <c r="L144" s="516"/>
      <c r="M144" s="516"/>
      <c r="N144" s="516"/>
      <c r="O144" s="516"/>
      <c r="P144" s="516"/>
      <c r="Q144" s="516"/>
      <c r="R144" s="516"/>
      <c r="S144" s="516"/>
      <c r="T144" s="516"/>
      <c r="U144" s="516"/>
      <c r="V144" s="4"/>
      <c r="W144" s="4"/>
      <c r="X144" s="4"/>
      <c r="Y144" s="4"/>
    </row>
    <row r="145">
      <c r="A145" s="516"/>
      <c r="B145" s="516"/>
      <c r="C145" s="516"/>
      <c r="D145" s="516"/>
      <c r="E145" s="516"/>
      <c r="F145" s="516"/>
      <c r="G145" s="516"/>
      <c r="H145" s="516"/>
      <c r="I145" s="516"/>
      <c r="J145" s="516"/>
      <c r="K145" s="516"/>
      <c r="L145" s="516"/>
      <c r="M145" s="516"/>
      <c r="N145" s="516"/>
      <c r="O145" s="516"/>
      <c r="P145" s="516"/>
      <c r="Q145" s="516"/>
      <c r="R145" s="516"/>
      <c r="S145" s="516"/>
      <c r="T145" s="516"/>
      <c r="U145" s="516"/>
      <c r="V145" s="4"/>
      <c r="W145" s="4"/>
      <c r="X145" s="4"/>
      <c r="Y145" s="4"/>
    </row>
    <row r="146">
      <c r="A146" s="516"/>
      <c r="B146" s="516"/>
      <c r="C146" s="516"/>
      <c r="D146" s="516"/>
      <c r="E146" s="516"/>
      <c r="F146" s="516"/>
      <c r="G146" s="516"/>
      <c r="H146" s="516"/>
      <c r="I146" s="516"/>
      <c r="J146" s="516"/>
      <c r="K146" s="516"/>
      <c r="L146" s="516"/>
      <c r="M146" s="516"/>
      <c r="N146" s="516"/>
      <c r="O146" s="516"/>
      <c r="P146" s="516"/>
      <c r="Q146" s="516"/>
      <c r="R146" s="516"/>
      <c r="S146" s="516"/>
      <c r="T146" s="516"/>
      <c r="U146" s="516"/>
      <c r="V146" s="4"/>
      <c r="W146" s="4"/>
      <c r="X146" s="4"/>
      <c r="Y146" s="4"/>
    </row>
    <row r="147">
      <c r="A147" s="516"/>
      <c r="B147" s="516"/>
      <c r="C147" s="516"/>
      <c r="D147" s="516"/>
      <c r="E147" s="516"/>
      <c r="F147" s="516"/>
      <c r="G147" s="516"/>
      <c r="H147" s="516"/>
      <c r="I147" s="516"/>
      <c r="J147" s="516"/>
      <c r="K147" s="516"/>
      <c r="L147" s="516"/>
      <c r="M147" s="516"/>
      <c r="N147" s="516"/>
      <c r="O147" s="516"/>
      <c r="P147" s="516"/>
      <c r="Q147" s="516"/>
      <c r="R147" s="516"/>
      <c r="S147" s="516"/>
      <c r="T147" s="516"/>
      <c r="U147" s="516"/>
      <c r="V147" s="4"/>
      <c r="W147" s="4"/>
      <c r="X147" s="4"/>
      <c r="Y147" s="4"/>
    </row>
    <row r="148">
      <c r="A148" s="516"/>
      <c r="B148" s="516"/>
      <c r="C148" s="516"/>
      <c r="D148" s="516"/>
      <c r="E148" s="516"/>
      <c r="F148" s="516"/>
      <c r="G148" s="516"/>
      <c r="H148" s="516"/>
      <c r="I148" s="516"/>
      <c r="J148" s="516"/>
      <c r="K148" s="516"/>
      <c r="L148" s="516"/>
      <c r="M148" s="516"/>
      <c r="N148" s="516"/>
      <c r="O148" s="516"/>
      <c r="P148" s="516"/>
      <c r="Q148" s="516"/>
      <c r="R148" s="516"/>
      <c r="S148" s="516"/>
      <c r="T148" s="516"/>
      <c r="U148" s="516"/>
      <c r="V148" s="4"/>
      <c r="W148" s="4"/>
      <c r="X148" s="4"/>
      <c r="Y148" s="4"/>
    </row>
    <row r="149">
      <c r="A149" s="516"/>
      <c r="B149" s="516"/>
      <c r="C149" s="516"/>
      <c r="D149" s="516"/>
      <c r="E149" s="516"/>
      <c r="F149" s="516"/>
      <c r="G149" s="516"/>
      <c r="H149" s="516"/>
      <c r="I149" s="516"/>
      <c r="J149" s="516"/>
      <c r="K149" s="516"/>
      <c r="L149" s="516"/>
      <c r="M149" s="516"/>
      <c r="N149" s="516"/>
      <c r="O149" s="516"/>
      <c r="P149" s="516"/>
      <c r="Q149" s="516"/>
      <c r="R149" s="516"/>
      <c r="S149" s="516"/>
      <c r="T149" s="516"/>
      <c r="U149" s="516"/>
      <c r="V149" s="4"/>
      <c r="W149" s="4"/>
      <c r="X149" s="4"/>
      <c r="Y149" s="4"/>
    </row>
    <row r="150">
      <c r="A150" s="516"/>
      <c r="B150" s="516"/>
      <c r="C150" s="516"/>
      <c r="D150" s="516"/>
      <c r="E150" s="516"/>
      <c r="F150" s="516"/>
      <c r="G150" s="516"/>
      <c r="H150" s="516"/>
      <c r="I150" s="516"/>
      <c r="J150" s="516"/>
      <c r="K150" s="516"/>
      <c r="L150" s="516"/>
      <c r="M150" s="516"/>
      <c r="N150" s="516"/>
      <c r="O150" s="516"/>
      <c r="P150" s="516"/>
      <c r="Q150" s="516"/>
      <c r="R150" s="516"/>
      <c r="S150" s="516"/>
      <c r="T150" s="516"/>
      <c r="U150" s="516"/>
      <c r="V150" s="4"/>
      <c r="W150" s="4"/>
      <c r="X150" s="4"/>
      <c r="Y150" s="4"/>
    </row>
    <row r="151">
      <c r="A151" s="516"/>
      <c r="B151" s="516"/>
      <c r="C151" s="516"/>
      <c r="D151" s="516"/>
      <c r="E151" s="516"/>
      <c r="F151" s="516"/>
      <c r="G151" s="516"/>
      <c r="H151" s="516"/>
      <c r="I151" s="516"/>
      <c r="J151" s="516"/>
      <c r="K151" s="516"/>
      <c r="L151" s="516"/>
      <c r="M151" s="516"/>
      <c r="N151" s="516"/>
      <c r="O151" s="516"/>
      <c r="P151" s="516"/>
      <c r="Q151" s="516"/>
      <c r="R151" s="516"/>
      <c r="S151" s="516"/>
      <c r="T151" s="516"/>
      <c r="U151" s="516"/>
      <c r="V151" s="4"/>
      <c r="W151" s="4"/>
      <c r="X151" s="4"/>
      <c r="Y151" s="4"/>
    </row>
    <row r="152">
      <c r="A152" s="516"/>
      <c r="B152" s="516"/>
      <c r="C152" s="516"/>
      <c r="D152" s="516"/>
      <c r="E152" s="516"/>
      <c r="F152" s="516"/>
      <c r="G152" s="516"/>
      <c r="H152" s="516"/>
      <c r="I152" s="516"/>
      <c r="J152" s="516"/>
      <c r="K152" s="516"/>
      <c r="L152" s="516"/>
      <c r="M152" s="516"/>
      <c r="N152" s="516"/>
      <c r="O152" s="516"/>
      <c r="P152" s="516"/>
      <c r="Q152" s="516"/>
      <c r="R152" s="516"/>
      <c r="S152" s="516"/>
      <c r="T152" s="516"/>
      <c r="U152" s="516"/>
      <c r="V152" s="4"/>
      <c r="W152" s="4"/>
      <c r="X152" s="4"/>
      <c r="Y152" s="4"/>
    </row>
    <row r="153">
      <c r="A153" s="516"/>
      <c r="B153" s="516"/>
      <c r="C153" s="516"/>
      <c r="D153" s="516"/>
      <c r="E153" s="516"/>
      <c r="F153" s="516"/>
      <c r="G153" s="516"/>
      <c r="H153" s="516"/>
      <c r="I153" s="516"/>
      <c r="J153" s="516"/>
      <c r="K153" s="516"/>
      <c r="L153" s="516"/>
      <c r="M153" s="516"/>
      <c r="N153" s="516"/>
      <c r="O153" s="516"/>
      <c r="P153" s="516"/>
      <c r="Q153" s="516"/>
      <c r="R153" s="516"/>
      <c r="S153" s="516"/>
      <c r="T153" s="516"/>
      <c r="U153" s="516"/>
      <c r="V153" s="4"/>
      <c r="W153" s="4"/>
      <c r="X153" s="4"/>
      <c r="Y153" s="4"/>
    </row>
    <row r="154">
      <c r="A154" s="516"/>
      <c r="B154" s="516"/>
      <c r="C154" s="516"/>
      <c r="D154" s="516"/>
      <c r="E154" s="516"/>
      <c r="F154" s="516"/>
      <c r="G154" s="516"/>
      <c r="H154" s="516"/>
      <c r="I154" s="516"/>
      <c r="J154" s="516"/>
      <c r="K154" s="516"/>
      <c r="L154" s="516"/>
      <c r="M154" s="516"/>
      <c r="N154" s="516"/>
      <c r="O154" s="516"/>
      <c r="P154" s="516"/>
      <c r="Q154" s="516"/>
      <c r="R154" s="516"/>
      <c r="S154" s="516"/>
      <c r="T154" s="516"/>
      <c r="U154" s="516"/>
      <c r="V154" s="4"/>
      <c r="W154" s="4"/>
      <c r="X154" s="4"/>
      <c r="Y154" s="4"/>
    </row>
    <row r="155">
      <c r="A155" s="516"/>
      <c r="B155" s="516"/>
      <c r="C155" s="516"/>
      <c r="D155" s="516"/>
      <c r="E155" s="516"/>
      <c r="F155" s="516"/>
      <c r="G155" s="516"/>
      <c r="H155" s="516"/>
      <c r="I155" s="516"/>
      <c r="J155" s="516"/>
      <c r="K155" s="516"/>
      <c r="L155" s="516"/>
      <c r="M155" s="516"/>
      <c r="N155" s="516"/>
      <c r="O155" s="516"/>
      <c r="P155" s="516"/>
      <c r="Q155" s="516"/>
      <c r="R155" s="516"/>
      <c r="S155" s="516"/>
      <c r="T155" s="516"/>
      <c r="U155" s="516"/>
      <c r="V155" s="4"/>
      <c r="W155" s="4"/>
      <c r="X155" s="4"/>
      <c r="Y155" s="4"/>
    </row>
    <row r="156">
      <c r="A156" s="516"/>
      <c r="B156" s="516"/>
      <c r="C156" s="516"/>
      <c r="D156" s="516"/>
      <c r="E156" s="516"/>
      <c r="F156" s="516"/>
      <c r="G156" s="516"/>
      <c r="H156" s="516"/>
      <c r="I156" s="516"/>
      <c r="J156" s="516"/>
      <c r="K156" s="516"/>
      <c r="L156" s="516"/>
      <c r="M156" s="516"/>
      <c r="N156" s="516"/>
      <c r="O156" s="516"/>
      <c r="P156" s="516"/>
      <c r="Q156" s="516"/>
      <c r="R156" s="516"/>
      <c r="S156" s="516"/>
      <c r="T156" s="516"/>
      <c r="U156" s="516"/>
      <c r="V156" s="4"/>
      <c r="W156" s="4"/>
      <c r="X156" s="4"/>
      <c r="Y156" s="4"/>
    </row>
    <row r="157">
      <c r="A157" s="516"/>
      <c r="B157" s="516"/>
      <c r="C157" s="516"/>
      <c r="D157" s="516"/>
      <c r="E157" s="516"/>
      <c r="F157" s="516"/>
      <c r="G157" s="516"/>
      <c r="H157" s="516"/>
      <c r="I157" s="516"/>
      <c r="J157" s="516"/>
      <c r="K157" s="516"/>
      <c r="L157" s="516"/>
      <c r="M157" s="516"/>
      <c r="N157" s="516"/>
      <c r="O157" s="516"/>
      <c r="P157" s="516"/>
      <c r="Q157" s="516"/>
      <c r="R157" s="516"/>
      <c r="S157" s="516"/>
      <c r="T157" s="516"/>
      <c r="U157" s="516"/>
      <c r="V157" s="4"/>
      <c r="W157" s="4"/>
      <c r="X157" s="4"/>
      <c r="Y157" s="4"/>
    </row>
    <row r="158">
      <c r="A158" s="516"/>
      <c r="B158" s="516"/>
      <c r="C158" s="516"/>
      <c r="D158" s="516"/>
      <c r="E158" s="516"/>
      <c r="F158" s="516"/>
      <c r="G158" s="516"/>
      <c r="H158" s="516"/>
      <c r="I158" s="516"/>
      <c r="J158" s="516"/>
      <c r="K158" s="516"/>
      <c r="L158" s="516"/>
      <c r="M158" s="516"/>
      <c r="N158" s="516"/>
      <c r="O158" s="516"/>
      <c r="P158" s="516"/>
      <c r="Q158" s="516"/>
      <c r="R158" s="516"/>
      <c r="S158" s="516"/>
      <c r="T158" s="516"/>
      <c r="U158" s="516"/>
      <c r="V158" s="4"/>
      <c r="W158" s="4"/>
      <c r="X158" s="4"/>
      <c r="Y158" s="4"/>
    </row>
    <row r="159">
      <c r="A159" s="516"/>
      <c r="B159" s="516"/>
      <c r="C159" s="516"/>
      <c r="D159" s="516"/>
      <c r="E159" s="516"/>
      <c r="F159" s="516"/>
      <c r="G159" s="516"/>
      <c r="H159" s="516"/>
      <c r="I159" s="516"/>
      <c r="J159" s="516"/>
      <c r="K159" s="516"/>
      <c r="L159" s="516"/>
      <c r="M159" s="516"/>
      <c r="N159" s="516"/>
      <c r="O159" s="516"/>
      <c r="P159" s="516"/>
      <c r="Q159" s="516"/>
      <c r="R159" s="516"/>
      <c r="S159" s="516"/>
      <c r="T159" s="516"/>
      <c r="U159" s="516"/>
      <c r="V159" s="4"/>
      <c r="W159" s="4"/>
      <c r="X159" s="4"/>
      <c r="Y159" s="4"/>
    </row>
    <row r="160">
      <c r="A160" s="516"/>
      <c r="B160" s="516"/>
      <c r="C160" s="516"/>
      <c r="D160" s="516"/>
      <c r="E160" s="516"/>
      <c r="F160" s="516"/>
      <c r="G160" s="516"/>
      <c r="H160" s="516"/>
      <c r="I160" s="516"/>
      <c r="J160" s="516"/>
      <c r="K160" s="516"/>
      <c r="L160" s="516"/>
      <c r="M160" s="516"/>
      <c r="N160" s="516"/>
      <c r="O160" s="516"/>
      <c r="P160" s="516"/>
      <c r="Q160" s="516"/>
      <c r="R160" s="516"/>
      <c r="S160" s="516"/>
      <c r="T160" s="516"/>
      <c r="U160" s="516"/>
      <c r="V160" s="4"/>
      <c r="W160" s="4"/>
      <c r="X160" s="4"/>
      <c r="Y160" s="4"/>
    </row>
    <row r="161">
      <c r="A161" s="516"/>
      <c r="B161" s="516"/>
      <c r="C161" s="516"/>
      <c r="D161" s="516"/>
      <c r="E161" s="516"/>
      <c r="F161" s="516"/>
      <c r="G161" s="516"/>
      <c r="H161" s="516"/>
      <c r="I161" s="516"/>
      <c r="J161" s="516"/>
      <c r="K161" s="516"/>
      <c r="L161" s="516"/>
      <c r="M161" s="516"/>
      <c r="N161" s="516"/>
      <c r="O161" s="516"/>
      <c r="P161" s="516"/>
      <c r="Q161" s="516"/>
      <c r="R161" s="516"/>
      <c r="S161" s="516"/>
      <c r="T161" s="516"/>
      <c r="U161" s="516"/>
      <c r="V161" s="4"/>
      <c r="W161" s="4"/>
      <c r="X161" s="4"/>
      <c r="Y161" s="4"/>
    </row>
    <row r="162">
      <c r="A162" s="516"/>
      <c r="B162" s="516"/>
      <c r="C162" s="516"/>
      <c r="D162" s="516"/>
      <c r="E162" s="516"/>
      <c r="F162" s="516"/>
      <c r="G162" s="516"/>
      <c r="H162" s="516"/>
      <c r="I162" s="516"/>
      <c r="J162" s="516"/>
      <c r="K162" s="516"/>
      <c r="L162" s="516"/>
      <c r="M162" s="516"/>
      <c r="N162" s="516"/>
      <c r="O162" s="516"/>
      <c r="P162" s="516"/>
      <c r="Q162" s="516"/>
      <c r="R162" s="516"/>
      <c r="S162" s="516"/>
      <c r="T162" s="516"/>
      <c r="U162" s="516"/>
      <c r="V162" s="4"/>
      <c r="W162" s="4"/>
      <c r="X162" s="4"/>
      <c r="Y162" s="4"/>
    </row>
    <row r="163">
      <c r="A163" s="516"/>
      <c r="B163" s="516"/>
      <c r="C163" s="516"/>
      <c r="D163" s="516"/>
      <c r="E163" s="516"/>
      <c r="F163" s="516"/>
      <c r="G163" s="516"/>
      <c r="H163" s="516"/>
      <c r="I163" s="516"/>
      <c r="J163" s="516"/>
      <c r="K163" s="516"/>
      <c r="L163" s="516"/>
      <c r="M163" s="516"/>
      <c r="N163" s="516"/>
      <c r="O163" s="516"/>
      <c r="P163" s="516"/>
      <c r="Q163" s="516"/>
      <c r="R163" s="516"/>
      <c r="S163" s="516"/>
      <c r="T163" s="516"/>
      <c r="U163" s="516"/>
      <c r="V163" s="4"/>
      <c r="W163" s="4"/>
      <c r="X163" s="4"/>
      <c r="Y163" s="4"/>
    </row>
    <row r="164">
      <c r="A164" s="516"/>
      <c r="B164" s="516"/>
      <c r="C164" s="516"/>
      <c r="D164" s="516"/>
      <c r="E164" s="516"/>
      <c r="F164" s="516"/>
      <c r="G164" s="516"/>
      <c r="H164" s="516"/>
      <c r="I164" s="516"/>
      <c r="J164" s="516"/>
      <c r="K164" s="516"/>
      <c r="L164" s="516"/>
      <c r="M164" s="516"/>
      <c r="N164" s="516"/>
      <c r="O164" s="516"/>
      <c r="P164" s="516"/>
      <c r="Q164" s="516"/>
      <c r="R164" s="516"/>
      <c r="S164" s="516"/>
      <c r="T164" s="516"/>
      <c r="U164" s="516"/>
      <c r="V164" s="4"/>
      <c r="W164" s="4"/>
      <c r="X164" s="4"/>
      <c r="Y164" s="4"/>
    </row>
    <row r="165">
      <c r="A165" s="516"/>
      <c r="B165" s="516"/>
      <c r="C165" s="516"/>
      <c r="D165" s="516"/>
      <c r="E165" s="516"/>
      <c r="F165" s="516"/>
      <c r="G165" s="516"/>
      <c r="H165" s="516"/>
      <c r="I165" s="516"/>
      <c r="J165" s="516"/>
      <c r="K165" s="516"/>
      <c r="L165" s="516"/>
      <c r="M165" s="516"/>
      <c r="N165" s="516"/>
      <c r="O165" s="516"/>
      <c r="P165" s="516"/>
      <c r="Q165" s="516"/>
      <c r="R165" s="516"/>
      <c r="S165" s="516"/>
      <c r="T165" s="516"/>
      <c r="U165" s="516"/>
      <c r="V165" s="4"/>
      <c r="W165" s="4"/>
      <c r="X165" s="4"/>
      <c r="Y165" s="4"/>
    </row>
    <row r="166">
      <c r="A166" s="516"/>
      <c r="B166" s="516"/>
      <c r="C166" s="516"/>
      <c r="D166" s="516"/>
      <c r="E166" s="516"/>
      <c r="F166" s="516"/>
      <c r="G166" s="516"/>
      <c r="H166" s="516"/>
      <c r="I166" s="516"/>
      <c r="J166" s="516"/>
      <c r="K166" s="516"/>
      <c r="L166" s="516"/>
      <c r="M166" s="516"/>
      <c r="N166" s="516"/>
      <c r="O166" s="516"/>
      <c r="P166" s="516"/>
      <c r="Q166" s="516"/>
      <c r="R166" s="516"/>
      <c r="S166" s="516"/>
      <c r="T166" s="516"/>
      <c r="U166" s="516"/>
      <c r="V166" s="4"/>
      <c r="W166" s="4"/>
      <c r="X166" s="4"/>
      <c r="Y166" s="4"/>
    </row>
    <row r="167">
      <c r="A167" s="516"/>
      <c r="B167" s="516"/>
      <c r="C167" s="516"/>
      <c r="D167" s="516"/>
      <c r="E167" s="516"/>
      <c r="F167" s="516"/>
      <c r="G167" s="516"/>
      <c r="H167" s="516"/>
      <c r="I167" s="516"/>
      <c r="J167" s="516"/>
      <c r="K167" s="516"/>
      <c r="L167" s="516"/>
      <c r="M167" s="516"/>
      <c r="N167" s="516"/>
      <c r="O167" s="516"/>
      <c r="P167" s="516"/>
      <c r="Q167" s="516"/>
      <c r="R167" s="516"/>
      <c r="S167" s="516"/>
      <c r="T167" s="516"/>
      <c r="U167" s="516"/>
      <c r="V167" s="4"/>
      <c r="W167" s="4"/>
      <c r="X167" s="4"/>
      <c r="Y167" s="4"/>
    </row>
    <row r="168">
      <c r="A168" s="516"/>
      <c r="B168" s="516"/>
      <c r="C168" s="516"/>
      <c r="D168" s="516"/>
      <c r="E168" s="516"/>
      <c r="F168" s="516"/>
      <c r="G168" s="516"/>
      <c r="H168" s="516"/>
      <c r="I168" s="516"/>
      <c r="J168" s="516"/>
      <c r="K168" s="516"/>
      <c r="L168" s="516"/>
      <c r="M168" s="516"/>
      <c r="N168" s="516"/>
      <c r="O168" s="516"/>
      <c r="P168" s="516"/>
      <c r="Q168" s="516"/>
      <c r="R168" s="516"/>
      <c r="S168" s="516"/>
      <c r="T168" s="516"/>
      <c r="U168" s="516"/>
      <c r="V168" s="4"/>
      <c r="W168" s="4"/>
      <c r="X168" s="4"/>
      <c r="Y168" s="4"/>
    </row>
    <row r="169">
      <c r="A169" s="516"/>
      <c r="B169" s="516"/>
      <c r="C169" s="516"/>
      <c r="D169" s="516"/>
      <c r="E169" s="516"/>
      <c r="F169" s="516"/>
      <c r="G169" s="516"/>
      <c r="H169" s="516"/>
      <c r="I169" s="516"/>
      <c r="J169" s="516"/>
      <c r="K169" s="516"/>
      <c r="L169" s="516"/>
      <c r="M169" s="516"/>
      <c r="N169" s="516"/>
      <c r="O169" s="516"/>
      <c r="P169" s="516"/>
      <c r="Q169" s="516"/>
      <c r="R169" s="516"/>
      <c r="S169" s="516"/>
      <c r="T169" s="516"/>
      <c r="U169" s="516"/>
      <c r="V169" s="4"/>
      <c r="W169" s="4"/>
      <c r="X169" s="4"/>
      <c r="Y169" s="4"/>
    </row>
    <row r="170">
      <c r="A170" s="516"/>
      <c r="B170" s="516"/>
      <c r="C170" s="516"/>
      <c r="D170" s="516"/>
      <c r="E170" s="516"/>
      <c r="F170" s="516"/>
      <c r="G170" s="516"/>
      <c r="H170" s="516"/>
      <c r="I170" s="516"/>
      <c r="J170" s="516"/>
      <c r="K170" s="516"/>
      <c r="L170" s="516"/>
      <c r="M170" s="516"/>
      <c r="N170" s="516"/>
      <c r="O170" s="516"/>
      <c r="P170" s="516"/>
      <c r="Q170" s="516"/>
      <c r="R170" s="516"/>
      <c r="S170" s="516"/>
      <c r="T170" s="516"/>
      <c r="U170" s="516"/>
      <c r="V170" s="4"/>
      <c r="W170" s="4"/>
      <c r="X170" s="4"/>
      <c r="Y170" s="4"/>
    </row>
    <row r="171">
      <c r="A171" s="516"/>
      <c r="B171" s="516"/>
      <c r="C171" s="516"/>
      <c r="D171" s="516"/>
      <c r="E171" s="516"/>
      <c r="F171" s="516"/>
      <c r="G171" s="516"/>
      <c r="H171" s="516"/>
      <c r="I171" s="516"/>
      <c r="J171" s="516"/>
      <c r="K171" s="516"/>
      <c r="L171" s="516"/>
      <c r="M171" s="516"/>
      <c r="N171" s="516"/>
      <c r="O171" s="516"/>
      <c r="P171" s="516"/>
      <c r="Q171" s="516"/>
      <c r="R171" s="516"/>
      <c r="S171" s="516"/>
      <c r="T171" s="516"/>
      <c r="U171" s="516"/>
      <c r="V171" s="4"/>
      <c r="W171" s="4"/>
      <c r="X171" s="4"/>
      <c r="Y171" s="4"/>
    </row>
    <row r="172">
      <c r="A172" s="516"/>
      <c r="B172" s="516"/>
      <c r="C172" s="516"/>
      <c r="D172" s="516"/>
      <c r="E172" s="516"/>
      <c r="F172" s="516"/>
      <c r="G172" s="516"/>
      <c r="H172" s="516"/>
      <c r="I172" s="516"/>
      <c r="J172" s="516"/>
      <c r="K172" s="516"/>
      <c r="L172" s="516"/>
      <c r="M172" s="516"/>
      <c r="N172" s="516"/>
      <c r="O172" s="516"/>
      <c r="P172" s="516"/>
      <c r="Q172" s="516"/>
      <c r="R172" s="516"/>
      <c r="S172" s="516"/>
      <c r="T172" s="516"/>
      <c r="U172" s="516"/>
      <c r="V172" s="4"/>
      <c r="W172" s="4"/>
      <c r="X172" s="4"/>
      <c r="Y172" s="4"/>
    </row>
    <row r="173">
      <c r="A173" s="516"/>
      <c r="B173" s="516"/>
      <c r="C173" s="516"/>
      <c r="D173" s="516"/>
      <c r="E173" s="516"/>
      <c r="F173" s="516"/>
      <c r="G173" s="516"/>
      <c r="H173" s="516"/>
      <c r="I173" s="516"/>
      <c r="J173" s="516"/>
      <c r="K173" s="516"/>
      <c r="L173" s="516"/>
      <c r="M173" s="516"/>
      <c r="N173" s="516"/>
      <c r="O173" s="516"/>
      <c r="P173" s="516"/>
      <c r="Q173" s="516"/>
      <c r="R173" s="516"/>
      <c r="S173" s="516"/>
      <c r="T173" s="516"/>
      <c r="U173" s="516"/>
      <c r="V173" s="4"/>
      <c r="W173" s="4"/>
      <c r="X173" s="4"/>
      <c r="Y173" s="4"/>
    </row>
    <row r="174">
      <c r="A174" s="516"/>
      <c r="B174" s="516"/>
      <c r="C174" s="516"/>
      <c r="D174" s="516"/>
      <c r="E174" s="516"/>
      <c r="F174" s="516"/>
      <c r="G174" s="516"/>
      <c r="H174" s="516"/>
      <c r="I174" s="516"/>
      <c r="J174" s="516"/>
      <c r="K174" s="516"/>
      <c r="L174" s="516"/>
      <c r="M174" s="516"/>
      <c r="N174" s="516"/>
      <c r="O174" s="516"/>
      <c r="P174" s="516"/>
      <c r="Q174" s="516"/>
      <c r="R174" s="516"/>
      <c r="S174" s="516"/>
      <c r="T174" s="516"/>
      <c r="U174" s="516"/>
      <c r="V174" s="4"/>
      <c r="W174" s="4"/>
      <c r="X174" s="4"/>
      <c r="Y174" s="4"/>
    </row>
    <row r="175">
      <c r="A175" s="516"/>
      <c r="B175" s="516"/>
      <c r="C175" s="516"/>
      <c r="D175" s="516"/>
      <c r="E175" s="516"/>
      <c r="F175" s="516"/>
      <c r="G175" s="516"/>
      <c r="H175" s="516"/>
      <c r="I175" s="516"/>
      <c r="J175" s="516"/>
      <c r="K175" s="516"/>
      <c r="L175" s="516"/>
      <c r="M175" s="516"/>
      <c r="N175" s="516"/>
      <c r="O175" s="516"/>
      <c r="P175" s="516"/>
      <c r="Q175" s="516"/>
      <c r="R175" s="516"/>
      <c r="S175" s="516"/>
      <c r="T175" s="516"/>
      <c r="U175" s="516"/>
      <c r="V175" s="4"/>
      <c r="W175" s="4"/>
      <c r="X175" s="4"/>
      <c r="Y175" s="4"/>
    </row>
    <row r="176">
      <c r="A176" s="516"/>
      <c r="B176" s="516"/>
      <c r="C176" s="516"/>
      <c r="D176" s="516"/>
      <c r="E176" s="516"/>
      <c r="F176" s="516"/>
      <c r="G176" s="516"/>
      <c r="H176" s="516"/>
      <c r="I176" s="516"/>
      <c r="J176" s="516"/>
      <c r="K176" s="516"/>
      <c r="L176" s="516"/>
      <c r="M176" s="516"/>
      <c r="N176" s="516"/>
      <c r="O176" s="516"/>
      <c r="P176" s="516"/>
      <c r="Q176" s="516"/>
      <c r="R176" s="516"/>
      <c r="S176" s="516"/>
      <c r="T176" s="516"/>
      <c r="U176" s="516"/>
      <c r="V176" s="4"/>
      <c r="W176" s="4"/>
      <c r="X176" s="4"/>
      <c r="Y176" s="4"/>
    </row>
    <row r="177">
      <c r="A177" s="516"/>
      <c r="B177" s="516"/>
      <c r="C177" s="516"/>
      <c r="D177" s="516"/>
      <c r="E177" s="516"/>
      <c r="F177" s="516"/>
      <c r="G177" s="516"/>
      <c r="H177" s="516"/>
      <c r="I177" s="516"/>
      <c r="J177" s="516"/>
      <c r="K177" s="516"/>
      <c r="L177" s="516"/>
      <c r="M177" s="516"/>
      <c r="N177" s="516"/>
      <c r="O177" s="516"/>
      <c r="P177" s="516"/>
      <c r="Q177" s="516"/>
      <c r="R177" s="516"/>
      <c r="S177" s="516"/>
      <c r="T177" s="516"/>
      <c r="U177" s="516"/>
      <c r="V177" s="4"/>
      <c r="W177" s="4"/>
      <c r="X177" s="4"/>
      <c r="Y177" s="4"/>
    </row>
    <row r="178">
      <c r="A178" s="516"/>
      <c r="B178" s="516"/>
      <c r="C178" s="516"/>
      <c r="D178" s="516"/>
      <c r="E178" s="516"/>
      <c r="F178" s="516"/>
      <c r="G178" s="516"/>
      <c r="H178" s="516"/>
      <c r="I178" s="516"/>
      <c r="J178" s="516"/>
      <c r="K178" s="516"/>
      <c r="L178" s="516"/>
      <c r="M178" s="516"/>
      <c r="N178" s="516"/>
      <c r="O178" s="516"/>
      <c r="P178" s="516"/>
      <c r="Q178" s="516"/>
      <c r="R178" s="516"/>
      <c r="S178" s="516"/>
      <c r="T178" s="516"/>
      <c r="U178" s="516"/>
      <c r="V178" s="4"/>
      <c r="W178" s="4"/>
      <c r="X178" s="4"/>
      <c r="Y178" s="4"/>
    </row>
    <row r="179">
      <c r="A179" s="516"/>
      <c r="B179" s="516"/>
      <c r="C179" s="516"/>
      <c r="D179" s="516"/>
      <c r="E179" s="516"/>
      <c r="F179" s="516"/>
      <c r="G179" s="516"/>
      <c r="H179" s="516"/>
      <c r="I179" s="516"/>
      <c r="J179" s="516"/>
      <c r="K179" s="516"/>
      <c r="L179" s="516"/>
      <c r="M179" s="516"/>
      <c r="N179" s="516"/>
      <c r="O179" s="516"/>
      <c r="P179" s="516"/>
      <c r="Q179" s="516"/>
      <c r="R179" s="516"/>
      <c r="S179" s="516"/>
      <c r="T179" s="516"/>
      <c r="U179" s="516"/>
      <c r="V179" s="4"/>
      <c r="W179" s="4"/>
      <c r="X179" s="4"/>
      <c r="Y179" s="4"/>
    </row>
    <row r="180">
      <c r="A180" s="516"/>
      <c r="B180" s="516"/>
      <c r="C180" s="516"/>
      <c r="D180" s="516"/>
      <c r="E180" s="516"/>
      <c r="F180" s="516"/>
      <c r="G180" s="516"/>
      <c r="H180" s="516"/>
      <c r="I180" s="516"/>
      <c r="J180" s="516"/>
      <c r="K180" s="516"/>
      <c r="L180" s="516"/>
      <c r="M180" s="516"/>
      <c r="N180" s="516"/>
      <c r="O180" s="516"/>
      <c r="P180" s="516"/>
      <c r="Q180" s="516"/>
      <c r="R180" s="516"/>
      <c r="S180" s="516"/>
      <c r="T180" s="516"/>
      <c r="U180" s="516"/>
      <c r="V180" s="4"/>
      <c r="W180" s="4"/>
      <c r="X180" s="4"/>
      <c r="Y180" s="4"/>
    </row>
    <row r="181">
      <c r="A181" s="516"/>
      <c r="B181" s="516"/>
      <c r="C181" s="516"/>
      <c r="D181" s="516"/>
      <c r="E181" s="516"/>
      <c r="F181" s="516"/>
      <c r="G181" s="516"/>
      <c r="H181" s="516"/>
      <c r="I181" s="516"/>
      <c r="J181" s="516"/>
      <c r="K181" s="516"/>
      <c r="L181" s="516"/>
      <c r="M181" s="516"/>
      <c r="N181" s="516"/>
      <c r="O181" s="516"/>
      <c r="P181" s="516"/>
      <c r="Q181" s="516"/>
      <c r="R181" s="516"/>
      <c r="S181" s="516"/>
      <c r="T181" s="516"/>
      <c r="U181" s="516"/>
      <c r="V181" s="4"/>
      <c r="W181" s="4"/>
      <c r="X181" s="4"/>
      <c r="Y181" s="4"/>
    </row>
    <row r="182">
      <c r="A182" s="516"/>
      <c r="B182" s="516"/>
      <c r="C182" s="516"/>
      <c r="D182" s="516"/>
      <c r="E182" s="516"/>
      <c r="F182" s="516"/>
      <c r="G182" s="516"/>
      <c r="H182" s="516"/>
      <c r="I182" s="516"/>
      <c r="J182" s="516"/>
      <c r="K182" s="516"/>
      <c r="L182" s="516"/>
      <c r="M182" s="516"/>
      <c r="N182" s="516"/>
      <c r="O182" s="516"/>
      <c r="P182" s="516"/>
      <c r="Q182" s="516"/>
      <c r="R182" s="516"/>
      <c r="S182" s="516"/>
      <c r="T182" s="516"/>
      <c r="U182" s="516"/>
      <c r="V182" s="4"/>
      <c r="W182" s="4"/>
      <c r="X182" s="4"/>
      <c r="Y182" s="4"/>
    </row>
    <row r="183">
      <c r="A183" s="516"/>
      <c r="B183" s="516"/>
      <c r="C183" s="516"/>
      <c r="D183" s="516"/>
      <c r="E183" s="516"/>
      <c r="F183" s="516"/>
      <c r="G183" s="516"/>
      <c r="H183" s="516"/>
      <c r="I183" s="516"/>
      <c r="J183" s="516"/>
      <c r="K183" s="516"/>
      <c r="L183" s="516"/>
      <c r="M183" s="516"/>
      <c r="N183" s="516"/>
      <c r="O183" s="516"/>
      <c r="P183" s="516"/>
      <c r="Q183" s="516"/>
      <c r="R183" s="516"/>
      <c r="S183" s="516"/>
      <c r="T183" s="516"/>
      <c r="U183" s="516"/>
      <c r="V183" s="4"/>
      <c r="W183" s="4"/>
      <c r="X183" s="4"/>
      <c r="Y183" s="4"/>
    </row>
    <row r="184">
      <c r="A184" s="516"/>
      <c r="B184" s="516"/>
      <c r="C184" s="516"/>
      <c r="D184" s="516"/>
      <c r="E184" s="516"/>
      <c r="F184" s="516"/>
      <c r="G184" s="516"/>
      <c r="H184" s="516"/>
      <c r="I184" s="516"/>
      <c r="J184" s="516"/>
      <c r="K184" s="516"/>
      <c r="L184" s="516"/>
      <c r="M184" s="516"/>
      <c r="N184" s="516"/>
      <c r="O184" s="516"/>
      <c r="P184" s="516"/>
      <c r="Q184" s="516"/>
      <c r="R184" s="516"/>
      <c r="S184" s="516"/>
      <c r="T184" s="516"/>
      <c r="U184" s="516"/>
      <c r="V184" s="4"/>
      <c r="W184" s="4"/>
      <c r="X184" s="4"/>
      <c r="Y184" s="4"/>
    </row>
    <row r="185">
      <c r="A185" s="516"/>
      <c r="B185" s="516"/>
      <c r="C185" s="516"/>
      <c r="D185" s="516"/>
      <c r="E185" s="516"/>
      <c r="F185" s="516"/>
      <c r="G185" s="516"/>
      <c r="H185" s="516"/>
      <c r="I185" s="516"/>
      <c r="J185" s="516"/>
      <c r="K185" s="516"/>
      <c r="L185" s="516"/>
      <c r="M185" s="516"/>
      <c r="N185" s="516"/>
      <c r="O185" s="516"/>
      <c r="P185" s="516"/>
      <c r="Q185" s="516"/>
      <c r="R185" s="516"/>
      <c r="S185" s="516"/>
      <c r="T185" s="516"/>
      <c r="U185" s="516"/>
      <c r="V185" s="4"/>
      <c r="W185" s="4"/>
      <c r="X185" s="4"/>
      <c r="Y185" s="4"/>
    </row>
    <row r="186">
      <c r="A186" s="516"/>
      <c r="B186" s="516"/>
      <c r="C186" s="516"/>
      <c r="D186" s="516"/>
      <c r="E186" s="516"/>
      <c r="F186" s="516"/>
      <c r="G186" s="516"/>
      <c r="H186" s="516"/>
      <c r="I186" s="516"/>
      <c r="J186" s="516"/>
      <c r="K186" s="516"/>
      <c r="L186" s="516"/>
      <c r="M186" s="516"/>
      <c r="N186" s="516"/>
      <c r="O186" s="516"/>
      <c r="P186" s="516"/>
      <c r="Q186" s="516"/>
      <c r="R186" s="516"/>
      <c r="S186" s="516"/>
      <c r="T186" s="516"/>
      <c r="U186" s="516"/>
      <c r="V186" s="4"/>
      <c r="W186" s="4"/>
      <c r="X186" s="4"/>
      <c r="Y186" s="4"/>
    </row>
    <row r="187">
      <c r="A187" s="516"/>
      <c r="B187" s="516"/>
      <c r="C187" s="516"/>
      <c r="D187" s="516"/>
      <c r="E187" s="516"/>
      <c r="F187" s="516"/>
      <c r="G187" s="516"/>
      <c r="H187" s="516"/>
      <c r="I187" s="516"/>
      <c r="J187" s="516"/>
      <c r="K187" s="516"/>
      <c r="L187" s="516"/>
      <c r="M187" s="516"/>
      <c r="N187" s="516"/>
      <c r="O187" s="516"/>
      <c r="P187" s="516"/>
      <c r="Q187" s="516"/>
      <c r="R187" s="516"/>
      <c r="S187" s="516"/>
      <c r="T187" s="516"/>
      <c r="U187" s="516"/>
      <c r="V187" s="4"/>
      <c r="W187" s="4"/>
      <c r="X187" s="4"/>
      <c r="Y187" s="4"/>
    </row>
    <row r="188">
      <c r="A188" s="516"/>
      <c r="B188" s="516"/>
      <c r="C188" s="516"/>
      <c r="D188" s="516"/>
      <c r="E188" s="516"/>
      <c r="F188" s="516"/>
      <c r="G188" s="516"/>
      <c r="H188" s="516"/>
      <c r="I188" s="516"/>
      <c r="J188" s="516"/>
      <c r="K188" s="516"/>
      <c r="L188" s="516"/>
      <c r="M188" s="516"/>
      <c r="N188" s="516"/>
      <c r="O188" s="516"/>
      <c r="P188" s="516"/>
      <c r="Q188" s="516"/>
      <c r="R188" s="516"/>
      <c r="S188" s="516"/>
      <c r="T188" s="516"/>
      <c r="U188" s="516"/>
      <c r="V188" s="4"/>
      <c r="W188" s="4"/>
      <c r="X188" s="4"/>
      <c r="Y188" s="4"/>
    </row>
    <row r="189">
      <c r="A189" s="516"/>
      <c r="B189" s="516"/>
      <c r="C189" s="516"/>
      <c r="D189" s="516"/>
      <c r="E189" s="516"/>
      <c r="F189" s="516"/>
      <c r="G189" s="516"/>
      <c r="H189" s="516"/>
      <c r="I189" s="516"/>
      <c r="J189" s="516"/>
      <c r="K189" s="516"/>
      <c r="L189" s="516"/>
      <c r="M189" s="516"/>
      <c r="N189" s="516"/>
      <c r="O189" s="516"/>
      <c r="P189" s="516"/>
      <c r="Q189" s="516"/>
      <c r="R189" s="516"/>
      <c r="S189" s="516"/>
      <c r="T189" s="516"/>
      <c r="U189" s="516"/>
      <c r="V189" s="4"/>
      <c r="W189" s="4"/>
      <c r="X189" s="4"/>
      <c r="Y189" s="4"/>
    </row>
    <row r="190">
      <c r="A190" s="516"/>
      <c r="B190" s="516"/>
      <c r="C190" s="516"/>
      <c r="D190" s="516"/>
      <c r="E190" s="516"/>
      <c r="F190" s="516"/>
      <c r="G190" s="516"/>
      <c r="H190" s="516"/>
      <c r="I190" s="516"/>
      <c r="J190" s="516"/>
      <c r="K190" s="516"/>
      <c r="L190" s="516"/>
      <c r="M190" s="516"/>
      <c r="N190" s="516"/>
      <c r="O190" s="516"/>
      <c r="P190" s="516"/>
      <c r="Q190" s="516"/>
      <c r="R190" s="516"/>
      <c r="S190" s="516"/>
      <c r="T190" s="516"/>
      <c r="U190" s="516"/>
      <c r="V190" s="4"/>
      <c r="W190" s="4"/>
      <c r="X190" s="4"/>
      <c r="Y190" s="4"/>
    </row>
    <row r="191">
      <c r="A191" s="516"/>
      <c r="B191" s="516"/>
      <c r="C191" s="516"/>
      <c r="D191" s="516"/>
      <c r="E191" s="516"/>
      <c r="F191" s="516"/>
      <c r="G191" s="516"/>
      <c r="H191" s="516"/>
      <c r="I191" s="516"/>
      <c r="J191" s="516"/>
      <c r="K191" s="516"/>
      <c r="L191" s="516"/>
      <c r="M191" s="516"/>
      <c r="N191" s="516"/>
      <c r="O191" s="516"/>
      <c r="P191" s="516"/>
      <c r="Q191" s="516"/>
      <c r="R191" s="516"/>
      <c r="S191" s="516"/>
      <c r="T191" s="516"/>
      <c r="U191" s="516"/>
      <c r="V191" s="4"/>
      <c r="W191" s="4"/>
      <c r="X191" s="4"/>
      <c r="Y191" s="4"/>
    </row>
    <row r="192">
      <c r="A192" s="516"/>
      <c r="B192" s="516"/>
      <c r="C192" s="516"/>
      <c r="D192" s="516"/>
      <c r="E192" s="516"/>
      <c r="F192" s="516"/>
      <c r="G192" s="516"/>
      <c r="H192" s="516"/>
      <c r="I192" s="516"/>
      <c r="J192" s="516"/>
      <c r="K192" s="516"/>
      <c r="L192" s="516"/>
      <c r="M192" s="516"/>
      <c r="N192" s="516"/>
      <c r="O192" s="516"/>
      <c r="P192" s="516"/>
      <c r="Q192" s="516"/>
      <c r="R192" s="516"/>
      <c r="S192" s="516"/>
      <c r="T192" s="516"/>
      <c r="U192" s="516"/>
      <c r="V192" s="4"/>
      <c r="W192" s="4"/>
      <c r="X192" s="4"/>
      <c r="Y192" s="4"/>
    </row>
    <row r="193">
      <c r="A193" s="516"/>
      <c r="B193" s="516"/>
      <c r="C193" s="516"/>
      <c r="D193" s="516"/>
      <c r="E193" s="516"/>
      <c r="F193" s="516"/>
      <c r="G193" s="516"/>
      <c r="H193" s="516"/>
      <c r="I193" s="516"/>
      <c r="J193" s="516"/>
      <c r="K193" s="516"/>
      <c r="L193" s="516"/>
      <c r="M193" s="516"/>
      <c r="N193" s="516"/>
      <c r="O193" s="516"/>
      <c r="P193" s="516"/>
      <c r="Q193" s="516"/>
      <c r="R193" s="516"/>
      <c r="S193" s="516"/>
      <c r="T193" s="516"/>
      <c r="U193" s="516"/>
      <c r="V193" s="4"/>
      <c r="W193" s="4"/>
      <c r="X193" s="4"/>
      <c r="Y193" s="4"/>
    </row>
    <row r="194">
      <c r="A194" s="516"/>
      <c r="B194" s="516"/>
      <c r="C194" s="516"/>
      <c r="D194" s="516"/>
      <c r="E194" s="516"/>
      <c r="F194" s="516"/>
      <c r="G194" s="516"/>
      <c r="H194" s="516"/>
      <c r="I194" s="516"/>
      <c r="J194" s="516"/>
      <c r="K194" s="516"/>
      <c r="L194" s="516"/>
      <c r="M194" s="516"/>
      <c r="N194" s="516"/>
      <c r="O194" s="516"/>
      <c r="P194" s="516"/>
      <c r="Q194" s="516"/>
      <c r="R194" s="516"/>
      <c r="S194" s="516"/>
      <c r="T194" s="516"/>
      <c r="U194" s="516"/>
      <c r="V194" s="4"/>
      <c r="W194" s="4"/>
      <c r="X194" s="4"/>
      <c r="Y194" s="4"/>
    </row>
    <row r="195">
      <c r="A195" s="516"/>
      <c r="B195" s="516"/>
      <c r="C195" s="516"/>
      <c r="D195" s="516"/>
      <c r="E195" s="516"/>
      <c r="F195" s="516"/>
      <c r="G195" s="516"/>
      <c r="H195" s="516"/>
      <c r="I195" s="516"/>
      <c r="J195" s="516"/>
      <c r="K195" s="516"/>
      <c r="L195" s="516"/>
      <c r="M195" s="516"/>
      <c r="N195" s="516"/>
      <c r="O195" s="516"/>
      <c r="P195" s="516"/>
      <c r="Q195" s="516"/>
      <c r="R195" s="516"/>
      <c r="S195" s="516"/>
      <c r="T195" s="516"/>
      <c r="U195" s="516"/>
      <c r="V195" s="4"/>
      <c r="W195" s="4"/>
      <c r="X195" s="4"/>
      <c r="Y195" s="4"/>
    </row>
    <row r="196">
      <c r="A196" s="516"/>
      <c r="B196" s="516"/>
      <c r="C196" s="516"/>
      <c r="D196" s="516"/>
      <c r="E196" s="516"/>
      <c r="F196" s="516"/>
      <c r="G196" s="516"/>
      <c r="H196" s="516"/>
      <c r="I196" s="516"/>
      <c r="J196" s="516"/>
      <c r="K196" s="516"/>
      <c r="L196" s="516"/>
      <c r="M196" s="516"/>
      <c r="N196" s="516"/>
      <c r="O196" s="516"/>
      <c r="P196" s="516"/>
      <c r="Q196" s="516"/>
      <c r="R196" s="516"/>
      <c r="S196" s="516"/>
      <c r="T196" s="516"/>
      <c r="U196" s="516"/>
      <c r="V196" s="4"/>
      <c r="W196" s="4"/>
      <c r="X196" s="4"/>
      <c r="Y196" s="4"/>
    </row>
    <row r="197">
      <c r="A197" s="516"/>
      <c r="B197" s="516"/>
      <c r="C197" s="516"/>
      <c r="D197" s="516"/>
      <c r="E197" s="516"/>
      <c r="F197" s="516"/>
      <c r="G197" s="516"/>
      <c r="H197" s="516"/>
      <c r="I197" s="516"/>
      <c r="J197" s="516"/>
      <c r="K197" s="516"/>
      <c r="L197" s="516"/>
      <c r="M197" s="516"/>
      <c r="N197" s="516"/>
      <c r="O197" s="516"/>
      <c r="P197" s="516"/>
      <c r="Q197" s="516"/>
      <c r="R197" s="516"/>
      <c r="S197" s="516"/>
      <c r="T197" s="516"/>
      <c r="U197" s="516"/>
      <c r="V197" s="4"/>
      <c r="W197" s="4"/>
      <c r="X197" s="4"/>
      <c r="Y197" s="4"/>
    </row>
    <row r="198">
      <c r="A198" s="516"/>
      <c r="B198" s="516"/>
      <c r="C198" s="516"/>
      <c r="D198" s="516"/>
      <c r="E198" s="516"/>
      <c r="F198" s="516"/>
      <c r="G198" s="516"/>
      <c r="H198" s="516"/>
      <c r="I198" s="516"/>
      <c r="J198" s="516"/>
      <c r="K198" s="516"/>
      <c r="L198" s="516"/>
      <c r="M198" s="516"/>
      <c r="N198" s="516"/>
      <c r="O198" s="516"/>
      <c r="P198" s="516"/>
      <c r="Q198" s="516"/>
      <c r="R198" s="516"/>
      <c r="S198" s="516"/>
      <c r="T198" s="516"/>
      <c r="U198" s="516"/>
      <c r="V198" s="4"/>
      <c r="W198" s="4"/>
      <c r="X198" s="4"/>
      <c r="Y198" s="4"/>
    </row>
    <row r="199">
      <c r="A199" s="516"/>
      <c r="B199" s="516"/>
      <c r="C199" s="516"/>
      <c r="D199" s="516"/>
      <c r="E199" s="516"/>
      <c r="F199" s="516"/>
      <c r="G199" s="516"/>
      <c r="H199" s="516"/>
      <c r="I199" s="516"/>
      <c r="J199" s="516"/>
      <c r="K199" s="516"/>
      <c r="L199" s="516"/>
      <c r="M199" s="516"/>
      <c r="N199" s="516"/>
      <c r="O199" s="516"/>
      <c r="P199" s="516"/>
      <c r="Q199" s="516"/>
      <c r="R199" s="516"/>
      <c r="S199" s="516"/>
      <c r="T199" s="516"/>
      <c r="U199" s="516"/>
      <c r="V199" s="4"/>
      <c r="W199" s="4"/>
      <c r="X199" s="4"/>
      <c r="Y199" s="4"/>
    </row>
    <row r="200">
      <c r="A200" s="516"/>
      <c r="B200" s="516"/>
      <c r="C200" s="516"/>
      <c r="D200" s="516"/>
      <c r="E200" s="516"/>
      <c r="F200" s="516"/>
      <c r="G200" s="516"/>
      <c r="H200" s="516"/>
      <c r="I200" s="516"/>
      <c r="J200" s="516"/>
      <c r="K200" s="516"/>
      <c r="L200" s="516"/>
      <c r="M200" s="516"/>
      <c r="N200" s="516"/>
      <c r="O200" s="516"/>
      <c r="P200" s="516"/>
      <c r="Q200" s="516"/>
      <c r="R200" s="516"/>
      <c r="S200" s="516"/>
      <c r="T200" s="516"/>
      <c r="U200" s="516"/>
      <c r="V200" s="4"/>
      <c r="W200" s="4"/>
      <c r="X200" s="4"/>
      <c r="Y200" s="4"/>
    </row>
    <row r="201">
      <c r="A201" s="516"/>
      <c r="B201" s="516"/>
      <c r="C201" s="516"/>
      <c r="D201" s="516"/>
      <c r="E201" s="516"/>
      <c r="F201" s="516"/>
      <c r="G201" s="516"/>
      <c r="H201" s="516"/>
      <c r="I201" s="516"/>
      <c r="J201" s="516"/>
      <c r="K201" s="516"/>
      <c r="L201" s="516"/>
      <c r="M201" s="516"/>
      <c r="N201" s="516"/>
      <c r="O201" s="516"/>
      <c r="P201" s="516"/>
      <c r="Q201" s="516"/>
      <c r="R201" s="516"/>
      <c r="S201" s="516"/>
      <c r="T201" s="516"/>
      <c r="U201" s="516"/>
      <c r="V201" s="4"/>
      <c r="W201" s="4"/>
      <c r="X201" s="4"/>
      <c r="Y201" s="4"/>
    </row>
    <row r="202">
      <c r="A202" s="516"/>
      <c r="B202" s="516"/>
      <c r="C202" s="516"/>
      <c r="D202" s="516"/>
      <c r="E202" s="516"/>
      <c r="F202" s="516"/>
      <c r="G202" s="516"/>
      <c r="H202" s="516"/>
      <c r="I202" s="516"/>
      <c r="J202" s="516"/>
      <c r="K202" s="516"/>
      <c r="L202" s="516"/>
      <c r="M202" s="516"/>
      <c r="N202" s="516"/>
      <c r="O202" s="516"/>
      <c r="P202" s="516"/>
      <c r="Q202" s="516"/>
      <c r="R202" s="516"/>
      <c r="S202" s="516"/>
      <c r="T202" s="516"/>
      <c r="U202" s="516"/>
      <c r="V202" s="4"/>
      <c r="W202" s="4"/>
      <c r="X202" s="4"/>
      <c r="Y202" s="4"/>
    </row>
    <row r="203">
      <c r="A203" s="516"/>
      <c r="B203" s="516"/>
      <c r="C203" s="516"/>
      <c r="D203" s="516"/>
      <c r="E203" s="516"/>
      <c r="F203" s="516"/>
      <c r="G203" s="516"/>
      <c r="H203" s="516"/>
      <c r="I203" s="516"/>
      <c r="J203" s="516"/>
      <c r="K203" s="516"/>
      <c r="L203" s="516"/>
      <c r="M203" s="516"/>
      <c r="N203" s="516"/>
      <c r="O203" s="516"/>
      <c r="P203" s="516"/>
      <c r="Q203" s="516"/>
      <c r="R203" s="516"/>
      <c r="S203" s="516"/>
      <c r="T203" s="516"/>
      <c r="U203" s="516"/>
      <c r="V203" s="4"/>
      <c r="W203" s="4"/>
      <c r="X203" s="4"/>
      <c r="Y203" s="4"/>
    </row>
    <row r="204">
      <c r="A204" s="516"/>
      <c r="B204" s="516"/>
      <c r="C204" s="516"/>
      <c r="D204" s="516"/>
      <c r="E204" s="516"/>
      <c r="F204" s="516"/>
      <c r="G204" s="516"/>
      <c r="H204" s="516"/>
      <c r="I204" s="516"/>
      <c r="J204" s="516"/>
      <c r="K204" s="516"/>
      <c r="L204" s="516"/>
      <c r="M204" s="516"/>
      <c r="N204" s="516"/>
      <c r="O204" s="516"/>
      <c r="P204" s="516"/>
      <c r="Q204" s="516"/>
      <c r="R204" s="516"/>
      <c r="S204" s="516"/>
      <c r="T204" s="516"/>
      <c r="U204" s="516"/>
      <c r="V204" s="4"/>
      <c r="W204" s="4"/>
      <c r="X204" s="4"/>
      <c r="Y204" s="4"/>
    </row>
    <row r="205">
      <c r="A205" s="516"/>
      <c r="B205" s="516"/>
      <c r="C205" s="516"/>
      <c r="D205" s="516"/>
      <c r="E205" s="516"/>
      <c r="F205" s="516"/>
      <c r="G205" s="516"/>
      <c r="H205" s="516"/>
      <c r="I205" s="516"/>
      <c r="J205" s="516"/>
      <c r="K205" s="516"/>
      <c r="L205" s="516"/>
      <c r="M205" s="516"/>
      <c r="N205" s="516"/>
      <c r="O205" s="516"/>
      <c r="P205" s="516"/>
      <c r="Q205" s="516"/>
      <c r="R205" s="516"/>
      <c r="S205" s="516"/>
      <c r="T205" s="516"/>
      <c r="U205" s="516"/>
      <c r="V205" s="4"/>
      <c r="W205" s="4"/>
      <c r="X205" s="4"/>
      <c r="Y205" s="4"/>
    </row>
    <row r="206">
      <c r="A206" s="516"/>
      <c r="B206" s="516"/>
      <c r="C206" s="516"/>
      <c r="D206" s="516"/>
      <c r="E206" s="516"/>
      <c r="F206" s="516"/>
      <c r="G206" s="516"/>
      <c r="H206" s="516"/>
      <c r="I206" s="516"/>
      <c r="J206" s="516"/>
      <c r="K206" s="516"/>
      <c r="L206" s="516"/>
      <c r="M206" s="516"/>
      <c r="N206" s="516"/>
      <c r="O206" s="516"/>
      <c r="P206" s="516"/>
      <c r="Q206" s="516"/>
      <c r="R206" s="516"/>
      <c r="S206" s="516"/>
      <c r="T206" s="516"/>
      <c r="U206" s="516"/>
      <c r="V206" s="4"/>
      <c r="W206" s="4"/>
      <c r="X206" s="4"/>
      <c r="Y206" s="4"/>
    </row>
    <row r="207">
      <c r="A207" s="516"/>
      <c r="B207" s="516"/>
      <c r="C207" s="516"/>
      <c r="D207" s="516"/>
      <c r="E207" s="516"/>
      <c r="F207" s="516"/>
      <c r="G207" s="516"/>
      <c r="H207" s="516"/>
      <c r="I207" s="516"/>
      <c r="J207" s="516"/>
      <c r="K207" s="516"/>
      <c r="L207" s="516"/>
      <c r="M207" s="516"/>
      <c r="N207" s="516"/>
      <c r="O207" s="516"/>
      <c r="P207" s="516"/>
      <c r="Q207" s="516"/>
      <c r="R207" s="516"/>
      <c r="S207" s="516"/>
      <c r="T207" s="516"/>
      <c r="U207" s="516"/>
      <c r="V207" s="4"/>
      <c r="W207" s="4"/>
      <c r="X207" s="4"/>
      <c r="Y207" s="4"/>
    </row>
    <row r="208">
      <c r="A208" s="516"/>
      <c r="B208" s="516"/>
      <c r="C208" s="516"/>
      <c r="D208" s="516"/>
      <c r="E208" s="516"/>
      <c r="F208" s="516"/>
      <c r="G208" s="516"/>
      <c r="H208" s="516"/>
      <c r="I208" s="516"/>
      <c r="J208" s="516"/>
      <c r="K208" s="516"/>
      <c r="L208" s="516"/>
      <c r="M208" s="516"/>
      <c r="N208" s="516"/>
      <c r="O208" s="516"/>
      <c r="P208" s="516"/>
      <c r="Q208" s="516"/>
      <c r="R208" s="516"/>
      <c r="S208" s="516"/>
      <c r="T208" s="516"/>
      <c r="U208" s="516"/>
      <c r="V208" s="4"/>
      <c r="W208" s="4"/>
      <c r="X208" s="4"/>
      <c r="Y208" s="4"/>
    </row>
    <row r="209">
      <c r="A209" s="516"/>
      <c r="B209" s="516"/>
      <c r="C209" s="516"/>
      <c r="D209" s="516"/>
      <c r="E209" s="516"/>
      <c r="F209" s="516"/>
      <c r="G209" s="516"/>
      <c r="H209" s="516"/>
      <c r="I209" s="516"/>
      <c r="J209" s="516"/>
      <c r="K209" s="516"/>
      <c r="L209" s="516"/>
      <c r="M209" s="516"/>
      <c r="N209" s="516"/>
      <c r="O209" s="516"/>
      <c r="P209" s="516"/>
      <c r="Q209" s="516"/>
      <c r="R209" s="516"/>
      <c r="S209" s="516"/>
      <c r="T209" s="516"/>
      <c r="U209" s="516"/>
      <c r="V209" s="4"/>
      <c r="W209" s="4"/>
      <c r="X209" s="4"/>
      <c r="Y209" s="4"/>
    </row>
    <row r="210">
      <c r="A210" s="516"/>
      <c r="B210" s="516"/>
      <c r="C210" s="516"/>
      <c r="D210" s="516"/>
      <c r="E210" s="516"/>
      <c r="F210" s="516"/>
      <c r="G210" s="516"/>
      <c r="H210" s="516"/>
      <c r="I210" s="516"/>
      <c r="J210" s="516"/>
      <c r="K210" s="516"/>
      <c r="L210" s="516"/>
      <c r="M210" s="516"/>
      <c r="N210" s="516"/>
      <c r="O210" s="516"/>
      <c r="P210" s="516"/>
      <c r="Q210" s="516"/>
      <c r="R210" s="516"/>
      <c r="S210" s="516"/>
      <c r="T210" s="516"/>
      <c r="U210" s="516"/>
      <c r="V210" s="4"/>
      <c r="W210" s="4"/>
      <c r="X210" s="4"/>
      <c r="Y210" s="4"/>
    </row>
    <row r="211">
      <c r="A211" s="516"/>
      <c r="B211" s="516"/>
      <c r="C211" s="516"/>
      <c r="D211" s="516"/>
      <c r="E211" s="516"/>
      <c r="F211" s="516"/>
      <c r="G211" s="516"/>
      <c r="H211" s="516"/>
      <c r="I211" s="516"/>
      <c r="J211" s="516"/>
      <c r="K211" s="516"/>
      <c r="L211" s="516"/>
      <c r="M211" s="516"/>
      <c r="N211" s="516"/>
      <c r="O211" s="516"/>
      <c r="P211" s="516"/>
      <c r="Q211" s="516"/>
      <c r="R211" s="516"/>
      <c r="S211" s="516"/>
      <c r="T211" s="516"/>
      <c r="U211" s="516"/>
      <c r="V211" s="4"/>
      <c r="W211" s="4"/>
      <c r="X211" s="4"/>
      <c r="Y211" s="4"/>
    </row>
    <row r="212">
      <c r="A212" s="516"/>
      <c r="B212" s="516"/>
      <c r="C212" s="516"/>
      <c r="D212" s="516"/>
      <c r="E212" s="516"/>
      <c r="F212" s="516"/>
      <c r="G212" s="516"/>
      <c r="H212" s="516"/>
      <c r="I212" s="516"/>
      <c r="J212" s="516"/>
      <c r="K212" s="516"/>
      <c r="L212" s="516"/>
      <c r="M212" s="516"/>
      <c r="N212" s="516"/>
      <c r="O212" s="516"/>
      <c r="P212" s="516"/>
      <c r="Q212" s="516"/>
      <c r="R212" s="516"/>
      <c r="S212" s="516"/>
      <c r="T212" s="516"/>
      <c r="U212" s="516"/>
      <c r="V212" s="4"/>
      <c r="W212" s="4"/>
      <c r="X212" s="4"/>
      <c r="Y212" s="4"/>
    </row>
    <row r="213">
      <c r="A213" s="516"/>
      <c r="B213" s="516"/>
      <c r="C213" s="516"/>
      <c r="D213" s="516"/>
      <c r="E213" s="516"/>
      <c r="F213" s="516"/>
      <c r="G213" s="516"/>
      <c r="H213" s="516"/>
      <c r="I213" s="516"/>
      <c r="J213" s="516"/>
      <c r="K213" s="516"/>
      <c r="L213" s="516"/>
      <c r="M213" s="516"/>
      <c r="N213" s="516"/>
      <c r="O213" s="516"/>
      <c r="P213" s="516"/>
      <c r="Q213" s="516"/>
      <c r="R213" s="516"/>
      <c r="S213" s="516"/>
      <c r="T213" s="516"/>
      <c r="U213" s="516"/>
      <c r="V213" s="4"/>
      <c r="W213" s="4"/>
      <c r="X213" s="4"/>
      <c r="Y213" s="4"/>
    </row>
    <row r="214">
      <c r="A214" s="516"/>
      <c r="B214" s="516"/>
      <c r="C214" s="516"/>
      <c r="D214" s="516"/>
      <c r="E214" s="516"/>
      <c r="F214" s="516"/>
      <c r="G214" s="516"/>
      <c r="H214" s="516"/>
      <c r="I214" s="516"/>
      <c r="J214" s="516"/>
      <c r="K214" s="516"/>
      <c r="L214" s="516"/>
      <c r="M214" s="516"/>
      <c r="N214" s="516"/>
      <c r="O214" s="516"/>
      <c r="P214" s="516"/>
      <c r="Q214" s="516"/>
      <c r="R214" s="516"/>
      <c r="S214" s="516"/>
      <c r="T214" s="516"/>
      <c r="U214" s="516"/>
      <c r="V214" s="4"/>
      <c r="W214" s="4"/>
      <c r="X214" s="4"/>
      <c r="Y214" s="4"/>
    </row>
    <row r="215">
      <c r="A215" s="516"/>
      <c r="B215" s="516"/>
      <c r="C215" s="516"/>
      <c r="D215" s="516"/>
      <c r="E215" s="516"/>
      <c r="F215" s="516"/>
      <c r="G215" s="516"/>
      <c r="H215" s="516"/>
      <c r="I215" s="516"/>
      <c r="J215" s="516"/>
      <c r="K215" s="516"/>
      <c r="L215" s="516"/>
      <c r="M215" s="516"/>
      <c r="N215" s="516"/>
      <c r="O215" s="516"/>
      <c r="P215" s="516"/>
      <c r="Q215" s="516"/>
      <c r="R215" s="516"/>
      <c r="S215" s="516"/>
      <c r="T215" s="516"/>
      <c r="U215" s="516"/>
      <c r="V215" s="4"/>
      <c r="W215" s="4"/>
      <c r="X215" s="4"/>
      <c r="Y215" s="4"/>
    </row>
    <row r="216">
      <c r="A216" s="516"/>
      <c r="B216" s="516"/>
      <c r="C216" s="516"/>
      <c r="D216" s="516"/>
      <c r="E216" s="516"/>
      <c r="F216" s="516"/>
      <c r="G216" s="516"/>
      <c r="H216" s="516"/>
      <c r="I216" s="516"/>
      <c r="J216" s="516"/>
      <c r="K216" s="516"/>
      <c r="L216" s="516"/>
      <c r="M216" s="516"/>
      <c r="N216" s="516"/>
      <c r="O216" s="516"/>
      <c r="P216" s="516"/>
      <c r="Q216" s="516"/>
      <c r="R216" s="516"/>
      <c r="S216" s="516"/>
      <c r="T216" s="516"/>
      <c r="U216" s="516"/>
      <c r="V216" s="4"/>
      <c r="W216" s="4"/>
      <c r="X216" s="4"/>
      <c r="Y216" s="4"/>
    </row>
    <row r="217">
      <c r="A217" s="516"/>
      <c r="B217" s="516"/>
      <c r="C217" s="516"/>
      <c r="D217" s="516"/>
      <c r="E217" s="516"/>
      <c r="F217" s="516"/>
      <c r="G217" s="516"/>
      <c r="H217" s="516"/>
      <c r="I217" s="516"/>
      <c r="J217" s="516"/>
      <c r="K217" s="516"/>
      <c r="L217" s="516"/>
      <c r="M217" s="516"/>
      <c r="N217" s="516"/>
      <c r="O217" s="516"/>
      <c r="P217" s="516"/>
      <c r="Q217" s="516"/>
      <c r="R217" s="516"/>
      <c r="S217" s="516"/>
      <c r="T217" s="516"/>
      <c r="U217" s="516"/>
      <c r="V217" s="4"/>
      <c r="W217" s="4"/>
      <c r="X217" s="4"/>
      <c r="Y217" s="4"/>
    </row>
    <row r="218">
      <c r="A218" s="516"/>
      <c r="B218" s="516"/>
      <c r="C218" s="516"/>
      <c r="D218" s="516"/>
      <c r="E218" s="516"/>
      <c r="F218" s="516"/>
      <c r="G218" s="516"/>
      <c r="H218" s="516"/>
      <c r="I218" s="516"/>
      <c r="J218" s="516"/>
      <c r="K218" s="516"/>
      <c r="L218" s="516"/>
      <c r="M218" s="516"/>
      <c r="N218" s="516"/>
      <c r="O218" s="516"/>
      <c r="P218" s="516"/>
      <c r="Q218" s="516"/>
      <c r="R218" s="516"/>
      <c r="S218" s="516"/>
      <c r="T218" s="516"/>
      <c r="U218" s="516"/>
      <c r="V218" s="4"/>
      <c r="W218" s="4"/>
      <c r="X218" s="4"/>
      <c r="Y218" s="4"/>
    </row>
    <row r="219">
      <c r="A219" s="516"/>
      <c r="B219" s="516"/>
      <c r="C219" s="516"/>
      <c r="D219" s="516"/>
      <c r="E219" s="516"/>
      <c r="F219" s="516"/>
      <c r="G219" s="516"/>
      <c r="H219" s="516"/>
      <c r="I219" s="516"/>
      <c r="J219" s="516"/>
      <c r="K219" s="516"/>
      <c r="L219" s="516"/>
      <c r="M219" s="516"/>
      <c r="N219" s="516"/>
      <c r="O219" s="516"/>
      <c r="P219" s="516"/>
      <c r="Q219" s="516"/>
      <c r="R219" s="516"/>
      <c r="S219" s="516"/>
      <c r="T219" s="516"/>
      <c r="U219" s="516"/>
      <c r="V219" s="4"/>
      <c r="W219" s="4"/>
      <c r="X219" s="4"/>
      <c r="Y219" s="4"/>
    </row>
    <row r="220">
      <c r="A220" s="516"/>
      <c r="B220" s="516"/>
      <c r="C220" s="516"/>
      <c r="D220" s="516"/>
      <c r="E220" s="516"/>
      <c r="F220" s="516"/>
      <c r="G220" s="516"/>
      <c r="H220" s="516"/>
      <c r="I220" s="516"/>
      <c r="J220" s="516"/>
      <c r="K220" s="516"/>
      <c r="L220" s="516"/>
      <c r="M220" s="516"/>
      <c r="N220" s="516"/>
      <c r="O220" s="516"/>
      <c r="P220" s="516"/>
      <c r="Q220" s="516"/>
      <c r="R220" s="516"/>
      <c r="S220" s="516"/>
      <c r="T220" s="516"/>
      <c r="U220" s="516"/>
      <c r="V220" s="4"/>
      <c r="W220" s="4"/>
      <c r="X220" s="4"/>
      <c r="Y220" s="4"/>
    </row>
    <row r="221">
      <c r="A221" s="516"/>
      <c r="B221" s="516"/>
      <c r="C221" s="516"/>
      <c r="D221" s="516"/>
      <c r="E221" s="516"/>
      <c r="F221" s="516"/>
      <c r="G221" s="516"/>
      <c r="H221" s="516"/>
      <c r="I221" s="516"/>
      <c r="J221" s="516"/>
      <c r="K221" s="516"/>
      <c r="L221" s="516"/>
      <c r="M221" s="516"/>
      <c r="N221" s="516"/>
      <c r="O221" s="516"/>
      <c r="P221" s="516"/>
      <c r="Q221" s="516"/>
      <c r="R221" s="516"/>
      <c r="S221" s="516"/>
      <c r="T221" s="516"/>
      <c r="U221" s="516"/>
      <c r="V221" s="4"/>
      <c r="W221" s="4"/>
      <c r="X221" s="4"/>
      <c r="Y221" s="4"/>
    </row>
    <row r="222">
      <c r="A222" s="516"/>
      <c r="B222" s="516"/>
      <c r="C222" s="516"/>
      <c r="D222" s="516"/>
      <c r="E222" s="516"/>
      <c r="F222" s="516"/>
      <c r="G222" s="516"/>
      <c r="H222" s="516"/>
      <c r="I222" s="516"/>
      <c r="J222" s="516"/>
      <c r="K222" s="516"/>
      <c r="L222" s="516"/>
      <c r="M222" s="516"/>
      <c r="N222" s="516"/>
      <c r="O222" s="516"/>
      <c r="P222" s="516"/>
      <c r="Q222" s="516"/>
      <c r="R222" s="516"/>
      <c r="S222" s="516"/>
      <c r="T222" s="516"/>
      <c r="U222" s="516"/>
      <c r="V222" s="4"/>
      <c r="W222" s="4"/>
      <c r="X222" s="4"/>
      <c r="Y222" s="4"/>
    </row>
    <row r="223">
      <c r="A223" s="516"/>
      <c r="B223" s="516"/>
      <c r="C223" s="516"/>
      <c r="D223" s="516"/>
      <c r="E223" s="516"/>
      <c r="F223" s="516"/>
      <c r="G223" s="516"/>
      <c r="H223" s="516"/>
      <c r="I223" s="516"/>
      <c r="J223" s="516"/>
      <c r="K223" s="516"/>
      <c r="L223" s="516"/>
      <c r="M223" s="516"/>
      <c r="N223" s="516"/>
      <c r="O223" s="516"/>
      <c r="P223" s="516"/>
      <c r="Q223" s="516"/>
      <c r="R223" s="516"/>
      <c r="S223" s="516"/>
      <c r="T223" s="516"/>
      <c r="U223" s="516"/>
      <c r="V223" s="4"/>
      <c r="W223" s="4"/>
      <c r="X223" s="4"/>
      <c r="Y223" s="4"/>
    </row>
    <row r="224">
      <c r="A224" s="516"/>
      <c r="B224" s="516"/>
      <c r="C224" s="516"/>
      <c r="D224" s="516"/>
      <c r="E224" s="516"/>
      <c r="F224" s="516"/>
      <c r="G224" s="516"/>
      <c r="H224" s="516"/>
      <c r="I224" s="516"/>
      <c r="J224" s="516"/>
      <c r="K224" s="516"/>
      <c r="L224" s="516"/>
      <c r="M224" s="516"/>
      <c r="N224" s="516"/>
      <c r="O224" s="516"/>
      <c r="P224" s="516"/>
      <c r="Q224" s="516"/>
      <c r="R224" s="516"/>
      <c r="S224" s="516"/>
      <c r="T224" s="516"/>
      <c r="U224" s="516"/>
      <c r="V224" s="4"/>
      <c r="W224" s="4"/>
      <c r="X224" s="4"/>
      <c r="Y224" s="4"/>
    </row>
    <row r="225">
      <c r="A225" s="516"/>
      <c r="B225" s="516"/>
      <c r="C225" s="516"/>
      <c r="D225" s="516"/>
      <c r="E225" s="516"/>
      <c r="F225" s="516"/>
      <c r="G225" s="516"/>
      <c r="H225" s="516"/>
      <c r="I225" s="516"/>
      <c r="J225" s="516"/>
      <c r="K225" s="516"/>
      <c r="L225" s="516"/>
      <c r="M225" s="516"/>
      <c r="N225" s="516"/>
      <c r="O225" s="516"/>
      <c r="P225" s="516"/>
      <c r="Q225" s="516"/>
      <c r="R225" s="516"/>
      <c r="S225" s="516"/>
      <c r="T225" s="516"/>
      <c r="U225" s="516"/>
      <c r="V225" s="4"/>
      <c r="W225" s="4"/>
      <c r="X225" s="4"/>
      <c r="Y225" s="4"/>
    </row>
    <row r="226">
      <c r="A226" s="516"/>
      <c r="B226" s="516"/>
      <c r="C226" s="516"/>
      <c r="D226" s="516"/>
      <c r="E226" s="516"/>
      <c r="F226" s="516"/>
      <c r="G226" s="516"/>
      <c r="H226" s="516"/>
      <c r="I226" s="516"/>
      <c r="J226" s="516"/>
      <c r="K226" s="516"/>
      <c r="L226" s="516"/>
      <c r="M226" s="516"/>
      <c r="N226" s="516"/>
      <c r="O226" s="516"/>
      <c r="P226" s="516"/>
      <c r="Q226" s="516"/>
      <c r="R226" s="516"/>
      <c r="S226" s="516"/>
      <c r="T226" s="516"/>
      <c r="U226" s="516"/>
      <c r="V226" s="4"/>
      <c r="W226" s="4"/>
      <c r="X226" s="4"/>
      <c r="Y226" s="4"/>
    </row>
    <row r="227">
      <c r="A227" s="516"/>
      <c r="B227" s="516"/>
      <c r="C227" s="516"/>
      <c r="D227" s="516"/>
      <c r="E227" s="516"/>
      <c r="F227" s="516"/>
      <c r="G227" s="516"/>
      <c r="H227" s="516"/>
      <c r="I227" s="516"/>
      <c r="J227" s="516"/>
      <c r="K227" s="516"/>
      <c r="L227" s="516"/>
      <c r="M227" s="516"/>
      <c r="N227" s="516"/>
      <c r="O227" s="516"/>
      <c r="P227" s="516"/>
      <c r="Q227" s="516"/>
      <c r="R227" s="516"/>
      <c r="S227" s="516"/>
      <c r="T227" s="516"/>
      <c r="U227" s="516"/>
      <c r="V227" s="4"/>
      <c r="W227" s="4"/>
      <c r="X227" s="4"/>
      <c r="Y227" s="4"/>
    </row>
    <row r="228">
      <c r="A228" s="516"/>
      <c r="B228" s="516"/>
      <c r="C228" s="516"/>
      <c r="D228" s="516"/>
      <c r="E228" s="516"/>
      <c r="F228" s="516"/>
      <c r="G228" s="516"/>
      <c r="H228" s="516"/>
      <c r="I228" s="516"/>
      <c r="J228" s="516"/>
      <c r="K228" s="516"/>
      <c r="L228" s="516"/>
      <c r="M228" s="516"/>
      <c r="N228" s="516"/>
      <c r="O228" s="516"/>
      <c r="P228" s="516"/>
      <c r="Q228" s="516"/>
      <c r="R228" s="516"/>
      <c r="S228" s="516"/>
      <c r="T228" s="516"/>
      <c r="U228" s="516"/>
      <c r="V228" s="4"/>
      <c r="W228" s="4"/>
      <c r="X228" s="4"/>
      <c r="Y228" s="4"/>
    </row>
    <row r="229">
      <c r="A229" s="516"/>
      <c r="B229" s="516"/>
      <c r="C229" s="516"/>
      <c r="D229" s="516"/>
      <c r="E229" s="516"/>
      <c r="F229" s="516"/>
      <c r="G229" s="516"/>
      <c r="H229" s="516"/>
      <c r="I229" s="516"/>
      <c r="J229" s="516"/>
      <c r="K229" s="516"/>
      <c r="L229" s="516"/>
      <c r="M229" s="516"/>
      <c r="N229" s="516"/>
      <c r="O229" s="516"/>
      <c r="P229" s="516"/>
      <c r="Q229" s="516"/>
      <c r="R229" s="516"/>
      <c r="S229" s="516"/>
      <c r="T229" s="516"/>
      <c r="U229" s="516"/>
      <c r="V229" s="4"/>
      <c r="W229" s="4"/>
      <c r="X229" s="4"/>
      <c r="Y229" s="4"/>
    </row>
    <row r="230">
      <c r="A230" s="516"/>
      <c r="B230" s="516"/>
      <c r="C230" s="516"/>
      <c r="D230" s="516"/>
      <c r="E230" s="516"/>
      <c r="F230" s="516"/>
      <c r="G230" s="516"/>
      <c r="H230" s="516"/>
      <c r="I230" s="516"/>
      <c r="J230" s="516"/>
      <c r="K230" s="516"/>
      <c r="L230" s="516"/>
      <c r="M230" s="516"/>
      <c r="N230" s="516"/>
      <c r="O230" s="516"/>
      <c r="P230" s="516"/>
      <c r="Q230" s="516"/>
      <c r="R230" s="516"/>
      <c r="S230" s="516"/>
      <c r="T230" s="516"/>
      <c r="U230" s="516"/>
      <c r="V230" s="4"/>
      <c r="W230" s="4"/>
      <c r="X230" s="4"/>
      <c r="Y230" s="4"/>
    </row>
    <row r="231">
      <c r="A231" s="516"/>
      <c r="B231" s="516"/>
      <c r="C231" s="516"/>
      <c r="D231" s="516"/>
      <c r="E231" s="516"/>
      <c r="F231" s="516"/>
      <c r="G231" s="516"/>
      <c r="H231" s="516"/>
      <c r="I231" s="516"/>
      <c r="J231" s="516"/>
      <c r="K231" s="516"/>
      <c r="L231" s="516"/>
      <c r="M231" s="516"/>
      <c r="N231" s="516"/>
      <c r="O231" s="516"/>
      <c r="P231" s="516"/>
      <c r="Q231" s="516"/>
      <c r="R231" s="516"/>
      <c r="S231" s="516"/>
      <c r="T231" s="516"/>
      <c r="U231" s="516"/>
      <c r="V231" s="4"/>
      <c r="W231" s="4"/>
      <c r="X231" s="4"/>
      <c r="Y231" s="4"/>
    </row>
    <row r="232">
      <c r="A232" s="516"/>
      <c r="B232" s="516"/>
      <c r="C232" s="516"/>
      <c r="D232" s="516"/>
      <c r="E232" s="516"/>
      <c r="F232" s="516"/>
      <c r="G232" s="516"/>
      <c r="H232" s="516"/>
      <c r="I232" s="516"/>
      <c r="J232" s="516"/>
      <c r="K232" s="516"/>
      <c r="L232" s="516"/>
      <c r="M232" s="516"/>
      <c r="N232" s="516"/>
      <c r="O232" s="516"/>
      <c r="P232" s="516"/>
      <c r="Q232" s="516"/>
      <c r="R232" s="516"/>
      <c r="S232" s="516"/>
      <c r="T232" s="516"/>
      <c r="U232" s="516"/>
      <c r="V232" s="4"/>
      <c r="W232" s="4"/>
      <c r="X232" s="4"/>
      <c r="Y232" s="4"/>
    </row>
    <row r="233">
      <c r="A233" s="516"/>
      <c r="B233" s="516"/>
      <c r="C233" s="516"/>
      <c r="D233" s="516"/>
      <c r="E233" s="516"/>
      <c r="F233" s="516"/>
      <c r="G233" s="516"/>
      <c r="H233" s="516"/>
      <c r="I233" s="516"/>
      <c r="J233" s="516"/>
      <c r="K233" s="516"/>
      <c r="L233" s="516"/>
      <c r="M233" s="516"/>
      <c r="N233" s="516"/>
      <c r="O233" s="516"/>
      <c r="P233" s="516"/>
      <c r="Q233" s="516"/>
      <c r="R233" s="516"/>
      <c r="S233" s="516"/>
      <c r="T233" s="516"/>
      <c r="U233" s="516"/>
      <c r="V233" s="4"/>
      <c r="W233" s="4"/>
      <c r="X233" s="4"/>
      <c r="Y233" s="4"/>
    </row>
    <row r="234">
      <c r="A234" s="516"/>
      <c r="B234" s="516"/>
      <c r="C234" s="516"/>
      <c r="D234" s="516"/>
      <c r="E234" s="516"/>
      <c r="F234" s="516"/>
      <c r="G234" s="516"/>
      <c r="H234" s="516"/>
      <c r="I234" s="516"/>
      <c r="J234" s="516"/>
      <c r="K234" s="516"/>
      <c r="L234" s="516"/>
      <c r="M234" s="516"/>
      <c r="N234" s="516"/>
      <c r="O234" s="516"/>
      <c r="P234" s="516"/>
      <c r="Q234" s="516"/>
      <c r="R234" s="516"/>
      <c r="S234" s="516"/>
      <c r="T234" s="516"/>
      <c r="U234" s="516"/>
      <c r="V234" s="4"/>
      <c r="W234" s="4"/>
      <c r="X234" s="4"/>
      <c r="Y234" s="4"/>
    </row>
    <row r="235">
      <c r="A235" s="516"/>
      <c r="B235" s="516"/>
      <c r="C235" s="516"/>
      <c r="D235" s="516"/>
      <c r="E235" s="516"/>
      <c r="F235" s="516"/>
      <c r="G235" s="516"/>
      <c r="H235" s="516"/>
      <c r="I235" s="516"/>
      <c r="J235" s="516"/>
      <c r="K235" s="516"/>
      <c r="L235" s="516"/>
      <c r="M235" s="516"/>
      <c r="N235" s="516"/>
      <c r="O235" s="516"/>
      <c r="P235" s="516"/>
      <c r="Q235" s="516"/>
      <c r="R235" s="516"/>
      <c r="S235" s="516"/>
      <c r="T235" s="516"/>
      <c r="U235" s="516"/>
      <c r="V235" s="4"/>
      <c r="W235" s="4"/>
      <c r="X235" s="4"/>
      <c r="Y235" s="4"/>
    </row>
    <row r="236">
      <c r="A236" s="516"/>
      <c r="B236" s="516"/>
      <c r="C236" s="516"/>
      <c r="D236" s="516"/>
      <c r="E236" s="516"/>
      <c r="F236" s="516"/>
      <c r="G236" s="516"/>
      <c r="H236" s="516"/>
      <c r="I236" s="516"/>
      <c r="J236" s="516"/>
      <c r="K236" s="516"/>
      <c r="L236" s="516"/>
      <c r="M236" s="516"/>
      <c r="N236" s="516"/>
      <c r="O236" s="516"/>
      <c r="P236" s="516"/>
      <c r="Q236" s="516"/>
      <c r="R236" s="516"/>
      <c r="S236" s="516"/>
      <c r="T236" s="516"/>
      <c r="U236" s="516"/>
      <c r="V236" s="4"/>
      <c r="W236" s="4"/>
      <c r="X236" s="4"/>
      <c r="Y236" s="4"/>
    </row>
    <row r="237">
      <c r="A237" s="516"/>
      <c r="B237" s="516"/>
      <c r="C237" s="516"/>
      <c r="D237" s="516"/>
      <c r="E237" s="516"/>
      <c r="F237" s="516"/>
      <c r="G237" s="516"/>
      <c r="H237" s="516"/>
      <c r="I237" s="516"/>
      <c r="J237" s="516"/>
      <c r="K237" s="516"/>
      <c r="L237" s="516"/>
      <c r="M237" s="516"/>
      <c r="N237" s="516"/>
      <c r="O237" s="516"/>
      <c r="P237" s="516"/>
      <c r="Q237" s="516"/>
      <c r="R237" s="516"/>
      <c r="S237" s="516"/>
      <c r="T237" s="516"/>
      <c r="U237" s="516"/>
      <c r="V237" s="4"/>
      <c r="W237" s="4"/>
      <c r="X237" s="4"/>
      <c r="Y237" s="4"/>
    </row>
    <row r="238">
      <c r="A238" s="516"/>
      <c r="B238" s="516"/>
      <c r="C238" s="516"/>
      <c r="D238" s="516"/>
      <c r="E238" s="516"/>
      <c r="F238" s="516"/>
      <c r="G238" s="516"/>
      <c r="H238" s="516"/>
      <c r="I238" s="516"/>
      <c r="J238" s="516"/>
      <c r="K238" s="516"/>
      <c r="L238" s="516"/>
      <c r="M238" s="516"/>
      <c r="N238" s="516"/>
      <c r="O238" s="516"/>
      <c r="P238" s="516"/>
      <c r="Q238" s="516"/>
      <c r="R238" s="516"/>
      <c r="S238" s="516"/>
      <c r="T238" s="516"/>
      <c r="U238" s="516"/>
      <c r="V238" s="4"/>
      <c r="W238" s="4"/>
      <c r="X238" s="4"/>
      <c r="Y238" s="4"/>
    </row>
    <row r="239">
      <c r="A239" s="516"/>
      <c r="B239" s="516"/>
      <c r="C239" s="516"/>
      <c r="D239" s="516"/>
      <c r="E239" s="516"/>
      <c r="F239" s="516"/>
      <c r="G239" s="516"/>
      <c r="H239" s="516"/>
      <c r="I239" s="516"/>
      <c r="J239" s="516"/>
      <c r="K239" s="516"/>
      <c r="L239" s="516"/>
      <c r="M239" s="516"/>
      <c r="N239" s="516"/>
      <c r="O239" s="516"/>
      <c r="P239" s="516"/>
      <c r="Q239" s="516"/>
      <c r="R239" s="516"/>
      <c r="S239" s="516"/>
      <c r="T239" s="516"/>
      <c r="U239" s="516"/>
      <c r="V239" s="4"/>
      <c r="W239" s="4"/>
      <c r="X239" s="4"/>
      <c r="Y239" s="4"/>
    </row>
    <row r="240">
      <c r="A240" s="516"/>
      <c r="B240" s="516"/>
      <c r="C240" s="516"/>
      <c r="D240" s="516"/>
      <c r="E240" s="516"/>
      <c r="F240" s="516"/>
      <c r="G240" s="516"/>
      <c r="H240" s="516"/>
      <c r="I240" s="516"/>
      <c r="J240" s="516"/>
      <c r="K240" s="516"/>
      <c r="L240" s="516"/>
      <c r="M240" s="516"/>
      <c r="N240" s="516"/>
      <c r="O240" s="516"/>
      <c r="P240" s="516"/>
      <c r="Q240" s="516"/>
      <c r="R240" s="516"/>
      <c r="S240" s="516"/>
      <c r="T240" s="516"/>
      <c r="U240" s="516"/>
      <c r="V240" s="4"/>
      <c r="W240" s="4"/>
      <c r="X240" s="4"/>
      <c r="Y240" s="4"/>
    </row>
    <row r="241">
      <c r="A241" s="516"/>
      <c r="B241" s="516"/>
      <c r="C241" s="516"/>
      <c r="D241" s="516"/>
      <c r="E241" s="516"/>
      <c r="F241" s="516"/>
      <c r="G241" s="516"/>
      <c r="H241" s="516"/>
      <c r="I241" s="516"/>
      <c r="J241" s="516"/>
      <c r="K241" s="516"/>
      <c r="L241" s="516"/>
      <c r="M241" s="516"/>
      <c r="N241" s="516"/>
      <c r="O241" s="516"/>
      <c r="P241" s="516"/>
      <c r="Q241" s="516"/>
      <c r="R241" s="516"/>
      <c r="S241" s="516"/>
      <c r="T241" s="516"/>
      <c r="U241" s="516"/>
      <c r="V241" s="4"/>
      <c r="W241" s="4"/>
      <c r="X241" s="4"/>
      <c r="Y241" s="4"/>
    </row>
    <row r="242">
      <c r="A242" s="516"/>
      <c r="B242" s="516"/>
      <c r="C242" s="516"/>
      <c r="D242" s="516"/>
      <c r="E242" s="516"/>
      <c r="F242" s="516"/>
      <c r="G242" s="516"/>
      <c r="H242" s="516"/>
      <c r="I242" s="516"/>
      <c r="J242" s="516"/>
      <c r="K242" s="516"/>
      <c r="L242" s="516"/>
      <c r="M242" s="516"/>
      <c r="N242" s="516"/>
      <c r="O242" s="516"/>
      <c r="P242" s="516"/>
      <c r="Q242" s="516"/>
      <c r="R242" s="516"/>
      <c r="S242" s="516"/>
      <c r="T242" s="516"/>
      <c r="U242" s="516"/>
      <c r="V242" s="4"/>
      <c r="W242" s="4"/>
      <c r="X242" s="4"/>
      <c r="Y242" s="4"/>
    </row>
    <row r="243">
      <c r="A243" s="516"/>
      <c r="B243" s="516"/>
      <c r="C243" s="516"/>
      <c r="D243" s="516"/>
      <c r="E243" s="516"/>
      <c r="F243" s="516"/>
      <c r="G243" s="516"/>
      <c r="H243" s="516"/>
      <c r="I243" s="516"/>
      <c r="J243" s="516"/>
      <c r="K243" s="516"/>
      <c r="L243" s="516"/>
      <c r="M243" s="516"/>
      <c r="N243" s="516"/>
      <c r="O243" s="516"/>
      <c r="P243" s="516"/>
      <c r="Q243" s="516"/>
      <c r="R243" s="516"/>
      <c r="S243" s="516"/>
      <c r="T243" s="516"/>
      <c r="U243" s="516"/>
      <c r="V243" s="4"/>
      <c r="W243" s="4"/>
      <c r="X243" s="4"/>
      <c r="Y243" s="4"/>
    </row>
    <row r="244">
      <c r="A244" s="516"/>
      <c r="B244" s="516"/>
      <c r="C244" s="516"/>
      <c r="D244" s="516"/>
      <c r="E244" s="516"/>
      <c r="F244" s="516"/>
      <c r="G244" s="516"/>
      <c r="H244" s="516"/>
      <c r="I244" s="516"/>
      <c r="J244" s="516"/>
      <c r="K244" s="516"/>
      <c r="L244" s="516"/>
      <c r="M244" s="516"/>
      <c r="N244" s="516"/>
      <c r="O244" s="516"/>
      <c r="P244" s="516"/>
      <c r="Q244" s="516"/>
      <c r="R244" s="516"/>
      <c r="S244" s="516"/>
      <c r="T244" s="516"/>
      <c r="U244" s="516"/>
      <c r="V244" s="4"/>
      <c r="W244" s="4"/>
      <c r="X244" s="4"/>
      <c r="Y244" s="4"/>
    </row>
    <row r="245">
      <c r="A245" s="516"/>
      <c r="B245" s="516"/>
      <c r="C245" s="516"/>
      <c r="D245" s="516"/>
      <c r="E245" s="516"/>
      <c r="F245" s="516"/>
      <c r="G245" s="516"/>
      <c r="H245" s="516"/>
      <c r="I245" s="516"/>
      <c r="J245" s="516"/>
      <c r="K245" s="516"/>
      <c r="L245" s="516"/>
      <c r="M245" s="516"/>
      <c r="N245" s="516"/>
      <c r="O245" s="516"/>
      <c r="P245" s="516"/>
      <c r="Q245" s="516"/>
      <c r="R245" s="516"/>
      <c r="S245" s="516"/>
      <c r="T245" s="516"/>
      <c r="U245" s="516"/>
      <c r="V245" s="4"/>
      <c r="W245" s="4"/>
      <c r="X245" s="4"/>
      <c r="Y245" s="4"/>
    </row>
    <row r="246">
      <c r="A246" s="516"/>
      <c r="B246" s="516"/>
      <c r="C246" s="516"/>
      <c r="D246" s="516"/>
      <c r="E246" s="516"/>
      <c r="F246" s="516"/>
      <c r="G246" s="516"/>
      <c r="H246" s="516"/>
      <c r="I246" s="516"/>
      <c r="J246" s="516"/>
      <c r="K246" s="516"/>
      <c r="L246" s="516"/>
      <c r="M246" s="516"/>
      <c r="N246" s="516"/>
      <c r="O246" s="516"/>
      <c r="P246" s="516"/>
      <c r="Q246" s="516"/>
      <c r="R246" s="516"/>
      <c r="S246" s="516"/>
      <c r="T246" s="516"/>
      <c r="U246" s="516"/>
      <c r="V246" s="4"/>
      <c r="W246" s="4"/>
      <c r="X246" s="4"/>
      <c r="Y246" s="4"/>
    </row>
    <row r="247">
      <c r="A247" s="516"/>
      <c r="B247" s="516"/>
      <c r="C247" s="516"/>
      <c r="D247" s="516"/>
      <c r="E247" s="516"/>
      <c r="F247" s="516"/>
      <c r="G247" s="516"/>
      <c r="H247" s="516"/>
      <c r="I247" s="516"/>
      <c r="J247" s="516"/>
      <c r="K247" s="516"/>
      <c r="L247" s="516"/>
      <c r="M247" s="516"/>
      <c r="N247" s="516"/>
      <c r="O247" s="516"/>
      <c r="P247" s="516"/>
      <c r="Q247" s="516"/>
      <c r="R247" s="516"/>
      <c r="S247" s="516"/>
      <c r="T247" s="516"/>
      <c r="U247" s="516"/>
      <c r="V247" s="4"/>
      <c r="W247" s="4"/>
      <c r="X247" s="4"/>
      <c r="Y247" s="4"/>
    </row>
    <row r="248">
      <c r="A248" s="516"/>
      <c r="B248" s="516"/>
      <c r="C248" s="516"/>
      <c r="D248" s="516"/>
      <c r="E248" s="516"/>
      <c r="F248" s="516"/>
      <c r="G248" s="516"/>
      <c r="H248" s="516"/>
      <c r="I248" s="516"/>
      <c r="J248" s="516"/>
      <c r="K248" s="516"/>
      <c r="L248" s="516"/>
      <c r="M248" s="516"/>
      <c r="N248" s="516"/>
      <c r="O248" s="516"/>
      <c r="P248" s="516"/>
      <c r="Q248" s="516"/>
      <c r="R248" s="516"/>
      <c r="S248" s="516"/>
      <c r="T248" s="516"/>
      <c r="U248" s="516"/>
      <c r="V248" s="4"/>
      <c r="W248" s="4"/>
      <c r="X248" s="4"/>
      <c r="Y248" s="4"/>
    </row>
    <row r="249">
      <c r="A249" s="516"/>
      <c r="B249" s="516"/>
      <c r="C249" s="516"/>
      <c r="D249" s="516"/>
      <c r="E249" s="516"/>
      <c r="F249" s="516"/>
      <c r="G249" s="516"/>
      <c r="H249" s="516"/>
      <c r="I249" s="516"/>
      <c r="J249" s="516"/>
      <c r="K249" s="516"/>
      <c r="L249" s="516"/>
      <c r="M249" s="516"/>
      <c r="N249" s="516"/>
      <c r="O249" s="516"/>
      <c r="P249" s="516"/>
      <c r="Q249" s="516"/>
      <c r="R249" s="516"/>
      <c r="S249" s="516"/>
      <c r="T249" s="516"/>
      <c r="U249" s="516"/>
      <c r="V249" s="4"/>
      <c r="W249" s="4"/>
      <c r="X249" s="4"/>
      <c r="Y249" s="4"/>
    </row>
    <row r="250">
      <c r="A250" s="516"/>
      <c r="B250" s="516"/>
      <c r="C250" s="516"/>
      <c r="D250" s="516"/>
      <c r="E250" s="516"/>
      <c r="F250" s="516"/>
      <c r="G250" s="516"/>
      <c r="H250" s="516"/>
      <c r="I250" s="516"/>
      <c r="J250" s="516"/>
      <c r="K250" s="516"/>
      <c r="L250" s="516"/>
      <c r="M250" s="516"/>
      <c r="N250" s="516"/>
      <c r="O250" s="516"/>
      <c r="P250" s="516"/>
      <c r="Q250" s="516"/>
      <c r="R250" s="516"/>
      <c r="S250" s="516"/>
      <c r="T250" s="516"/>
      <c r="U250" s="516"/>
      <c r="V250" s="4"/>
      <c r="W250" s="4"/>
      <c r="X250" s="4"/>
      <c r="Y250" s="4"/>
    </row>
    <row r="251">
      <c r="A251" s="516"/>
      <c r="B251" s="516"/>
      <c r="C251" s="516"/>
      <c r="D251" s="516"/>
      <c r="E251" s="516"/>
      <c r="F251" s="516"/>
      <c r="G251" s="516"/>
      <c r="H251" s="516"/>
      <c r="I251" s="516"/>
      <c r="J251" s="516"/>
      <c r="K251" s="516"/>
      <c r="L251" s="516"/>
      <c r="M251" s="516"/>
      <c r="N251" s="516"/>
      <c r="O251" s="516"/>
      <c r="P251" s="516"/>
      <c r="Q251" s="516"/>
      <c r="R251" s="516"/>
      <c r="S251" s="516"/>
      <c r="T251" s="516"/>
      <c r="U251" s="516"/>
      <c r="V251" s="4"/>
      <c r="W251" s="4"/>
      <c r="X251" s="4"/>
      <c r="Y251" s="4"/>
    </row>
    <row r="252">
      <c r="A252" s="516"/>
      <c r="B252" s="516"/>
      <c r="C252" s="516"/>
      <c r="D252" s="516"/>
      <c r="E252" s="516"/>
      <c r="F252" s="516"/>
      <c r="G252" s="516"/>
      <c r="H252" s="516"/>
      <c r="I252" s="516"/>
      <c r="J252" s="516"/>
      <c r="K252" s="516"/>
      <c r="L252" s="516"/>
      <c r="M252" s="516"/>
      <c r="N252" s="516"/>
      <c r="O252" s="516"/>
      <c r="P252" s="516"/>
      <c r="Q252" s="516"/>
      <c r="R252" s="516"/>
      <c r="S252" s="516"/>
      <c r="T252" s="516"/>
      <c r="U252" s="516"/>
      <c r="V252" s="4"/>
      <c r="W252" s="4"/>
      <c r="X252" s="4"/>
      <c r="Y252" s="4"/>
    </row>
    <row r="253">
      <c r="A253" s="516"/>
      <c r="B253" s="516"/>
      <c r="C253" s="516"/>
      <c r="D253" s="516"/>
      <c r="E253" s="516"/>
      <c r="F253" s="516"/>
      <c r="G253" s="516"/>
      <c r="H253" s="516"/>
      <c r="I253" s="516"/>
      <c r="J253" s="516"/>
      <c r="K253" s="516"/>
      <c r="L253" s="516"/>
      <c r="M253" s="516"/>
      <c r="N253" s="516"/>
      <c r="O253" s="516"/>
      <c r="P253" s="516"/>
      <c r="Q253" s="516"/>
      <c r="R253" s="516"/>
      <c r="S253" s="516"/>
      <c r="T253" s="516"/>
      <c r="U253" s="516"/>
      <c r="V253" s="4"/>
      <c r="W253" s="4"/>
      <c r="X253" s="4"/>
      <c r="Y253" s="4"/>
    </row>
    <row r="254">
      <c r="A254" s="516"/>
      <c r="B254" s="516"/>
      <c r="C254" s="516"/>
      <c r="D254" s="516"/>
      <c r="E254" s="516"/>
      <c r="F254" s="516"/>
      <c r="G254" s="516"/>
      <c r="H254" s="516"/>
      <c r="I254" s="516"/>
      <c r="J254" s="516"/>
      <c r="K254" s="516"/>
      <c r="L254" s="516"/>
      <c r="M254" s="516"/>
      <c r="N254" s="516"/>
      <c r="O254" s="516"/>
      <c r="P254" s="516"/>
      <c r="Q254" s="516"/>
      <c r="R254" s="516"/>
      <c r="S254" s="516"/>
      <c r="T254" s="516"/>
      <c r="U254" s="516"/>
      <c r="V254" s="4"/>
      <c r="W254" s="4"/>
      <c r="X254" s="4"/>
      <c r="Y254" s="4"/>
    </row>
    <row r="255">
      <c r="A255" s="516"/>
      <c r="B255" s="516"/>
      <c r="C255" s="516"/>
      <c r="D255" s="516"/>
      <c r="E255" s="516"/>
      <c r="F255" s="516"/>
      <c r="G255" s="516"/>
      <c r="H255" s="516"/>
      <c r="I255" s="516"/>
      <c r="J255" s="516"/>
      <c r="K255" s="516"/>
      <c r="L255" s="516"/>
      <c r="M255" s="516"/>
      <c r="N255" s="516"/>
      <c r="O255" s="516"/>
      <c r="P255" s="516"/>
      <c r="Q255" s="516"/>
      <c r="R255" s="516"/>
      <c r="S255" s="516"/>
      <c r="T255" s="516"/>
      <c r="U255" s="516"/>
      <c r="V255" s="4"/>
      <c r="W255" s="4"/>
      <c r="X255" s="4"/>
      <c r="Y255" s="4"/>
    </row>
    <row r="256">
      <c r="A256" s="516"/>
      <c r="B256" s="516"/>
      <c r="C256" s="516"/>
      <c r="D256" s="516"/>
      <c r="E256" s="516"/>
      <c r="F256" s="516"/>
      <c r="G256" s="516"/>
      <c r="H256" s="516"/>
      <c r="I256" s="516"/>
      <c r="J256" s="516"/>
      <c r="K256" s="516"/>
      <c r="L256" s="516"/>
      <c r="M256" s="516"/>
      <c r="N256" s="516"/>
      <c r="O256" s="516"/>
      <c r="P256" s="516"/>
      <c r="Q256" s="516"/>
      <c r="R256" s="516"/>
      <c r="S256" s="516"/>
      <c r="T256" s="516"/>
      <c r="U256" s="516"/>
      <c r="V256" s="4"/>
      <c r="W256" s="4"/>
      <c r="X256" s="4"/>
      <c r="Y256" s="4"/>
    </row>
    <row r="257">
      <c r="A257" s="516"/>
      <c r="B257" s="516"/>
      <c r="C257" s="516"/>
      <c r="D257" s="516"/>
      <c r="E257" s="516"/>
      <c r="F257" s="516"/>
      <c r="G257" s="516"/>
      <c r="H257" s="516"/>
      <c r="I257" s="516"/>
      <c r="J257" s="516"/>
      <c r="K257" s="516"/>
      <c r="L257" s="516"/>
      <c r="M257" s="516"/>
      <c r="N257" s="516"/>
      <c r="O257" s="516"/>
      <c r="P257" s="516"/>
      <c r="Q257" s="516"/>
      <c r="R257" s="516"/>
      <c r="S257" s="516"/>
      <c r="T257" s="516"/>
      <c r="U257" s="516"/>
      <c r="V257" s="4"/>
      <c r="W257" s="4"/>
      <c r="X257" s="4"/>
      <c r="Y257" s="4"/>
    </row>
    <row r="258">
      <c r="A258" s="516"/>
      <c r="B258" s="516"/>
      <c r="C258" s="516"/>
      <c r="D258" s="516"/>
      <c r="E258" s="516"/>
      <c r="F258" s="516"/>
      <c r="G258" s="516"/>
      <c r="H258" s="516"/>
      <c r="I258" s="516"/>
      <c r="J258" s="516"/>
      <c r="K258" s="516"/>
      <c r="L258" s="516"/>
      <c r="M258" s="516"/>
      <c r="N258" s="516"/>
      <c r="O258" s="516"/>
      <c r="P258" s="516"/>
      <c r="Q258" s="516"/>
      <c r="R258" s="516"/>
      <c r="S258" s="516"/>
      <c r="T258" s="516"/>
      <c r="U258" s="516"/>
      <c r="V258" s="4"/>
      <c r="W258" s="4"/>
      <c r="X258" s="4"/>
      <c r="Y258" s="4"/>
    </row>
    <row r="259">
      <c r="A259" s="516"/>
      <c r="B259" s="516"/>
      <c r="C259" s="516"/>
      <c r="D259" s="516"/>
      <c r="E259" s="516"/>
      <c r="F259" s="516"/>
      <c r="G259" s="516"/>
      <c r="H259" s="516"/>
      <c r="I259" s="516"/>
      <c r="J259" s="516"/>
      <c r="K259" s="516"/>
      <c r="L259" s="516"/>
      <c r="M259" s="516"/>
      <c r="N259" s="516"/>
      <c r="O259" s="516"/>
      <c r="P259" s="516"/>
      <c r="Q259" s="516"/>
      <c r="R259" s="516"/>
      <c r="S259" s="516"/>
      <c r="T259" s="516"/>
      <c r="U259" s="516"/>
      <c r="V259" s="4"/>
      <c r="W259" s="4"/>
      <c r="X259" s="4"/>
      <c r="Y259" s="4"/>
    </row>
    <row r="260">
      <c r="A260" s="516"/>
      <c r="B260" s="516"/>
      <c r="C260" s="516"/>
      <c r="D260" s="516"/>
      <c r="E260" s="516"/>
      <c r="F260" s="516"/>
      <c r="G260" s="516"/>
      <c r="H260" s="516"/>
      <c r="I260" s="516"/>
      <c r="J260" s="516"/>
      <c r="K260" s="516"/>
      <c r="L260" s="516"/>
      <c r="M260" s="516"/>
      <c r="N260" s="516"/>
      <c r="O260" s="516"/>
      <c r="P260" s="516"/>
      <c r="Q260" s="516"/>
      <c r="R260" s="516"/>
      <c r="S260" s="516"/>
      <c r="T260" s="516"/>
      <c r="U260" s="516"/>
      <c r="V260" s="4"/>
      <c r="W260" s="4"/>
      <c r="X260" s="4"/>
      <c r="Y260" s="4"/>
    </row>
    <row r="261">
      <c r="A261" s="516"/>
      <c r="B261" s="516"/>
      <c r="C261" s="516"/>
      <c r="D261" s="516"/>
      <c r="E261" s="516"/>
      <c r="F261" s="516"/>
      <c r="G261" s="516"/>
      <c r="H261" s="516"/>
      <c r="I261" s="516"/>
      <c r="J261" s="516"/>
      <c r="K261" s="516"/>
      <c r="L261" s="516"/>
      <c r="M261" s="516"/>
      <c r="N261" s="516"/>
      <c r="O261" s="516"/>
      <c r="P261" s="516"/>
      <c r="Q261" s="516"/>
      <c r="R261" s="516"/>
      <c r="S261" s="516"/>
      <c r="T261" s="516"/>
      <c r="U261" s="516"/>
      <c r="V261" s="4"/>
      <c r="W261" s="4"/>
      <c r="X261" s="4"/>
      <c r="Y261" s="4"/>
    </row>
    <row r="262">
      <c r="A262" s="516"/>
      <c r="B262" s="516"/>
      <c r="C262" s="516"/>
      <c r="D262" s="516"/>
      <c r="E262" s="516"/>
      <c r="F262" s="516"/>
      <c r="G262" s="516"/>
      <c r="H262" s="516"/>
      <c r="I262" s="516"/>
      <c r="J262" s="516"/>
      <c r="K262" s="516"/>
      <c r="L262" s="516"/>
      <c r="M262" s="516"/>
      <c r="N262" s="516"/>
      <c r="O262" s="516"/>
      <c r="P262" s="516"/>
      <c r="Q262" s="516"/>
      <c r="R262" s="516"/>
      <c r="S262" s="516"/>
      <c r="T262" s="516"/>
      <c r="U262" s="516"/>
      <c r="V262" s="4"/>
      <c r="W262" s="4"/>
      <c r="X262" s="4"/>
      <c r="Y262" s="4"/>
    </row>
    <row r="263">
      <c r="A263" s="516"/>
      <c r="B263" s="516"/>
      <c r="C263" s="516"/>
      <c r="D263" s="516"/>
      <c r="E263" s="516"/>
      <c r="F263" s="516"/>
      <c r="G263" s="516"/>
      <c r="H263" s="516"/>
      <c r="I263" s="516"/>
      <c r="J263" s="516"/>
      <c r="K263" s="516"/>
      <c r="L263" s="516"/>
      <c r="M263" s="516"/>
      <c r="N263" s="516"/>
      <c r="O263" s="516"/>
      <c r="P263" s="516"/>
      <c r="Q263" s="516"/>
      <c r="R263" s="516"/>
      <c r="S263" s="516"/>
      <c r="T263" s="516"/>
      <c r="U263" s="516"/>
      <c r="V263" s="4"/>
      <c r="W263" s="4"/>
      <c r="X263" s="4"/>
      <c r="Y263" s="4"/>
    </row>
    <row r="264">
      <c r="A264" s="516"/>
      <c r="B264" s="516"/>
      <c r="C264" s="516"/>
      <c r="D264" s="516"/>
      <c r="E264" s="516"/>
      <c r="F264" s="516"/>
      <c r="G264" s="516"/>
      <c r="H264" s="516"/>
      <c r="I264" s="516"/>
      <c r="J264" s="516"/>
      <c r="K264" s="516"/>
      <c r="L264" s="516"/>
      <c r="M264" s="516"/>
      <c r="N264" s="516"/>
      <c r="O264" s="516"/>
      <c r="P264" s="516"/>
      <c r="Q264" s="516"/>
      <c r="R264" s="516"/>
      <c r="S264" s="516"/>
      <c r="T264" s="516"/>
      <c r="U264" s="516"/>
      <c r="V264" s="4"/>
      <c r="W264" s="4"/>
      <c r="X264" s="4"/>
      <c r="Y264" s="4"/>
    </row>
    <row r="265">
      <c r="A265" s="516"/>
      <c r="B265" s="516"/>
      <c r="C265" s="516"/>
      <c r="D265" s="516"/>
      <c r="E265" s="516"/>
      <c r="F265" s="516"/>
      <c r="G265" s="516"/>
      <c r="H265" s="516"/>
      <c r="I265" s="516"/>
      <c r="J265" s="516"/>
      <c r="K265" s="516"/>
      <c r="L265" s="516"/>
      <c r="M265" s="516"/>
      <c r="N265" s="516"/>
      <c r="O265" s="516"/>
      <c r="P265" s="516"/>
      <c r="Q265" s="516"/>
      <c r="R265" s="516"/>
      <c r="S265" s="516"/>
      <c r="T265" s="516"/>
      <c r="U265" s="516"/>
      <c r="V265" s="4"/>
      <c r="W265" s="4"/>
      <c r="X265" s="4"/>
      <c r="Y265" s="4"/>
    </row>
    <row r="266">
      <c r="A266" s="516"/>
      <c r="B266" s="516"/>
      <c r="C266" s="516"/>
      <c r="D266" s="516"/>
      <c r="E266" s="516"/>
      <c r="F266" s="516"/>
      <c r="G266" s="516"/>
      <c r="H266" s="516"/>
      <c r="I266" s="516"/>
      <c r="J266" s="516"/>
      <c r="K266" s="516"/>
      <c r="L266" s="516"/>
      <c r="M266" s="516"/>
      <c r="N266" s="516"/>
      <c r="O266" s="516"/>
      <c r="P266" s="516"/>
      <c r="Q266" s="516"/>
      <c r="R266" s="516"/>
      <c r="S266" s="516"/>
      <c r="T266" s="516"/>
      <c r="U266" s="516"/>
      <c r="V266" s="4"/>
      <c r="W266" s="4"/>
      <c r="X266" s="4"/>
      <c r="Y266" s="4"/>
    </row>
    <row r="267">
      <c r="A267" s="516"/>
      <c r="B267" s="516"/>
      <c r="C267" s="516"/>
      <c r="D267" s="516"/>
      <c r="E267" s="516"/>
      <c r="F267" s="516"/>
      <c r="G267" s="516"/>
      <c r="H267" s="516"/>
      <c r="I267" s="516"/>
      <c r="J267" s="516"/>
      <c r="K267" s="516"/>
      <c r="L267" s="516"/>
      <c r="M267" s="516"/>
      <c r="N267" s="516"/>
      <c r="O267" s="516"/>
      <c r="P267" s="516"/>
      <c r="Q267" s="516"/>
      <c r="R267" s="516"/>
      <c r="S267" s="516"/>
      <c r="T267" s="516"/>
      <c r="U267" s="516"/>
      <c r="V267" s="4"/>
      <c r="W267" s="4"/>
      <c r="X267" s="4"/>
      <c r="Y267" s="4"/>
    </row>
    <row r="268">
      <c r="A268" s="516"/>
      <c r="B268" s="516"/>
      <c r="C268" s="516"/>
      <c r="D268" s="516"/>
      <c r="E268" s="516"/>
      <c r="F268" s="516"/>
      <c r="G268" s="516"/>
      <c r="H268" s="516"/>
      <c r="I268" s="516"/>
      <c r="J268" s="516"/>
      <c r="K268" s="516"/>
      <c r="L268" s="516"/>
      <c r="M268" s="516"/>
      <c r="N268" s="516"/>
      <c r="O268" s="516"/>
      <c r="P268" s="516"/>
      <c r="Q268" s="516"/>
      <c r="R268" s="516"/>
      <c r="S268" s="516"/>
      <c r="T268" s="516"/>
      <c r="U268" s="516"/>
      <c r="V268" s="4"/>
      <c r="W268" s="4"/>
      <c r="X268" s="4"/>
      <c r="Y268" s="4"/>
    </row>
    <row r="269">
      <c r="A269" s="516"/>
      <c r="B269" s="516"/>
      <c r="C269" s="516"/>
      <c r="D269" s="516"/>
      <c r="E269" s="516"/>
      <c r="F269" s="516"/>
      <c r="G269" s="516"/>
      <c r="H269" s="516"/>
      <c r="I269" s="516"/>
      <c r="J269" s="516"/>
      <c r="K269" s="516"/>
      <c r="L269" s="516"/>
      <c r="M269" s="516"/>
      <c r="N269" s="516"/>
      <c r="O269" s="516"/>
      <c r="P269" s="516"/>
      <c r="Q269" s="516"/>
      <c r="R269" s="516"/>
      <c r="S269" s="516"/>
      <c r="T269" s="516"/>
      <c r="U269" s="516"/>
      <c r="V269" s="4"/>
      <c r="W269" s="4"/>
      <c r="X269" s="4"/>
      <c r="Y269" s="4"/>
    </row>
    <row r="270">
      <c r="A270" s="516"/>
      <c r="B270" s="516"/>
      <c r="C270" s="516"/>
      <c r="D270" s="516"/>
      <c r="E270" s="516"/>
      <c r="F270" s="516"/>
      <c r="G270" s="516"/>
      <c r="H270" s="516"/>
      <c r="I270" s="516"/>
      <c r="J270" s="516"/>
      <c r="K270" s="516"/>
      <c r="L270" s="516"/>
      <c r="M270" s="516"/>
      <c r="N270" s="516"/>
      <c r="O270" s="516"/>
      <c r="P270" s="516"/>
      <c r="Q270" s="516"/>
      <c r="R270" s="516"/>
      <c r="S270" s="516"/>
      <c r="T270" s="516"/>
      <c r="U270" s="516"/>
      <c r="V270" s="4"/>
      <c r="W270" s="4"/>
      <c r="X270" s="4"/>
      <c r="Y270" s="4"/>
    </row>
    <row r="271">
      <c r="A271" s="516"/>
      <c r="B271" s="516"/>
      <c r="C271" s="516"/>
      <c r="D271" s="516"/>
      <c r="E271" s="516"/>
      <c r="F271" s="516"/>
      <c r="G271" s="516"/>
      <c r="H271" s="516"/>
      <c r="I271" s="516"/>
      <c r="J271" s="516"/>
      <c r="K271" s="516"/>
      <c r="L271" s="516"/>
      <c r="M271" s="516"/>
      <c r="N271" s="516"/>
      <c r="O271" s="516"/>
      <c r="P271" s="516"/>
      <c r="Q271" s="516"/>
      <c r="R271" s="516"/>
      <c r="S271" s="516"/>
      <c r="T271" s="516"/>
      <c r="U271" s="516"/>
      <c r="V271" s="4"/>
      <c r="W271" s="4"/>
      <c r="X271" s="4"/>
      <c r="Y271" s="4"/>
    </row>
    <row r="272">
      <c r="A272" s="516"/>
      <c r="B272" s="516"/>
      <c r="C272" s="516"/>
      <c r="D272" s="516"/>
      <c r="E272" s="516"/>
      <c r="F272" s="516"/>
      <c r="G272" s="516"/>
      <c r="H272" s="516"/>
      <c r="I272" s="516"/>
      <c r="J272" s="516"/>
      <c r="K272" s="516"/>
      <c r="L272" s="516"/>
      <c r="M272" s="516"/>
      <c r="N272" s="516"/>
      <c r="O272" s="516"/>
      <c r="P272" s="516"/>
      <c r="Q272" s="516"/>
      <c r="R272" s="516"/>
      <c r="S272" s="516"/>
      <c r="T272" s="516"/>
      <c r="U272" s="516"/>
      <c r="V272" s="4"/>
      <c r="W272" s="4"/>
      <c r="X272" s="4"/>
      <c r="Y272" s="4"/>
    </row>
    <row r="273">
      <c r="A273" s="516"/>
      <c r="B273" s="516"/>
      <c r="C273" s="516"/>
      <c r="D273" s="516"/>
      <c r="E273" s="516"/>
      <c r="F273" s="516"/>
      <c r="G273" s="516"/>
      <c r="H273" s="516"/>
      <c r="I273" s="516"/>
      <c r="J273" s="516"/>
      <c r="K273" s="516"/>
      <c r="L273" s="516"/>
      <c r="M273" s="516"/>
      <c r="N273" s="516"/>
      <c r="O273" s="516"/>
      <c r="P273" s="516"/>
      <c r="Q273" s="516"/>
      <c r="R273" s="516"/>
      <c r="S273" s="516"/>
      <c r="T273" s="516"/>
      <c r="U273" s="516"/>
      <c r="V273" s="4"/>
      <c r="W273" s="4"/>
      <c r="X273" s="4"/>
      <c r="Y273" s="4"/>
    </row>
    <row r="274">
      <c r="A274" s="516"/>
      <c r="B274" s="516"/>
      <c r="C274" s="516"/>
      <c r="D274" s="516"/>
      <c r="E274" s="516"/>
      <c r="F274" s="516"/>
      <c r="G274" s="516"/>
      <c r="H274" s="516"/>
      <c r="I274" s="516"/>
      <c r="J274" s="516"/>
      <c r="K274" s="516"/>
      <c r="L274" s="516"/>
      <c r="M274" s="516"/>
      <c r="N274" s="516"/>
      <c r="O274" s="516"/>
      <c r="P274" s="516"/>
      <c r="Q274" s="516"/>
      <c r="R274" s="516"/>
      <c r="S274" s="516"/>
      <c r="T274" s="516"/>
      <c r="U274" s="516"/>
      <c r="V274" s="4"/>
      <c r="W274" s="4"/>
      <c r="X274" s="4"/>
      <c r="Y274" s="4"/>
    </row>
    <row r="275">
      <c r="A275" s="516"/>
      <c r="B275" s="516"/>
      <c r="C275" s="516"/>
      <c r="D275" s="516"/>
      <c r="E275" s="516"/>
      <c r="F275" s="516"/>
      <c r="G275" s="516"/>
      <c r="H275" s="516"/>
      <c r="I275" s="516"/>
      <c r="J275" s="516"/>
      <c r="K275" s="516"/>
      <c r="L275" s="516"/>
      <c r="M275" s="516"/>
      <c r="N275" s="516"/>
      <c r="O275" s="516"/>
      <c r="P275" s="516"/>
      <c r="Q275" s="516"/>
      <c r="R275" s="516"/>
      <c r="S275" s="516"/>
      <c r="T275" s="516"/>
      <c r="U275" s="516"/>
      <c r="V275" s="4"/>
      <c r="W275" s="4"/>
      <c r="X275" s="4"/>
      <c r="Y275" s="4"/>
    </row>
    <row r="276">
      <c r="A276" s="516"/>
      <c r="B276" s="516"/>
      <c r="C276" s="516"/>
      <c r="D276" s="516"/>
      <c r="E276" s="516"/>
      <c r="F276" s="516"/>
      <c r="G276" s="516"/>
      <c r="H276" s="516"/>
      <c r="I276" s="516"/>
      <c r="J276" s="516"/>
      <c r="K276" s="516"/>
      <c r="L276" s="516"/>
      <c r="M276" s="516"/>
      <c r="N276" s="516"/>
      <c r="O276" s="516"/>
      <c r="P276" s="516"/>
      <c r="Q276" s="516"/>
      <c r="R276" s="516"/>
      <c r="S276" s="516"/>
      <c r="T276" s="516"/>
      <c r="U276" s="516"/>
      <c r="V276" s="4"/>
      <c r="W276" s="4"/>
      <c r="X276" s="4"/>
      <c r="Y276" s="4"/>
    </row>
    <row r="277">
      <c r="A277" s="516"/>
      <c r="B277" s="516"/>
      <c r="C277" s="516"/>
      <c r="D277" s="516"/>
      <c r="E277" s="516"/>
      <c r="F277" s="516"/>
      <c r="G277" s="516"/>
      <c r="H277" s="516"/>
      <c r="I277" s="516"/>
      <c r="J277" s="516"/>
      <c r="K277" s="516"/>
      <c r="L277" s="516"/>
      <c r="M277" s="516"/>
      <c r="N277" s="516"/>
      <c r="O277" s="516"/>
      <c r="P277" s="516"/>
      <c r="Q277" s="516"/>
      <c r="R277" s="516"/>
      <c r="S277" s="516"/>
      <c r="T277" s="516"/>
      <c r="U277" s="516"/>
      <c r="V277" s="4"/>
      <c r="W277" s="4"/>
      <c r="X277" s="4"/>
      <c r="Y277" s="4"/>
    </row>
    <row r="278">
      <c r="A278" s="516"/>
      <c r="B278" s="516"/>
      <c r="C278" s="516"/>
      <c r="D278" s="516"/>
      <c r="E278" s="516"/>
      <c r="F278" s="516"/>
      <c r="G278" s="516"/>
      <c r="H278" s="516"/>
      <c r="I278" s="516"/>
      <c r="J278" s="516"/>
      <c r="K278" s="516"/>
      <c r="L278" s="516"/>
      <c r="M278" s="516"/>
      <c r="N278" s="516"/>
      <c r="O278" s="516"/>
      <c r="P278" s="516"/>
      <c r="Q278" s="516"/>
      <c r="R278" s="516"/>
      <c r="S278" s="516"/>
      <c r="T278" s="516"/>
      <c r="U278" s="516"/>
      <c r="V278" s="4"/>
      <c r="W278" s="4"/>
      <c r="X278" s="4"/>
      <c r="Y278" s="4"/>
    </row>
    <row r="279">
      <c r="A279" s="516"/>
      <c r="B279" s="516"/>
      <c r="C279" s="516"/>
      <c r="D279" s="516"/>
      <c r="E279" s="516"/>
      <c r="F279" s="516"/>
      <c r="G279" s="516"/>
      <c r="H279" s="516"/>
      <c r="I279" s="516"/>
      <c r="J279" s="516"/>
      <c r="K279" s="516"/>
      <c r="L279" s="516"/>
      <c r="M279" s="516"/>
      <c r="N279" s="516"/>
      <c r="O279" s="516"/>
      <c r="P279" s="516"/>
      <c r="Q279" s="516"/>
      <c r="R279" s="516"/>
      <c r="S279" s="516"/>
      <c r="T279" s="516"/>
      <c r="U279" s="516"/>
      <c r="V279" s="4"/>
      <c r="W279" s="4"/>
      <c r="X279" s="4"/>
      <c r="Y279" s="4"/>
    </row>
    <row r="280">
      <c r="A280" s="516"/>
      <c r="B280" s="516"/>
      <c r="C280" s="516"/>
      <c r="D280" s="516"/>
      <c r="E280" s="516"/>
      <c r="F280" s="516"/>
      <c r="G280" s="516"/>
      <c r="H280" s="516"/>
      <c r="I280" s="516"/>
      <c r="J280" s="516"/>
      <c r="K280" s="516"/>
      <c r="L280" s="516"/>
      <c r="M280" s="516"/>
      <c r="N280" s="516"/>
      <c r="O280" s="516"/>
      <c r="P280" s="516"/>
      <c r="Q280" s="516"/>
      <c r="R280" s="516"/>
      <c r="S280" s="516"/>
      <c r="T280" s="516"/>
      <c r="U280" s="516"/>
      <c r="V280" s="4"/>
      <c r="W280" s="4"/>
      <c r="X280" s="4"/>
      <c r="Y280" s="4"/>
    </row>
    <row r="281">
      <c r="A281" s="516"/>
      <c r="B281" s="516"/>
      <c r="C281" s="516"/>
      <c r="D281" s="516"/>
      <c r="E281" s="516"/>
      <c r="F281" s="516"/>
      <c r="G281" s="516"/>
      <c r="H281" s="516"/>
      <c r="I281" s="516"/>
      <c r="J281" s="516"/>
      <c r="K281" s="516"/>
      <c r="L281" s="516"/>
      <c r="M281" s="516"/>
      <c r="N281" s="516"/>
      <c r="O281" s="516"/>
      <c r="P281" s="516"/>
      <c r="Q281" s="516"/>
      <c r="R281" s="516"/>
      <c r="S281" s="516"/>
      <c r="T281" s="516"/>
      <c r="U281" s="516"/>
      <c r="V281" s="4"/>
      <c r="W281" s="4"/>
      <c r="X281" s="4"/>
      <c r="Y281" s="4"/>
    </row>
    <row r="282">
      <c r="A282" s="516"/>
      <c r="B282" s="516"/>
      <c r="C282" s="516"/>
      <c r="D282" s="516"/>
      <c r="E282" s="516"/>
      <c r="F282" s="516"/>
      <c r="G282" s="516"/>
      <c r="H282" s="516"/>
      <c r="I282" s="516"/>
      <c r="J282" s="516"/>
      <c r="K282" s="516"/>
      <c r="L282" s="516"/>
      <c r="M282" s="516"/>
      <c r="N282" s="516"/>
      <c r="O282" s="516"/>
      <c r="P282" s="516"/>
      <c r="Q282" s="516"/>
      <c r="R282" s="516"/>
      <c r="S282" s="516"/>
      <c r="T282" s="516"/>
      <c r="U282" s="516"/>
      <c r="V282" s="4"/>
      <c r="W282" s="4"/>
      <c r="X282" s="4"/>
      <c r="Y282" s="4"/>
    </row>
    <row r="283">
      <c r="A283" s="516"/>
      <c r="B283" s="516"/>
      <c r="C283" s="516"/>
      <c r="D283" s="516"/>
      <c r="E283" s="516"/>
      <c r="F283" s="516"/>
      <c r="G283" s="516"/>
      <c r="H283" s="516"/>
      <c r="I283" s="516"/>
      <c r="J283" s="516"/>
      <c r="K283" s="516"/>
      <c r="L283" s="516"/>
      <c r="M283" s="516"/>
      <c r="N283" s="516"/>
      <c r="O283" s="516"/>
      <c r="P283" s="516"/>
      <c r="Q283" s="516"/>
      <c r="R283" s="516"/>
      <c r="S283" s="516"/>
      <c r="T283" s="516"/>
      <c r="U283" s="516"/>
      <c r="V283" s="4"/>
      <c r="W283" s="4"/>
      <c r="X283" s="4"/>
      <c r="Y283" s="4"/>
    </row>
    <row r="284">
      <c r="A284" s="516"/>
      <c r="B284" s="516"/>
      <c r="C284" s="516"/>
      <c r="D284" s="516"/>
      <c r="E284" s="516"/>
      <c r="F284" s="516"/>
      <c r="G284" s="516"/>
      <c r="H284" s="516"/>
      <c r="I284" s="516"/>
      <c r="J284" s="516"/>
      <c r="K284" s="516"/>
      <c r="L284" s="516"/>
      <c r="M284" s="516"/>
      <c r="N284" s="516"/>
      <c r="O284" s="516"/>
      <c r="P284" s="516"/>
      <c r="Q284" s="516"/>
      <c r="R284" s="516"/>
      <c r="S284" s="516"/>
      <c r="T284" s="516"/>
      <c r="U284" s="516"/>
      <c r="V284" s="4"/>
      <c r="W284" s="4"/>
      <c r="X284" s="4"/>
      <c r="Y284" s="4"/>
    </row>
    <row r="285">
      <c r="A285" s="516"/>
      <c r="B285" s="516"/>
      <c r="C285" s="516"/>
      <c r="D285" s="516"/>
      <c r="E285" s="516"/>
      <c r="F285" s="516"/>
      <c r="G285" s="516"/>
      <c r="H285" s="516"/>
      <c r="I285" s="516"/>
      <c r="J285" s="516"/>
      <c r="K285" s="516"/>
      <c r="L285" s="516"/>
      <c r="M285" s="516"/>
      <c r="N285" s="516"/>
      <c r="O285" s="516"/>
      <c r="P285" s="516"/>
      <c r="Q285" s="516"/>
      <c r="R285" s="516"/>
      <c r="S285" s="516"/>
      <c r="T285" s="516"/>
      <c r="U285" s="516"/>
      <c r="V285" s="4"/>
      <c r="W285" s="4"/>
      <c r="X285" s="4"/>
      <c r="Y285" s="4"/>
    </row>
    <row r="286">
      <c r="A286" s="516"/>
      <c r="B286" s="516"/>
      <c r="C286" s="516"/>
      <c r="D286" s="516"/>
      <c r="E286" s="516"/>
      <c r="F286" s="516"/>
      <c r="G286" s="516"/>
      <c r="H286" s="516"/>
      <c r="I286" s="516"/>
      <c r="J286" s="516"/>
      <c r="K286" s="516"/>
      <c r="L286" s="516"/>
      <c r="M286" s="516"/>
      <c r="N286" s="516"/>
      <c r="O286" s="516"/>
      <c r="P286" s="516"/>
      <c r="Q286" s="516"/>
      <c r="R286" s="516"/>
      <c r="S286" s="516"/>
      <c r="T286" s="516"/>
      <c r="U286" s="516"/>
      <c r="V286" s="4"/>
      <c r="W286" s="4"/>
      <c r="X286" s="4"/>
      <c r="Y286" s="4"/>
    </row>
    <row r="287">
      <c r="A287" s="516"/>
      <c r="B287" s="516"/>
      <c r="C287" s="516"/>
      <c r="D287" s="516"/>
      <c r="E287" s="516"/>
      <c r="F287" s="516"/>
      <c r="G287" s="516"/>
      <c r="H287" s="516"/>
      <c r="I287" s="516"/>
      <c r="J287" s="516"/>
      <c r="K287" s="516"/>
      <c r="L287" s="516"/>
      <c r="M287" s="516"/>
      <c r="N287" s="516"/>
      <c r="O287" s="516"/>
      <c r="P287" s="516"/>
      <c r="Q287" s="516"/>
      <c r="R287" s="516"/>
      <c r="S287" s="516"/>
      <c r="T287" s="516"/>
      <c r="U287" s="516"/>
      <c r="V287" s="4"/>
      <c r="W287" s="4"/>
      <c r="X287" s="4"/>
      <c r="Y287" s="4"/>
    </row>
    <row r="288">
      <c r="A288" s="516"/>
      <c r="B288" s="516"/>
      <c r="C288" s="516"/>
      <c r="D288" s="516"/>
      <c r="E288" s="516"/>
      <c r="F288" s="516"/>
      <c r="G288" s="516"/>
      <c r="H288" s="516"/>
      <c r="I288" s="516"/>
      <c r="J288" s="516"/>
      <c r="K288" s="516"/>
      <c r="L288" s="516"/>
      <c r="M288" s="516"/>
      <c r="N288" s="516"/>
      <c r="O288" s="516"/>
      <c r="P288" s="516"/>
      <c r="Q288" s="516"/>
      <c r="R288" s="516"/>
      <c r="S288" s="516"/>
      <c r="T288" s="516"/>
      <c r="U288" s="516"/>
      <c r="V288" s="4"/>
      <c r="W288" s="4"/>
      <c r="X288" s="4"/>
      <c r="Y288" s="4"/>
    </row>
    <row r="289">
      <c r="A289" s="516"/>
      <c r="B289" s="516"/>
      <c r="C289" s="516"/>
      <c r="D289" s="516"/>
      <c r="E289" s="516"/>
      <c r="F289" s="516"/>
      <c r="G289" s="516"/>
      <c r="H289" s="516"/>
      <c r="I289" s="516"/>
      <c r="J289" s="516"/>
      <c r="K289" s="516"/>
      <c r="L289" s="516"/>
      <c r="M289" s="516"/>
      <c r="N289" s="516"/>
      <c r="O289" s="516"/>
      <c r="P289" s="516"/>
      <c r="Q289" s="516"/>
      <c r="R289" s="516"/>
      <c r="S289" s="516"/>
      <c r="T289" s="516"/>
      <c r="U289" s="516"/>
      <c r="V289" s="4"/>
      <c r="W289" s="4"/>
      <c r="X289" s="4"/>
      <c r="Y289" s="4"/>
    </row>
    <row r="290">
      <c r="A290" s="516"/>
      <c r="B290" s="516"/>
      <c r="C290" s="516"/>
      <c r="D290" s="516"/>
      <c r="E290" s="516"/>
      <c r="F290" s="516"/>
      <c r="G290" s="516"/>
      <c r="H290" s="516"/>
      <c r="I290" s="516"/>
      <c r="J290" s="516"/>
      <c r="K290" s="516"/>
      <c r="L290" s="516"/>
      <c r="M290" s="516"/>
      <c r="N290" s="516"/>
      <c r="O290" s="516"/>
      <c r="P290" s="516"/>
      <c r="Q290" s="516"/>
      <c r="R290" s="516"/>
      <c r="S290" s="516"/>
      <c r="T290" s="516"/>
      <c r="U290" s="516"/>
      <c r="V290" s="4"/>
      <c r="W290" s="4"/>
      <c r="X290" s="4"/>
      <c r="Y290" s="4"/>
    </row>
    <row r="291">
      <c r="A291" s="516"/>
      <c r="B291" s="516"/>
      <c r="C291" s="516"/>
      <c r="D291" s="516"/>
      <c r="E291" s="516"/>
      <c r="F291" s="516"/>
      <c r="G291" s="516"/>
      <c r="H291" s="516"/>
      <c r="I291" s="516"/>
      <c r="J291" s="516"/>
      <c r="K291" s="516"/>
      <c r="L291" s="516"/>
      <c r="M291" s="516"/>
      <c r="N291" s="516"/>
      <c r="O291" s="516"/>
      <c r="P291" s="516"/>
      <c r="Q291" s="516"/>
      <c r="R291" s="516"/>
      <c r="S291" s="516"/>
      <c r="T291" s="516"/>
      <c r="U291" s="516"/>
      <c r="V291" s="4"/>
      <c r="W291" s="4"/>
      <c r="X291" s="4"/>
      <c r="Y291" s="4"/>
    </row>
    <row r="292">
      <c r="A292" s="516"/>
      <c r="B292" s="516"/>
      <c r="C292" s="516"/>
      <c r="D292" s="516"/>
      <c r="E292" s="516"/>
      <c r="F292" s="516"/>
      <c r="G292" s="516"/>
      <c r="H292" s="516"/>
      <c r="I292" s="516"/>
      <c r="J292" s="516"/>
      <c r="K292" s="516"/>
      <c r="L292" s="516"/>
      <c r="M292" s="516"/>
      <c r="N292" s="516"/>
      <c r="O292" s="516"/>
      <c r="P292" s="516"/>
      <c r="Q292" s="516"/>
      <c r="R292" s="516"/>
      <c r="S292" s="516"/>
      <c r="T292" s="516"/>
      <c r="U292" s="516"/>
      <c r="V292" s="4"/>
      <c r="W292" s="4"/>
      <c r="X292" s="4"/>
      <c r="Y292" s="4"/>
    </row>
    <row r="293">
      <c r="A293" s="516"/>
      <c r="B293" s="516"/>
      <c r="C293" s="516"/>
      <c r="D293" s="516"/>
      <c r="E293" s="516"/>
      <c r="F293" s="516"/>
      <c r="G293" s="516"/>
      <c r="H293" s="516"/>
      <c r="I293" s="516"/>
      <c r="J293" s="516"/>
      <c r="K293" s="516"/>
      <c r="L293" s="516"/>
      <c r="M293" s="516"/>
      <c r="N293" s="516"/>
      <c r="O293" s="516"/>
      <c r="P293" s="516"/>
      <c r="Q293" s="516"/>
      <c r="R293" s="516"/>
      <c r="S293" s="516"/>
      <c r="T293" s="516"/>
      <c r="U293" s="516"/>
      <c r="V293" s="4"/>
      <c r="W293" s="4"/>
      <c r="X293" s="4"/>
      <c r="Y293" s="4"/>
    </row>
    <row r="294">
      <c r="A294" s="516"/>
      <c r="B294" s="516"/>
      <c r="C294" s="516"/>
      <c r="D294" s="516"/>
      <c r="E294" s="516"/>
      <c r="F294" s="516"/>
      <c r="G294" s="516"/>
      <c r="H294" s="516"/>
      <c r="I294" s="516"/>
      <c r="J294" s="516"/>
      <c r="K294" s="516"/>
      <c r="L294" s="516"/>
      <c r="M294" s="516"/>
      <c r="N294" s="516"/>
      <c r="O294" s="516"/>
      <c r="P294" s="516"/>
      <c r="Q294" s="516"/>
      <c r="R294" s="516"/>
      <c r="S294" s="516"/>
      <c r="T294" s="516"/>
      <c r="U294" s="516"/>
      <c r="V294" s="4"/>
      <c r="W294" s="4"/>
      <c r="X294" s="4"/>
      <c r="Y294" s="4"/>
    </row>
    <row r="295">
      <c r="A295" s="516"/>
      <c r="B295" s="516"/>
      <c r="C295" s="516"/>
      <c r="D295" s="516"/>
      <c r="E295" s="516"/>
      <c r="F295" s="516"/>
      <c r="G295" s="516"/>
      <c r="H295" s="516"/>
      <c r="I295" s="516"/>
      <c r="J295" s="516"/>
      <c r="K295" s="516"/>
      <c r="L295" s="516"/>
      <c r="M295" s="516"/>
      <c r="N295" s="516"/>
      <c r="O295" s="516"/>
      <c r="P295" s="516"/>
      <c r="Q295" s="516"/>
      <c r="R295" s="516"/>
      <c r="S295" s="516"/>
      <c r="T295" s="516"/>
      <c r="U295" s="516"/>
      <c r="V295" s="4"/>
      <c r="W295" s="4"/>
      <c r="X295" s="4"/>
      <c r="Y295" s="4"/>
    </row>
    <row r="296">
      <c r="A296" s="516"/>
      <c r="B296" s="516"/>
      <c r="C296" s="516"/>
      <c r="D296" s="516"/>
      <c r="E296" s="516"/>
      <c r="F296" s="516"/>
      <c r="G296" s="516"/>
      <c r="H296" s="516"/>
      <c r="I296" s="516"/>
      <c r="J296" s="516"/>
      <c r="K296" s="516"/>
      <c r="L296" s="516"/>
      <c r="M296" s="516"/>
      <c r="N296" s="516"/>
      <c r="O296" s="516"/>
      <c r="P296" s="516"/>
      <c r="Q296" s="516"/>
      <c r="R296" s="516"/>
      <c r="S296" s="516"/>
      <c r="T296" s="516"/>
      <c r="U296" s="516"/>
      <c r="V296" s="4"/>
      <c r="W296" s="4"/>
      <c r="X296" s="4"/>
      <c r="Y296" s="4"/>
    </row>
    <row r="297">
      <c r="A297" s="516"/>
      <c r="B297" s="516"/>
      <c r="C297" s="516"/>
      <c r="D297" s="516"/>
      <c r="E297" s="516"/>
      <c r="F297" s="516"/>
      <c r="G297" s="516"/>
      <c r="H297" s="516"/>
      <c r="I297" s="516"/>
      <c r="J297" s="516"/>
      <c r="K297" s="516"/>
      <c r="L297" s="516"/>
      <c r="M297" s="516"/>
      <c r="N297" s="516"/>
      <c r="O297" s="516"/>
      <c r="P297" s="516"/>
      <c r="Q297" s="516"/>
      <c r="R297" s="516"/>
      <c r="S297" s="516"/>
      <c r="T297" s="516"/>
      <c r="U297" s="516"/>
      <c r="V297" s="4"/>
      <c r="W297" s="4"/>
      <c r="X297" s="4"/>
      <c r="Y297" s="4"/>
    </row>
    <row r="298">
      <c r="A298" s="516"/>
      <c r="B298" s="516"/>
      <c r="C298" s="516"/>
      <c r="D298" s="516"/>
      <c r="E298" s="516"/>
      <c r="F298" s="516"/>
      <c r="G298" s="516"/>
      <c r="H298" s="516"/>
      <c r="I298" s="516"/>
      <c r="J298" s="516"/>
      <c r="K298" s="516"/>
      <c r="L298" s="516"/>
      <c r="M298" s="516"/>
      <c r="N298" s="516"/>
      <c r="O298" s="516"/>
      <c r="P298" s="516"/>
      <c r="Q298" s="516"/>
      <c r="R298" s="516"/>
      <c r="S298" s="516"/>
      <c r="T298" s="516"/>
      <c r="U298" s="516"/>
      <c r="V298" s="4"/>
      <c r="W298" s="4"/>
      <c r="X298" s="4"/>
      <c r="Y298" s="4"/>
    </row>
    <row r="299">
      <c r="A299" s="516"/>
      <c r="B299" s="516"/>
      <c r="C299" s="516"/>
      <c r="D299" s="516"/>
      <c r="E299" s="516"/>
      <c r="F299" s="516"/>
      <c r="G299" s="516"/>
      <c r="H299" s="516"/>
      <c r="I299" s="516"/>
      <c r="J299" s="516"/>
      <c r="K299" s="516"/>
      <c r="L299" s="516"/>
      <c r="M299" s="516"/>
      <c r="N299" s="516"/>
      <c r="O299" s="516"/>
      <c r="P299" s="516"/>
      <c r="Q299" s="516"/>
      <c r="R299" s="516"/>
      <c r="S299" s="516"/>
      <c r="T299" s="516"/>
      <c r="U299" s="516"/>
      <c r="V299" s="4"/>
      <c r="W299" s="4"/>
      <c r="X299" s="4"/>
      <c r="Y299" s="4"/>
    </row>
    <row r="300">
      <c r="A300" s="516"/>
      <c r="B300" s="516"/>
      <c r="C300" s="516"/>
      <c r="D300" s="516"/>
      <c r="E300" s="516"/>
      <c r="F300" s="516"/>
      <c r="G300" s="516"/>
      <c r="H300" s="516"/>
      <c r="I300" s="516"/>
      <c r="J300" s="516"/>
      <c r="K300" s="516"/>
      <c r="L300" s="516"/>
      <c r="M300" s="516"/>
      <c r="N300" s="516"/>
      <c r="O300" s="516"/>
      <c r="P300" s="516"/>
      <c r="Q300" s="516"/>
      <c r="R300" s="516"/>
      <c r="S300" s="516"/>
      <c r="T300" s="516"/>
      <c r="U300" s="516"/>
      <c r="V300" s="4"/>
      <c r="W300" s="4"/>
      <c r="X300" s="4"/>
      <c r="Y300" s="4"/>
    </row>
    <row r="301">
      <c r="A301" s="516"/>
      <c r="B301" s="516"/>
      <c r="C301" s="516"/>
      <c r="D301" s="516"/>
      <c r="E301" s="516"/>
      <c r="F301" s="516"/>
      <c r="G301" s="516"/>
      <c r="H301" s="516"/>
      <c r="I301" s="516"/>
      <c r="J301" s="516"/>
      <c r="K301" s="516"/>
      <c r="L301" s="516"/>
      <c r="M301" s="516"/>
      <c r="N301" s="516"/>
      <c r="O301" s="516"/>
      <c r="P301" s="516"/>
      <c r="Q301" s="516"/>
      <c r="R301" s="516"/>
      <c r="S301" s="516"/>
      <c r="T301" s="516"/>
      <c r="U301" s="516"/>
      <c r="V301" s="4"/>
      <c r="W301" s="4"/>
      <c r="X301" s="4"/>
      <c r="Y301" s="4"/>
    </row>
    <row r="302">
      <c r="A302" s="516"/>
      <c r="B302" s="516"/>
      <c r="C302" s="516"/>
      <c r="D302" s="516"/>
      <c r="E302" s="516"/>
      <c r="F302" s="516"/>
      <c r="G302" s="516"/>
      <c r="H302" s="516"/>
      <c r="I302" s="516"/>
      <c r="J302" s="516"/>
      <c r="K302" s="516"/>
      <c r="L302" s="516"/>
      <c r="M302" s="516"/>
      <c r="N302" s="516"/>
      <c r="O302" s="516"/>
      <c r="P302" s="516"/>
      <c r="Q302" s="516"/>
      <c r="R302" s="516"/>
      <c r="S302" s="516"/>
      <c r="T302" s="516"/>
      <c r="U302" s="516"/>
      <c r="V302" s="4"/>
      <c r="W302" s="4"/>
      <c r="X302" s="4"/>
      <c r="Y302" s="4"/>
    </row>
    <row r="303">
      <c r="A303" s="516"/>
      <c r="B303" s="516"/>
      <c r="C303" s="516"/>
      <c r="D303" s="516"/>
      <c r="E303" s="516"/>
      <c r="F303" s="516"/>
      <c r="G303" s="516"/>
      <c r="H303" s="516"/>
      <c r="I303" s="516"/>
      <c r="J303" s="516"/>
      <c r="K303" s="516"/>
      <c r="L303" s="516"/>
      <c r="M303" s="516"/>
      <c r="N303" s="516"/>
      <c r="O303" s="516"/>
      <c r="P303" s="516"/>
      <c r="Q303" s="516"/>
      <c r="R303" s="516"/>
      <c r="S303" s="516"/>
      <c r="T303" s="516"/>
      <c r="U303" s="516"/>
      <c r="V303" s="4"/>
      <c r="W303" s="4"/>
      <c r="X303" s="4"/>
      <c r="Y303" s="4"/>
    </row>
    <row r="304">
      <c r="A304" s="516"/>
      <c r="B304" s="516"/>
      <c r="C304" s="516"/>
      <c r="D304" s="516"/>
      <c r="E304" s="516"/>
      <c r="F304" s="516"/>
      <c r="G304" s="516"/>
      <c r="H304" s="516"/>
      <c r="I304" s="516"/>
      <c r="J304" s="516"/>
      <c r="K304" s="516"/>
      <c r="L304" s="516"/>
      <c r="M304" s="516"/>
      <c r="N304" s="516"/>
      <c r="O304" s="516"/>
      <c r="P304" s="516"/>
      <c r="Q304" s="516"/>
      <c r="R304" s="516"/>
      <c r="S304" s="516"/>
      <c r="T304" s="516"/>
      <c r="U304" s="516"/>
      <c r="V304" s="4"/>
      <c r="W304" s="4"/>
      <c r="X304" s="4"/>
      <c r="Y304" s="4"/>
    </row>
    <row r="305">
      <c r="A305" s="516"/>
      <c r="B305" s="516"/>
      <c r="C305" s="516"/>
      <c r="D305" s="516"/>
      <c r="E305" s="516"/>
      <c r="F305" s="516"/>
      <c r="G305" s="516"/>
      <c r="H305" s="516"/>
      <c r="I305" s="516"/>
      <c r="J305" s="516"/>
      <c r="K305" s="516"/>
      <c r="L305" s="516"/>
      <c r="M305" s="516"/>
      <c r="N305" s="516"/>
      <c r="O305" s="516"/>
      <c r="P305" s="516"/>
      <c r="Q305" s="516"/>
      <c r="R305" s="516"/>
      <c r="S305" s="516"/>
      <c r="T305" s="516"/>
      <c r="U305" s="516"/>
      <c r="V305" s="4"/>
      <c r="W305" s="4"/>
      <c r="X305" s="4"/>
      <c r="Y305" s="4"/>
    </row>
    <row r="306">
      <c r="A306" s="516"/>
      <c r="B306" s="516"/>
      <c r="C306" s="516"/>
      <c r="D306" s="516"/>
      <c r="E306" s="516"/>
      <c r="F306" s="516"/>
      <c r="G306" s="516"/>
      <c r="H306" s="516"/>
      <c r="I306" s="516"/>
      <c r="J306" s="516"/>
      <c r="K306" s="516"/>
      <c r="L306" s="516"/>
      <c r="M306" s="516"/>
      <c r="N306" s="516"/>
      <c r="O306" s="516"/>
      <c r="P306" s="516"/>
      <c r="Q306" s="516"/>
      <c r="R306" s="516"/>
      <c r="S306" s="516"/>
      <c r="T306" s="516"/>
      <c r="U306" s="516"/>
      <c r="V306" s="4"/>
      <c r="W306" s="4"/>
      <c r="X306" s="4"/>
      <c r="Y306" s="4"/>
    </row>
    <row r="307">
      <c r="A307" s="516"/>
      <c r="B307" s="516"/>
      <c r="C307" s="516"/>
      <c r="D307" s="516"/>
      <c r="E307" s="516"/>
      <c r="F307" s="516"/>
      <c r="G307" s="516"/>
      <c r="H307" s="516"/>
      <c r="I307" s="516"/>
      <c r="J307" s="516"/>
      <c r="K307" s="516"/>
      <c r="L307" s="516"/>
      <c r="M307" s="516"/>
      <c r="N307" s="516"/>
      <c r="O307" s="516"/>
      <c r="P307" s="516"/>
      <c r="Q307" s="516"/>
      <c r="R307" s="516"/>
      <c r="S307" s="516"/>
      <c r="T307" s="516"/>
      <c r="U307" s="516"/>
      <c r="V307" s="4"/>
      <c r="W307" s="4"/>
      <c r="X307" s="4"/>
      <c r="Y307" s="4"/>
    </row>
    <row r="308">
      <c r="A308" s="516"/>
      <c r="B308" s="516"/>
      <c r="C308" s="516"/>
      <c r="D308" s="516"/>
      <c r="E308" s="516"/>
      <c r="F308" s="516"/>
      <c r="G308" s="516"/>
      <c r="H308" s="516"/>
      <c r="I308" s="516"/>
      <c r="J308" s="516"/>
      <c r="K308" s="516"/>
      <c r="L308" s="516"/>
      <c r="M308" s="516"/>
      <c r="N308" s="516"/>
      <c r="O308" s="516"/>
      <c r="P308" s="516"/>
      <c r="Q308" s="516"/>
      <c r="R308" s="516"/>
      <c r="S308" s="516"/>
      <c r="T308" s="516"/>
      <c r="U308" s="516"/>
      <c r="V308" s="4"/>
      <c r="W308" s="4"/>
      <c r="X308" s="4"/>
      <c r="Y308" s="4"/>
    </row>
    <row r="309">
      <c r="A309" s="516"/>
      <c r="B309" s="516"/>
      <c r="C309" s="516"/>
      <c r="D309" s="516"/>
      <c r="E309" s="516"/>
      <c r="F309" s="516"/>
      <c r="G309" s="516"/>
      <c r="H309" s="516"/>
      <c r="I309" s="516"/>
      <c r="J309" s="516"/>
      <c r="K309" s="516"/>
      <c r="L309" s="516"/>
      <c r="M309" s="516"/>
      <c r="N309" s="516"/>
      <c r="O309" s="516"/>
      <c r="P309" s="516"/>
      <c r="Q309" s="516"/>
      <c r="R309" s="516"/>
      <c r="S309" s="516"/>
      <c r="T309" s="516"/>
      <c r="U309" s="516"/>
      <c r="V309" s="4"/>
      <c r="W309" s="4"/>
      <c r="X309" s="4"/>
      <c r="Y309" s="4"/>
    </row>
    <row r="310">
      <c r="A310" s="516"/>
      <c r="B310" s="516"/>
      <c r="C310" s="516"/>
      <c r="D310" s="516"/>
      <c r="E310" s="516"/>
      <c r="F310" s="516"/>
      <c r="G310" s="516"/>
      <c r="H310" s="516"/>
      <c r="I310" s="516"/>
      <c r="J310" s="516"/>
      <c r="K310" s="516"/>
      <c r="L310" s="516"/>
      <c r="M310" s="516"/>
      <c r="N310" s="516"/>
      <c r="O310" s="516"/>
      <c r="P310" s="516"/>
      <c r="Q310" s="516"/>
      <c r="R310" s="516"/>
      <c r="S310" s="516"/>
      <c r="T310" s="516"/>
      <c r="U310" s="516"/>
      <c r="V310" s="4"/>
      <c r="W310" s="4"/>
      <c r="X310" s="4"/>
      <c r="Y310" s="4"/>
    </row>
    <row r="311">
      <c r="A311" s="516"/>
      <c r="B311" s="516"/>
      <c r="C311" s="516"/>
      <c r="D311" s="516"/>
      <c r="E311" s="516"/>
      <c r="F311" s="516"/>
      <c r="G311" s="516"/>
      <c r="H311" s="516"/>
      <c r="I311" s="516"/>
      <c r="J311" s="516"/>
      <c r="K311" s="516"/>
      <c r="L311" s="516"/>
      <c r="M311" s="516"/>
      <c r="N311" s="516"/>
      <c r="O311" s="516"/>
      <c r="P311" s="516"/>
      <c r="Q311" s="516"/>
      <c r="R311" s="516"/>
      <c r="S311" s="516"/>
      <c r="T311" s="516"/>
      <c r="U311" s="516"/>
      <c r="V311" s="4"/>
      <c r="W311" s="4"/>
      <c r="X311" s="4"/>
      <c r="Y311" s="4"/>
    </row>
    <row r="312">
      <c r="A312" s="516"/>
      <c r="B312" s="516"/>
      <c r="C312" s="516"/>
      <c r="D312" s="516"/>
      <c r="E312" s="516"/>
      <c r="F312" s="516"/>
      <c r="G312" s="516"/>
      <c r="H312" s="516"/>
      <c r="I312" s="516"/>
      <c r="J312" s="516"/>
      <c r="K312" s="516"/>
      <c r="L312" s="516"/>
      <c r="M312" s="516"/>
      <c r="N312" s="516"/>
      <c r="O312" s="516"/>
      <c r="P312" s="516"/>
      <c r="Q312" s="516"/>
      <c r="R312" s="516"/>
      <c r="S312" s="516"/>
      <c r="T312" s="516"/>
      <c r="U312" s="516"/>
      <c r="V312" s="4"/>
      <c r="W312" s="4"/>
      <c r="X312" s="4"/>
      <c r="Y312" s="4"/>
    </row>
    <row r="313">
      <c r="A313" s="516"/>
      <c r="B313" s="516"/>
      <c r="C313" s="516"/>
      <c r="D313" s="516"/>
      <c r="E313" s="516"/>
      <c r="F313" s="516"/>
      <c r="G313" s="516"/>
      <c r="H313" s="516"/>
      <c r="I313" s="516"/>
      <c r="J313" s="516"/>
      <c r="K313" s="516"/>
      <c r="L313" s="516"/>
      <c r="M313" s="516"/>
      <c r="N313" s="516"/>
      <c r="O313" s="516"/>
      <c r="P313" s="516"/>
      <c r="Q313" s="516"/>
      <c r="R313" s="516"/>
      <c r="S313" s="516"/>
      <c r="T313" s="516"/>
      <c r="U313" s="516"/>
      <c r="V313" s="4"/>
      <c r="W313" s="4"/>
      <c r="X313" s="4"/>
      <c r="Y313" s="4"/>
    </row>
    <row r="314">
      <c r="A314" s="516"/>
      <c r="B314" s="516"/>
      <c r="C314" s="516"/>
      <c r="D314" s="516"/>
      <c r="E314" s="516"/>
      <c r="F314" s="516"/>
      <c r="G314" s="516"/>
      <c r="H314" s="516"/>
      <c r="I314" s="516"/>
      <c r="J314" s="516"/>
      <c r="K314" s="516"/>
      <c r="L314" s="516"/>
      <c r="M314" s="516"/>
      <c r="N314" s="516"/>
      <c r="O314" s="516"/>
      <c r="P314" s="516"/>
      <c r="Q314" s="516"/>
      <c r="R314" s="516"/>
      <c r="S314" s="516"/>
      <c r="T314" s="516"/>
      <c r="U314" s="516"/>
      <c r="V314" s="4"/>
      <c r="W314" s="4"/>
      <c r="X314" s="4"/>
      <c r="Y314" s="4"/>
    </row>
    <row r="315">
      <c r="A315" s="516"/>
      <c r="B315" s="516"/>
      <c r="C315" s="516"/>
      <c r="D315" s="516"/>
      <c r="E315" s="516"/>
      <c r="F315" s="516"/>
      <c r="G315" s="516"/>
      <c r="H315" s="516"/>
      <c r="I315" s="516"/>
      <c r="J315" s="516"/>
      <c r="K315" s="516"/>
      <c r="L315" s="516"/>
      <c r="M315" s="516"/>
      <c r="N315" s="516"/>
      <c r="O315" s="516"/>
      <c r="P315" s="516"/>
      <c r="Q315" s="516"/>
      <c r="R315" s="516"/>
      <c r="S315" s="516"/>
      <c r="T315" s="516"/>
      <c r="U315" s="516"/>
      <c r="V315" s="4"/>
      <c r="W315" s="4"/>
      <c r="X315" s="4"/>
      <c r="Y315" s="4"/>
    </row>
    <row r="316">
      <c r="A316" s="516"/>
      <c r="B316" s="516"/>
      <c r="C316" s="516"/>
      <c r="D316" s="516"/>
      <c r="E316" s="516"/>
      <c r="F316" s="516"/>
      <c r="G316" s="516"/>
      <c r="H316" s="516"/>
      <c r="I316" s="516"/>
      <c r="J316" s="516"/>
      <c r="K316" s="516"/>
      <c r="L316" s="516"/>
      <c r="M316" s="516"/>
      <c r="N316" s="516"/>
      <c r="O316" s="516"/>
      <c r="P316" s="516"/>
      <c r="Q316" s="516"/>
      <c r="R316" s="516"/>
      <c r="S316" s="516"/>
      <c r="T316" s="516"/>
      <c r="U316" s="516"/>
      <c r="V316" s="4"/>
      <c r="W316" s="4"/>
      <c r="X316" s="4"/>
      <c r="Y316" s="4"/>
    </row>
    <row r="317">
      <c r="A317" s="516"/>
      <c r="B317" s="516"/>
      <c r="C317" s="516"/>
      <c r="D317" s="516"/>
      <c r="E317" s="516"/>
      <c r="F317" s="516"/>
      <c r="G317" s="516"/>
      <c r="H317" s="516"/>
      <c r="I317" s="516"/>
      <c r="J317" s="516"/>
      <c r="K317" s="516"/>
      <c r="L317" s="516"/>
      <c r="M317" s="516"/>
      <c r="N317" s="516"/>
      <c r="O317" s="516"/>
      <c r="P317" s="516"/>
      <c r="Q317" s="516"/>
      <c r="R317" s="516"/>
      <c r="S317" s="516"/>
      <c r="T317" s="516"/>
      <c r="U317" s="516"/>
      <c r="V317" s="4"/>
      <c r="W317" s="4"/>
      <c r="X317" s="4"/>
      <c r="Y317" s="4"/>
    </row>
    <row r="318">
      <c r="A318" s="516"/>
      <c r="B318" s="516"/>
      <c r="C318" s="516"/>
      <c r="D318" s="516"/>
      <c r="E318" s="516"/>
      <c r="F318" s="516"/>
      <c r="G318" s="516"/>
      <c r="H318" s="516"/>
      <c r="I318" s="516"/>
      <c r="J318" s="516"/>
      <c r="K318" s="516"/>
      <c r="L318" s="516"/>
      <c r="M318" s="516"/>
      <c r="N318" s="516"/>
      <c r="O318" s="516"/>
      <c r="P318" s="516"/>
      <c r="Q318" s="516"/>
      <c r="R318" s="516"/>
      <c r="S318" s="516"/>
      <c r="T318" s="516"/>
      <c r="U318" s="516"/>
      <c r="V318" s="4"/>
      <c r="W318" s="4"/>
      <c r="X318" s="4"/>
      <c r="Y318" s="4"/>
    </row>
    <row r="319">
      <c r="A319" s="516"/>
      <c r="B319" s="516"/>
      <c r="C319" s="516"/>
      <c r="D319" s="516"/>
      <c r="E319" s="516"/>
      <c r="F319" s="516"/>
      <c r="G319" s="516"/>
      <c r="H319" s="516"/>
      <c r="I319" s="516"/>
      <c r="J319" s="516"/>
      <c r="K319" s="516"/>
      <c r="L319" s="516"/>
      <c r="M319" s="516"/>
      <c r="N319" s="516"/>
      <c r="O319" s="516"/>
      <c r="P319" s="516"/>
      <c r="Q319" s="516"/>
      <c r="R319" s="516"/>
      <c r="S319" s="516"/>
      <c r="T319" s="516"/>
      <c r="U319" s="516"/>
      <c r="V319" s="4"/>
      <c r="W319" s="4"/>
      <c r="X319" s="4"/>
      <c r="Y319" s="4"/>
    </row>
    <row r="320">
      <c r="A320" s="516"/>
      <c r="B320" s="516"/>
      <c r="C320" s="516"/>
      <c r="D320" s="516"/>
      <c r="E320" s="516"/>
      <c r="F320" s="516"/>
      <c r="G320" s="516"/>
      <c r="H320" s="516"/>
      <c r="I320" s="516"/>
      <c r="J320" s="516"/>
      <c r="K320" s="516"/>
      <c r="L320" s="516"/>
      <c r="M320" s="516"/>
      <c r="N320" s="516"/>
      <c r="O320" s="516"/>
      <c r="P320" s="516"/>
      <c r="Q320" s="516"/>
      <c r="R320" s="516"/>
      <c r="S320" s="516"/>
      <c r="T320" s="516"/>
      <c r="U320" s="516"/>
      <c r="V320" s="4"/>
      <c r="W320" s="4"/>
      <c r="X320" s="4"/>
      <c r="Y320" s="4"/>
    </row>
    <row r="321">
      <c r="A321" s="516"/>
      <c r="B321" s="516"/>
      <c r="C321" s="516"/>
      <c r="D321" s="516"/>
      <c r="E321" s="516"/>
      <c r="F321" s="516"/>
      <c r="G321" s="516"/>
      <c r="H321" s="516"/>
      <c r="I321" s="516"/>
      <c r="J321" s="516"/>
      <c r="K321" s="516"/>
      <c r="L321" s="516"/>
      <c r="M321" s="516"/>
      <c r="N321" s="516"/>
      <c r="O321" s="516"/>
      <c r="P321" s="516"/>
      <c r="Q321" s="516"/>
      <c r="R321" s="516"/>
      <c r="S321" s="516"/>
      <c r="T321" s="516"/>
      <c r="U321" s="516"/>
      <c r="V321" s="4"/>
      <c r="W321" s="4"/>
      <c r="X321" s="4"/>
      <c r="Y321" s="4"/>
    </row>
    <row r="322">
      <c r="A322" s="516"/>
      <c r="B322" s="516"/>
      <c r="C322" s="516"/>
      <c r="D322" s="516"/>
      <c r="E322" s="516"/>
      <c r="F322" s="516"/>
      <c r="G322" s="516"/>
      <c r="H322" s="516"/>
      <c r="I322" s="516"/>
      <c r="J322" s="516"/>
      <c r="K322" s="516"/>
      <c r="L322" s="516"/>
      <c r="M322" s="516"/>
      <c r="N322" s="516"/>
      <c r="O322" s="516"/>
      <c r="P322" s="516"/>
      <c r="Q322" s="516"/>
      <c r="R322" s="516"/>
      <c r="S322" s="516"/>
      <c r="T322" s="516"/>
      <c r="U322" s="516"/>
      <c r="V322" s="4"/>
      <c r="W322" s="4"/>
      <c r="X322" s="4"/>
      <c r="Y322" s="4"/>
    </row>
    <row r="323">
      <c r="A323" s="516"/>
      <c r="B323" s="516"/>
      <c r="C323" s="516"/>
      <c r="D323" s="516"/>
      <c r="E323" s="516"/>
      <c r="F323" s="516"/>
      <c r="G323" s="516"/>
      <c r="H323" s="516"/>
      <c r="I323" s="516"/>
      <c r="J323" s="516"/>
      <c r="K323" s="516"/>
      <c r="L323" s="516"/>
      <c r="M323" s="516"/>
      <c r="N323" s="516"/>
      <c r="O323" s="516"/>
      <c r="P323" s="516"/>
      <c r="Q323" s="516"/>
      <c r="R323" s="516"/>
      <c r="S323" s="516"/>
      <c r="T323" s="516"/>
      <c r="U323" s="516"/>
      <c r="V323" s="4"/>
      <c r="W323" s="4"/>
      <c r="X323" s="4"/>
      <c r="Y323" s="4"/>
    </row>
    <row r="324">
      <c r="A324" s="516"/>
      <c r="B324" s="516"/>
      <c r="C324" s="516"/>
      <c r="D324" s="516"/>
      <c r="E324" s="516"/>
      <c r="F324" s="516"/>
      <c r="G324" s="516"/>
      <c r="H324" s="516"/>
      <c r="I324" s="516"/>
      <c r="J324" s="516"/>
      <c r="K324" s="516"/>
      <c r="L324" s="516"/>
      <c r="M324" s="516"/>
      <c r="N324" s="516"/>
      <c r="O324" s="516"/>
      <c r="P324" s="516"/>
      <c r="Q324" s="516"/>
      <c r="R324" s="516"/>
      <c r="S324" s="516"/>
      <c r="T324" s="516"/>
      <c r="U324" s="516"/>
      <c r="V324" s="4"/>
      <c r="W324" s="4"/>
      <c r="X324" s="4"/>
      <c r="Y324" s="4"/>
    </row>
    <row r="325">
      <c r="A325" s="516"/>
      <c r="B325" s="516"/>
      <c r="C325" s="516"/>
      <c r="D325" s="516"/>
      <c r="E325" s="516"/>
      <c r="F325" s="516"/>
      <c r="G325" s="516"/>
      <c r="H325" s="516"/>
      <c r="I325" s="516"/>
      <c r="J325" s="516"/>
      <c r="K325" s="516"/>
      <c r="L325" s="516"/>
      <c r="M325" s="516"/>
      <c r="N325" s="516"/>
      <c r="O325" s="516"/>
      <c r="P325" s="516"/>
      <c r="Q325" s="516"/>
      <c r="R325" s="516"/>
      <c r="S325" s="516"/>
      <c r="T325" s="516"/>
      <c r="U325" s="516"/>
      <c r="V325" s="4"/>
      <c r="W325" s="4"/>
      <c r="X325" s="4"/>
      <c r="Y325" s="4"/>
    </row>
    <row r="326">
      <c r="A326" s="516"/>
      <c r="B326" s="516"/>
      <c r="C326" s="516"/>
      <c r="D326" s="516"/>
      <c r="E326" s="516"/>
      <c r="F326" s="516"/>
      <c r="G326" s="516"/>
      <c r="H326" s="516"/>
      <c r="I326" s="516"/>
      <c r="J326" s="516"/>
      <c r="K326" s="516"/>
      <c r="L326" s="516"/>
      <c r="M326" s="516"/>
      <c r="N326" s="516"/>
      <c r="O326" s="516"/>
      <c r="P326" s="516"/>
      <c r="Q326" s="516"/>
      <c r="R326" s="516"/>
      <c r="S326" s="516"/>
      <c r="T326" s="516"/>
      <c r="U326" s="516"/>
      <c r="V326" s="4"/>
      <c r="W326" s="4"/>
      <c r="X326" s="4"/>
      <c r="Y326" s="4"/>
    </row>
    <row r="327">
      <c r="A327" s="516"/>
      <c r="B327" s="516"/>
      <c r="C327" s="516"/>
      <c r="D327" s="516"/>
      <c r="E327" s="516"/>
      <c r="F327" s="516"/>
      <c r="G327" s="516"/>
      <c r="H327" s="516"/>
      <c r="I327" s="516"/>
      <c r="J327" s="516"/>
      <c r="K327" s="516"/>
      <c r="L327" s="516"/>
      <c r="M327" s="516"/>
      <c r="N327" s="516"/>
      <c r="O327" s="516"/>
      <c r="P327" s="516"/>
      <c r="Q327" s="516"/>
      <c r="R327" s="516"/>
      <c r="S327" s="516"/>
      <c r="T327" s="516"/>
      <c r="U327" s="516"/>
      <c r="V327" s="4"/>
      <c r="W327" s="4"/>
      <c r="X327" s="4"/>
      <c r="Y327" s="4"/>
    </row>
    <row r="328">
      <c r="A328" s="516"/>
      <c r="B328" s="516"/>
      <c r="C328" s="516"/>
      <c r="D328" s="516"/>
      <c r="E328" s="516"/>
      <c r="F328" s="516"/>
      <c r="G328" s="516"/>
      <c r="H328" s="516"/>
      <c r="I328" s="516"/>
      <c r="J328" s="516"/>
      <c r="K328" s="516"/>
      <c r="L328" s="516"/>
      <c r="M328" s="516"/>
      <c r="N328" s="516"/>
      <c r="O328" s="516"/>
      <c r="P328" s="516"/>
      <c r="Q328" s="516"/>
      <c r="R328" s="516"/>
      <c r="S328" s="516"/>
      <c r="T328" s="516"/>
      <c r="U328" s="516"/>
      <c r="V328" s="4"/>
      <c r="W328" s="4"/>
      <c r="X328" s="4"/>
      <c r="Y328" s="4"/>
    </row>
    <row r="329">
      <c r="A329" s="516"/>
      <c r="B329" s="516"/>
      <c r="C329" s="516"/>
      <c r="D329" s="516"/>
      <c r="E329" s="516"/>
      <c r="F329" s="516"/>
      <c r="G329" s="516"/>
      <c r="H329" s="516"/>
      <c r="I329" s="516"/>
      <c r="J329" s="516"/>
      <c r="K329" s="516"/>
      <c r="L329" s="516"/>
      <c r="M329" s="516"/>
      <c r="N329" s="516"/>
      <c r="O329" s="516"/>
      <c r="P329" s="516"/>
      <c r="Q329" s="516"/>
      <c r="R329" s="516"/>
      <c r="S329" s="516"/>
      <c r="T329" s="516"/>
      <c r="U329" s="516"/>
      <c r="V329" s="4"/>
      <c r="W329" s="4"/>
      <c r="X329" s="4"/>
      <c r="Y329" s="4"/>
    </row>
    <row r="330">
      <c r="A330" s="516"/>
      <c r="B330" s="516"/>
      <c r="C330" s="516"/>
      <c r="D330" s="516"/>
      <c r="E330" s="516"/>
      <c r="F330" s="516"/>
      <c r="G330" s="516"/>
      <c r="H330" s="516"/>
      <c r="I330" s="516"/>
      <c r="J330" s="516"/>
      <c r="K330" s="516"/>
      <c r="L330" s="516"/>
      <c r="M330" s="516"/>
      <c r="N330" s="516"/>
      <c r="O330" s="516"/>
      <c r="P330" s="516"/>
      <c r="Q330" s="516"/>
      <c r="R330" s="516"/>
      <c r="S330" s="516"/>
      <c r="T330" s="516"/>
      <c r="U330" s="516"/>
      <c r="V330" s="4"/>
      <c r="W330" s="4"/>
      <c r="X330" s="4"/>
      <c r="Y330" s="4"/>
    </row>
    <row r="331">
      <c r="A331" s="516"/>
      <c r="B331" s="516"/>
      <c r="C331" s="516"/>
      <c r="D331" s="516"/>
      <c r="E331" s="516"/>
      <c r="F331" s="516"/>
      <c r="G331" s="516"/>
      <c r="H331" s="516"/>
      <c r="I331" s="516"/>
      <c r="J331" s="516"/>
      <c r="K331" s="516"/>
      <c r="L331" s="516"/>
      <c r="M331" s="516"/>
      <c r="N331" s="516"/>
      <c r="O331" s="516"/>
      <c r="P331" s="516"/>
      <c r="Q331" s="516"/>
      <c r="R331" s="516"/>
      <c r="S331" s="516"/>
      <c r="T331" s="516"/>
      <c r="U331" s="516"/>
      <c r="V331" s="4"/>
      <c r="W331" s="4"/>
      <c r="X331" s="4"/>
      <c r="Y331" s="4"/>
    </row>
    <row r="332">
      <c r="A332" s="516"/>
      <c r="B332" s="516"/>
      <c r="C332" s="516"/>
      <c r="D332" s="516"/>
      <c r="E332" s="516"/>
      <c r="F332" s="516"/>
      <c r="G332" s="516"/>
      <c r="H332" s="516"/>
      <c r="I332" s="516"/>
      <c r="J332" s="516"/>
      <c r="K332" s="516"/>
      <c r="L332" s="516"/>
      <c r="M332" s="516"/>
      <c r="N332" s="516"/>
      <c r="O332" s="516"/>
      <c r="P332" s="516"/>
      <c r="Q332" s="516"/>
      <c r="R332" s="516"/>
      <c r="S332" s="516"/>
      <c r="T332" s="516"/>
      <c r="U332" s="516"/>
      <c r="V332" s="4"/>
      <c r="W332" s="4"/>
      <c r="X332" s="4"/>
      <c r="Y332" s="4"/>
    </row>
    <row r="333">
      <c r="A333" s="516"/>
      <c r="B333" s="516"/>
      <c r="C333" s="516"/>
      <c r="D333" s="516"/>
      <c r="E333" s="516"/>
      <c r="F333" s="516"/>
      <c r="G333" s="516"/>
      <c r="H333" s="516"/>
      <c r="I333" s="516"/>
      <c r="J333" s="516"/>
      <c r="K333" s="516"/>
      <c r="L333" s="516"/>
      <c r="M333" s="516"/>
      <c r="N333" s="516"/>
      <c r="O333" s="516"/>
      <c r="P333" s="516"/>
      <c r="Q333" s="516"/>
      <c r="R333" s="516"/>
      <c r="S333" s="516"/>
      <c r="T333" s="516"/>
      <c r="U333" s="516"/>
      <c r="V333" s="4"/>
      <c r="W333" s="4"/>
      <c r="X333" s="4"/>
      <c r="Y333" s="4"/>
    </row>
    <row r="334">
      <c r="A334" s="516"/>
      <c r="B334" s="516"/>
      <c r="C334" s="516"/>
      <c r="D334" s="516"/>
      <c r="E334" s="516"/>
      <c r="F334" s="516"/>
      <c r="G334" s="516"/>
      <c r="H334" s="516"/>
      <c r="I334" s="516"/>
      <c r="J334" s="516"/>
      <c r="K334" s="516"/>
      <c r="L334" s="516"/>
      <c r="M334" s="516"/>
      <c r="N334" s="516"/>
      <c r="O334" s="516"/>
      <c r="P334" s="516"/>
      <c r="Q334" s="516"/>
      <c r="R334" s="516"/>
      <c r="S334" s="516"/>
      <c r="T334" s="516"/>
      <c r="U334" s="516"/>
      <c r="V334" s="4"/>
      <c r="W334" s="4"/>
      <c r="X334" s="4"/>
      <c r="Y334" s="4"/>
    </row>
    <row r="335">
      <c r="A335" s="516"/>
      <c r="B335" s="516"/>
      <c r="C335" s="516"/>
      <c r="D335" s="516"/>
      <c r="E335" s="516"/>
      <c r="F335" s="516"/>
      <c r="G335" s="516"/>
      <c r="H335" s="516"/>
      <c r="I335" s="516"/>
      <c r="J335" s="516"/>
      <c r="K335" s="516"/>
      <c r="L335" s="516"/>
      <c r="M335" s="516"/>
      <c r="N335" s="516"/>
      <c r="O335" s="516"/>
      <c r="P335" s="516"/>
      <c r="Q335" s="516"/>
      <c r="R335" s="516"/>
      <c r="S335" s="516"/>
      <c r="T335" s="516"/>
      <c r="U335" s="516"/>
      <c r="V335" s="4"/>
      <c r="W335" s="4"/>
      <c r="X335" s="4"/>
      <c r="Y335" s="4"/>
    </row>
    <row r="336">
      <c r="A336" s="516"/>
      <c r="B336" s="516"/>
      <c r="C336" s="516"/>
      <c r="D336" s="516"/>
      <c r="E336" s="516"/>
      <c r="F336" s="516"/>
      <c r="G336" s="516"/>
      <c r="H336" s="516"/>
      <c r="I336" s="516"/>
      <c r="J336" s="516"/>
      <c r="K336" s="516"/>
      <c r="L336" s="516"/>
      <c r="M336" s="516"/>
      <c r="N336" s="516"/>
      <c r="O336" s="516"/>
      <c r="P336" s="516"/>
      <c r="Q336" s="516"/>
      <c r="R336" s="516"/>
      <c r="S336" s="516"/>
      <c r="T336" s="516"/>
      <c r="U336" s="516"/>
      <c r="V336" s="4"/>
      <c r="W336" s="4"/>
      <c r="X336" s="4"/>
      <c r="Y336" s="4"/>
    </row>
    <row r="337">
      <c r="A337" s="516"/>
      <c r="B337" s="516"/>
      <c r="C337" s="516"/>
      <c r="D337" s="516"/>
      <c r="E337" s="516"/>
      <c r="F337" s="516"/>
      <c r="G337" s="516"/>
      <c r="H337" s="516"/>
      <c r="I337" s="516"/>
      <c r="J337" s="516"/>
      <c r="K337" s="516"/>
      <c r="L337" s="516"/>
      <c r="M337" s="516"/>
      <c r="N337" s="516"/>
      <c r="O337" s="516"/>
      <c r="P337" s="516"/>
      <c r="Q337" s="516"/>
      <c r="R337" s="516"/>
      <c r="S337" s="516"/>
      <c r="T337" s="516"/>
      <c r="U337" s="516"/>
      <c r="V337" s="4"/>
      <c r="W337" s="4"/>
      <c r="X337" s="4"/>
      <c r="Y337" s="4"/>
    </row>
    <row r="338">
      <c r="A338" s="516"/>
      <c r="B338" s="516"/>
      <c r="C338" s="516"/>
      <c r="D338" s="516"/>
      <c r="E338" s="516"/>
      <c r="F338" s="516"/>
      <c r="G338" s="516"/>
      <c r="H338" s="516"/>
      <c r="I338" s="516"/>
      <c r="J338" s="516"/>
      <c r="K338" s="516"/>
      <c r="L338" s="516"/>
      <c r="M338" s="516"/>
      <c r="N338" s="516"/>
      <c r="O338" s="516"/>
      <c r="P338" s="516"/>
      <c r="Q338" s="516"/>
      <c r="R338" s="516"/>
      <c r="S338" s="516"/>
      <c r="T338" s="516"/>
      <c r="U338" s="516"/>
      <c r="V338" s="4"/>
      <c r="W338" s="4"/>
      <c r="X338" s="4"/>
      <c r="Y338" s="4"/>
    </row>
    <row r="339">
      <c r="A339" s="516"/>
      <c r="B339" s="516"/>
      <c r="C339" s="516"/>
      <c r="D339" s="516"/>
      <c r="E339" s="516"/>
      <c r="F339" s="516"/>
      <c r="G339" s="516"/>
      <c r="H339" s="516"/>
      <c r="I339" s="516"/>
      <c r="J339" s="516"/>
      <c r="K339" s="516"/>
      <c r="L339" s="516"/>
      <c r="M339" s="516"/>
      <c r="N339" s="516"/>
      <c r="O339" s="516"/>
      <c r="P339" s="516"/>
      <c r="Q339" s="516"/>
      <c r="R339" s="516"/>
      <c r="S339" s="516"/>
      <c r="T339" s="516"/>
      <c r="U339" s="516"/>
      <c r="V339" s="4"/>
      <c r="W339" s="4"/>
      <c r="X339" s="4"/>
      <c r="Y339" s="4"/>
    </row>
    <row r="340">
      <c r="A340" s="516"/>
      <c r="B340" s="516"/>
      <c r="C340" s="516"/>
      <c r="D340" s="516"/>
      <c r="E340" s="516"/>
      <c r="F340" s="516"/>
      <c r="G340" s="516"/>
      <c r="H340" s="516"/>
      <c r="I340" s="516"/>
      <c r="J340" s="516"/>
      <c r="K340" s="516"/>
      <c r="L340" s="516"/>
      <c r="M340" s="516"/>
      <c r="N340" s="516"/>
      <c r="O340" s="516"/>
      <c r="P340" s="516"/>
      <c r="Q340" s="516"/>
      <c r="R340" s="516"/>
      <c r="S340" s="516"/>
      <c r="T340" s="516"/>
      <c r="U340" s="516"/>
      <c r="V340" s="4"/>
      <c r="W340" s="4"/>
      <c r="X340" s="4"/>
      <c r="Y340" s="4"/>
    </row>
    <row r="341">
      <c r="A341" s="516"/>
      <c r="B341" s="516"/>
      <c r="C341" s="516"/>
      <c r="D341" s="516"/>
      <c r="E341" s="516"/>
      <c r="F341" s="516"/>
      <c r="G341" s="516"/>
      <c r="H341" s="516"/>
      <c r="I341" s="516"/>
      <c r="J341" s="516"/>
      <c r="K341" s="516"/>
      <c r="L341" s="516"/>
      <c r="M341" s="516"/>
      <c r="N341" s="516"/>
      <c r="O341" s="516"/>
      <c r="P341" s="516"/>
      <c r="Q341" s="516"/>
      <c r="R341" s="516"/>
      <c r="S341" s="516"/>
      <c r="T341" s="516"/>
      <c r="U341" s="516"/>
      <c r="V341" s="4"/>
      <c r="W341" s="4"/>
      <c r="X341" s="4"/>
      <c r="Y341" s="4"/>
    </row>
    <row r="342">
      <c r="A342" s="516"/>
      <c r="B342" s="516"/>
      <c r="C342" s="516"/>
      <c r="D342" s="516"/>
      <c r="E342" s="516"/>
      <c r="F342" s="516"/>
      <c r="G342" s="516"/>
      <c r="H342" s="516"/>
      <c r="I342" s="516"/>
      <c r="J342" s="516"/>
      <c r="K342" s="516"/>
      <c r="L342" s="516"/>
      <c r="M342" s="516"/>
      <c r="N342" s="516"/>
      <c r="O342" s="516"/>
      <c r="P342" s="516"/>
      <c r="Q342" s="516"/>
      <c r="R342" s="516"/>
      <c r="S342" s="516"/>
      <c r="T342" s="516"/>
      <c r="U342" s="516"/>
      <c r="V342" s="4"/>
      <c r="W342" s="4"/>
      <c r="X342" s="4"/>
      <c r="Y342" s="4"/>
    </row>
    <row r="343">
      <c r="A343" s="516"/>
      <c r="B343" s="516"/>
      <c r="C343" s="516"/>
      <c r="D343" s="516"/>
      <c r="E343" s="516"/>
      <c r="F343" s="516"/>
      <c r="G343" s="516"/>
      <c r="H343" s="516"/>
      <c r="I343" s="516"/>
      <c r="J343" s="516"/>
      <c r="K343" s="516"/>
      <c r="L343" s="516"/>
      <c r="M343" s="516"/>
      <c r="N343" s="516"/>
      <c r="O343" s="516"/>
      <c r="P343" s="516"/>
      <c r="Q343" s="516"/>
      <c r="R343" s="516"/>
      <c r="S343" s="516"/>
      <c r="T343" s="516"/>
      <c r="U343" s="516"/>
      <c r="V343" s="4"/>
      <c r="W343" s="4"/>
      <c r="X343" s="4"/>
      <c r="Y343" s="4"/>
    </row>
    <row r="344">
      <c r="A344" s="516"/>
      <c r="B344" s="516"/>
      <c r="C344" s="516"/>
      <c r="D344" s="516"/>
      <c r="E344" s="516"/>
      <c r="F344" s="516"/>
      <c r="G344" s="516"/>
      <c r="H344" s="516"/>
      <c r="I344" s="516"/>
      <c r="J344" s="516"/>
      <c r="K344" s="516"/>
      <c r="L344" s="516"/>
      <c r="M344" s="516"/>
      <c r="N344" s="516"/>
      <c r="O344" s="516"/>
      <c r="P344" s="516"/>
      <c r="Q344" s="516"/>
      <c r="R344" s="516"/>
      <c r="S344" s="516"/>
      <c r="T344" s="516"/>
      <c r="U344" s="516"/>
      <c r="V344" s="4"/>
      <c r="W344" s="4"/>
      <c r="X344" s="4"/>
      <c r="Y344" s="4"/>
    </row>
    <row r="345">
      <c r="A345" s="516"/>
      <c r="B345" s="516"/>
      <c r="C345" s="516"/>
      <c r="D345" s="516"/>
      <c r="E345" s="516"/>
      <c r="F345" s="516"/>
      <c r="G345" s="516"/>
      <c r="H345" s="516"/>
      <c r="I345" s="516"/>
      <c r="J345" s="516"/>
      <c r="K345" s="516"/>
      <c r="L345" s="516"/>
      <c r="M345" s="516"/>
      <c r="N345" s="516"/>
      <c r="O345" s="516"/>
      <c r="P345" s="516"/>
      <c r="Q345" s="516"/>
      <c r="R345" s="516"/>
      <c r="S345" s="516"/>
      <c r="T345" s="516"/>
      <c r="U345" s="516"/>
      <c r="V345" s="4"/>
      <c r="W345" s="4"/>
      <c r="X345" s="4"/>
      <c r="Y345" s="4"/>
    </row>
    <row r="346">
      <c r="A346" s="516"/>
      <c r="B346" s="516"/>
      <c r="C346" s="516"/>
      <c r="D346" s="516"/>
      <c r="E346" s="516"/>
      <c r="F346" s="516"/>
      <c r="G346" s="516"/>
      <c r="H346" s="516"/>
      <c r="I346" s="516"/>
      <c r="J346" s="516"/>
      <c r="K346" s="516"/>
      <c r="L346" s="516"/>
      <c r="M346" s="516"/>
      <c r="N346" s="516"/>
      <c r="O346" s="516"/>
      <c r="P346" s="516"/>
      <c r="Q346" s="516"/>
      <c r="R346" s="516"/>
      <c r="S346" s="516"/>
      <c r="T346" s="516"/>
      <c r="U346" s="516"/>
      <c r="V346" s="4"/>
      <c r="W346" s="4"/>
      <c r="X346" s="4"/>
      <c r="Y346" s="4"/>
    </row>
    <row r="347">
      <c r="A347" s="516"/>
      <c r="B347" s="516"/>
      <c r="C347" s="516"/>
      <c r="D347" s="516"/>
      <c r="E347" s="516"/>
      <c r="F347" s="516"/>
      <c r="G347" s="516"/>
      <c r="H347" s="516"/>
      <c r="I347" s="516"/>
      <c r="J347" s="516"/>
      <c r="K347" s="516"/>
      <c r="L347" s="516"/>
      <c r="M347" s="516"/>
      <c r="N347" s="516"/>
      <c r="O347" s="516"/>
      <c r="P347" s="516"/>
      <c r="Q347" s="516"/>
      <c r="R347" s="516"/>
      <c r="S347" s="516"/>
      <c r="T347" s="516"/>
      <c r="U347" s="516"/>
      <c r="V347" s="4"/>
      <c r="W347" s="4"/>
      <c r="X347" s="4"/>
      <c r="Y347" s="4"/>
    </row>
    <row r="348">
      <c r="A348" s="516"/>
      <c r="B348" s="516"/>
      <c r="C348" s="516"/>
      <c r="D348" s="516"/>
      <c r="E348" s="516"/>
      <c r="F348" s="516"/>
      <c r="G348" s="516"/>
      <c r="H348" s="516"/>
      <c r="I348" s="516"/>
      <c r="J348" s="516"/>
      <c r="K348" s="516"/>
      <c r="L348" s="516"/>
      <c r="M348" s="516"/>
      <c r="N348" s="516"/>
      <c r="O348" s="516"/>
      <c r="P348" s="516"/>
      <c r="Q348" s="516"/>
      <c r="R348" s="516"/>
      <c r="S348" s="516"/>
      <c r="T348" s="516"/>
      <c r="U348" s="516"/>
      <c r="V348" s="4"/>
      <c r="W348" s="4"/>
      <c r="X348" s="4"/>
      <c r="Y348" s="4"/>
    </row>
    <row r="349">
      <c r="A349" s="516"/>
      <c r="B349" s="516"/>
      <c r="C349" s="516"/>
      <c r="D349" s="516"/>
      <c r="E349" s="516"/>
      <c r="F349" s="516"/>
      <c r="G349" s="516"/>
      <c r="H349" s="516"/>
      <c r="I349" s="516"/>
      <c r="J349" s="516"/>
      <c r="K349" s="516"/>
      <c r="L349" s="516"/>
      <c r="M349" s="516"/>
      <c r="N349" s="516"/>
      <c r="O349" s="516"/>
      <c r="P349" s="516"/>
      <c r="Q349" s="516"/>
      <c r="R349" s="516"/>
      <c r="S349" s="516"/>
      <c r="T349" s="516"/>
      <c r="U349" s="516"/>
      <c r="V349" s="4"/>
      <c r="W349" s="4"/>
      <c r="X349" s="4"/>
      <c r="Y349" s="4"/>
    </row>
    <row r="350">
      <c r="A350" s="516"/>
      <c r="B350" s="516"/>
      <c r="C350" s="516"/>
      <c r="D350" s="516"/>
      <c r="E350" s="516"/>
      <c r="F350" s="516"/>
      <c r="G350" s="516"/>
      <c r="H350" s="516"/>
      <c r="I350" s="516"/>
      <c r="J350" s="516"/>
      <c r="K350" s="516"/>
      <c r="L350" s="516"/>
      <c r="M350" s="516"/>
      <c r="N350" s="516"/>
      <c r="O350" s="516"/>
      <c r="P350" s="516"/>
      <c r="Q350" s="516"/>
      <c r="R350" s="516"/>
      <c r="S350" s="516"/>
      <c r="T350" s="516"/>
      <c r="U350" s="516"/>
      <c r="V350" s="4"/>
      <c r="W350" s="4"/>
      <c r="X350" s="4"/>
      <c r="Y350" s="4"/>
    </row>
    <row r="351">
      <c r="A351" s="516"/>
      <c r="B351" s="516"/>
      <c r="C351" s="516"/>
      <c r="D351" s="516"/>
      <c r="E351" s="516"/>
      <c r="F351" s="516"/>
      <c r="G351" s="516"/>
      <c r="H351" s="516"/>
      <c r="I351" s="516"/>
      <c r="J351" s="516"/>
      <c r="K351" s="516"/>
      <c r="L351" s="516"/>
      <c r="M351" s="516"/>
      <c r="N351" s="516"/>
      <c r="O351" s="516"/>
      <c r="P351" s="516"/>
      <c r="Q351" s="516"/>
      <c r="R351" s="516"/>
      <c r="S351" s="516"/>
      <c r="T351" s="516"/>
      <c r="U351" s="516"/>
      <c r="V351" s="4"/>
      <c r="W351" s="4"/>
      <c r="X351" s="4"/>
      <c r="Y351" s="4"/>
    </row>
    <row r="352">
      <c r="A352" s="516"/>
      <c r="B352" s="516"/>
      <c r="C352" s="516"/>
      <c r="D352" s="516"/>
      <c r="E352" s="516"/>
      <c r="F352" s="516"/>
      <c r="G352" s="516"/>
      <c r="H352" s="516"/>
      <c r="I352" s="516"/>
      <c r="J352" s="516"/>
      <c r="K352" s="516"/>
      <c r="L352" s="516"/>
      <c r="M352" s="516"/>
      <c r="N352" s="516"/>
      <c r="O352" s="516"/>
      <c r="P352" s="516"/>
      <c r="Q352" s="516"/>
      <c r="R352" s="516"/>
      <c r="S352" s="516"/>
      <c r="T352" s="516"/>
      <c r="U352" s="516"/>
      <c r="V352" s="4"/>
      <c r="W352" s="4"/>
      <c r="X352" s="4"/>
      <c r="Y352" s="4"/>
    </row>
    <row r="353">
      <c r="A353" s="516"/>
      <c r="B353" s="516"/>
      <c r="C353" s="516"/>
      <c r="D353" s="516"/>
      <c r="E353" s="516"/>
      <c r="F353" s="516"/>
      <c r="G353" s="516"/>
      <c r="H353" s="516"/>
      <c r="I353" s="516"/>
      <c r="J353" s="516"/>
      <c r="K353" s="516"/>
      <c r="L353" s="516"/>
      <c r="M353" s="516"/>
      <c r="N353" s="516"/>
      <c r="O353" s="516"/>
      <c r="P353" s="516"/>
      <c r="Q353" s="516"/>
      <c r="R353" s="516"/>
      <c r="S353" s="516"/>
      <c r="T353" s="516"/>
      <c r="U353" s="516"/>
      <c r="V353" s="4"/>
      <c r="W353" s="4"/>
      <c r="X353" s="4"/>
      <c r="Y353" s="4"/>
    </row>
    <row r="354">
      <c r="A354" s="516"/>
      <c r="B354" s="516"/>
      <c r="C354" s="516"/>
      <c r="D354" s="516"/>
      <c r="E354" s="516"/>
      <c r="F354" s="516"/>
      <c r="G354" s="516"/>
      <c r="H354" s="516"/>
      <c r="I354" s="516"/>
      <c r="J354" s="516"/>
      <c r="K354" s="516"/>
      <c r="L354" s="516"/>
      <c r="M354" s="516"/>
      <c r="N354" s="516"/>
      <c r="O354" s="516"/>
      <c r="P354" s="516"/>
      <c r="Q354" s="516"/>
      <c r="R354" s="516"/>
      <c r="S354" s="516"/>
      <c r="T354" s="516"/>
      <c r="U354" s="516"/>
      <c r="V354" s="4"/>
      <c r="W354" s="4"/>
      <c r="X354" s="4"/>
      <c r="Y354" s="4"/>
    </row>
    <row r="355">
      <c r="A355" s="516"/>
      <c r="B355" s="516"/>
      <c r="C355" s="516"/>
      <c r="D355" s="516"/>
      <c r="E355" s="516"/>
      <c r="F355" s="516"/>
      <c r="G355" s="516"/>
      <c r="H355" s="516"/>
      <c r="I355" s="516"/>
      <c r="J355" s="516"/>
      <c r="K355" s="516"/>
      <c r="L355" s="516"/>
      <c r="M355" s="516"/>
      <c r="N355" s="516"/>
      <c r="O355" s="516"/>
      <c r="P355" s="516"/>
      <c r="Q355" s="516"/>
      <c r="R355" s="516"/>
      <c r="S355" s="516"/>
      <c r="T355" s="516"/>
      <c r="U355" s="516"/>
      <c r="V355" s="4"/>
      <c r="W355" s="4"/>
      <c r="X355" s="4"/>
      <c r="Y355" s="4"/>
    </row>
    <row r="356">
      <c r="A356" s="516"/>
      <c r="B356" s="516"/>
      <c r="C356" s="516"/>
      <c r="D356" s="516"/>
      <c r="E356" s="516"/>
      <c r="F356" s="516"/>
      <c r="G356" s="516"/>
      <c r="H356" s="516"/>
      <c r="I356" s="516"/>
      <c r="J356" s="516"/>
      <c r="K356" s="516"/>
      <c r="L356" s="516"/>
      <c r="M356" s="516"/>
      <c r="N356" s="516"/>
      <c r="O356" s="516"/>
      <c r="P356" s="516"/>
      <c r="Q356" s="516"/>
      <c r="R356" s="516"/>
      <c r="S356" s="516"/>
      <c r="T356" s="516"/>
      <c r="U356" s="516"/>
      <c r="V356" s="4"/>
      <c r="W356" s="4"/>
      <c r="X356" s="4"/>
      <c r="Y356" s="4"/>
    </row>
    <row r="357">
      <c r="A357" s="516"/>
      <c r="B357" s="516"/>
      <c r="C357" s="516"/>
      <c r="D357" s="516"/>
      <c r="E357" s="516"/>
      <c r="F357" s="516"/>
      <c r="G357" s="516"/>
      <c r="H357" s="516"/>
      <c r="I357" s="516"/>
      <c r="J357" s="516"/>
      <c r="K357" s="516"/>
      <c r="L357" s="516"/>
      <c r="M357" s="516"/>
      <c r="N357" s="516"/>
      <c r="O357" s="516"/>
      <c r="P357" s="516"/>
      <c r="Q357" s="516"/>
      <c r="R357" s="516"/>
      <c r="S357" s="516"/>
      <c r="T357" s="516"/>
      <c r="U357" s="516"/>
      <c r="V357" s="4"/>
      <c r="W357" s="4"/>
      <c r="X357" s="4"/>
      <c r="Y357" s="4"/>
    </row>
    <row r="358">
      <c r="A358" s="516"/>
      <c r="B358" s="516"/>
      <c r="C358" s="516"/>
      <c r="D358" s="516"/>
      <c r="E358" s="516"/>
      <c r="F358" s="516"/>
      <c r="G358" s="516"/>
      <c r="H358" s="516"/>
      <c r="I358" s="516"/>
      <c r="J358" s="516"/>
      <c r="K358" s="516"/>
      <c r="L358" s="516"/>
      <c r="M358" s="516"/>
      <c r="N358" s="516"/>
      <c r="O358" s="516"/>
      <c r="P358" s="516"/>
      <c r="Q358" s="516"/>
      <c r="R358" s="516"/>
      <c r="S358" s="516"/>
      <c r="T358" s="516"/>
      <c r="U358" s="516"/>
      <c r="V358" s="4"/>
      <c r="W358" s="4"/>
      <c r="X358" s="4"/>
      <c r="Y358" s="4"/>
    </row>
    <row r="359">
      <c r="A359" s="516"/>
      <c r="B359" s="516"/>
      <c r="C359" s="516"/>
      <c r="D359" s="516"/>
      <c r="E359" s="516"/>
      <c r="F359" s="516"/>
      <c r="G359" s="516"/>
      <c r="H359" s="516"/>
      <c r="I359" s="516"/>
      <c r="J359" s="516"/>
      <c r="K359" s="516"/>
      <c r="L359" s="516"/>
      <c r="M359" s="516"/>
      <c r="N359" s="516"/>
      <c r="O359" s="516"/>
      <c r="P359" s="516"/>
      <c r="Q359" s="516"/>
      <c r="R359" s="516"/>
      <c r="S359" s="516"/>
      <c r="T359" s="516"/>
      <c r="U359" s="516"/>
      <c r="V359" s="4"/>
      <c r="W359" s="4"/>
      <c r="X359" s="4"/>
      <c r="Y359" s="4"/>
    </row>
    <row r="360">
      <c r="A360" s="516"/>
      <c r="B360" s="516"/>
      <c r="C360" s="516"/>
      <c r="D360" s="516"/>
      <c r="E360" s="516"/>
      <c r="F360" s="516"/>
      <c r="G360" s="516"/>
      <c r="H360" s="516"/>
      <c r="I360" s="516"/>
      <c r="J360" s="516"/>
      <c r="K360" s="516"/>
      <c r="L360" s="516"/>
      <c r="M360" s="516"/>
      <c r="N360" s="516"/>
      <c r="O360" s="516"/>
      <c r="P360" s="516"/>
      <c r="Q360" s="516"/>
      <c r="R360" s="516"/>
      <c r="S360" s="516"/>
      <c r="T360" s="516"/>
      <c r="U360" s="516"/>
      <c r="V360" s="4"/>
      <c r="W360" s="4"/>
      <c r="X360" s="4"/>
      <c r="Y360" s="4"/>
    </row>
    <row r="361">
      <c r="A361" s="516"/>
      <c r="B361" s="516"/>
      <c r="C361" s="516"/>
      <c r="D361" s="516"/>
      <c r="E361" s="516"/>
      <c r="F361" s="516"/>
      <c r="G361" s="516"/>
      <c r="H361" s="516"/>
      <c r="I361" s="516"/>
      <c r="J361" s="516"/>
      <c r="K361" s="516"/>
      <c r="L361" s="516"/>
      <c r="M361" s="516"/>
      <c r="N361" s="516"/>
      <c r="O361" s="516"/>
      <c r="P361" s="516"/>
      <c r="Q361" s="516"/>
      <c r="R361" s="516"/>
      <c r="S361" s="516"/>
      <c r="T361" s="516"/>
      <c r="U361" s="516"/>
      <c r="V361" s="4"/>
      <c r="W361" s="4"/>
      <c r="X361" s="4"/>
      <c r="Y361" s="4"/>
    </row>
    <row r="362">
      <c r="A362" s="516"/>
      <c r="B362" s="516"/>
      <c r="C362" s="516"/>
      <c r="D362" s="516"/>
      <c r="E362" s="516"/>
      <c r="F362" s="516"/>
      <c r="G362" s="516"/>
      <c r="H362" s="516"/>
      <c r="I362" s="516"/>
      <c r="J362" s="516"/>
      <c r="K362" s="516"/>
      <c r="L362" s="516"/>
      <c r="M362" s="516"/>
      <c r="N362" s="516"/>
      <c r="O362" s="516"/>
      <c r="P362" s="516"/>
      <c r="Q362" s="516"/>
      <c r="R362" s="516"/>
      <c r="S362" s="516"/>
      <c r="T362" s="516"/>
      <c r="U362" s="516"/>
      <c r="V362" s="4"/>
      <c r="W362" s="4"/>
      <c r="X362" s="4"/>
      <c r="Y362" s="4"/>
    </row>
    <row r="363">
      <c r="A363" s="516"/>
      <c r="B363" s="516"/>
      <c r="C363" s="516"/>
      <c r="D363" s="516"/>
      <c r="E363" s="516"/>
      <c r="F363" s="516"/>
      <c r="G363" s="516"/>
      <c r="H363" s="516"/>
      <c r="I363" s="516"/>
      <c r="J363" s="516"/>
      <c r="K363" s="516"/>
      <c r="L363" s="516"/>
      <c r="M363" s="516"/>
      <c r="N363" s="516"/>
      <c r="O363" s="516"/>
      <c r="P363" s="516"/>
      <c r="Q363" s="516"/>
      <c r="R363" s="516"/>
      <c r="S363" s="516"/>
      <c r="T363" s="516"/>
      <c r="U363" s="516"/>
      <c r="V363" s="4"/>
      <c r="W363" s="4"/>
      <c r="X363" s="4"/>
      <c r="Y363" s="4"/>
    </row>
    <row r="364">
      <c r="A364" s="516"/>
      <c r="B364" s="516"/>
      <c r="C364" s="516"/>
      <c r="D364" s="516"/>
      <c r="E364" s="516"/>
      <c r="F364" s="516"/>
      <c r="G364" s="516"/>
      <c r="H364" s="516"/>
      <c r="I364" s="516"/>
      <c r="J364" s="516"/>
      <c r="K364" s="516"/>
      <c r="L364" s="516"/>
      <c r="M364" s="516"/>
      <c r="N364" s="516"/>
      <c r="O364" s="516"/>
      <c r="P364" s="516"/>
      <c r="Q364" s="516"/>
      <c r="R364" s="516"/>
      <c r="S364" s="516"/>
      <c r="T364" s="516"/>
      <c r="U364" s="516"/>
      <c r="V364" s="4"/>
      <c r="W364" s="4"/>
      <c r="X364" s="4"/>
      <c r="Y364" s="4"/>
    </row>
    <row r="365">
      <c r="A365" s="516"/>
      <c r="B365" s="516"/>
      <c r="C365" s="516"/>
      <c r="D365" s="516"/>
      <c r="E365" s="516"/>
      <c r="F365" s="516"/>
      <c r="G365" s="516"/>
      <c r="H365" s="516"/>
      <c r="I365" s="516"/>
      <c r="J365" s="516"/>
      <c r="K365" s="516"/>
      <c r="L365" s="516"/>
      <c r="M365" s="516"/>
      <c r="N365" s="516"/>
      <c r="O365" s="516"/>
      <c r="P365" s="516"/>
      <c r="Q365" s="516"/>
      <c r="R365" s="516"/>
      <c r="S365" s="516"/>
      <c r="T365" s="516"/>
      <c r="U365" s="516"/>
      <c r="V365" s="4"/>
      <c r="W365" s="4"/>
      <c r="X365" s="4"/>
      <c r="Y365" s="4"/>
    </row>
    <row r="366">
      <c r="A366" s="516"/>
      <c r="B366" s="516"/>
      <c r="C366" s="516"/>
      <c r="D366" s="516"/>
      <c r="E366" s="516"/>
      <c r="F366" s="516"/>
      <c r="G366" s="516"/>
      <c r="H366" s="516"/>
      <c r="I366" s="516"/>
      <c r="J366" s="516"/>
      <c r="K366" s="516"/>
      <c r="L366" s="516"/>
      <c r="M366" s="516"/>
      <c r="N366" s="516"/>
      <c r="O366" s="516"/>
      <c r="P366" s="516"/>
      <c r="Q366" s="516"/>
      <c r="R366" s="516"/>
      <c r="S366" s="516"/>
      <c r="T366" s="516"/>
      <c r="U366" s="516"/>
      <c r="V366" s="4"/>
      <c r="W366" s="4"/>
      <c r="X366" s="4"/>
      <c r="Y366" s="4"/>
    </row>
    <row r="367">
      <c r="A367" s="516"/>
      <c r="B367" s="516"/>
      <c r="C367" s="516"/>
      <c r="D367" s="516"/>
      <c r="E367" s="516"/>
      <c r="F367" s="516"/>
      <c r="G367" s="516"/>
      <c r="H367" s="516"/>
      <c r="I367" s="516"/>
      <c r="J367" s="516"/>
      <c r="K367" s="516"/>
      <c r="L367" s="516"/>
      <c r="M367" s="516"/>
      <c r="N367" s="516"/>
      <c r="O367" s="516"/>
      <c r="P367" s="516"/>
      <c r="Q367" s="516"/>
      <c r="R367" s="516"/>
      <c r="S367" s="516"/>
      <c r="T367" s="516"/>
      <c r="U367" s="516"/>
      <c r="V367" s="4"/>
      <c r="W367" s="4"/>
      <c r="X367" s="4"/>
      <c r="Y367" s="4"/>
    </row>
    <row r="368">
      <c r="A368" s="516"/>
      <c r="B368" s="516"/>
      <c r="C368" s="516"/>
      <c r="D368" s="516"/>
      <c r="E368" s="516"/>
      <c r="F368" s="516"/>
      <c r="G368" s="516"/>
      <c r="H368" s="516"/>
      <c r="I368" s="516"/>
      <c r="J368" s="516"/>
      <c r="K368" s="516"/>
      <c r="L368" s="516"/>
      <c r="M368" s="516"/>
      <c r="N368" s="516"/>
      <c r="O368" s="516"/>
      <c r="P368" s="516"/>
      <c r="Q368" s="516"/>
      <c r="R368" s="516"/>
      <c r="S368" s="516"/>
      <c r="T368" s="516"/>
      <c r="U368" s="516"/>
      <c r="V368" s="4"/>
      <c r="W368" s="4"/>
      <c r="X368" s="4"/>
      <c r="Y368" s="4"/>
    </row>
    <row r="369">
      <c r="A369" s="516"/>
      <c r="B369" s="516"/>
      <c r="C369" s="516"/>
      <c r="D369" s="516"/>
      <c r="E369" s="516"/>
      <c r="F369" s="516"/>
      <c r="G369" s="516"/>
      <c r="H369" s="516"/>
      <c r="I369" s="516"/>
      <c r="J369" s="516"/>
      <c r="K369" s="516"/>
      <c r="L369" s="516"/>
      <c r="M369" s="516"/>
      <c r="N369" s="516"/>
      <c r="O369" s="516"/>
      <c r="P369" s="516"/>
      <c r="Q369" s="516"/>
      <c r="R369" s="516"/>
      <c r="S369" s="516"/>
      <c r="T369" s="516"/>
      <c r="U369" s="516"/>
      <c r="V369" s="4"/>
      <c r="W369" s="4"/>
      <c r="X369" s="4"/>
      <c r="Y369" s="4"/>
    </row>
    <row r="370">
      <c r="A370" s="516"/>
      <c r="B370" s="516"/>
      <c r="C370" s="516"/>
      <c r="D370" s="516"/>
      <c r="E370" s="516"/>
      <c r="F370" s="516"/>
      <c r="G370" s="516"/>
      <c r="H370" s="516"/>
      <c r="I370" s="516"/>
      <c r="J370" s="516"/>
      <c r="K370" s="516"/>
      <c r="L370" s="516"/>
      <c r="M370" s="516"/>
      <c r="N370" s="516"/>
      <c r="O370" s="516"/>
      <c r="P370" s="516"/>
      <c r="Q370" s="516"/>
      <c r="R370" s="516"/>
      <c r="S370" s="516"/>
      <c r="T370" s="516"/>
      <c r="U370" s="516"/>
      <c r="V370" s="4"/>
      <c r="W370" s="4"/>
      <c r="X370" s="4"/>
      <c r="Y370" s="4"/>
    </row>
    <row r="371">
      <c r="A371" s="516"/>
      <c r="B371" s="516"/>
      <c r="C371" s="516"/>
      <c r="D371" s="516"/>
      <c r="E371" s="516"/>
      <c r="F371" s="516"/>
      <c r="G371" s="516"/>
      <c r="H371" s="516"/>
      <c r="I371" s="516"/>
      <c r="J371" s="516"/>
      <c r="K371" s="516"/>
      <c r="L371" s="516"/>
      <c r="M371" s="516"/>
      <c r="N371" s="516"/>
      <c r="O371" s="516"/>
      <c r="P371" s="516"/>
      <c r="Q371" s="516"/>
      <c r="R371" s="516"/>
      <c r="S371" s="516"/>
      <c r="T371" s="516"/>
      <c r="U371" s="516"/>
      <c r="V371" s="4"/>
      <c r="W371" s="4"/>
      <c r="X371" s="4"/>
      <c r="Y371" s="4"/>
    </row>
    <row r="372">
      <c r="A372" s="516"/>
      <c r="B372" s="516"/>
      <c r="C372" s="516"/>
      <c r="D372" s="516"/>
      <c r="E372" s="516"/>
      <c r="F372" s="516"/>
      <c r="G372" s="516"/>
      <c r="H372" s="516"/>
      <c r="I372" s="516"/>
      <c r="J372" s="516"/>
      <c r="K372" s="516"/>
      <c r="L372" s="516"/>
      <c r="M372" s="516"/>
      <c r="N372" s="516"/>
      <c r="O372" s="516"/>
      <c r="P372" s="516"/>
      <c r="Q372" s="516"/>
      <c r="R372" s="516"/>
      <c r="S372" s="516"/>
      <c r="T372" s="516"/>
      <c r="U372" s="516"/>
      <c r="V372" s="4"/>
      <c r="W372" s="4"/>
      <c r="X372" s="4"/>
      <c r="Y372" s="4"/>
    </row>
    <row r="373">
      <c r="A373" s="516"/>
      <c r="B373" s="516"/>
      <c r="C373" s="516"/>
      <c r="D373" s="516"/>
      <c r="E373" s="516"/>
      <c r="F373" s="516"/>
      <c r="G373" s="516"/>
      <c r="H373" s="516"/>
      <c r="I373" s="516"/>
      <c r="J373" s="516"/>
      <c r="K373" s="516"/>
      <c r="L373" s="516"/>
      <c r="M373" s="516"/>
      <c r="N373" s="516"/>
      <c r="O373" s="516"/>
      <c r="P373" s="516"/>
      <c r="Q373" s="516"/>
      <c r="R373" s="516"/>
      <c r="S373" s="516"/>
      <c r="T373" s="516"/>
      <c r="U373" s="516"/>
      <c r="V373" s="4"/>
      <c r="W373" s="4"/>
      <c r="X373" s="4"/>
      <c r="Y373" s="4"/>
    </row>
    <row r="374">
      <c r="A374" s="516"/>
      <c r="B374" s="516"/>
      <c r="C374" s="516"/>
      <c r="D374" s="516"/>
      <c r="E374" s="516"/>
      <c r="F374" s="516"/>
      <c r="G374" s="516"/>
      <c r="H374" s="516"/>
      <c r="I374" s="516"/>
      <c r="J374" s="516"/>
      <c r="K374" s="516"/>
      <c r="L374" s="516"/>
      <c r="M374" s="516"/>
      <c r="N374" s="516"/>
      <c r="O374" s="516"/>
      <c r="P374" s="516"/>
      <c r="Q374" s="516"/>
      <c r="R374" s="516"/>
      <c r="S374" s="516"/>
      <c r="T374" s="516"/>
      <c r="U374" s="516"/>
      <c r="V374" s="4"/>
      <c r="W374" s="4"/>
      <c r="X374" s="4"/>
      <c r="Y374" s="4"/>
    </row>
    <row r="375">
      <c r="A375" s="516"/>
      <c r="B375" s="516"/>
      <c r="C375" s="516"/>
      <c r="D375" s="516"/>
      <c r="E375" s="516"/>
      <c r="F375" s="516"/>
      <c r="G375" s="516"/>
      <c r="H375" s="516"/>
      <c r="I375" s="516"/>
      <c r="J375" s="516"/>
      <c r="K375" s="516"/>
      <c r="L375" s="516"/>
      <c r="M375" s="516"/>
      <c r="N375" s="516"/>
      <c r="O375" s="516"/>
      <c r="P375" s="516"/>
      <c r="Q375" s="516"/>
      <c r="R375" s="516"/>
      <c r="S375" s="516"/>
      <c r="T375" s="516"/>
      <c r="U375" s="516"/>
      <c r="V375" s="4"/>
      <c r="W375" s="4"/>
      <c r="X375" s="4"/>
      <c r="Y375" s="4"/>
    </row>
    <row r="376">
      <c r="A376" s="516"/>
      <c r="B376" s="516"/>
      <c r="C376" s="516"/>
      <c r="D376" s="516"/>
      <c r="E376" s="516"/>
      <c r="F376" s="516"/>
      <c r="G376" s="516"/>
      <c r="H376" s="516"/>
      <c r="I376" s="516"/>
      <c r="J376" s="516"/>
      <c r="K376" s="516"/>
      <c r="L376" s="516"/>
      <c r="M376" s="516"/>
      <c r="N376" s="516"/>
      <c r="O376" s="516"/>
      <c r="P376" s="516"/>
      <c r="Q376" s="516"/>
      <c r="R376" s="516"/>
      <c r="S376" s="516"/>
      <c r="T376" s="516"/>
      <c r="U376" s="516"/>
      <c r="V376" s="4"/>
      <c r="W376" s="4"/>
      <c r="X376" s="4"/>
      <c r="Y376" s="4"/>
    </row>
    <row r="377">
      <c r="A377" s="516"/>
      <c r="B377" s="516"/>
      <c r="C377" s="516"/>
      <c r="D377" s="516"/>
      <c r="E377" s="516"/>
      <c r="F377" s="516"/>
      <c r="G377" s="516"/>
      <c r="H377" s="516"/>
      <c r="I377" s="516"/>
      <c r="J377" s="516"/>
      <c r="K377" s="516"/>
      <c r="L377" s="516"/>
      <c r="M377" s="516"/>
      <c r="N377" s="516"/>
      <c r="O377" s="516"/>
      <c r="P377" s="516"/>
      <c r="Q377" s="516"/>
      <c r="R377" s="516"/>
      <c r="S377" s="516"/>
      <c r="T377" s="516"/>
      <c r="U377" s="516"/>
      <c r="V377" s="4"/>
      <c r="W377" s="4"/>
      <c r="X377" s="4"/>
      <c r="Y377" s="4"/>
    </row>
    <row r="378">
      <c r="A378" s="516"/>
      <c r="B378" s="516"/>
      <c r="C378" s="516"/>
      <c r="D378" s="516"/>
      <c r="E378" s="516"/>
      <c r="F378" s="516"/>
      <c r="G378" s="516"/>
      <c r="H378" s="516"/>
      <c r="I378" s="516"/>
      <c r="J378" s="516"/>
      <c r="K378" s="516"/>
      <c r="L378" s="516"/>
      <c r="M378" s="516"/>
      <c r="N378" s="516"/>
      <c r="O378" s="516"/>
      <c r="P378" s="516"/>
      <c r="Q378" s="516"/>
      <c r="R378" s="516"/>
      <c r="S378" s="516"/>
      <c r="T378" s="516"/>
      <c r="U378" s="516"/>
      <c r="V378" s="4"/>
      <c r="W378" s="4"/>
      <c r="X378" s="4"/>
      <c r="Y378" s="4"/>
    </row>
    <row r="379">
      <c r="A379" s="516"/>
      <c r="B379" s="516"/>
      <c r="C379" s="516"/>
      <c r="D379" s="516"/>
      <c r="E379" s="516"/>
      <c r="F379" s="516"/>
      <c r="G379" s="516"/>
      <c r="H379" s="516"/>
      <c r="I379" s="516"/>
      <c r="J379" s="516"/>
      <c r="K379" s="516"/>
      <c r="L379" s="516"/>
      <c r="M379" s="516"/>
      <c r="N379" s="516"/>
      <c r="O379" s="516"/>
      <c r="P379" s="516"/>
      <c r="Q379" s="516"/>
      <c r="R379" s="516"/>
      <c r="S379" s="516"/>
      <c r="T379" s="516"/>
      <c r="U379" s="516"/>
      <c r="V379" s="4"/>
      <c r="W379" s="4"/>
      <c r="X379" s="4"/>
      <c r="Y379" s="4"/>
    </row>
    <row r="380">
      <c r="A380" s="516"/>
      <c r="B380" s="516"/>
      <c r="C380" s="516"/>
      <c r="D380" s="516"/>
      <c r="E380" s="516"/>
      <c r="F380" s="516"/>
      <c r="G380" s="516"/>
      <c r="H380" s="516"/>
      <c r="I380" s="516"/>
      <c r="J380" s="516"/>
      <c r="K380" s="516"/>
      <c r="L380" s="516"/>
      <c r="M380" s="516"/>
      <c r="N380" s="516"/>
      <c r="O380" s="516"/>
      <c r="P380" s="516"/>
      <c r="Q380" s="516"/>
      <c r="R380" s="516"/>
      <c r="S380" s="516"/>
      <c r="T380" s="516"/>
      <c r="U380" s="516"/>
      <c r="V380" s="4"/>
      <c r="W380" s="4"/>
      <c r="X380" s="4"/>
      <c r="Y380" s="4"/>
    </row>
    <row r="381">
      <c r="A381" s="516"/>
      <c r="B381" s="516"/>
      <c r="C381" s="516"/>
      <c r="D381" s="516"/>
      <c r="E381" s="516"/>
      <c r="F381" s="516"/>
      <c r="G381" s="516"/>
      <c r="H381" s="516"/>
      <c r="I381" s="516"/>
      <c r="J381" s="516"/>
      <c r="K381" s="516"/>
      <c r="L381" s="516"/>
      <c r="M381" s="516"/>
      <c r="N381" s="516"/>
      <c r="O381" s="516"/>
      <c r="P381" s="516"/>
      <c r="Q381" s="516"/>
      <c r="R381" s="516"/>
      <c r="S381" s="516"/>
      <c r="T381" s="516"/>
      <c r="U381" s="516"/>
      <c r="V381" s="4"/>
      <c r="W381" s="4"/>
      <c r="X381" s="4"/>
      <c r="Y381" s="4"/>
    </row>
    <row r="382">
      <c r="A382" s="516"/>
      <c r="B382" s="516"/>
      <c r="C382" s="516"/>
      <c r="D382" s="516"/>
      <c r="E382" s="516"/>
      <c r="F382" s="516"/>
      <c r="G382" s="516"/>
      <c r="H382" s="516"/>
      <c r="I382" s="516"/>
      <c r="J382" s="516"/>
      <c r="K382" s="516"/>
      <c r="L382" s="516"/>
      <c r="M382" s="516"/>
      <c r="N382" s="516"/>
      <c r="O382" s="516"/>
      <c r="P382" s="516"/>
      <c r="Q382" s="516"/>
      <c r="R382" s="516"/>
      <c r="S382" s="516"/>
      <c r="T382" s="516"/>
      <c r="U382" s="516"/>
      <c r="V382" s="4"/>
      <c r="W382" s="4"/>
      <c r="X382" s="4"/>
      <c r="Y382" s="4"/>
    </row>
    <row r="383">
      <c r="A383" s="516"/>
      <c r="B383" s="516"/>
      <c r="C383" s="516"/>
      <c r="D383" s="516"/>
      <c r="E383" s="516"/>
      <c r="F383" s="516"/>
      <c r="G383" s="516"/>
      <c r="H383" s="516"/>
      <c r="I383" s="516"/>
      <c r="J383" s="516"/>
      <c r="K383" s="516"/>
      <c r="L383" s="516"/>
      <c r="M383" s="516"/>
      <c r="N383" s="516"/>
      <c r="O383" s="516"/>
      <c r="P383" s="516"/>
      <c r="Q383" s="516"/>
      <c r="R383" s="516"/>
      <c r="S383" s="516"/>
      <c r="T383" s="516"/>
      <c r="U383" s="516"/>
      <c r="V383" s="4"/>
      <c r="W383" s="4"/>
      <c r="X383" s="4"/>
      <c r="Y383" s="4"/>
    </row>
    <row r="384">
      <c r="A384" s="516"/>
      <c r="B384" s="516"/>
      <c r="C384" s="516"/>
      <c r="D384" s="516"/>
      <c r="E384" s="516"/>
      <c r="F384" s="516"/>
      <c r="G384" s="516"/>
      <c r="H384" s="516"/>
      <c r="I384" s="516"/>
      <c r="J384" s="516"/>
      <c r="K384" s="516"/>
      <c r="L384" s="516"/>
      <c r="M384" s="516"/>
      <c r="N384" s="516"/>
      <c r="O384" s="516"/>
      <c r="P384" s="516"/>
      <c r="Q384" s="516"/>
      <c r="R384" s="516"/>
      <c r="S384" s="516"/>
      <c r="T384" s="516"/>
      <c r="U384" s="516"/>
      <c r="V384" s="4"/>
      <c r="W384" s="4"/>
      <c r="X384" s="4"/>
      <c r="Y384" s="4"/>
    </row>
    <row r="385">
      <c r="A385" s="516"/>
      <c r="B385" s="516"/>
      <c r="C385" s="516"/>
      <c r="D385" s="516"/>
      <c r="E385" s="516"/>
      <c r="F385" s="516"/>
      <c r="G385" s="516"/>
      <c r="H385" s="516"/>
      <c r="I385" s="516"/>
      <c r="J385" s="516"/>
      <c r="K385" s="516"/>
      <c r="L385" s="516"/>
      <c r="M385" s="516"/>
      <c r="N385" s="516"/>
      <c r="O385" s="516"/>
      <c r="P385" s="516"/>
      <c r="Q385" s="516"/>
      <c r="R385" s="516"/>
      <c r="S385" s="516"/>
      <c r="T385" s="516"/>
      <c r="U385" s="516"/>
      <c r="V385" s="4"/>
      <c r="W385" s="4"/>
      <c r="X385" s="4"/>
      <c r="Y385" s="4"/>
    </row>
    <row r="386">
      <c r="A386" s="516"/>
      <c r="B386" s="516"/>
      <c r="C386" s="516"/>
      <c r="D386" s="516"/>
      <c r="E386" s="516"/>
      <c r="F386" s="516"/>
      <c r="G386" s="516"/>
      <c r="H386" s="516"/>
      <c r="I386" s="516"/>
      <c r="J386" s="516"/>
      <c r="K386" s="516"/>
      <c r="L386" s="516"/>
      <c r="M386" s="516"/>
      <c r="N386" s="516"/>
      <c r="O386" s="516"/>
      <c r="P386" s="516"/>
      <c r="Q386" s="516"/>
      <c r="R386" s="516"/>
      <c r="S386" s="516"/>
      <c r="T386" s="516"/>
      <c r="U386" s="516"/>
      <c r="V386" s="4"/>
      <c r="W386" s="4"/>
      <c r="X386" s="4"/>
      <c r="Y386" s="4"/>
    </row>
    <row r="387">
      <c r="A387" s="516"/>
      <c r="B387" s="516"/>
      <c r="C387" s="516"/>
      <c r="D387" s="516"/>
      <c r="E387" s="516"/>
      <c r="F387" s="516"/>
      <c r="G387" s="516"/>
      <c r="H387" s="516"/>
      <c r="I387" s="516"/>
      <c r="J387" s="516"/>
      <c r="K387" s="516"/>
      <c r="L387" s="516"/>
      <c r="M387" s="516"/>
      <c r="N387" s="516"/>
      <c r="O387" s="516"/>
      <c r="P387" s="516"/>
      <c r="Q387" s="516"/>
      <c r="R387" s="516"/>
      <c r="S387" s="516"/>
      <c r="T387" s="516"/>
      <c r="U387" s="516"/>
      <c r="V387" s="4"/>
      <c r="W387" s="4"/>
      <c r="X387" s="4"/>
      <c r="Y387" s="4"/>
    </row>
    <row r="388">
      <c r="A388" s="516"/>
      <c r="B388" s="516"/>
      <c r="C388" s="516"/>
      <c r="D388" s="516"/>
      <c r="E388" s="516"/>
      <c r="F388" s="516"/>
      <c r="G388" s="516"/>
      <c r="H388" s="516"/>
      <c r="I388" s="516"/>
      <c r="J388" s="516"/>
      <c r="K388" s="516"/>
      <c r="L388" s="516"/>
      <c r="M388" s="516"/>
      <c r="N388" s="516"/>
      <c r="O388" s="516"/>
      <c r="P388" s="516"/>
      <c r="Q388" s="516"/>
      <c r="R388" s="516"/>
      <c r="S388" s="516"/>
      <c r="T388" s="516"/>
      <c r="U388" s="516"/>
      <c r="V388" s="4"/>
      <c r="W388" s="4"/>
      <c r="X388" s="4"/>
      <c r="Y388" s="4"/>
    </row>
    <row r="389">
      <c r="A389" s="516"/>
      <c r="B389" s="516"/>
      <c r="C389" s="516"/>
      <c r="D389" s="516"/>
      <c r="E389" s="516"/>
      <c r="F389" s="516"/>
      <c r="G389" s="516"/>
      <c r="H389" s="516"/>
      <c r="I389" s="516"/>
      <c r="J389" s="516"/>
      <c r="K389" s="516"/>
      <c r="L389" s="516"/>
      <c r="M389" s="516"/>
      <c r="N389" s="516"/>
      <c r="O389" s="516"/>
      <c r="P389" s="516"/>
      <c r="Q389" s="516"/>
      <c r="R389" s="516"/>
      <c r="S389" s="516"/>
      <c r="T389" s="516"/>
      <c r="U389" s="516"/>
      <c r="V389" s="4"/>
      <c r="W389" s="4"/>
      <c r="X389" s="4"/>
      <c r="Y389" s="4"/>
    </row>
    <row r="390">
      <c r="A390" s="516"/>
      <c r="B390" s="516"/>
      <c r="C390" s="516"/>
      <c r="D390" s="516"/>
      <c r="E390" s="516"/>
      <c r="F390" s="516"/>
      <c r="G390" s="516"/>
      <c r="H390" s="516"/>
      <c r="I390" s="516"/>
      <c r="J390" s="516"/>
      <c r="K390" s="516"/>
      <c r="L390" s="516"/>
      <c r="M390" s="516"/>
      <c r="N390" s="516"/>
      <c r="O390" s="516"/>
      <c r="P390" s="516"/>
      <c r="Q390" s="516"/>
      <c r="R390" s="516"/>
      <c r="S390" s="516"/>
      <c r="T390" s="516"/>
      <c r="U390" s="516"/>
      <c r="V390" s="4"/>
      <c r="W390" s="4"/>
      <c r="X390" s="4"/>
      <c r="Y390" s="4"/>
    </row>
    <row r="391">
      <c r="A391" s="516"/>
      <c r="B391" s="516"/>
      <c r="C391" s="516"/>
      <c r="D391" s="516"/>
      <c r="E391" s="516"/>
      <c r="F391" s="516"/>
      <c r="G391" s="516"/>
      <c r="H391" s="516"/>
      <c r="I391" s="516"/>
      <c r="J391" s="516"/>
      <c r="K391" s="516"/>
      <c r="L391" s="516"/>
      <c r="M391" s="516"/>
      <c r="N391" s="516"/>
      <c r="O391" s="516"/>
      <c r="P391" s="516"/>
      <c r="Q391" s="516"/>
      <c r="R391" s="516"/>
      <c r="S391" s="516"/>
      <c r="T391" s="516"/>
      <c r="U391" s="516"/>
      <c r="V391" s="4"/>
      <c r="W391" s="4"/>
      <c r="X391" s="4"/>
      <c r="Y391" s="4"/>
    </row>
    <row r="392">
      <c r="A392" s="516"/>
      <c r="B392" s="516"/>
      <c r="C392" s="516"/>
      <c r="D392" s="516"/>
      <c r="E392" s="516"/>
      <c r="F392" s="516"/>
      <c r="G392" s="516"/>
      <c r="H392" s="516"/>
      <c r="I392" s="516"/>
      <c r="J392" s="516"/>
      <c r="K392" s="516"/>
      <c r="L392" s="516"/>
      <c r="M392" s="516"/>
      <c r="N392" s="516"/>
      <c r="O392" s="516"/>
      <c r="P392" s="516"/>
      <c r="Q392" s="516"/>
      <c r="R392" s="516"/>
      <c r="S392" s="516"/>
      <c r="T392" s="516"/>
      <c r="U392" s="516"/>
      <c r="V392" s="4"/>
      <c r="W392" s="4"/>
      <c r="X392" s="4"/>
      <c r="Y392" s="4"/>
    </row>
    <row r="393">
      <c r="A393" s="516"/>
      <c r="B393" s="516"/>
      <c r="C393" s="516"/>
      <c r="D393" s="516"/>
      <c r="E393" s="516"/>
      <c r="F393" s="516"/>
      <c r="G393" s="516"/>
      <c r="H393" s="516"/>
      <c r="I393" s="516"/>
      <c r="J393" s="516"/>
      <c r="K393" s="516"/>
      <c r="L393" s="516"/>
      <c r="M393" s="516"/>
      <c r="N393" s="516"/>
      <c r="O393" s="516"/>
      <c r="P393" s="516"/>
      <c r="Q393" s="516"/>
      <c r="R393" s="516"/>
      <c r="S393" s="516"/>
      <c r="T393" s="516"/>
      <c r="U393" s="516"/>
      <c r="V393" s="4"/>
      <c r="W393" s="4"/>
      <c r="X393" s="4"/>
      <c r="Y393" s="4"/>
    </row>
    <row r="394">
      <c r="A394" s="516"/>
      <c r="B394" s="516"/>
      <c r="C394" s="516"/>
      <c r="D394" s="516"/>
      <c r="E394" s="516"/>
      <c r="F394" s="516"/>
      <c r="G394" s="516"/>
      <c r="H394" s="516"/>
      <c r="I394" s="516"/>
      <c r="J394" s="516"/>
      <c r="K394" s="516"/>
      <c r="L394" s="516"/>
      <c r="M394" s="516"/>
      <c r="N394" s="516"/>
      <c r="O394" s="516"/>
      <c r="P394" s="516"/>
      <c r="Q394" s="516"/>
      <c r="R394" s="516"/>
      <c r="S394" s="516"/>
      <c r="T394" s="516"/>
      <c r="U394" s="516"/>
      <c r="V394" s="4"/>
      <c r="W394" s="4"/>
      <c r="X394" s="4"/>
      <c r="Y394" s="4"/>
    </row>
    <row r="395">
      <c r="A395" s="516"/>
      <c r="B395" s="516"/>
      <c r="C395" s="516"/>
      <c r="D395" s="516"/>
      <c r="E395" s="516"/>
      <c r="F395" s="516"/>
      <c r="G395" s="516"/>
      <c r="H395" s="516"/>
      <c r="I395" s="516"/>
      <c r="J395" s="516"/>
      <c r="K395" s="516"/>
      <c r="L395" s="516"/>
      <c r="M395" s="516"/>
      <c r="N395" s="516"/>
      <c r="O395" s="516"/>
      <c r="P395" s="516"/>
      <c r="Q395" s="516"/>
      <c r="R395" s="516"/>
      <c r="S395" s="516"/>
      <c r="T395" s="516"/>
      <c r="U395" s="516"/>
      <c r="V395" s="4"/>
      <c r="W395" s="4"/>
      <c r="X395" s="4"/>
      <c r="Y395" s="4"/>
    </row>
    <row r="396">
      <c r="A396" s="516"/>
      <c r="B396" s="516"/>
      <c r="C396" s="516"/>
      <c r="D396" s="516"/>
      <c r="E396" s="516"/>
      <c r="F396" s="516"/>
      <c r="G396" s="516"/>
      <c r="H396" s="516"/>
      <c r="I396" s="516"/>
      <c r="J396" s="516"/>
      <c r="K396" s="516"/>
      <c r="L396" s="516"/>
      <c r="M396" s="516"/>
      <c r="N396" s="516"/>
      <c r="O396" s="516"/>
      <c r="P396" s="516"/>
      <c r="Q396" s="516"/>
      <c r="R396" s="516"/>
      <c r="S396" s="516"/>
      <c r="T396" s="516"/>
      <c r="U396" s="516"/>
      <c r="V396" s="4"/>
      <c r="W396" s="4"/>
      <c r="X396" s="4"/>
      <c r="Y396" s="4"/>
    </row>
    <row r="397">
      <c r="A397" s="516"/>
      <c r="B397" s="516"/>
      <c r="C397" s="516"/>
      <c r="D397" s="516"/>
      <c r="E397" s="516"/>
      <c r="F397" s="516"/>
      <c r="G397" s="516"/>
      <c r="H397" s="516"/>
      <c r="I397" s="516"/>
      <c r="J397" s="516"/>
      <c r="K397" s="516"/>
      <c r="L397" s="516"/>
      <c r="M397" s="516"/>
      <c r="N397" s="516"/>
      <c r="O397" s="516"/>
      <c r="P397" s="516"/>
      <c r="Q397" s="516"/>
      <c r="R397" s="516"/>
      <c r="S397" s="516"/>
      <c r="T397" s="516"/>
      <c r="U397" s="516"/>
      <c r="V397" s="4"/>
      <c r="W397" s="4"/>
      <c r="X397" s="4"/>
      <c r="Y397" s="4"/>
    </row>
    <row r="398">
      <c r="A398" s="516"/>
      <c r="B398" s="516"/>
      <c r="C398" s="516"/>
      <c r="D398" s="516"/>
      <c r="E398" s="516"/>
      <c r="F398" s="516"/>
      <c r="G398" s="516"/>
      <c r="H398" s="516"/>
      <c r="I398" s="516"/>
      <c r="J398" s="516"/>
      <c r="K398" s="516"/>
      <c r="L398" s="516"/>
      <c r="M398" s="516"/>
      <c r="N398" s="516"/>
      <c r="O398" s="516"/>
      <c r="P398" s="516"/>
      <c r="Q398" s="516"/>
      <c r="R398" s="516"/>
      <c r="S398" s="516"/>
      <c r="T398" s="516"/>
      <c r="U398" s="516"/>
      <c r="V398" s="4"/>
      <c r="W398" s="4"/>
      <c r="X398" s="4"/>
      <c r="Y398" s="4"/>
    </row>
    <row r="399">
      <c r="A399" s="516"/>
      <c r="B399" s="516"/>
      <c r="C399" s="516"/>
      <c r="D399" s="516"/>
      <c r="E399" s="516"/>
      <c r="F399" s="516"/>
      <c r="G399" s="516"/>
      <c r="H399" s="516"/>
      <c r="I399" s="516"/>
      <c r="J399" s="516"/>
      <c r="K399" s="516"/>
      <c r="L399" s="516"/>
      <c r="M399" s="516"/>
      <c r="N399" s="516"/>
      <c r="O399" s="516"/>
      <c r="P399" s="516"/>
      <c r="Q399" s="516"/>
      <c r="R399" s="516"/>
      <c r="S399" s="516"/>
      <c r="T399" s="516"/>
      <c r="U399" s="516"/>
      <c r="V399" s="4"/>
      <c r="W399" s="4"/>
      <c r="X399" s="4"/>
      <c r="Y399" s="4"/>
    </row>
    <row r="400">
      <c r="A400" s="516"/>
      <c r="B400" s="516"/>
      <c r="C400" s="516"/>
      <c r="D400" s="516"/>
      <c r="E400" s="516"/>
      <c r="F400" s="516"/>
      <c r="G400" s="516"/>
      <c r="H400" s="516"/>
      <c r="I400" s="516"/>
      <c r="J400" s="516"/>
      <c r="K400" s="516"/>
      <c r="L400" s="516"/>
      <c r="M400" s="516"/>
      <c r="N400" s="516"/>
      <c r="O400" s="516"/>
      <c r="P400" s="516"/>
      <c r="Q400" s="516"/>
      <c r="R400" s="516"/>
      <c r="S400" s="516"/>
      <c r="T400" s="516"/>
      <c r="U400" s="516"/>
      <c r="V400" s="4"/>
      <c r="W400" s="4"/>
      <c r="X400" s="4"/>
      <c r="Y400" s="4"/>
    </row>
    <row r="401">
      <c r="A401" s="516"/>
      <c r="B401" s="516"/>
      <c r="C401" s="516"/>
      <c r="D401" s="516"/>
      <c r="E401" s="516"/>
      <c r="F401" s="516"/>
      <c r="G401" s="516"/>
      <c r="H401" s="516"/>
      <c r="I401" s="516"/>
      <c r="J401" s="516"/>
      <c r="K401" s="516"/>
      <c r="L401" s="516"/>
      <c r="M401" s="516"/>
      <c r="N401" s="516"/>
      <c r="O401" s="516"/>
      <c r="P401" s="516"/>
      <c r="Q401" s="516"/>
      <c r="R401" s="516"/>
      <c r="S401" s="516"/>
      <c r="T401" s="516"/>
      <c r="U401" s="516"/>
      <c r="V401" s="4"/>
      <c r="W401" s="4"/>
      <c r="X401" s="4"/>
      <c r="Y401" s="4"/>
    </row>
    <row r="402">
      <c r="A402" s="516"/>
      <c r="B402" s="516"/>
      <c r="C402" s="516"/>
      <c r="D402" s="516"/>
      <c r="E402" s="516"/>
      <c r="F402" s="516"/>
      <c r="G402" s="516"/>
      <c r="H402" s="516"/>
      <c r="I402" s="516"/>
      <c r="J402" s="516"/>
      <c r="K402" s="516"/>
      <c r="L402" s="516"/>
      <c r="M402" s="516"/>
      <c r="N402" s="516"/>
      <c r="O402" s="516"/>
      <c r="P402" s="516"/>
      <c r="Q402" s="516"/>
      <c r="R402" s="516"/>
      <c r="S402" s="516"/>
      <c r="T402" s="516"/>
      <c r="U402" s="516"/>
      <c r="V402" s="4"/>
      <c r="W402" s="4"/>
      <c r="X402" s="4"/>
      <c r="Y402" s="4"/>
    </row>
    <row r="403">
      <c r="A403" s="516"/>
      <c r="B403" s="516"/>
      <c r="C403" s="516"/>
      <c r="D403" s="516"/>
      <c r="E403" s="516"/>
      <c r="F403" s="516"/>
      <c r="G403" s="516"/>
      <c r="H403" s="516"/>
      <c r="I403" s="516"/>
      <c r="J403" s="516"/>
      <c r="K403" s="516"/>
      <c r="L403" s="516"/>
      <c r="M403" s="516"/>
      <c r="N403" s="516"/>
      <c r="O403" s="516"/>
      <c r="P403" s="516"/>
      <c r="Q403" s="516"/>
      <c r="R403" s="516"/>
      <c r="S403" s="516"/>
      <c r="T403" s="516"/>
      <c r="U403" s="516"/>
      <c r="V403" s="4"/>
      <c r="W403" s="4"/>
      <c r="X403" s="4"/>
      <c r="Y403" s="4"/>
    </row>
    <row r="404">
      <c r="A404" s="516"/>
      <c r="B404" s="516"/>
      <c r="C404" s="516"/>
      <c r="D404" s="516"/>
      <c r="E404" s="516"/>
      <c r="F404" s="516"/>
      <c r="G404" s="516"/>
      <c r="H404" s="516"/>
      <c r="I404" s="516"/>
      <c r="J404" s="516"/>
      <c r="K404" s="516"/>
      <c r="L404" s="516"/>
      <c r="M404" s="516"/>
      <c r="N404" s="516"/>
      <c r="O404" s="516"/>
      <c r="P404" s="516"/>
      <c r="Q404" s="516"/>
      <c r="R404" s="516"/>
      <c r="S404" s="516"/>
      <c r="T404" s="516"/>
      <c r="U404" s="516"/>
      <c r="V404" s="4"/>
      <c r="W404" s="4"/>
      <c r="X404" s="4"/>
      <c r="Y404" s="4"/>
    </row>
    <row r="405">
      <c r="A405" s="516"/>
      <c r="B405" s="516"/>
      <c r="C405" s="516"/>
      <c r="D405" s="516"/>
      <c r="E405" s="516"/>
      <c r="F405" s="516"/>
      <c r="G405" s="516"/>
      <c r="H405" s="516"/>
      <c r="I405" s="516"/>
      <c r="J405" s="516"/>
      <c r="K405" s="516"/>
      <c r="L405" s="516"/>
      <c r="M405" s="516"/>
      <c r="N405" s="516"/>
      <c r="O405" s="516"/>
      <c r="P405" s="516"/>
      <c r="Q405" s="516"/>
      <c r="R405" s="516"/>
      <c r="S405" s="516"/>
      <c r="T405" s="516"/>
      <c r="U405" s="516"/>
      <c r="V405" s="4"/>
      <c r="W405" s="4"/>
      <c r="X405" s="4"/>
      <c r="Y405" s="4"/>
    </row>
    <row r="406">
      <c r="A406" s="516"/>
      <c r="B406" s="516"/>
      <c r="C406" s="516"/>
      <c r="D406" s="516"/>
      <c r="E406" s="516"/>
      <c r="F406" s="516"/>
      <c r="G406" s="516"/>
      <c r="H406" s="516"/>
      <c r="I406" s="516"/>
      <c r="J406" s="516"/>
      <c r="K406" s="516"/>
      <c r="L406" s="516"/>
      <c r="M406" s="516"/>
      <c r="N406" s="516"/>
      <c r="O406" s="516"/>
      <c r="P406" s="516"/>
      <c r="Q406" s="516"/>
      <c r="R406" s="516"/>
      <c r="S406" s="516"/>
      <c r="T406" s="516"/>
      <c r="U406" s="516"/>
      <c r="V406" s="4"/>
      <c r="W406" s="4"/>
      <c r="X406" s="4"/>
      <c r="Y406" s="4"/>
    </row>
    <row r="407">
      <c r="A407" s="516"/>
      <c r="B407" s="516"/>
      <c r="C407" s="516"/>
      <c r="D407" s="516"/>
      <c r="E407" s="516"/>
      <c r="F407" s="516"/>
      <c r="G407" s="516"/>
      <c r="H407" s="516"/>
      <c r="I407" s="516"/>
      <c r="J407" s="516"/>
      <c r="K407" s="516"/>
      <c r="L407" s="516"/>
      <c r="M407" s="516"/>
      <c r="N407" s="516"/>
      <c r="O407" s="516"/>
      <c r="P407" s="516"/>
      <c r="Q407" s="516"/>
      <c r="R407" s="516"/>
      <c r="S407" s="516"/>
      <c r="T407" s="516"/>
      <c r="U407" s="516"/>
      <c r="V407" s="4"/>
      <c r="W407" s="4"/>
      <c r="X407" s="4"/>
      <c r="Y407" s="4"/>
    </row>
    <row r="408">
      <c r="A408" s="516"/>
      <c r="B408" s="516"/>
      <c r="C408" s="516"/>
      <c r="D408" s="516"/>
      <c r="E408" s="516"/>
      <c r="F408" s="516"/>
      <c r="G408" s="516"/>
      <c r="H408" s="516"/>
      <c r="I408" s="516"/>
      <c r="J408" s="516"/>
      <c r="K408" s="516"/>
      <c r="L408" s="516"/>
      <c r="M408" s="516"/>
      <c r="N408" s="516"/>
      <c r="O408" s="516"/>
      <c r="P408" s="516"/>
      <c r="Q408" s="516"/>
      <c r="R408" s="516"/>
      <c r="S408" s="516"/>
      <c r="T408" s="516"/>
      <c r="U408" s="516"/>
      <c r="V408" s="4"/>
      <c r="W408" s="4"/>
      <c r="X408" s="4"/>
      <c r="Y408" s="4"/>
    </row>
    <row r="409">
      <c r="A409" s="516"/>
      <c r="B409" s="516"/>
      <c r="C409" s="516"/>
      <c r="D409" s="516"/>
      <c r="E409" s="516"/>
      <c r="F409" s="516"/>
      <c r="G409" s="516"/>
      <c r="H409" s="516"/>
      <c r="I409" s="516"/>
      <c r="J409" s="516"/>
      <c r="K409" s="516"/>
      <c r="L409" s="516"/>
      <c r="M409" s="516"/>
      <c r="N409" s="516"/>
      <c r="O409" s="516"/>
      <c r="P409" s="516"/>
      <c r="Q409" s="516"/>
      <c r="R409" s="516"/>
      <c r="S409" s="516"/>
      <c r="T409" s="516"/>
      <c r="U409" s="516"/>
      <c r="V409" s="4"/>
      <c r="W409" s="4"/>
      <c r="X409" s="4"/>
      <c r="Y409" s="4"/>
    </row>
    <row r="410">
      <c r="A410" s="516"/>
      <c r="B410" s="516"/>
      <c r="C410" s="516"/>
      <c r="D410" s="516"/>
      <c r="E410" s="516"/>
      <c r="F410" s="516"/>
      <c r="G410" s="516"/>
      <c r="H410" s="516"/>
      <c r="I410" s="516"/>
      <c r="J410" s="516"/>
      <c r="K410" s="516"/>
      <c r="L410" s="516"/>
      <c r="M410" s="516"/>
      <c r="N410" s="516"/>
      <c r="O410" s="516"/>
      <c r="P410" s="516"/>
      <c r="Q410" s="516"/>
      <c r="R410" s="516"/>
      <c r="S410" s="516"/>
      <c r="T410" s="516"/>
      <c r="U410" s="516"/>
      <c r="V410" s="4"/>
      <c r="W410" s="4"/>
      <c r="X410" s="4"/>
      <c r="Y410" s="4"/>
    </row>
    <row r="411">
      <c r="A411" s="516"/>
      <c r="B411" s="516"/>
      <c r="C411" s="516"/>
      <c r="D411" s="516"/>
      <c r="E411" s="516"/>
      <c r="F411" s="516"/>
      <c r="G411" s="516"/>
      <c r="H411" s="516"/>
      <c r="I411" s="516"/>
      <c r="J411" s="516"/>
      <c r="K411" s="516"/>
      <c r="L411" s="516"/>
      <c r="M411" s="516"/>
      <c r="N411" s="516"/>
      <c r="O411" s="516"/>
      <c r="P411" s="516"/>
      <c r="Q411" s="516"/>
      <c r="R411" s="516"/>
      <c r="S411" s="516"/>
      <c r="T411" s="516"/>
      <c r="U411" s="516"/>
      <c r="V411" s="4"/>
      <c r="W411" s="4"/>
      <c r="X411" s="4"/>
      <c r="Y411" s="4"/>
    </row>
    <row r="412">
      <c r="A412" s="516"/>
      <c r="B412" s="516"/>
      <c r="C412" s="516"/>
      <c r="D412" s="516"/>
      <c r="E412" s="516"/>
      <c r="F412" s="516"/>
      <c r="G412" s="516"/>
      <c r="H412" s="516"/>
      <c r="I412" s="516"/>
      <c r="J412" s="516"/>
      <c r="K412" s="516"/>
      <c r="L412" s="516"/>
      <c r="M412" s="516"/>
      <c r="N412" s="516"/>
      <c r="O412" s="516"/>
      <c r="P412" s="516"/>
      <c r="Q412" s="516"/>
      <c r="R412" s="516"/>
      <c r="S412" s="516"/>
      <c r="T412" s="516"/>
      <c r="U412" s="516"/>
      <c r="V412" s="4"/>
      <c r="W412" s="4"/>
      <c r="X412" s="4"/>
      <c r="Y412" s="4"/>
    </row>
    <row r="413">
      <c r="A413" s="516"/>
      <c r="B413" s="516"/>
      <c r="C413" s="516"/>
      <c r="D413" s="516"/>
      <c r="E413" s="516"/>
      <c r="F413" s="516"/>
      <c r="G413" s="516"/>
      <c r="H413" s="516"/>
      <c r="I413" s="516"/>
      <c r="J413" s="516"/>
      <c r="K413" s="516"/>
      <c r="L413" s="516"/>
      <c r="M413" s="516"/>
      <c r="N413" s="516"/>
      <c r="O413" s="516"/>
      <c r="P413" s="516"/>
      <c r="Q413" s="516"/>
      <c r="R413" s="516"/>
      <c r="S413" s="516"/>
      <c r="T413" s="516"/>
      <c r="U413" s="516"/>
      <c r="V413" s="4"/>
      <c r="W413" s="4"/>
      <c r="X413" s="4"/>
      <c r="Y413" s="4"/>
    </row>
    <row r="414">
      <c r="A414" s="516"/>
      <c r="B414" s="516"/>
      <c r="C414" s="516"/>
      <c r="D414" s="516"/>
      <c r="E414" s="516"/>
      <c r="F414" s="516"/>
      <c r="G414" s="516"/>
      <c r="H414" s="516"/>
      <c r="I414" s="516"/>
      <c r="J414" s="516"/>
      <c r="K414" s="516"/>
      <c r="L414" s="516"/>
      <c r="M414" s="516"/>
      <c r="N414" s="516"/>
      <c r="O414" s="516"/>
      <c r="P414" s="516"/>
      <c r="Q414" s="516"/>
      <c r="R414" s="516"/>
      <c r="S414" s="516"/>
      <c r="T414" s="516"/>
      <c r="U414" s="516"/>
      <c r="V414" s="4"/>
      <c r="W414" s="4"/>
      <c r="X414" s="4"/>
      <c r="Y414" s="4"/>
    </row>
    <row r="415">
      <c r="A415" s="516"/>
      <c r="B415" s="516"/>
      <c r="C415" s="516"/>
      <c r="D415" s="516"/>
      <c r="E415" s="516"/>
      <c r="F415" s="516"/>
      <c r="G415" s="516"/>
      <c r="H415" s="516"/>
      <c r="I415" s="516"/>
      <c r="J415" s="516"/>
      <c r="K415" s="516"/>
      <c r="L415" s="516"/>
      <c r="M415" s="516"/>
      <c r="N415" s="516"/>
      <c r="O415" s="516"/>
      <c r="P415" s="516"/>
      <c r="Q415" s="516"/>
      <c r="R415" s="516"/>
      <c r="S415" s="516"/>
      <c r="T415" s="516"/>
      <c r="U415" s="516"/>
      <c r="V415" s="4"/>
      <c r="W415" s="4"/>
      <c r="X415" s="4"/>
      <c r="Y415" s="4"/>
    </row>
    <row r="416">
      <c r="A416" s="516"/>
      <c r="B416" s="516"/>
      <c r="C416" s="516"/>
      <c r="D416" s="516"/>
      <c r="E416" s="516"/>
      <c r="F416" s="516"/>
      <c r="G416" s="516"/>
      <c r="H416" s="516"/>
      <c r="I416" s="516"/>
      <c r="J416" s="516"/>
      <c r="K416" s="516"/>
      <c r="L416" s="516"/>
      <c r="M416" s="516"/>
      <c r="N416" s="516"/>
      <c r="O416" s="516"/>
      <c r="P416" s="516"/>
      <c r="Q416" s="516"/>
      <c r="R416" s="516"/>
      <c r="S416" s="516"/>
      <c r="T416" s="516"/>
      <c r="U416" s="516"/>
      <c r="V416" s="4"/>
      <c r="W416" s="4"/>
      <c r="X416" s="4"/>
      <c r="Y416" s="4"/>
    </row>
    <row r="417">
      <c r="A417" s="516"/>
      <c r="B417" s="516"/>
      <c r="C417" s="516"/>
      <c r="D417" s="516"/>
      <c r="E417" s="516"/>
      <c r="F417" s="516"/>
      <c r="G417" s="516"/>
      <c r="H417" s="516"/>
      <c r="I417" s="516"/>
      <c r="J417" s="516"/>
      <c r="K417" s="516"/>
      <c r="L417" s="516"/>
      <c r="M417" s="516"/>
      <c r="N417" s="516"/>
      <c r="O417" s="516"/>
      <c r="P417" s="516"/>
      <c r="Q417" s="516"/>
      <c r="R417" s="516"/>
      <c r="S417" s="516"/>
      <c r="T417" s="516"/>
      <c r="U417" s="516"/>
      <c r="V417" s="4"/>
      <c r="W417" s="4"/>
      <c r="X417" s="4"/>
      <c r="Y417" s="4"/>
    </row>
    <row r="418">
      <c r="A418" s="516"/>
      <c r="B418" s="516"/>
      <c r="C418" s="516"/>
      <c r="D418" s="516"/>
      <c r="E418" s="516"/>
      <c r="F418" s="516"/>
      <c r="G418" s="516"/>
      <c r="H418" s="516"/>
      <c r="I418" s="516"/>
      <c r="J418" s="516"/>
      <c r="K418" s="516"/>
      <c r="L418" s="516"/>
      <c r="M418" s="516"/>
      <c r="N418" s="516"/>
      <c r="O418" s="516"/>
      <c r="P418" s="516"/>
      <c r="Q418" s="516"/>
      <c r="R418" s="516"/>
      <c r="S418" s="516"/>
      <c r="T418" s="516"/>
      <c r="U418" s="516"/>
      <c r="V418" s="4"/>
      <c r="W418" s="4"/>
      <c r="X418" s="4"/>
      <c r="Y418" s="4"/>
    </row>
    <row r="419">
      <c r="A419" s="516"/>
      <c r="B419" s="516"/>
      <c r="C419" s="516"/>
      <c r="D419" s="516"/>
      <c r="E419" s="516"/>
      <c r="F419" s="516"/>
      <c r="G419" s="516"/>
      <c r="H419" s="516"/>
      <c r="I419" s="516"/>
      <c r="J419" s="516"/>
      <c r="K419" s="516"/>
      <c r="L419" s="516"/>
      <c r="M419" s="516"/>
      <c r="N419" s="516"/>
      <c r="O419" s="516"/>
      <c r="P419" s="516"/>
      <c r="Q419" s="516"/>
      <c r="R419" s="516"/>
      <c r="S419" s="516"/>
      <c r="T419" s="516"/>
      <c r="U419" s="516"/>
      <c r="V419" s="4"/>
      <c r="W419" s="4"/>
      <c r="X419" s="4"/>
      <c r="Y419" s="4"/>
    </row>
    <row r="420">
      <c r="A420" s="516"/>
      <c r="B420" s="516"/>
      <c r="C420" s="516"/>
      <c r="D420" s="516"/>
      <c r="E420" s="516"/>
      <c r="F420" s="516"/>
      <c r="G420" s="516"/>
      <c r="H420" s="516"/>
      <c r="I420" s="516"/>
      <c r="J420" s="516"/>
      <c r="K420" s="516"/>
      <c r="L420" s="516"/>
      <c r="M420" s="516"/>
      <c r="N420" s="516"/>
      <c r="O420" s="516"/>
      <c r="P420" s="516"/>
      <c r="Q420" s="516"/>
      <c r="R420" s="516"/>
      <c r="S420" s="516"/>
      <c r="T420" s="516"/>
      <c r="U420" s="516"/>
      <c r="V420" s="4"/>
      <c r="W420" s="4"/>
      <c r="X420" s="4"/>
      <c r="Y420" s="4"/>
    </row>
    <row r="421">
      <c r="A421" s="516"/>
      <c r="B421" s="516"/>
      <c r="C421" s="516"/>
      <c r="D421" s="516"/>
      <c r="E421" s="516"/>
      <c r="F421" s="516"/>
      <c r="G421" s="516"/>
      <c r="H421" s="516"/>
      <c r="I421" s="516"/>
      <c r="J421" s="516"/>
      <c r="K421" s="516"/>
      <c r="L421" s="516"/>
      <c r="M421" s="516"/>
      <c r="N421" s="516"/>
      <c r="O421" s="516"/>
      <c r="P421" s="516"/>
      <c r="Q421" s="516"/>
      <c r="R421" s="516"/>
      <c r="S421" s="516"/>
      <c r="T421" s="516"/>
      <c r="U421" s="516"/>
      <c r="V421" s="4"/>
      <c r="W421" s="4"/>
      <c r="X421" s="4"/>
      <c r="Y421" s="4"/>
    </row>
    <row r="422">
      <c r="A422" s="516"/>
      <c r="B422" s="516"/>
      <c r="C422" s="516"/>
      <c r="D422" s="516"/>
      <c r="E422" s="516"/>
      <c r="F422" s="516"/>
      <c r="G422" s="516"/>
      <c r="H422" s="516"/>
      <c r="I422" s="516"/>
      <c r="J422" s="516"/>
      <c r="K422" s="516"/>
      <c r="L422" s="516"/>
      <c r="M422" s="516"/>
      <c r="N422" s="516"/>
      <c r="O422" s="516"/>
      <c r="P422" s="516"/>
      <c r="Q422" s="516"/>
      <c r="R422" s="516"/>
      <c r="S422" s="516"/>
      <c r="T422" s="516"/>
      <c r="U422" s="516"/>
      <c r="V422" s="4"/>
      <c r="W422" s="4"/>
      <c r="X422" s="4"/>
      <c r="Y422" s="4"/>
    </row>
    <row r="423">
      <c r="A423" s="516"/>
      <c r="B423" s="516"/>
      <c r="C423" s="516"/>
      <c r="D423" s="516"/>
      <c r="E423" s="516"/>
      <c r="F423" s="516"/>
      <c r="G423" s="516"/>
      <c r="H423" s="516"/>
      <c r="I423" s="516"/>
      <c r="J423" s="516"/>
      <c r="K423" s="516"/>
      <c r="L423" s="516"/>
      <c r="M423" s="516"/>
      <c r="N423" s="516"/>
      <c r="O423" s="516"/>
      <c r="P423" s="516"/>
      <c r="Q423" s="516"/>
      <c r="R423" s="516"/>
      <c r="S423" s="516"/>
      <c r="T423" s="516"/>
      <c r="U423" s="516"/>
      <c r="V423" s="4"/>
      <c r="W423" s="4"/>
      <c r="X423" s="4"/>
      <c r="Y423" s="4"/>
    </row>
    <row r="424">
      <c r="A424" s="516"/>
      <c r="B424" s="516"/>
      <c r="C424" s="516"/>
      <c r="D424" s="516"/>
      <c r="E424" s="516"/>
      <c r="F424" s="516"/>
      <c r="G424" s="516"/>
      <c r="H424" s="516"/>
      <c r="I424" s="516"/>
      <c r="J424" s="516"/>
      <c r="K424" s="516"/>
      <c r="L424" s="516"/>
      <c r="M424" s="516"/>
      <c r="N424" s="516"/>
      <c r="O424" s="516"/>
      <c r="P424" s="516"/>
      <c r="Q424" s="516"/>
      <c r="R424" s="516"/>
      <c r="S424" s="516"/>
      <c r="T424" s="516"/>
      <c r="U424" s="516"/>
      <c r="V424" s="4"/>
      <c r="W424" s="4"/>
      <c r="X424" s="4"/>
      <c r="Y424" s="4"/>
    </row>
    <row r="425">
      <c r="A425" s="516"/>
      <c r="B425" s="516"/>
      <c r="C425" s="516"/>
      <c r="D425" s="516"/>
      <c r="E425" s="516"/>
      <c r="F425" s="516"/>
      <c r="G425" s="516"/>
      <c r="H425" s="516"/>
      <c r="I425" s="516"/>
      <c r="J425" s="516"/>
      <c r="K425" s="516"/>
      <c r="L425" s="516"/>
      <c r="M425" s="516"/>
      <c r="N425" s="516"/>
      <c r="O425" s="516"/>
      <c r="P425" s="516"/>
      <c r="Q425" s="516"/>
      <c r="R425" s="516"/>
      <c r="S425" s="516"/>
      <c r="T425" s="516"/>
      <c r="U425" s="516"/>
      <c r="V425" s="4"/>
      <c r="W425" s="4"/>
      <c r="X425" s="4"/>
      <c r="Y425" s="4"/>
    </row>
    <row r="426">
      <c r="A426" s="516"/>
      <c r="B426" s="516"/>
      <c r="C426" s="516"/>
      <c r="D426" s="516"/>
      <c r="E426" s="516"/>
      <c r="F426" s="516"/>
      <c r="G426" s="516"/>
      <c r="H426" s="516"/>
      <c r="I426" s="516"/>
      <c r="J426" s="516"/>
      <c r="K426" s="516"/>
      <c r="L426" s="516"/>
      <c r="M426" s="516"/>
      <c r="N426" s="516"/>
      <c r="O426" s="516"/>
      <c r="P426" s="516"/>
      <c r="Q426" s="516"/>
      <c r="R426" s="516"/>
      <c r="S426" s="516"/>
      <c r="T426" s="516"/>
      <c r="U426" s="516"/>
      <c r="V426" s="4"/>
      <c r="W426" s="4"/>
      <c r="X426" s="4"/>
      <c r="Y426" s="4"/>
    </row>
    <row r="427">
      <c r="A427" s="516"/>
      <c r="B427" s="516"/>
      <c r="C427" s="516"/>
      <c r="D427" s="516"/>
      <c r="E427" s="516"/>
      <c r="F427" s="516"/>
      <c r="G427" s="516"/>
      <c r="H427" s="516"/>
      <c r="I427" s="516"/>
      <c r="J427" s="516"/>
      <c r="K427" s="516"/>
      <c r="L427" s="516"/>
      <c r="M427" s="516"/>
      <c r="N427" s="516"/>
      <c r="O427" s="516"/>
      <c r="P427" s="516"/>
      <c r="Q427" s="516"/>
      <c r="R427" s="516"/>
      <c r="S427" s="516"/>
      <c r="T427" s="516"/>
      <c r="U427" s="516"/>
      <c r="V427" s="4"/>
      <c r="W427" s="4"/>
      <c r="X427" s="4"/>
      <c r="Y427" s="4"/>
    </row>
    <row r="428">
      <c r="A428" s="516"/>
      <c r="B428" s="516"/>
      <c r="C428" s="516"/>
      <c r="D428" s="516"/>
      <c r="E428" s="516"/>
      <c r="F428" s="516"/>
      <c r="G428" s="516"/>
      <c r="H428" s="516"/>
      <c r="I428" s="516"/>
      <c r="J428" s="516"/>
      <c r="K428" s="516"/>
      <c r="L428" s="516"/>
      <c r="M428" s="516"/>
      <c r="N428" s="516"/>
      <c r="O428" s="516"/>
      <c r="P428" s="516"/>
      <c r="Q428" s="516"/>
      <c r="R428" s="516"/>
      <c r="S428" s="516"/>
      <c r="T428" s="516"/>
      <c r="U428" s="516"/>
      <c r="V428" s="4"/>
      <c r="W428" s="4"/>
      <c r="X428" s="4"/>
      <c r="Y428" s="4"/>
    </row>
    <row r="429">
      <c r="A429" s="516"/>
      <c r="B429" s="516"/>
      <c r="C429" s="516"/>
      <c r="D429" s="516"/>
      <c r="E429" s="516"/>
      <c r="F429" s="516"/>
      <c r="G429" s="516"/>
      <c r="H429" s="516"/>
      <c r="I429" s="516"/>
      <c r="J429" s="516"/>
      <c r="K429" s="516"/>
      <c r="L429" s="516"/>
      <c r="M429" s="516"/>
      <c r="N429" s="516"/>
      <c r="O429" s="516"/>
      <c r="P429" s="516"/>
      <c r="Q429" s="516"/>
      <c r="R429" s="516"/>
      <c r="S429" s="516"/>
      <c r="T429" s="516"/>
      <c r="U429" s="516"/>
      <c r="V429" s="4"/>
      <c r="W429" s="4"/>
      <c r="X429" s="4"/>
      <c r="Y429" s="4"/>
    </row>
    <row r="430">
      <c r="A430" s="516"/>
      <c r="B430" s="516"/>
      <c r="C430" s="516"/>
      <c r="D430" s="516"/>
      <c r="E430" s="516"/>
      <c r="F430" s="516"/>
      <c r="G430" s="516"/>
      <c r="H430" s="516"/>
      <c r="I430" s="516"/>
      <c r="J430" s="516"/>
      <c r="K430" s="516"/>
      <c r="L430" s="516"/>
      <c r="M430" s="516"/>
      <c r="N430" s="516"/>
      <c r="O430" s="516"/>
      <c r="P430" s="516"/>
      <c r="Q430" s="516"/>
      <c r="R430" s="516"/>
      <c r="S430" s="516"/>
      <c r="T430" s="516"/>
      <c r="U430" s="516"/>
      <c r="V430" s="4"/>
      <c r="W430" s="4"/>
      <c r="X430" s="4"/>
      <c r="Y430" s="4"/>
    </row>
    <row r="431">
      <c r="A431" s="516"/>
      <c r="B431" s="516"/>
      <c r="C431" s="516"/>
      <c r="D431" s="516"/>
      <c r="E431" s="516"/>
      <c r="F431" s="516"/>
      <c r="G431" s="516"/>
      <c r="H431" s="516"/>
      <c r="I431" s="516"/>
      <c r="J431" s="516"/>
      <c r="K431" s="516"/>
      <c r="L431" s="516"/>
      <c r="M431" s="516"/>
      <c r="N431" s="516"/>
      <c r="O431" s="516"/>
      <c r="P431" s="516"/>
      <c r="Q431" s="516"/>
      <c r="R431" s="516"/>
      <c r="S431" s="516"/>
      <c r="T431" s="516"/>
      <c r="U431" s="516"/>
      <c r="V431" s="4"/>
      <c r="W431" s="4"/>
      <c r="X431" s="4"/>
      <c r="Y431" s="4"/>
    </row>
    <row r="432">
      <c r="A432" s="516"/>
      <c r="B432" s="516"/>
      <c r="C432" s="516"/>
      <c r="D432" s="516"/>
      <c r="E432" s="516"/>
      <c r="F432" s="516"/>
      <c r="G432" s="516"/>
      <c r="H432" s="516"/>
      <c r="I432" s="516"/>
      <c r="J432" s="516"/>
      <c r="K432" s="516"/>
      <c r="L432" s="516"/>
      <c r="M432" s="516"/>
      <c r="N432" s="516"/>
      <c r="O432" s="516"/>
      <c r="P432" s="516"/>
      <c r="Q432" s="516"/>
      <c r="R432" s="516"/>
      <c r="S432" s="516"/>
      <c r="T432" s="516"/>
      <c r="U432" s="516"/>
      <c r="V432" s="4"/>
      <c r="W432" s="4"/>
      <c r="X432" s="4"/>
      <c r="Y432" s="4"/>
    </row>
    <row r="433">
      <c r="A433" s="516"/>
      <c r="B433" s="516"/>
      <c r="C433" s="516"/>
      <c r="D433" s="516"/>
      <c r="E433" s="516"/>
      <c r="F433" s="516"/>
      <c r="G433" s="516"/>
      <c r="H433" s="516"/>
      <c r="I433" s="516"/>
      <c r="J433" s="516"/>
      <c r="K433" s="516"/>
      <c r="L433" s="516"/>
      <c r="M433" s="516"/>
      <c r="N433" s="516"/>
      <c r="O433" s="516"/>
      <c r="P433" s="516"/>
      <c r="Q433" s="516"/>
      <c r="R433" s="516"/>
      <c r="S433" s="516"/>
      <c r="T433" s="516"/>
      <c r="U433" s="516"/>
      <c r="V433" s="4"/>
      <c r="W433" s="4"/>
      <c r="X433" s="4"/>
      <c r="Y433" s="4"/>
    </row>
    <row r="434">
      <c r="A434" s="516"/>
      <c r="B434" s="516"/>
      <c r="C434" s="516"/>
      <c r="D434" s="516"/>
      <c r="E434" s="516"/>
      <c r="F434" s="516"/>
      <c r="G434" s="516"/>
      <c r="H434" s="516"/>
      <c r="I434" s="516"/>
      <c r="J434" s="516"/>
      <c r="K434" s="516"/>
      <c r="L434" s="516"/>
      <c r="M434" s="516"/>
      <c r="N434" s="516"/>
      <c r="O434" s="516"/>
      <c r="P434" s="516"/>
      <c r="Q434" s="516"/>
      <c r="R434" s="516"/>
      <c r="S434" s="516"/>
      <c r="T434" s="516"/>
      <c r="U434" s="516"/>
      <c r="V434" s="4"/>
      <c r="W434" s="4"/>
      <c r="X434" s="4"/>
      <c r="Y434" s="4"/>
    </row>
    <row r="435">
      <c r="A435" s="516"/>
      <c r="B435" s="516"/>
      <c r="C435" s="516"/>
      <c r="D435" s="516"/>
      <c r="E435" s="516"/>
      <c r="F435" s="516"/>
      <c r="G435" s="516"/>
      <c r="H435" s="516"/>
      <c r="I435" s="516"/>
      <c r="J435" s="516"/>
      <c r="K435" s="516"/>
      <c r="L435" s="516"/>
      <c r="M435" s="516"/>
      <c r="N435" s="516"/>
      <c r="O435" s="516"/>
      <c r="P435" s="516"/>
      <c r="Q435" s="516"/>
      <c r="R435" s="516"/>
      <c r="S435" s="516"/>
      <c r="T435" s="516"/>
      <c r="U435" s="516"/>
      <c r="V435" s="4"/>
      <c r="W435" s="4"/>
      <c r="X435" s="4"/>
      <c r="Y435" s="4"/>
    </row>
    <row r="436">
      <c r="A436" s="516"/>
      <c r="B436" s="516"/>
      <c r="C436" s="516"/>
      <c r="D436" s="516"/>
      <c r="E436" s="516"/>
      <c r="F436" s="516"/>
      <c r="G436" s="516"/>
      <c r="H436" s="516"/>
      <c r="I436" s="516"/>
      <c r="J436" s="516"/>
      <c r="K436" s="516"/>
      <c r="L436" s="516"/>
      <c r="M436" s="516"/>
      <c r="N436" s="516"/>
      <c r="O436" s="516"/>
      <c r="P436" s="516"/>
      <c r="Q436" s="516"/>
      <c r="R436" s="516"/>
      <c r="S436" s="516"/>
      <c r="T436" s="516"/>
      <c r="U436" s="516"/>
      <c r="V436" s="4"/>
      <c r="W436" s="4"/>
      <c r="X436" s="4"/>
      <c r="Y436" s="4"/>
    </row>
    <row r="437">
      <c r="A437" s="516"/>
      <c r="B437" s="516"/>
      <c r="C437" s="516"/>
      <c r="D437" s="516"/>
      <c r="E437" s="516"/>
      <c r="F437" s="516"/>
      <c r="G437" s="516"/>
      <c r="H437" s="516"/>
      <c r="I437" s="516"/>
      <c r="J437" s="516"/>
      <c r="K437" s="516"/>
      <c r="L437" s="516"/>
      <c r="M437" s="516"/>
      <c r="N437" s="516"/>
      <c r="O437" s="516"/>
      <c r="P437" s="516"/>
      <c r="Q437" s="516"/>
      <c r="R437" s="516"/>
      <c r="S437" s="516"/>
      <c r="T437" s="516"/>
      <c r="U437" s="516"/>
      <c r="V437" s="4"/>
      <c r="W437" s="4"/>
      <c r="X437" s="4"/>
      <c r="Y437" s="4"/>
    </row>
    <row r="438">
      <c r="A438" s="516"/>
      <c r="B438" s="516"/>
      <c r="C438" s="516"/>
      <c r="D438" s="516"/>
      <c r="E438" s="516"/>
      <c r="F438" s="516"/>
      <c r="G438" s="516"/>
      <c r="H438" s="516"/>
      <c r="I438" s="516"/>
      <c r="J438" s="516"/>
      <c r="K438" s="516"/>
      <c r="L438" s="516"/>
      <c r="M438" s="516"/>
      <c r="N438" s="516"/>
      <c r="O438" s="516"/>
      <c r="P438" s="516"/>
      <c r="Q438" s="516"/>
      <c r="R438" s="516"/>
      <c r="S438" s="516"/>
      <c r="T438" s="516"/>
      <c r="U438" s="516"/>
      <c r="V438" s="4"/>
      <c r="W438" s="4"/>
      <c r="X438" s="4"/>
      <c r="Y438" s="4"/>
    </row>
    <row r="439">
      <c r="A439" s="516"/>
      <c r="B439" s="516"/>
      <c r="C439" s="516"/>
      <c r="D439" s="516"/>
      <c r="E439" s="516"/>
      <c r="F439" s="516"/>
      <c r="G439" s="516"/>
      <c r="H439" s="516"/>
      <c r="I439" s="516"/>
      <c r="J439" s="516"/>
      <c r="K439" s="516"/>
      <c r="L439" s="516"/>
      <c r="M439" s="516"/>
      <c r="N439" s="516"/>
      <c r="O439" s="516"/>
      <c r="P439" s="516"/>
      <c r="Q439" s="516"/>
      <c r="R439" s="516"/>
      <c r="S439" s="516"/>
      <c r="T439" s="516"/>
      <c r="U439" s="516"/>
      <c r="V439" s="4"/>
      <c r="W439" s="4"/>
      <c r="X439" s="4"/>
      <c r="Y439" s="4"/>
    </row>
    <row r="440">
      <c r="A440" s="516"/>
      <c r="B440" s="516"/>
      <c r="C440" s="516"/>
      <c r="D440" s="516"/>
      <c r="E440" s="516"/>
      <c r="F440" s="516"/>
      <c r="G440" s="516"/>
      <c r="H440" s="516"/>
      <c r="I440" s="516"/>
      <c r="J440" s="516"/>
      <c r="K440" s="516"/>
      <c r="L440" s="516"/>
      <c r="M440" s="516"/>
      <c r="N440" s="516"/>
      <c r="O440" s="516"/>
      <c r="P440" s="516"/>
      <c r="Q440" s="516"/>
      <c r="R440" s="516"/>
      <c r="S440" s="516"/>
      <c r="T440" s="516"/>
      <c r="U440" s="516"/>
      <c r="V440" s="4"/>
      <c r="W440" s="4"/>
      <c r="X440" s="4"/>
      <c r="Y440" s="4"/>
    </row>
    <row r="441">
      <c r="A441" s="516"/>
      <c r="B441" s="516"/>
      <c r="C441" s="516"/>
      <c r="D441" s="516"/>
      <c r="E441" s="516"/>
      <c r="F441" s="516"/>
      <c r="G441" s="516"/>
      <c r="H441" s="516"/>
      <c r="I441" s="516"/>
      <c r="J441" s="516"/>
      <c r="K441" s="516"/>
      <c r="L441" s="516"/>
      <c r="M441" s="516"/>
      <c r="N441" s="516"/>
      <c r="O441" s="516"/>
      <c r="P441" s="516"/>
      <c r="Q441" s="516"/>
      <c r="R441" s="516"/>
      <c r="S441" s="516"/>
      <c r="T441" s="516"/>
      <c r="U441" s="516"/>
      <c r="V441" s="4"/>
      <c r="W441" s="4"/>
      <c r="X441" s="4"/>
      <c r="Y441" s="4"/>
    </row>
    <row r="442">
      <c r="A442" s="516"/>
      <c r="B442" s="516"/>
      <c r="C442" s="516"/>
      <c r="D442" s="516"/>
      <c r="E442" s="516"/>
      <c r="F442" s="516"/>
      <c r="G442" s="516"/>
      <c r="H442" s="516"/>
      <c r="I442" s="516"/>
      <c r="J442" s="516"/>
      <c r="K442" s="516"/>
      <c r="L442" s="516"/>
      <c r="M442" s="516"/>
      <c r="N442" s="516"/>
      <c r="O442" s="516"/>
      <c r="P442" s="516"/>
      <c r="Q442" s="516"/>
      <c r="R442" s="516"/>
      <c r="S442" s="516"/>
      <c r="T442" s="516"/>
      <c r="U442" s="516"/>
      <c r="V442" s="4"/>
      <c r="W442" s="4"/>
      <c r="X442" s="4"/>
      <c r="Y442" s="4"/>
    </row>
    <row r="443">
      <c r="A443" s="516"/>
      <c r="B443" s="516"/>
      <c r="C443" s="516"/>
      <c r="D443" s="516"/>
      <c r="E443" s="516"/>
      <c r="F443" s="516"/>
      <c r="G443" s="516"/>
      <c r="H443" s="516"/>
      <c r="I443" s="516"/>
      <c r="J443" s="516"/>
      <c r="K443" s="516"/>
      <c r="L443" s="516"/>
      <c r="M443" s="516"/>
      <c r="N443" s="516"/>
      <c r="O443" s="516"/>
      <c r="P443" s="516"/>
      <c r="Q443" s="516"/>
      <c r="R443" s="516"/>
      <c r="S443" s="516"/>
      <c r="T443" s="516"/>
      <c r="U443" s="516"/>
      <c r="V443" s="4"/>
      <c r="W443" s="4"/>
      <c r="X443" s="4"/>
      <c r="Y443" s="4"/>
    </row>
    <row r="444">
      <c r="A444" s="516"/>
      <c r="B444" s="516"/>
      <c r="C444" s="516"/>
      <c r="D444" s="516"/>
      <c r="E444" s="516"/>
      <c r="F444" s="516"/>
      <c r="G444" s="516"/>
      <c r="H444" s="516"/>
      <c r="I444" s="516"/>
      <c r="J444" s="516"/>
      <c r="K444" s="516"/>
      <c r="L444" s="516"/>
      <c r="M444" s="516"/>
      <c r="N444" s="516"/>
      <c r="O444" s="516"/>
      <c r="P444" s="516"/>
      <c r="Q444" s="516"/>
      <c r="R444" s="516"/>
      <c r="S444" s="516"/>
      <c r="T444" s="516"/>
      <c r="U444" s="516"/>
      <c r="V444" s="4"/>
      <c r="W444" s="4"/>
      <c r="X444" s="4"/>
      <c r="Y444" s="4"/>
    </row>
    <row r="445">
      <c r="A445" s="516"/>
      <c r="B445" s="516"/>
      <c r="C445" s="516"/>
      <c r="D445" s="516"/>
      <c r="E445" s="516"/>
      <c r="F445" s="516"/>
      <c r="G445" s="516"/>
      <c r="H445" s="516"/>
      <c r="I445" s="516"/>
      <c r="J445" s="516"/>
      <c r="K445" s="516"/>
      <c r="L445" s="516"/>
      <c r="M445" s="516"/>
      <c r="N445" s="516"/>
      <c r="O445" s="516"/>
      <c r="P445" s="516"/>
      <c r="Q445" s="516"/>
      <c r="R445" s="516"/>
      <c r="S445" s="516"/>
      <c r="T445" s="516"/>
      <c r="U445" s="516"/>
      <c r="V445" s="4"/>
      <c r="W445" s="4"/>
      <c r="X445" s="4"/>
      <c r="Y445" s="4"/>
    </row>
    <row r="446">
      <c r="A446" s="516"/>
      <c r="B446" s="516"/>
      <c r="C446" s="516"/>
      <c r="D446" s="516"/>
      <c r="E446" s="516"/>
      <c r="F446" s="516"/>
      <c r="G446" s="516"/>
      <c r="H446" s="516"/>
      <c r="I446" s="516"/>
      <c r="J446" s="516"/>
      <c r="K446" s="516"/>
      <c r="L446" s="516"/>
      <c r="M446" s="516"/>
      <c r="N446" s="516"/>
      <c r="O446" s="516"/>
      <c r="P446" s="516"/>
      <c r="Q446" s="516"/>
      <c r="R446" s="516"/>
      <c r="S446" s="516"/>
      <c r="T446" s="516"/>
      <c r="U446" s="516"/>
      <c r="V446" s="4"/>
      <c r="W446" s="4"/>
      <c r="X446" s="4"/>
      <c r="Y446" s="4"/>
    </row>
    <row r="447">
      <c r="A447" s="516"/>
      <c r="B447" s="516"/>
      <c r="C447" s="516"/>
      <c r="D447" s="516"/>
      <c r="E447" s="516"/>
      <c r="F447" s="516"/>
      <c r="G447" s="516"/>
      <c r="H447" s="516"/>
      <c r="I447" s="516"/>
      <c r="J447" s="516"/>
      <c r="K447" s="516"/>
      <c r="L447" s="516"/>
      <c r="M447" s="516"/>
      <c r="N447" s="516"/>
      <c r="O447" s="516"/>
      <c r="P447" s="516"/>
      <c r="Q447" s="516"/>
      <c r="R447" s="516"/>
      <c r="S447" s="516"/>
      <c r="T447" s="516"/>
      <c r="U447" s="516"/>
      <c r="V447" s="4"/>
      <c r="W447" s="4"/>
      <c r="X447" s="4"/>
      <c r="Y447" s="4"/>
    </row>
    <row r="448">
      <c r="A448" s="516"/>
      <c r="B448" s="516"/>
      <c r="C448" s="516"/>
      <c r="D448" s="516"/>
      <c r="E448" s="516"/>
      <c r="F448" s="516"/>
      <c r="G448" s="516"/>
      <c r="H448" s="516"/>
      <c r="I448" s="516"/>
      <c r="J448" s="516"/>
      <c r="K448" s="516"/>
      <c r="L448" s="516"/>
      <c r="M448" s="516"/>
      <c r="N448" s="516"/>
      <c r="O448" s="516"/>
      <c r="P448" s="516"/>
      <c r="Q448" s="516"/>
      <c r="R448" s="516"/>
      <c r="S448" s="516"/>
      <c r="T448" s="516"/>
      <c r="U448" s="516"/>
      <c r="V448" s="4"/>
      <c r="W448" s="4"/>
      <c r="X448" s="4"/>
      <c r="Y448" s="4"/>
    </row>
    <row r="449">
      <c r="A449" s="516"/>
      <c r="B449" s="516"/>
      <c r="C449" s="516"/>
      <c r="D449" s="516"/>
      <c r="E449" s="516"/>
      <c r="F449" s="516"/>
      <c r="G449" s="516"/>
      <c r="H449" s="516"/>
      <c r="I449" s="516"/>
      <c r="J449" s="516"/>
      <c r="K449" s="516"/>
      <c r="L449" s="516"/>
      <c r="M449" s="516"/>
      <c r="N449" s="516"/>
      <c r="O449" s="516"/>
      <c r="P449" s="516"/>
      <c r="Q449" s="516"/>
      <c r="R449" s="516"/>
      <c r="S449" s="516"/>
      <c r="T449" s="516"/>
      <c r="U449" s="516"/>
      <c r="V449" s="4"/>
      <c r="W449" s="4"/>
      <c r="X449" s="4"/>
      <c r="Y449" s="4"/>
    </row>
    <row r="450">
      <c r="A450" s="516"/>
      <c r="B450" s="516"/>
      <c r="C450" s="516"/>
      <c r="D450" s="516"/>
      <c r="E450" s="516"/>
      <c r="F450" s="516"/>
      <c r="G450" s="516"/>
      <c r="H450" s="516"/>
      <c r="I450" s="516"/>
      <c r="J450" s="516"/>
      <c r="K450" s="516"/>
      <c r="L450" s="516"/>
      <c r="M450" s="516"/>
      <c r="N450" s="516"/>
      <c r="O450" s="516"/>
      <c r="P450" s="516"/>
      <c r="Q450" s="516"/>
      <c r="R450" s="516"/>
      <c r="S450" s="516"/>
      <c r="T450" s="516"/>
      <c r="U450" s="516"/>
      <c r="V450" s="4"/>
      <c r="W450" s="4"/>
      <c r="X450" s="4"/>
      <c r="Y450" s="4"/>
    </row>
    <row r="451">
      <c r="A451" s="516"/>
      <c r="B451" s="516"/>
      <c r="C451" s="516"/>
      <c r="D451" s="516"/>
      <c r="E451" s="516"/>
      <c r="F451" s="516"/>
      <c r="G451" s="516"/>
      <c r="H451" s="516"/>
      <c r="I451" s="516"/>
      <c r="J451" s="516"/>
      <c r="K451" s="516"/>
      <c r="L451" s="516"/>
      <c r="M451" s="516"/>
      <c r="N451" s="516"/>
      <c r="O451" s="516"/>
      <c r="P451" s="516"/>
      <c r="Q451" s="516"/>
      <c r="R451" s="516"/>
      <c r="S451" s="516"/>
      <c r="T451" s="516"/>
      <c r="U451" s="516"/>
      <c r="V451" s="4"/>
      <c r="W451" s="4"/>
      <c r="X451" s="4"/>
      <c r="Y451" s="4"/>
    </row>
    <row r="452">
      <c r="A452" s="516"/>
      <c r="B452" s="516"/>
      <c r="C452" s="516"/>
      <c r="D452" s="516"/>
      <c r="E452" s="516"/>
      <c r="F452" s="516"/>
      <c r="G452" s="516"/>
      <c r="H452" s="516"/>
      <c r="I452" s="516"/>
      <c r="J452" s="516"/>
      <c r="K452" s="516"/>
      <c r="L452" s="516"/>
      <c r="M452" s="516"/>
      <c r="N452" s="516"/>
      <c r="O452" s="516"/>
      <c r="P452" s="516"/>
      <c r="Q452" s="516"/>
      <c r="R452" s="516"/>
      <c r="S452" s="516"/>
      <c r="T452" s="516"/>
      <c r="U452" s="516"/>
      <c r="V452" s="4"/>
      <c r="W452" s="4"/>
      <c r="X452" s="4"/>
      <c r="Y452" s="4"/>
    </row>
    <row r="453">
      <c r="A453" s="516"/>
      <c r="B453" s="516"/>
      <c r="C453" s="516"/>
      <c r="D453" s="516"/>
      <c r="E453" s="516"/>
      <c r="F453" s="516"/>
      <c r="G453" s="516"/>
      <c r="H453" s="516"/>
      <c r="I453" s="516"/>
      <c r="J453" s="516"/>
      <c r="K453" s="516"/>
      <c r="L453" s="516"/>
      <c r="M453" s="516"/>
      <c r="N453" s="516"/>
      <c r="O453" s="516"/>
      <c r="P453" s="516"/>
      <c r="Q453" s="516"/>
      <c r="R453" s="516"/>
      <c r="S453" s="516"/>
      <c r="T453" s="516"/>
      <c r="U453" s="516"/>
      <c r="V453" s="4"/>
      <c r="W453" s="4"/>
      <c r="X453" s="4"/>
      <c r="Y453" s="4"/>
    </row>
    <row r="454">
      <c r="A454" s="516"/>
      <c r="B454" s="516"/>
      <c r="C454" s="516"/>
      <c r="D454" s="516"/>
      <c r="E454" s="516"/>
      <c r="F454" s="516"/>
      <c r="G454" s="516"/>
      <c r="H454" s="516"/>
      <c r="I454" s="516"/>
      <c r="J454" s="516"/>
      <c r="K454" s="516"/>
      <c r="L454" s="516"/>
      <c r="M454" s="516"/>
      <c r="N454" s="516"/>
      <c r="O454" s="516"/>
      <c r="P454" s="516"/>
      <c r="Q454" s="516"/>
      <c r="R454" s="516"/>
      <c r="S454" s="516"/>
      <c r="T454" s="516"/>
      <c r="U454" s="516"/>
      <c r="V454" s="4"/>
      <c r="W454" s="4"/>
      <c r="X454" s="4"/>
      <c r="Y454" s="4"/>
    </row>
    <row r="455">
      <c r="A455" s="516"/>
      <c r="B455" s="516"/>
      <c r="C455" s="516"/>
      <c r="D455" s="516"/>
      <c r="E455" s="516"/>
      <c r="F455" s="516"/>
      <c r="G455" s="516"/>
      <c r="H455" s="516"/>
      <c r="I455" s="516"/>
      <c r="J455" s="516"/>
      <c r="K455" s="516"/>
      <c r="L455" s="516"/>
      <c r="M455" s="516"/>
      <c r="N455" s="516"/>
      <c r="O455" s="516"/>
      <c r="P455" s="516"/>
      <c r="Q455" s="516"/>
      <c r="R455" s="516"/>
      <c r="S455" s="516"/>
      <c r="T455" s="516"/>
      <c r="U455" s="516"/>
      <c r="V455" s="4"/>
      <c r="W455" s="4"/>
      <c r="X455" s="4"/>
      <c r="Y455" s="4"/>
    </row>
    <row r="456">
      <c r="A456" s="516"/>
      <c r="B456" s="516"/>
      <c r="C456" s="516"/>
      <c r="D456" s="516"/>
      <c r="E456" s="516"/>
      <c r="F456" s="516"/>
      <c r="G456" s="516"/>
      <c r="H456" s="516"/>
      <c r="I456" s="516"/>
      <c r="J456" s="516"/>
      <c r="K456" s="516"/>
      <c r="L456" s="516"/>
      <c r="M456" s="516"/>
      <c r="N456" s="516"/>
      <c r="O456" s="516"/>
      <c r="P456" s="516"/>
      <c r="Q456" s="516"/>
      <c r="R456" s="516"/>
      <c r="S456" s="516"/>
      <c r="T456" s="516"/>
      <c r="U456" s="516"/>
      <c r="V456" s="4"/>
      <c r="W456" s="4"/>
      <c r="X456" s="4"/>
      <c r="Y456" s="4"/>
    </row>
    <row r="457">
      <c r="A457" s="516"/>
      <c r="B457" s="516"/>
      <c r="C457" s="516"/>
      <c r="D457" s="516"/>
      <c r="E457" s="516"/>
      <c r="F457" s="516"/>
      <c r="G457" s="516"/>
      <c r="H457" s="516"/>
      <c r="I457" s="516"/>
      <c r="J457" s="516"/>
      <c r="K457" s="516"/>
      <c r="L457" s="516"/>
      <c r="M457" s="516"/>
      <c r="N457" s="516"/>
      <c r="O457" s="516"/>
      <c r="P457" s="516"/>
      <c r="Q457" s="516"/>
      <c r="R457" s="516"/>
      <c r="S457" s="516"/>
      <c r="T457" s="516"/>
      <c r="U457" s="516"/>
      <c r="V457" s="4"/>
      <c r="W457" s="4"/>
      <c r="X457" s="4"/>
      <c r="Y457" s="4"/>
    </row>
    <row r="458">
      <c r="A458" s="516"/>
      <c r="B458" s="516"/>
      <c r="C458" s="516"/>
      <c r="D458" s="516"/>
      <c r="E458" s="516"/>
      <c r="F458" s="516"/>
      <c r="G458" s="516"/>
      <c r="H458" s="516"/>
      <c r="I458" s="516"/>
      <c r="J458" s="516"/>
      <c r="K458" s="516"/>
      <c r="L458" s="516"/>
      <c r="M458" s="516"/>
      <c r="N458" s="516"/>
      <c r="O458" s="516"/>
      <c r="P458" s="516"/>
      <c r="Q458" s="516"/>
      <c r="R458" s="516"/>
      <c r="S458" s="516"/>
      <c r="T458" s="516"/>
      <c r="U458" s="516"/>
      <c r="V458" s="4"/>
      <c r="W458" s="4"/>
      <c r="X458" s="4"/>
      <c r="Y458" s="4"/>
    </row>
    <row r="459">
      <c r="A459" s="516"/>
      <c r="B459" s="516"/>
      <c r="C459" s="516"/>
      <c r="D459" s="516"/>
      <c r="E459" s="516"/>
      <c r="F459" s="516"/>
      <c r="G459" s="516"/>
      <c r="H459" s="516"/>
      <c r="I459" s="516"/>
      <c r="J459" s="516"/>
      <c r="K459" s="516"/>
      <c r="L459" s="516"/>
      <c r="M459" s="516"/>
      <c r="N459" s="516"/>
      <c r="O459" s="516"/>
      <c r="P459" s="516"/>
      <c r="Q459" s="516"/>
      <c r="R459" s="516"/>
      <c r="S459" s="516"/>
      <c r="T459" s="516"/>
      <c r="U459" s="516"/>
      <c r="V459" s="4"/>
      <c r="W459" s="4"/>
      <c r="X459" s="4"/>
      <c r="Y459" s="4"/>
    </row>
    <row r="460">
      <c r="A460" s="516"/>
      <c r="B460" s="516"/>
      <c r="C460" s="516"/>
      <c r="D460" s="516"/>
      <c r="E460" s="516"/>
      <c r="F460" s="516"/>
      <c r="G460" s="516"/>
      <c r="H460" s="516"/>
      <c r="I460" s="516"/>
      <c r="J460" s="516"/>
      <c r="K460" s="516"/>
      <c r="L460" s="516"/>
      <c r="M460" s="516"/>
      <c r="N460" s="516"/>
      <c r="O460" s="516"/>
      <c r="P460" s="516"/>
      <c r="Q460" s="516"/>
      <c r="R460" s="516"/>
      <c r="S460" s="516"/>
      <c r="T460" s="516"/>
      <c r="U460" s="516"/>
      <c r="V460" s="4"/>
      <c r="W460" s="4"/>
      <c r="X460" s="4"/>
      <c r="Y460" s="4"/>
    </row>
    <row r="461">
      <c r="A461" s="516"/>
      <c r="B461" s="516"/>
      <c r="C461" s="516"/>
      <c r="D461" s="516"/>
      <c r="E461" s="516"/>
      <c r="F461" s="516"/>
      <c r="G461" s="516"/>
      <c r="H461" s="516"/>
      <c r="I461" s="516"/>
      <c r="J461" s="516"/>
      <c r="K461" s="516"/>
      <c r="L461" s="516"/>
      <c r="M461" s="516"/>
      <c r="N461" s="516"/>
      <c r="O461" s="516"/>
      <c r="P461" s="516"/>
      <c r="Q461" s="516"/>
      <c r="R461" s="516"/>
      <c r="S461" s="516"/>
      <c r="T461" s="516"/>
      <c r="U461" s="516"/>
      <c r="V461" s="4"/>
      <c r="W461" s="4"/>
      <c r="X461" s="4"/>
      <c r="Y461" s="4"/>
    </row>
    <row r="462">
      <c r="A462" s="516"/>
      <c r="B462" s="516"/>
      <c r="C462" s="516"/>
      <c r="D462" s="516"/>
      <c r="E462" s="516"/>
      <c r="F462" s="516"/>
      <c r="G462" s="516"/>
      <c r="H462" s="516"/>
      <c r="I462" s="516"/>
      <c r="J462" s="516"/>
      <c r="K462" s="516"/>
      <c r="L462" s="516"/>
      <c r="M462" s="516"/>
      <c r="N462" s="516"/>
      <c r="O462" s="516"/>
      <c r="P462" s="516"/>
      <c r="Q462" s="516"/>
      <c r="R462" s="516"/>
      <c r="S462" s="516"/>
      <c r="T462" s="516"/>
      <c r="U462" s="516"/>
      <c r="V462" s="4"/>
      <c r="W462" s="4"/>
      <c r="X462" s="4"/>
      <c r="Y462" s="4"/>
    </row>
    <row r="463">
      <c r="A463" s="516"/>
      <c r="B463" s="516"/>
      <c r="C463" s="516"/>
      <c r="D463" s="516"/>
      <c r="E463" s="516"/>
      <c r="F463" s="516"/>
      <c r="G463" s="516"/>
      <c r="H463" s="516"/>
      <c r="I463" s="516"/>
      <c r="J463" s="516"/>
      <c r="K463" s="516"/>
      <c r="L463" s="516"/>
      <c r="M463" s="516"/>
      <c r="N463" s="516"/>
      <c r="O463" s="516"/>
      <c r="P463" s="516"/>
      <c r="Q463" s="516"/>
      <c r="R463" s="516"/>
      <c r="S463" s="516"/>
      <c r="T463" s="516"/>
      <c r="U463" s="516"/>
      <c r="V463" s="4"/>
      <c r="W463" s="4"/>
      <c r="X463" s="4"/>
      <c r="Y463" s="4"/>
    </row>
    <row r="464">
      <c r="A464" s="516"/>
      <c r="B464" s="516"/>
      <c r="C464" s="516"/>
      <c r="D464" s="516"/>
      <c r="E464" s="516"/>
      <c r="F464" s="516"/>
      <c r="G464" s="516"/>
      <c r="H464" s="516"/>
      <c r="I464" s="516"/>
      <c r="J464" s="516"/>
      <c r="K464" s="516"/>
      <c r="L464" s="516"/>
      <c r="M464" s="516"/>
      <c r="N464" s="516"/>
      <c r="O464" s="516"/>
      <c r="P464" s="516"/>
      <c r="Q464" s="516"/>
      <c r="R464" s="516"/>
      <c r="S464" s="516"/>
      <c r="T464" s="516"/>
      <c r="U464" s="516"/>
      <c r="V464" s="4"/>
      <c r="W464" s="4"/>
      <c r="X464" s="4"/>
      <c r="Y464" s="4"/>
    </row>
    <row r="465">
      <c r="A465" s="516"/>
      <c r="B465" s="516"/>
      <c r="C465" s="516"/>
      <c r="D465" s="516"/>
      <c r="E465" s="516"/>
      <c r="F465" s="516"/>
      <c r="G465" s="516"/>
      <c r="H465" s="516"/>
      <c r="I465" s="516"/>
      <c r="J465" s="516"/>
      <c r="K465" s="516"/>
      <c r="L465" s="516"/>
      <c r="M465" s="516"/>
      <c r="N465" s="516"/>
      <c r="O465" s="516"/>
      <c r="P465" s="516"/>
      <c r="Q465" s="516"/>
      <c r="R465" s="516"/>
      <c r="S465" s="516"/>
      <c r="T465" s="516"/>
      <c r="U465" s="516"/>
      <c r="V465" s="4"/>
      <c r="W465" s="4"/>
      <c r="X465" s="4"/>
      <c r="Y465" s="4"/>
    </row>
    <row r="466">
      <c r="A466" s="516"/>
      <c r="B466" s="516"/>
      <c r="C466" s="516"/>
      <c r="D466" s="516"/>
      <c r="E466" s="516"/>
      <c r="F466" s="516"/>
      <c r="G466" s="516"/>
      <c r="H466" s="516"/>
      <c r="I466" s="516"/>
      <c r="J466" s="516"/>
      <c r="K466" s="516"/>
      <c r="L466" s="516"/>
      <c r="M466" s="516"/>
      <c r="N466" s="516"/>
      <c r="O466" s="516"/>
      <c r="P466" s="516"/>
      <c r="Q466" s="516"/>
      <c r="R466" s="516"/>
      <c r="S466" s="516"/>
      <c r="T466" s="516"/>
      <c r="U466" s="516"/>
      <c r="V466" s="4"/>
      <c r="W466" s="4"/>
      <c r="X466" s="4"/>
      <c r="Y466" s="4"/>
    </row>
    <row r="467">
      <c r="A467" s="516"/>
      <c r="B467" s="516"/>
      <c r="C467" s="516"/>
      <c r="D467" s="516"/>
      <c r="E467" s="516"/>
      <c r="F467" s="516"/>
      <c r="G467" s="516"/>
      <c r="H467" s="516"/>
      <c r="I467" s="516"/>
      <c r="J467" s="516"/>
      <c r="K467" s="516"/>
      <c r="L467" s="516"/>
      <c r="M467" s="516"/>
      <c r="N467" s="516"/>
      <c r="O467" s="516"/>
      <c r="P467" s="516"/>
      <c r="Q467" s="516"/>
      <c r="R467" s="516"/>
      <c r="S467" s="516"/>
      <c r="T467" s="516"/>
      <c r="U467" s="516"/>
      <c r="V467" s="4"/>
      <c r="W467" s="4"/>
      <c r="X467" s="4"/>
      <c r="Y467" s="4"/>
    </row>
    <row r="468">
      <c r="A468" s="516"/>
      <c r="B468" s="516"/>
      <c r="C468" s="516"/>
      <c r="D468" s="516"/>
      <c r="E468" s="516"/>
      <c r="F468" s="516"/>
      <c r="G468" s="516"/>
      <c r="H468" s="516"/>
      <c r="I468" s="516"/>
      <c r="J468" s="516"/>
      <c r="K468" s="516"/>
      <c r="L468" s="516"/>
      <c r="M468" s="516"/>
      <c r="N468" s="516"/>
      <c r="O468" s="516"/>
      <c r="P468" s="516"/>
      <c r="Q468" s="516"/>
      <c r="R468" s="516"/>
      <c r="S468" s="516"/>
      <c r="T468" s="516"/>
      <c r="U468" s="516"/>
      <c r="V468" s="4"/>
      <c r="W468" s="4"/>
      <c r="X468" s="4"/>
      <c r="Y468" s="4"/>
    </row>
    <row r="469">
      <c r="A469" s="516"/>
      <c r="B469" s="516"/>
      <c r="C469" s="516"/>
      <c r="D469" s="516"/>
      <c r="E469" s="516"/>
      <c r="F469" s="516"/>
      <c r="G469" s="516"/>
      <c r="H469" s="516"/>
      <c r="I469" s="516"/>
      <c r="J469" s="516"/>
      <c r="K469" s="516"/>
      <c r="L469" s="516"/>
      <c r="M469" s="516"/>
      <c r="N469" s="516"/>
      <c r="O469" s="516"/>
      <c r="P469" s="516"/>
      <c r="Q469" s="516"/>
      <c r="R469" s="516"/>
      <c r="S469" s="516"/>
      <c r="T469" s="516"/>
      <c r="U469" s="516"/>
      <c r="V469" s="4"/>
      <c r="W469" s="4"/>
      <c r="X469" s="4"/>
      <c r="Y469" s="4"/>
    </row>
    <row r="470">
      <c r="A470" s="516"/>
      <c r="B470" s="516"/>
      <c r="C470" s="516"/>
      <c r="D470" s="516"/>
      <c r="E470" s="516"/>
      <c r="F470" s="516"/>
      <c r="G470" s="516"/>
      <c r="H470" s="516"/>
      <c r="I470" s="516"/>
      <c r="J470" s="516"/>
      <c r="K470" s="516"/>
      <c r="L470" s="516"/>
      <c r="M470" s="516"/>
      <c r="N470" s="516"/>
      <c r="O470" s="516"/>
      <c r="P470" s="516"/>
      <c r="Q470" s="516"/>
      <c r="R470" s="516"/>
      <c r="S470" s="516"/>
      <c r="T470" s="516"/>
      <c r="U470" s="516"/>
      <c r="V470" s="4"/>
      <c r="W470" s="4"/>
      <c r="X470" s="4"/>
      <c r="Y470" s="4"/>
    </row>
    <row r="471">
      <c r="A471" s="516"/>
      <c r="B471" s="516"/>
      <c r="C471" s="516"/>
      <c r="D471" s="516"/>
      <c r="E471" s="516"/>
      <c r="F471" s="516"/>
      <c r="G471" s="516"/>
      <c r="H471" s="516"/>
      <c r="I471" s="516"/>
      <c r="J471" s="516"/>
      <c r="K471" s="516"/>
      <c r="L471" s="516"/>
      <c r="M471" s="516"/>
      <c r="N471" s="516"/>
      <c r="O471" s="516"/>
      <c r="P471" s="516"/>
      <c r="Q471" s="516"/>
      <c r="R471" s="516"/>
      <c r="S471" s="516"/>
      <c r="T471" s="516"/>
      <c r="U471" s="516"/>
      <c r="V471" s="4"/>
      <c r="W471" s="4"/>
      <c r="X471" s="4"/>
      <c r="Y471" s="4"/>
    </row>
    <row r="472">
      <c r="A472" s="516"/>
      <c r="B472" s="516"/>
      <c r="C472" s="516"/>
      <c r="D472" s="516"/>
      <c r="E472" s="516"/>
      <c r="F472" s="516"/>
      <c r="G472" s="516"/>
      <c r="H472" s="516"/>
      <c r="I472" s="516"/>
      <c r="J472" s="516"/>
      <c r="K472" s="516"/>
      <c r="L472" s="516"/>
      <c r="M472" s="516"/>
      <c r="N472" s="516"/>
      <c r="O472" s="516"/>
      <c r="P472" s="516"/>
      <c r="Q472" s="516"/>
      <c r="R472" s="516"/>
      <c r="S472" s="516"/>
      <c r="T472" s="516"/>
      <c r="U472" s="516"/>
      <c r="V472" s="4"/>
      <c r="W472" s="4"/>
      <c r="X472" s="4"/>
      <c r="Y472" s="4"/>
    </row>
    <row r="473">
      <c r="A473" s="516"/>
      <c r="B473" s="516"/>
      <c r="C473" s="516"/>
      <c r="D473" s="516"/>
      <c r="E473" s="516"/>
      <c r="F473" s="516"/>
      <c r="G473" s="516"/>
      <c r="H473" s="516"/>
      <c r="I473" s="516"/>
      <c r="J473" s="516"/>
      <c r="K473" s="516"/>
      <c r="L473" s="516"/>
      <c r="M473" s="516"/>
      <c r="N473" s="516"/>
      <c r="O473" s="516"/>
      <c r="P473" s="516"/>
      <c r="Q473" s="516"/>
      <c r="R473" s="516"/>
      <c r="S473" s="516"/>
      <c r="T473" s="516"/>
      <c r="U473" s="516"/>
      <c r="V473" s="4"/>
      <c r="W473" s="4"/>
      <c r="X473" s="4"/>
      <c r="Y473" s="4"/>
    </row>
    <row r="474">
      <c r="A474" s="516"/>
      <c r="B474" s="516"/>
      <c r="C474" s="516"/>
      <c r="D474" s="516"/>
      <c r="E474" s="516"/>
      <c r="F474" s="516"/>
      <c r="G474" s="516"/>
      <c r="H474" s="516"/>
      <c r="I474" s="516"/>
      <c r="J474" s="516"/>
      <c r="K474" s="516"/>
      <c r="L474" s="516"/>
      <c r="M474" s="516"/>
      <c r="N474" s="516"/>
      <c r="O474" s="516"/>
      <c r="P474" s="516"/>
      <c r="Q474" s="516"/>
      <c r="R474" s="516"/>
      <c r="S474" s="516"/>
      <c r="T474" s="516"/>
      <c r="U474" s="516"/>
      <c r="V474" s="4"/>
      <c r="W474" s="4"/>
      <c r="X474" s="4"/>
      <c r="Y474" s="4"/>
    </row>
    <row r="475">
      <c r="A475" s="516"/>
      <c r="B475" s="516"/>
      <c r="C475" s="516"/>
      <c r="D475" s="516"/>
      <c r="E475" s="516"/>
      <c r="F475" s="516"/>
      <c r="G475" s="516"/>
      <c r="H475" s="516"/>
      <c r="I475" s="516"/>
      <c r="J475" s="516"/>
      <c r="K475" s="516"/>
      <c r="L475" s="516"/>
      <c r="M475" s="516"/>
      <c r="N475" s="516"/>
      <c r="O475" s="516"/>
      <c r="P475" s="516"/>
      <c r="Q475" s="516"/>
      <c r="R475" s="516"/>
      <c r="S475" s="516"/>
      <c r="T475" s="516"/>
      <c r="U475" s="516"/>
      <c r="V475" s="4"/>
      <c r="W475" s="4"/>
      <c r="X475" s="4"/>
      <c r="Y475" s="4"/>
    </row>
    <row r="476">
      <c r="A476" s="516"/>
      <c r="B476" s="516"/>
      <c r="C476" s="516"/>
      <c r="D476" s="516"/>
      <c r="E476" s="516"/>
      <c r="F476" s="516"/>
      <c r="G476" s="516"/>
      <c r="H476" s="516"/>
      <c r="I476" s="516"/>
      <c r="J476" s="516"/>
      <c r="K476" s="516"/>
      <c r="L476" s="516"/>
      <c r="M476" s="516"/>
      <c r="N476" s="516"/>
      <c r="O476" s="516"/>
      <c r="P476" s="516"/>
      <c r="Q476" s="516"/>
      <c r="R476" s="516"/>
      <c r="S476" s="516"/>
      <c r="T476" s="516"/>
      <c r="U476" s="516"/>
      <c r="V476" s="4"/>
      <c r="W476" s="4"/>
      <c r="X476" s="4"/>
      <c r="Y476" s="4"/>
    </row>
    <row r="477">
      <c r="A477" s="516"/>
      <c r="B477" s="516"/>
      <c r="C477" s="516"/>
      <c r="D477" s="516"/>
      <c r="E477" s="516"/>
      <c r="F477" s="516"/>
      <c r="G477" s="516"/>
      <c r="H477" s="516"/>
      <c r="I477" s="516"/>
      <c r="J477" s="516"/>
      <c r="K477" s="516"/>
      <c r="L477" s="516"/>
      <c r="M477" s="516"/>
      <c r="N477" s="516"/>
      <c r="O477" s="516"/>
      <c r="P477" s="516"/>
      <c r="Q477" s="516"/>
      <c r="R477" s="516"/>
      <c r="S477" s="516"/>
      <c r="T477" s="516"/>
      <c r="U477" s="516"/>
      <c r="V477" s="4"/>
      <c r="W477" s="4"/>
      <c r="X477" s="4"/>
      <c r="Y477" s="4"/>
    </row>
    <row r="478">
      <c r="A478" s="516"/>
      <c r="B478" s="516"/>
      <c r="C478" s="516"/>
      <c r="D478" s="516"/>
      <c r="E478" s="516"/>
      <c r="F478" s="516"/>
      <c r="G478" s="516"/>
      <c r="H478" s="516"/>
      <c r="I478" s="516"/>
      <c r="J478" s="516"/>
      <c r="K478" s="516"/>
      <c r="L478" s="516"/>
      <c r="M478" s="516"/>
      <c r="N478" s="516"/>
      <c r="O478" s="516"/>
      <c r="P478" s="516"/>
      <c r="Q478" s="516"/>
      <c r="R478" s="516"/>
      <c r="S478" s="516"/>
      <c r="T478" s="516"/>
      <c r="U478" s="516"/>
      <c r="V478" s="4"/>
      <c r="W478" s="4"/>
      <c r="X478" s="4"/>
      <c r="Y478" s="4"/>
    </row>
    <row r="479">
      <c r="A479" s="516"/>
      <c r="B479" s="516"/>
      <c r="C479" s="516"/>
      <c r="D479" s="516"/>
      <c r="E479" s="516"/>
      <c r="F479" s="516"/>
      <c r="G479" s="516"/>
      <c r="H479" s="516"/>
      <c r="I479" s="516"/>
      <c r="J479" s="516"/>
      <c r="K479" s="516"/>
      <c r="L479" s="516"/>
      <c r="M479" s="516"/>
      <c r="N479" s="516"/>
      <c r="O479" s="516"/>
      <c r="P479" s="516"/>
      <c r="Q479" s="516"/>
      <c r="R479" s="516"/>
      <c r="S479" s="516"/>
      <c r="T479" s="516"/>
      <c r="U479" s="516"/>
      <c r="V479" s="4"/>
      <c r="W479" s="4"/>
      <c r="X479" s="4"/>
      <c r="Y479" s="4"/>
    </row>
    <row r="480">
      <c r="A480" s="516"/>
      <c r="B480" s="516"/>
      <c r="C480" s="516"/>
      <c r="D480" s="516"/>
      <c r="E480" s="516"/>
      <c r="F480" s="516"/>
      <c r="G480" s="516"/>
      <c r="H480" s="516"/>
      <c r="I480" s="516"/>
      <c r="J480" s="516"/>
      <c r="K480" s="516"/>
      <c r="L480" s="516"/>
      <c r="M480" s="516"/>
      <c r="N480" s="516"/>
      <c r="O480" s="516"/>
      <c r="P480" s="516"/>
      <c r="Q480" s="516"/>
      <c r="R480" s="516"/>
      <c r="S480" s="516"/>
      <c r="T480" s="516"/>
      <c r="U480" s="516"/>
      <c r="V480" s="4"/>
      <c r="W480" s="4"/>
      <c r="X480" s="4"/>
      <c r="Y480" s="4"/>
    </row>
    <row r="481">
      <c r="A481" s="516"/>
      <c r="B481" s="516"/>
      <c r="C481" s="516"/>
      <c r="D481" s="516"/>
      <c r="E481" s="516"/>
      <c r="F481" s="516"/>
      <c r="G481" s="516"/>
      <c r="H481" s="516"/>
      <c r="I481" s="516"/>
      <c r="J481" s="516"/>
      <c r="K481" s="516"/>
      <c r="L481" s="516"/>
      <c r="M481" s="516"/>
      <c r="N481" s="516"/>
      <c r="O481" s="516"/>
      <c r="P481" s="516"/>
      <c r="Q481" s="516"/>
      <c r="R481" s="516"/>
      <c r="S481" s="516"/>
      <c r="T481" s="516"/>
      <c r="U481" s="516"/>
      <c r="V481" s="4"/>
      <c r="W481" s="4"/>
      <c r="X481" s="4"/>
      <c r="Y481" s="4"/>
    </row>
    <row r="482">
      <c r="A482" s="516"/>
      <c r="B482" s="516"/>
      <c r="C482" s="516"/>
      <c r="D482" s="516"/>
      <c r="E482" s="516"/>
      <c r="F482" s="516"/>
      <c r="G482" s="516"/>
      <c r="H482" s="516"/>
      <c r="I482" s="516"/>
      <c r="J482" s="516"/>
      <c r="K482" s="516"/>
      <c r="L482" s="516"/>
      <c r="M482" s="516"/>
      <c r="N482" s="516"/>
      <c r="O482" s="516"/>
      <c r="P482" s="516"/>
      <c r="Q482" s="516"/>
      <c r="R482" s="516"/>
      <c r="S482" s="516"/>
      <c r="T482" s="516"/>
      <c r="U482" s="516"/>
      <c r="V482" s="4"/>
      <c r="W482" s="4"/>
      <c r="X482" s="4"/>
      <c r="Y482" s="4"/>
    </row>
    <row r="483">
      <c r="A483" s="516"/>
      <c r="B483" s="516"/>
      <c r="C483" s="516"/>
      <c r="D483" s="516"/>
      <c r="E483" s="516"/>
      <c r="F483" s="516"/>
      <c r="G483" s="516"/>
      <c r="H483" s="516"/>
      <c r="I483" s="516"/>
      <c r="J483" s="516"/>
      <c r="K483" s="516"/>
      <c r="L483" s="516"/>
      <c r="M483" s="516"/>
      <c r="N483" s="516"/>
      <c r="O483" s="516"/>
      <c r="P483" s="516"/>
      <c r="Q483" s="516"/>
      <c r="R483" s="516"/>
      <c r="S483" s="516"/>
      <c r="T483" s="516"/>
      <c r="U483" s="516"/>
      <c r="V483" s="4"/>
      <c r="W483" s="4"/>
      <c r="X483" s="4"/>
      <c r="Y483" s="4"/>
    </row>
    <row r="484">
      <c r="A484" s="516"/>
      <c r="B484" s="516"/>
      <c r="C484" s="516"/>
      <c r="D484" s="516"/>
      <c r="E484" s="516"/>
      <c r="F484" s="516"/>
      <c r="G484" s="516"/>
      <c r="H484" s="516"/>
      <c r="I484" s="516"/>
      <c r="J484" s="516"/>
      <c r="K484" s="516"/>
      <c r="L484" s="516"/>
      <c r="M484" s="516"/>
      <c r="N484" s="516"/>
      <c r="O484" s="516"/>
      <c r="P484" s="516"/>
      <c r="Q484" s="516"/>
      <c r="R484" s="516"/>
      <c r="S484" s="516"/>
      <c r="T484" s="516"/>
      <c r="U484" s="516"/>
      <c r="V484" s="4"/>
      <c r="W484" s="4"/>
      <c r="X484" s="4"/>
      <c r="Y484" s="4"/>
    </row>
    <row r="485">
      <c r="A485" s="516"/>
      <c r="B485" s="516"/>
      <c r="C485" s="516"/>
      <c r="D485" s="516"/>
      <c r="E485" s="516"/>
      <c r="F485" s="516"/>
      <c r="G485" s="516"/>
      <c r="H485" s="516"/>
      <c r="I485" s="516"/>
      <c r="J485" s="516"/>
      <c r="K485" s="516"/>
      <c r="L485" s="516"/>
      <c r="M485" s="516"/>
      <c r="N485" s="516"/>
      <c r="O485" s="516"/>
      <c r="P485" s="516"/>
      <c r="Q485" s="516"/>
      <c r="R485" s="516"/>
      <c r="S485" s="516"/>
      <c r="T485" s="516"/>
      <c r="U485" s="516"/>
      <c r="V485" s="4"/>
      <c r="W485" s="4"/>
      <c r="X485" s="4"/>
      <c r="Y485" s="4"/>
    </row>
    <row r="486">
      <c r="A486" s="516"/>
      <c r="B486" s="516"/>
      <c r="C486" s="516"/>
      <c r="D486" s="516"/>
      <c r="E486" s="516"/>
      <c r="F486" s="516"/>
      <c r="G486" s="516"/>
      <c r="H486" s="516"/>
      <c r="I486" s="516"/>
      <c r="J486" s="516"/>
      <c r="K486" s="516"/>
      <c r="L486" s="516"/>
      <c r="M486" s="516"/>
      <c r="N486" s="516"/>
      <c r="O486" s="516"/>
      <c r="P486" s="516"/>
      <c r="Q486" s="516"/>
      <c r="R486" s="516"/>
      <c r="S486" s="516"/>
      <c r="T486" s="516"/>
      <c r="U486" s="516"/>
      <c r="V486" s="4"/>
      <c r="W486" s="4"/>
      <c r="X486" s="4"/>
      <c r="Y486" s="4"/>
    </row>
    <row r="487">
      <c r="A487" s="516"/>
      <c r="B487" s="516"/>
      <c r="C487" s="516"/>
      <c r="D487" s="516"/>
      <c r="E487" s="516"/>
      <c r="F487" s="516"/>
      <c r="G487" s="516"/>
      <c r="H487" s="516"/>
      <c r="I487" s="516"/>
      <c r="J487" s="516"/>
      <c r="K487" s="516"/>
      <c r="L487" s="516"/>
      <c r="M487" s="516"/>
      <c r="N487" s="516"/>
      <c r="O487" s="516"/>
      <c r="P487" s="516"/>
      <c r="Q487" s="516"/>
      <c r="R487" s="516"/>
      <c r="S487" s="516"/>
      <c r="T487" s="516"/>
      <c r="U487" s="516"/>
      <c r="V487" s="4"/>
      <c r="W487" s="4"/>
      <c r="X487" s="4"/>
      <c r="Y487" s="4"/>
    </row>
    <row r="488">
      <c r="A488" s="516"/>
      <c r="B488" s="516"/>
      <c r="C488" s="516"/>
      <c r="D488" s="516"/>
      <c r="E488" s="516"/>
      <c r="F488" s="516"/>
      <c r="G488" s="516"/>
      <c r="H488" s="516"/>
      <c r="I488" s="516"/>
      <c r="J488" s="516"/>
      <c r="K488" s="516"/>
      <c r="L488" s="516"/>
      <c r="M488" s="516"/>
      <c r="N488" s="516"/>
      <c r="O488" s="516"/>
      <c r="P488" s="516"/>
      <c r="Q488" s="516"/>
      <c r="R488" s="516"/>
      <c r="S488" s="516"/>
      <c r="T488" s="516"/>
      <c r="U488" s="516"/>
      <c r="V488" s="4"/>
      <c r="W488" s="4"/>
      <c r="X488" s="4"/>
      <c r="Y488" s="4"/>
    </row>
    <row r="489">
      <c r="A489" s="516"/>
      <c r="B489" s="516"/>
      <c r="C489" s="516"/>
      <c r="D489" s="516"/>
      <c r="E489" s="516"/>
      <c r="F489" s="516"/>
      <c r="G489" s="516"/>
      <c r="H489" s="516"/>
      <c r="I489" s="516"/>
      <c r="J489" s="516"/>
      <c r="K489" s="516"/>
      <c r="L489" s="516"/>
      <c r="M489" s="516"/>
      <c r="N489" s="516"/>
      <c r="O489" s="516"/>
      <c r="P489" s="516"/>
      <c r="Q489" s="516"/>
      <c r="R489" s="516"/>
      <c r="S489" s="516"/>
      <c r="T489" s="516"/>
      <c r="U489" s="516"/>
      <c r="V489" s="4"/>
      <c r="W489" s="4"/>
      <c r="X489" s="4"/>
      <c r="Y489" s="4"/>
    </row>
    <row r="490">
      <c r="A490" s="516"/>
      <c r="B490" s="516"/>
      <c r="C490" s="516"/>
      <c r="D490" s="516"/>
      <c r="E490" s="516"/>
      <c r="F490" s="516"/>
      <c r="G490" s="516"/>
      <c r="H490" s="516"/>
      <c r="I490" s="516"/>
      <c r="J490" s="516"/>
      <c r="K490" s="516"/>
      <c r="L490" s="516"/>
      <c r="M490" s="516"/>
      <c r="N490" s="516"/>
      <c r="O490" s="516"/>
      <c r="P490" s="516"/>
      <c r="Q490" s="516"/>
      <c r="R490" s="516"/>
      <c r="S490" s="516"/>
      <c r="T490" s="516"/>
      <c r="U490" s="516"/>
      <c r="V490" s="4"/>
      <c r="W490" s="4"/>
      <c r="X490" s="4"/>
      <c r="Y490" s="4"/>
    </row>
    <row r="491">
      <c r="A491" s="516"/>
      <c r="B491" s="516"/>
      <c r="C491" s="516"/>
      <c r="D491" s="516"/>
      <c r="E491" s="516"/>
      <c r="F491" s="516"/>
      <c r="G491" s="516"/>
      <c r="H491" s="516"/>
      <c r="I491" s="516"/>
      <c r="J491" s="516"/>
      <c r="K491" s="516"/>
      <c r="L491" s="516"/>
      <c r="M491" s="516"/>
      <c r="N491" s="516"/>
      <c r="O491" s="516"/>
      <c r="P491" s="516"/>
      <c r="Q491" s="516"/>
      <c r="R491" s="516"/>
      <c r="S491" s="516"/>
      <c r="T491" s="516"/>
      <c r="U491" s="516"/>
      <c r="V491" s="4"/>
      <c r="W491" s="4"/>
      <c r="X491" s="4"/>
      <c r="Y491" s="4"/>
    </row>
    <row r="492">
      <c r="A492" s="516"/>
      <c r="B492" s="516"/>
      <c r="C492" s="516"/>
      <c r="D492" s="516"/>
      <c r="E492" s="516"/>
      <c r="F492" s="516"/>
      <c r="G492" s="516"/>
      <c r="H492" s="516"/>
      <c r="I492" s="516"/>
      <c r="J492" s="516"/>
      <c r="K492" s="516"/>
      <c r="L492" s="516"/>
      <c r="M492" s="516"/>
      <c r="N492" s="516"/>
      <c r="O492" s="516"/>
      <c r="P492" s="516"/>
      <c r="Q492" s="516"/>
      <c r="R492" s="516"/>
      <c r="S492" s="516"/>
      <c r="T492" s="516"/>
      <c r="U492" s="516"/>
      <c r="V492" s="4"/>
      <c r="W492" s="4"/>
      <c r="X492" s="4"/>
      <c r="Y492" s="4"/>
    </row>
    <row r="493">
      <c r="A493" s="516"/>
      <c r="B493" s="516"/>
      <c r="C493" s="516"/>
      <c r="D493" s="516"/>
      <c r="E493" s="516"/>
      <c r="F493" s="516"/>
      <c r="G493" s="516"/>
      <c r="H493" s="516"/>
      <c r="I493" s="516"/>
      <c r="J493" s="516"/>
      <c r="K493" s="516"/>
      <c r="L493" s="516"/>
      <c r="M493" s="516"/>
      <c r="N493" s="516"/>
      <c r="O493" s="516"/>
      <c r="P493" s="516"/>
      <c r="Q493" s="516"/>
      <c r="R493" s="516"/>
      <c r="S493" s="516"/>
      <c r="T493" s="516"/>
      <c r="U493" s="516"/>
      <c r="V493" s="4"/>
      <c r="W493" s="4"/>
      <c r="X493" s="4"/>
      <c r="Y493" s="4"/>
    </row>
    <row r="494">
      <c r="A494" s="516"/>
      <c r="B494" s="516"/>
      <c r="C494" s="516"/>
      <c r="D494" s="516"/>
      <c r="E494" s="516"/>
      <c r="F494" s="516"/>
      <c r="G494" s="516"/>
      <c r="H494" s="516"/>
      <c r="I494" s="516"/>
      <c r="J494" s="516"/>
      <c r="K494" s="516"/>
      <c r="L494" s="516"/>
      <c r="M494" s="516"/>
      <c r="N494" s="516"/>
      <c r="O494" s="516"/>
      <c r="P494" s="516"/>
      <c r="Q494" s="516"/>
      <c r="R494" s="516"/>
      <c r="S494" s="516"/>
      <c r="T494" s="516"/>
      <c r="U494" s="516"/>
      <c r="V494" s="4"/>
      <c r="W494" s="4"/>
      <c r="X494" s="4"/>
      <c r="Y494" s="4"/>
    </row>
    <row r="495">
      <c r="A495" s="516"/>
      <c r="B495" s="516"/>
      <c r="C495" s="516"/>
      <c r="D495" s="516"/>
      <c r="E495" s="516"/>
      <c r="F495" s="516"/>
      <c r="G495" s="516"/>
      <c r="H495" s="516"/>
      <c r="I495" s="516"/>
      <c r="J495" s="516"/>
      <c r="K495" s="516"/>
      <c r="L495" s="516"/>
      <c r="M495" s="516"/>
      <c r="N495" s="516"/>
      <c r="O495" s="516"/>
      <c r="P495" s="516"/>
      <c r="Q495" s="516"/>
      <c r="R495" s="516"/>
      <c r="S495" s="516"/>
      <c r="T495" s="516"/>
      <c r="U495" s="516"/>
      <c r="V495" s="4"/>
      <c r="W495" s="4"/>
      <c r="X495" s="4"/>
      <c r="Y495" s="4"/>
    </row>
    <row r="496">
      <c r="A496" s="516"/>
      <c r="B496" s="516"/>
      <c r="C496" s="516"/>
      <c r="D496" s="516"/>
      <c r="E496" s="516"/>
      <c r="F496" s="516"/>
      <c r="G496" s="516"/>
      <c r="H496" s="516"/>
      <c r="I496" s="516"/>
      <c r="J496" s="516"/>
      <c r="K496" s="516"/>
      <c r="L496" s="516"/>
      <c r="M496" s="516"/>
      <c r="N496" s="516"/>
      <c r="O496" s="516"/>
      <c r="P496" s="516"/>
      <c r="Q496" s="516"/>
      <c r="R496" s="516"/>
      <c r="S496" s="516"/>
      <c r="T496" s="516"/>
      <c r="U496" s="516"/>
      <c r="V496" s="4"/>
      <c r="W496" s="4"/>
      <c r="X496" s="4"/>
      <c r="Y496" s="4"/>
    </row>
    <row r="497">
      <c r="A497" s="516"/>
      <c r="B497" s="516"/>
      <c r="C497" s="516"/>
      <c r="D497" s="516"/>
      <c r="E497" s="516"/>
      <c r="F497" s="516"/>
      <c r="G497" s="516"/>
      <c r="H497" s="516"/>
      <c r="I497" s="516"/>
      <c r="J497" s="516"/>
      <c r="K497" s="516"/>
      <c r="L497" s="516"/>
      <c r="M497" s="516"/>
      <c r="N497" s="516"/>
      <c r="O497" s="516"/>
      <c r="P497" s="516"/>
      <c r="Q497" s="516"/>
      <c r="R497" s="516"/>
      <c r="S497" s="516"/>
      <c r="T497" s="516"/>
      <c r="U497" s="516"/>
      <c r="V497" s="4"/>
      <c r="W497" s="4"/>
      <c r="X497" s="4"/>
      <c r="Y497" s="4"/>
    </row>
    <row r="498">
      <c r="A498" s="516"/>
      <c r="B498" s="516"/>
      <c r="C498" s="516"/>
      <c r="D498" s="516"/>
      <c r="E498" s="516"/>
      <c r="F498" s="516"/>
      <c r="G498" s="516"/>
      <c r="H498" s="516"/>
      <c r="I498" s="516"/>
      <c r="J498" s="516"/>
      <c r="K498" s="516"/>
      <c r="L498" s="516"/>
      <c r="M498" s="516"/>
      <c r="N498" s="516"/>
      <c r="O498" s="516"/>
      <c r="P498" s="516"/>
      <c r="Q498" s="516"/>
      <c r="R498" s="516"/>
      <c r="S498" s="516"/>
      <c r="T498" s="516"/>
      <c r="U498" s="516"/>
      <c r="V498" s="4"/>
      <c r="W498" s="4"/>
      <c r="X498" s="4"/>
      <c r="Y498" s="4"/>
    </row>
    <row r="499">
      <c r="A499" s="516"/>
      <c r="B499" s="516"/>
      <c r="C499" s="516"/>
      <c r="D499" s="516"/>
      <c r="E499" s="516"/>
      <c r="F499" s="516"/>
      <c r="G499" s="516"/>
      <c r="H499" s="516"/>
      <c r="I499" s="516"/>
      <c r="J499" s="516"/>
      <c r="K499" s="516"/>
      <c r="L499" s="516"/>
      <c r="M499" s="516"/>
      <c r="N499" s="516"/>
      <c r="O499" s="516"/>
      <c r="P499" s="516"/>
      <c r="Q499" s="516"/>
      <c r="R499" s="516"/>
      <c r="S499" s="516"/>
      <c r="T499" s="516"/>
      <c r="U499" s="516"/>
      <c r="V499" s="4"/>
      <c r="W499" s="4"/>
      <c r="X499" s="4"/>
      <c r="Y499" s="4"/>
    </row>
    <row r="500">
      <c r="A500" s="516"/>
      <c r="B500" s="516"/>
      <c r="C500" s="516"/>
      <c r="D500" s="516"/>
      <c r="E500" s="516"/>
      <c r="F500" s="516"/>
      <c r="G500" s="516"/>
      <c r="H500" s="516"/>
      <c r="I500" s="516"/>
      <c r="J500" s="516"/>
      <c r="K500" s="516"/>
      <c r="L500" s="516"/>
      <c r="M500" s="516"/>
      <c r="N500" s="516"/>
      <c r="O500" s="516"/>
      <c r="P500" s="516"/>
      <c r="Q500" s="516"/>
      <c r="R500" s="516"/>
      <c r="S500" s="516"/>
      <c r="T500" s="516"/>
      <c r="U500" s="516"/>
      <c r="V500" s="4"/>
      <c r="W500" s="4"/>
      <c r="X500" s="4"/>
      <c r="Y500" s="4"/>
    </row>
    <row r="501">
      <c r="A501" s="516"/>
      <c r="B501" s="516"/>
      <c r="C501" s="516"/>
      <c r="D501" s="516"/>
      <c r="E501" s="516"/>
      <c r="F501" s="516"/>
      <c r="G501" s="516"/>
      <c r="H501" s="516"/>
      <c r="I501" s="516"/>
      <c r="J501" s="516"/>
      <c r="K501" s="516"/>
      <c r="L501" s="516"/>
      <c r="M501" s="516"/>
      <c r="N501" s="516"/>
      <c r="O501" s="516"/>
      <c r="P501" s="516"/>
      <c r="Q501" s="516"/>
      <c r="R501" s="516"/>
      <c r="S501" s="516"/>
      <c r="T501" s="516"/>
      <c r="U501" s="516"/>
      <c r="V501" s="4"/>
      <c r="W501" s="4"/>
      <c r="X501" s="4"/>
      <c r="Y501" s="4"/>
    </row>
    <row r="502">
      <c r="A502" s="516"/>
      <c r="B502" s="516"/>
      <c r="C502" s="516"/>
      <c r="D502" s="516"/>
      <c r="E502" s="516"/>
      <c r="F502" s="516"/>
      <c r="G502" s="516"/>
      <c r="H502" s="516"/>
      <c r="I502" s="516"/>
      <c r="J502" s="516"/>
      <c r="K502" s="516"/>
      <c r="L502" s="516"/>
      <c r="M502" s="516"/>
      <c r="N502" s="516"/>
      <c r="O502" s="516"/>
      <c r="P502" s="516"/>
      <c r="Q502" s="516"/>
      <c r="R502" s="516"/>
      <c r="S502" s="516"/>
      <c r="T502" s="516"/>
      <c r="U502" s="516"/>
      <c r="V502" s="4"/>
      <c r="W502" s="4"/>
      <c r="X502" s="4"/>
      <c r="Y502" s="4"/>
    </row>
    <row r="503">
      <c r="A503" s="516"/>
      <c r="B503" s="516"/>
      <c r="C503" s="516"/>
      <c r="D503" s="516"/>
      <c r="E503" s="516"/>
      <c r="F503" s="516"/>
      <c r="G503" s="516"/>
      <c r="H503" s="516"/>
      <c r="I503" s="516"/>
      <c r="J503" s="516"/>
      <c r="K503" s="516"/>
      <c r="L503" s="516"/>
      <c r="M503" s="516"/>
      <c r="N503" s="516"/>
      <c r="O503" s="516"/>
      <c r="P503" s="516"/>
      <c r="Q503" s="516"/>
      <c r="R503" s="516"/>
      <c r="S503" s="516"/>
      <c r="T503" s="516"/>
      <c r="U503" s="516"/>
      <c r="V503" s="4"/>
      <c r="W503" s="4"/>
      <c r="X503" s="4"/>
      <c r="Y503" s="4"/>
    </row>
    <row r="504">
      <c r="A504" s="516"/>
      <c r="B504" s="516"/>
      <c r="C504" s="516"/>
      <c r="D504" s="516"/>
      <c r="E504" s="516"/>
      <c r="F504" s="516"/>
      <c r="G504" s="516"/>
      <c r="H504" s="516"/>
      <c r="I504" s="516"/>
      <c r="J504" s="516"/>
      <c r="K504" s="516"/>
      <c r="L504" s="516"/>
      <c r="M504" s="516"/>
      <c r="N504" s="516"/>
      <c r="O504" s="516"/>
      <c r="P504" s="516"/>
      <c r="Q504" s="516"/>
      <c r="R504" s="516"/>
      <c r="S504" s="516"/>
      <c r="T504" s="516"/>
      <c r="U504" s="516"/>
      <c r="V504" s="4"/>
      <c r="W504" s="4"/>
      <c r="X504" s="4"/>
      <c r="Y504" s="4"/>
    </row>
    <row r="505">
      <c r="A505" s="516"/>
      <c r="B505" s="516"/>
      <c r="C505" s="516"/>
      <c r="D505" s="516"/>
      <c r="E505" s="516"/>
      <c r="F505" s="516"/>
      <c r="G505" s="516"/>
      <c r="H505" s="516"/>
      <c r="I505" s="516"/>
      <c r="J505" s="516"/>
      <c r="K505" s="516"/>
      <c r="L505" s="516"/>
      <c r="M505" s="516"/>
      <c r="N505" s="516"/>
      <c r="O505" s="516"/>
      <c r="P505" s="516"/>
      <c r="Q505" s="516"/>
      <c r="R505" s="516"/>
      <c r="S505" s="516"/>
      <c r="T505" s="516"/>
      <c r="U505" s="516"/>
      <c r="V505" s="4"/>
      <c r="W505" s="4"/>
      <c r="X505" s="4"/>
      <c r="Y505" s="4"/>
    </row>
    <row r="506">
      <c r="A506" s="516"/>
      <c r="B506" s="516"/>
      <c r="C506" s="516"/>
      <c r="D506" s="516"/>
      <c r="E506" s="516"/>
      <c r="F506" s="516"/>
      <c r="G506" s="516"/>
      <c r="H506" s="516"/>
      <c r="I506" s="516"/>
      <c r="J506" s="516"/>
      <c r="K506" s="516"/>
      <c r="L506" s="516"/>
      <c r="M506" s="516"/>
      <c r="N506" s="516"/>
      <c r="O506" s="516"/>
      <c r="P506" s="516"/>
      <c r="Q506" s="516"/>
      <c r="R506" s="516"/>
      <c r="S506" s="516"/>
      <c r="T506" s="516"/>
      <c r="U506" s="516"/>
      <c r="V506" s="4"/>
      <c r="W506" s="4"/>
      <c r="X506" s="4"/>
      <c r="Y506" s="4"/>
    </row>
    <row r="507">
      <c r="A507" s="516"/>
      <c r="B507" s="516"/>
      <c r="C507" s="516"/>
      <c r="D507" s="516"/>
      <c r="E507" s="516"/>
      <c r="F507" s="516"/>
      <c r="G507" s="516"/>
      <c r="H507" s="516"/>
      <c r="I507" s="516"/>
      <c r="J507" s="516"/>
      <c r="K507" s="516"/>
      <c r="L507" s="516"/>
      <c r="M507" s="516"/>
      <c r="N507" s="516"/>
      <c r="O507" s="516"/>
      <c r="P507" s="516"/>
      <c r="Q507" s="516"/>
      <c r="R507" s="516"/>
      <c r="S507" s="516"/>
      <c r="T507" s="516"/>
      <c r="U507" s="516"/>
      <c r="V507" s="4"/>
      <c r="W507" s="4"/>
      <c r="X507" s="4"/>
      <c r="Y507" s="4"/>
    </row>
    <row r="508">
      <c r="A508" s="516"/>
      <c r="B508" s="516"/>
      <c r="C508" s="516"/>
      <c r="D508" s="516"/>
      <c r="E508" s="516"/>
      <c r="F508" s="516"/>
      <c r="G508" s="516"/>
      <c r="H508" s="516"/>
      <c r="I508" s="516"/>
      <c r="J508" s="516"/>
      <c r="K508" s="516"/>
      <c r="L508" s="516"/>
      <c r="M508" s="516"/>
      <c r="N508" s="516"/>
      <c r="O508" s="516"/>
      <c r="P508" s="516"/>
      <c r="Q508" s="516"/>
      <c r="R508" s="516"/>
      <c r="S508" s="516"/>
      <c r="T508" s="516"/>
      <c r="U508" s="516"/>
      <c r="V508" s="4"/>
      <c r="W508" s="4"/>
      <c r="X508" s="4"/>
      <c r="Y508" s="4"/>
    </row>
    <row r="509">
      <c r="A509" s="516"/>
      <c r="B509" s="516"/>
      <c r="C509" s="516"/>
      <c r="D509" s="516"/>
      <c r="E509" s="516"/>
      <c r="F509" s="516"/>
      <c r="G509" s="516"/>
      <c r="H509" s="516"/>
      <c r="I509" s="516"/>
      <c r="J509" s="516"/>
      <c r="K509" s="516"/>
      <c r="L509" s="516"/>
      <c r="M509" s="516"/>
      <c r="N509" s="516"/>
      <c r="O509" s="516"/>
      <c r="P509" s="516"/>
      <c r="Q509" s="516"/>
      <c r="R509" s="516"/>
      <c r="S509" s="516"/>
      <c r="T509" s="516"/>
      <c r="U509" s="516"/>
      <c r="V509" s="4"/>
      <c r="W509" s="4"/>
      <c r="X509" s="4"/>
      <c r="Y509" s="4"/>
    </row>
    <row r="510">
      <c r="A510" s="516"/>
      <c r="B510" s="516"/>
      <c r="C510" s="516"/>
      <c r="D510" s="516"/>
      <c r="E510" s="516"/>
      <c r="F510" s="516"/>
      <c r="G510" s="516"/>
      <c r="H510" s="516"/>
      <c r="I510" s="516"/>
      <c r="J510" s="516"/>
      <c r="K510" s="516"/>
      <c r="L510" s="516"/>
      <c r="M510" s="516"/>
      <c r="N510" s="516"/>
      <c r="O510" s="516"/>
      <c r="P510" s="516"/>
      <c r="Q510" s="516"/>
      <c r="R510" s="516"/>
      <c r="S510" s="516"/>
      <c r="T510" s="516"/>
      <c r="U510" s="516"/>
      <c r="V510" s="4"/>
      <c r="W510" s="4"/>
      <c r="X510" s="4"/>
      <c r="Y510" s="4"/>
    </row>
    <row r="511">
      <c r="A511" s="516"/>
      <c r="B511" s="516"/>
      <c r="C511" s="516"/>
      <c r="D511" s="516"/>
      <c r="E511" s="516"/>
      <c r="F511" s="516"/>
      <c r="G511" s="516"/>
      <c r="H511" s="516"/>
      <c r="I511" s="516"/>
      <c r="J511" s="516"/>
      <c r="K511" s="516"/>
      <c r="L511" s="516"/>
      <c r="M511" s="516"/>
      <c r="N511" s="516"/>
      <c r="O511" s="516"/>
      <c r="P511" s="516"/>
      <c r="Q511" s="516"/>
      <c r="R511" s="516"/>
      <c r="S511" s="516"/>
      <c r="T511" s="516"/>
      <c r="U511" s="516"/>
      <c r="V511" s="4"/>
      <c r="W511" s="4"/>
      <c r="X511" s="4"/>
      <c r="Y511" s="4"/>
    </row>
    <row r="512">
      <c r="A512" s="516"/>
      <c r="B512" s="516"/>
      <c r="C512" s="516"/>
      <c r="D512" s="516"/>
      <c r="E512" s="516"/>
      <c r="F512" s="516"/>
      <c r="G512" s="516"/>
      <c r="H512" s="516"/>
      <c r="I512" s="516"/>
      <c r="J512" s="516"/>
      <c r="K512" s="516"/>
      <c r="L512" s="516"/>
      <c r="M512" s="516"/>
      <c r="N512" s="516"/>
      <c r="O512" s="516"/>
      <c r="P512" s="516"/>
      <c r="Q512" s="516"/>
      <c r="R512" s="516"/>
      <c r="S512" s="516"/>
      <c r="T512" s="516"/>
      <c r="U512" s="516"/>
      <c r="V512" s="4"/>
      <c r="W512" s="4"/>
      <c r="X512" s="4"/>
      <c r="Y512" s="4"/>
    </row>
    <row r="513">
      <c r="A513" s="516"/>
      <c r="B513" s="516"/>
      <c r="C513" s="516"/>
      <c r="D513" s="516"/>
      <c r="E513" s="516"/>
      <c r="F513" s="516"/>
      <c r="G513" s="516"/>
      <c r="H513" s="516"/>
      <c r="I513" s="516"/>
      <c r="J513" s="516"/>
      <c r="K513" s="516"/>
      <c r="L513" s="516"/>
      <c r="M513" s="516"/>
      <c r="N513" s="516"/>
      <c r="O513" s="516"/>
      <c r="P513" s="516"/>
      <c r="Q513" s="516"/>
      <c r="R513" s="516"/>
      <c r="S513" s="516"/>
      <c r="T513" s="516"/>
      <c r="U513" s="516"/>
      <c r="V513" s="4"/>
      <c r="W513" s="4"/>
      <c r="X513" s="4"/>
      <c r="Y513" s="4"/>
    </row>
    <row r="514">
      <c r="A514" s="516"/>
      <c r="B514" s="516"/>
      <c r="C514" s="516"/>
      <c r="D514" s="516"/>
      <c r="E514" s="516"/>
      <c r="F514" s="516"/>
      <c r="G514" s="516"/>
      <c r="H514" s="516"/>
      <c r="I514" s="516"/>
      <c r="J514" s="516"/>
      <c r="K514" s="516"/>
      <c r="L514" s="516"/>
      <c r="M514" s="516"/>
      <c r="N514" s="516"/>
      <c r="O514" s="516"/>
      <c r="P514" s="516"/>
      <c r="Q514" s="516"/>
      <c r="R514" s="516"/>
      <c r="S514" s="516"/>
      <c r="T514" s="516"/>
      <c r="U514" s="516"/>
      <c r="V514" s="4"/>
      <c r="W514" s="4"/>
      <c r="X514" s="4"/>
      <c r="Y514" s="4"/>
    </row>
    <row r="515">
      <c r="A515" s="516"/>
      <c r="B515" s="516"/>
      <c r="C515" s="516"/>
      <c r="D515" s="516"/>
      <c r="E515" s="516"/>
      <c r="F515" s="516"/>
      <c r="G515" s="516"/>
      <c r="H515" s="516"/>
      <c r="I515" s="516"/>
      <c r="J515" s="516"/>
      <c r="K515" s="516"/>
      <c r="L515" s="516"/>
      <c r="M515" s="516"/>
      <c r="N515" s="516"/>
      <c r="O515" s="516"/>
      <c r="P515" s="516"/>
      <c r="Q515" s="516"/>
      <c r="R515" s="516"/>
      <c r="S515" s="516"/>
      <c r="T515" s="516"/>
      <c r="U515" s="516"/>
      <c r="V515" s="4"/>
      <c r="W515" s="4"/>
      <c r="X515" s="4"/>
      <c r="Y515" s="4"/>
    </row>
    <row r="516">
      <c r="A516" s="516"/>
      <c r="B516" s="516"/>
      <c r="C516" s="516"/>
      <c r="D516" s="516"/>
      <c r="E516" s="516"/>
      <c r="F516" s="516"/>
      <c r="G516" s="516"/>
      <c r="H516" s="516"/>
      <c r="I516" s="516"/>
      <c r="J516" s="516"/>
      <c r="K516" s="516"/>
      <c r="L516" s="516"/>
      <c r="M516" s="516"/>
      <c r="N516" s="516"/>
      <c r="O516" s="516"/>
      <c r="P516" s="516"/>
      <c r="Q516" s="516"/>
      <c r="R516" s="516"/>
      <c r="S516" s="516"/>
      <c r="T516" s="516"/>
      <c r="U516" s="516"/>
      <c r="V516" s="4"/>
      <c r="W516" s="4"/>
      <c r="X516" s="4"/>
      <c r="Y516" s="4"/>
    </row>
    <row r="517">
      <c r="A517" s="516"/>
      <c r="B517" s="516"/>
      <c r="C517" s="516"/>
      <c r="D517" s="516"/>
      <c r="E517" s="516"/>
      <c r="F517" s="516"/>
      <c r="G517" s="516"/>
      <c r="H517" s="516"/>
      <c r="I517" s="516"/>
      <c r="J517" s="516"/>
      <c r="K517" s="516"/>
      <c r="L517" s="516"/>
      <c r="M517" s="516"/>
      <c r="N517" s="516"/>
      <c r="O517" s="516"/>
      <c r="P517" s="516"/>
      <c r="Q517" s="516"/>
      <c r="R517" s="516"/>
      <c r="S517" s="516"/>
      <c r="T517" s="516"/>
      <c r="U517" s="516"/>
      <c r="V517" s="4"/>
      <c r="W517" s="4"/>
      <c r="X517" s="4"/>
      <c r="Y517" s="4"/>
    </row>
    <row r="518">
      <c r="A518" s="516"/>
      <c r="B518" s="516"/>
      <c r="C518" s="516"/>
      <c r="D518" s="516"/>
      <c r="E518" s="516"/>
      <c r="F518" s="516"/>
      <c r="G518" s="516"/>
      <c r="H518" s="516"/>
      <c r="I518" s="516"/>
      <c r="J518" s="516"/>
      <c r="K518" s="516"/>
      <c r="L518" s="516"/>
      <c r="M518" s="516"/>
      <c r="N518" s="516"/>
      <c r="O518" s="516"/>
      <c r="P518" s="516"/>
      <c r="Q518" s="516"/>
      <c r="R518" s="516"/>
      <c r="S518" s="516"/>
      <c r="T518" s="516"/>
      <c r="U518" s="516"/>
      <c r="V518" s="4"/>
      <c r="W518" s="4"/>
      <c r="X518" s="4"/>
      <c r="Y518" s="4"/>
    </row>
    <row r="519">
      <c r="A519" s="516"/>
      <c r="B519" s="516"/>
      <c r="C519" s="516"/>
      <c r="D519" s="516"/>
      <c r="E519" s="516"/>
      <c r="F519" s="516"/>
      <c r="G519" s="516"/>
      <c r="H519" s="516"/>
      <c r="I519" s="516"/>
      <c r="J519" s="516"/>
      <c r="K519" s="516"/>
      <c r="L519" s="516"/>
      <c r="M519" s="516"/>
      <c r="N519" s="516"/>
      <c r="O519" s="516"/>
      <c r="P519" s="516"/>
      <c r="Q519" s="516"/>
      <c r="R519" s="516"/>
      <c r="S519" s="516"/>
      <c r="T519" s="516"/>
      <c r="U519" s="516"/>
      <c r="V519" s="4"/>
      <c r="W519" s="4"/>
      <c r="X519" s="4"/>
      <c r="Y519" s="4"/>
    </row>
    <row r="520">
      <c r="A520" s="516"/>
      <c r="B520" s="516"/>
      <c r="C520" s="516"/>
      <c r="D520" s="516"/>
      <c r="E520" s="516"/>
      <c r="F520" s="516"/>
      <c r="G520" s="516"/>
      <c r="H520" s="516"/>
      <c r="I520" s="516"/>
      <c r="J520" s="516"/>
      <c r="K520" s="516"/>
      <c r="L520" s="516"/>
      <c r="M520" s="516"/>
      <c r="N520" s="516"/>
      <c r="O520" s="516"/>
      <c r="P520" s="516"/>
      <c r="Q520" s="516"/>
      <c r="R520" s="516"/>
      <c r="S520" s="516"/>
      <c r="T520" s="516"/>
      <c r="U520" s="516"/>
      <c r="V520" s="4"/>
      <c r="W520" s="4"/>
      <c r="X520" s="4"/>
      <c r="Y520" s="4"/>
    </row>
    <row r="521">
      <c r="A521" s="516"/>
      <c r="B521" s="516"/>
      <c r="C521" s="516"/>
      <c r="D521" s="516"/>
      <c r="E521" s="516"/>
      <c r="F521" s="516"/>
      <c r="G521" s="516"/>
      <c r="H521" s="516"/>
      <c r="I521" s="516"/>
      <c r="J521" s="516"/>
      <c r="K521" s="516"/>
      <c r="L521" s="516"/>
      <c r="M521" s="516"/>
      <c r="N521" s="516"/>
      <c r="O521" s="516"/>
      <c r="P521" s="516"/>
      <c r="Q521" s="516"/>
      <c r="R521" s="516"/>
      <c r="S521" s="516"/>
      <c r="T521" s="516"/>
      <c r="U521" s="516"/>
      <c r="V521" s="4"/>
      <c r="W521" s="4"/>
      <c r="X521" s="4"/>
      <c r="Y521" s="4"/>
    </row>
    <row r="522">
      <c r="A522" s="516"/>
      <c r="B522" s="516"/>
      <c r="C522" s="516"/>
      <c r="D522" s="516"/>
      <c r="E522" s="516"/>
      <c r="F522" s="516"/>
      <c r="G522" s="516"/>
      <c r="H522" s="516"/>
      <c r="I522" s="516"/>
      <c r="J522" s="516"/>
      <c r="K522" s="516"/>
      <c r="L522" s="516"/>
      <c r="M522" s="516"/>
      <c r="N522" s="516"/>
      <c r="O522" s="516"/>
      <c r="P522" s="516"/>
      <c r="Q522" s="516"/>
      <c r="R522" s="516"/>
      <c r="S522" s="516"/>
      <c r="T522" s="516"/>
      <c r="U522" s="516"/>
      <c r="V522" s="4"/>
      <c r="W522" s="4"/>
      <c r="X522" s="4"/>
      <c r="Y522" s="4"/>
    </row>
    <row r="523">
      <c r="A523" s="516"/>
      <c r="B523" s="516"/>
      <c r="C523" s="516"/>
      <c r="D523" s="516"/>
      <c r="E523" s="516"/>
      <c r="F523" s="516"/>
      <c r="G523" s="516"/>
      <c r="H523" s="516"/>
      <c r="I523" s="516"/>
      <c r="J523" s="516"/>
      <c r="K523" s="516"/>
      <c r="L523" s="516"/>
      <c r="M523" s="516"/>
      <c r="N523" s="516"/>
      <c r="O523" s="516"/>
      <c r="P523" s="516"/>
      <c r="Q523" s="516"/>
      <c r="R523" s="516"/>
      <c r="S523" s="516"/>
      <c r="T523" s="516"/>
      <c r="U523" s="516"/>
      <c r="V523" s="4"/>
      <c r="W523" s="4"/>
      <c r="X523" s="4"/>
      <c r="Y523" s="4"/>
    </row>
    <row r="524">
      <c r="A524" s="516"/>
      <c r="B524" s="516"/>
      <c r="C524" s="516"/>
      <c r="D524" s="516"/>
      <c r="E524" s="516"/>
      <c r="F524" s="516"/>
      <c r="G524" s="516"/>
      <c r="H524" s="516"/>
      <c r="I524" s="516"/>
      <c r="J524" s="516"/>
      <c r="K524" s="516"/>
      <c r="L524" s="516"/>
      <c r="M524" s="516"/>
      <c r="N524" s="516"/>
      <c r="O524" s="516"/>
      <c r="P524" s="516"/>
      <c r="Q524" s="516"/>
      <c r="R524" s="516"/>
      <c r="S524" s="516"/>
      <c r="T524" s="516"/>
      <c r="U524" s="516"/>
      <c r="V524" s="4"/>
      <c r="W524" s="4"/>
      <c r="X524" s="4"/>
      <c r="Y524" s="4"/>
    </row>
    <row r="525">
      <c r="A525" s="516"/>
      <c r="B525" s="516"/>
      <c r="C525" s="516"/>
      <c r="D525" s="516"/>
      <c r="E525" s="516"/>
      <c r="F525" s="516"/>
      <c r="G525" s="516"/>
      <c r="H525" s="516"/>
      <c r="I525" s="516"/>
      <c r="J525" s="516"/>
      <c r="K525" s="516"/>
      <c r="L525" s="516"/>
      <c r="M525" s="516"/>
      <c r="N525" s="516"/>
      <c r="O525" s="516"/>
      <c r="P525" s="516"/>
      <c r="Q525" s="516"/>
      <c r="R525" s="516"/>
      <c r="S525" s="516"/>
      <c r="T525" s="516"/>
      <c r="U525" s="516"/>
      <c r="V525" s="4"/>
      <c r="W525" s="4"/>
      <c r="X525" s="4"/>
      <c r="Y525" s="4"/>
    </row>
    <row r="526">
      <c r="A526" s="516"/>
      <c r="B526" s="516"/>
      <c r="C526" s="516"/>
      <c r="D526" s="516"/>
      <c r="E526" s="516"/>
      <c r="F526" s="516"/>
      <c r="G526" s="516"/>
      <c r="H526" s="516"/>
      <c r="I526" s="516"/>
      <c r="J526" s="516"/>
      <c r="K526" s="516"/>
      <c r="L526" s="516"/>
      <c r="M526" s="516"/>
      <c r="N526" s="516"/>
      <c r="O526" s="516"/>
      <c r="P526" s="516"/>
      <c r="Q526" s="516"/>
      <c r="R526" s="516"/>
      <c r="S526" s="516"/>
      <c r="T526" s="516"/>
      <c r="U526" s="516"/>
      <c r="V526" s="4"/>
      <c r="W526" s="4"/>
      <c r="X526" s="4"/>
      <c r="Y526" s="4"/>
    </row>
    <row r="527">
      <c r="A527" s="516"/>
      <c r="B527" s="516"/>
      <c r="C527" s="516"/>
      <c r="D527" s="516"/>
      <c r="E527" s="516"/>
      <c r="F527" s="516"/>
      <c r="G527" s="516"/>
      <c r="H527" s="516"/>
      <c r="I527" s="516"/>
      <c r="J527" s="516"/>
      <c r="K527" s="516"/>
      <c r="L527" s="516"/>
      <c r="M527" s="516"/>
      <c r="N527" s="516"/>
      <c r="O527" s="516"/>
      <c r="P527" s="516"/>
      <c r="Q527" s="516"/>
      <c r="R527" s="516"/>
      <c r="S527" s="516"/>
      <c r="T527" s="516"/>
      <c r="U527" s="516"/>
      <c r="V527" s="4"/>
      <c r="W527" s="4"/>
      <c r="X527" s="4"/>
      <c r="Y527" s="4"/>
    </row>
    <row r="528">
      <c r="A528" s="516"/>
      <c r="B528" s="516"/>
      <c r="C528" s="516"/>
      <c r="D528" s="516"/>
      <c r="E528" s="516"/>
      <c r="F528" s="516"/>
      <c r="G528" s="516"/>
      <c r="H528" s="516"/>
      <c r="I528" s="516"/>
      <c r="J528" s="516"/>
      <c r="K528" s="516"/>
      <c r="L528" s="516"/>
      <c r="M528" s="516"/>
      <c r="N528" s="516"/>
      <c r="O528" s="516"/>
      <c r="P528" s="516"/>
      <c r="Q528" s="516"/>
      <c r="R528" s="516"/>
      <c r="S528" s="516"/>
      <c r="T528" s="516"/>
      <c r="U528" s="516"/>
      <c r="V528" s="4"/>
      <c r="W528" s="4"/>
      <c r="X528" s="4"/>
      <c r="Y528" s="4"/>
    </row>
    <row r="529">
      <c r="A529" s="516"/>
      <c r="B529" s="516"/>
      <c r="C529" s="516"/>
      <c r="D529" s="516"/>
      <c r="E529" s="516"/>
      <c r="F529" s="516"/>
      <c r="G529" s="516"/>
      <c r="H529" s="516"/>
      <c r="I529" s="516"/>
      <c r="J529" s="516"/>
      <c r="K529" s="516"/>
      <c r="L529" s="516"/>
      <c r="M529" s="516"/>
      <c r="N529" s="516"/>
      <c r="O529" s="516"/>
      <c r="P529" s="516"/>
      <c r="Q529" s="516"/>
      <c r="R529" s="516"/>
      <c r="S529" s="516"/>
      <c r="T529" s="516"/>
      <c r="U529" s="516"/>
      <c r="V529" s="4"/>
      <c r="W529" s="4"/>
      <c r="X529" s="4"/>
      <c r="Y529" s="4"/>
    </row>
    <row r="530">
      <c r="A530" s="516"/>
      <c r="B530" s="516"/>
      <c r="C530" s="516"/>
      <c r="D530" s="516"/>
      <c r="E530" s="516"/>
      <c r="F530" s="516"/>
      <c r="G530" s="516"/>
      <c r="H530" s="516"/>
      <c r="I530" s="516"/>
      <c r="J530" s="516"/>
      <c r="K530" s="516"/>
      <c r="L530" s="516"/>
      <c r="M530" s="516"/>
      <c r="N530" s="516"/>
      <c r="O530" s="516"/>
      <c r="P530" s="516"/>
      <c r="Q530" s="516"/>
      <c r="R530" s="516"/>
      <c r="S530" s="516"/>
      <c r="T530" s="516"/>
      <c r="U530" s="516"/>
      <c r="V530" s="4"/>
      <c r="W530" s="4"/>
      <c r="X530" s="4"/>
      <c r="Y530" s="4"/>
    </row>
    <row r="531">
      <c r="A531" s="516"/>
      <c r="B531" s="516"/>
      <c r="C531" s="516"/>
      <c r="D531" s="516"/>
      <c r="E531" s="516"/>
      <c r="F531" s="516"/>
      <c r="G531" s="516"/>
      <c r="H531" s="516"/>
      <c r="I531" s="516"/>
      <c r="J531" s="516"/>
      <c r="K531" s="516"/>
      <c r="L531" s="516"/>
      <c r="M531" s="516"/>
      <c r="N531" s="516"/>
      <c r="O531" s="516"/>
      <c r="P531" s="516"/>
      <c r="Q531" s="516"/>
      <c r="R531" s="516"/>
      <c r="S531" s="516"/>
      <c r="T531" s="516"/>
      <c r="U531" s="516"/>
      <c r="V531" s="4"/>
      <c r="W531" s="4"/>
      <c r="X531" s="4"/>
      <c r="Y531" s="4"/>
    </row>
    <row r="532">
      <c r="A532" s="516"/>
      <c r="B532" s="516"/>
      <c r="C532" s="516"/>
      <c r="D532" s="516"/>
      <c r="E532" s="516"/>
      <c r="F532" s="516"/>
      <c r="G532" s="516"/>
      <c r="H532" s="516"/>
      <c r="I532" s="516"/>
      <c r="J532" s="516"/>
      <c r="K532" s="516"/>
      <c r="L532" s="516"/>
      <c r="M532" s="516"/>
      <c r="N532" s="516"/>
      <c r="O532" s="516"/>
      <c r="P532" s="516"/>
      <c r="Q532" s="516"/>
      <c r="R532" s="516"/>
      <c r="S532" s="516"/>
      <c r="T532" s="516"/>
      <c r="U532" s="516"/>
      <c r="V532" s="4"/>
      <c r="W532" s="4"/>
      <c r="X532" s="4"/>
      <c r="Y532" s="4"/>
    </row>
    <row r="533">
      <c r="A533" s="516"/>
      <c r="B533" s="516"/>
      <c r="C533" s="516"/>
      <c r="D533" s="516"/>
      <c r="E533" s="516"/>
      <c r="F533" s="516"/>
      <c r="G533" s="516"/>
      <c r="H533" s="516"/>
      <c r="I533" s="516"/>
      <c r="J533" s="516"/>
      <c r="K533" s="516"/>
      <c r="L533" s="516"/>
      <c r="M533" s="516"/>
      <c r="N533" s="516"/>
      <c r="O533" s="516"/>
      <c r="P533" s="516"/>
      <c r="Q533" s="516"/>
      <c r="R533" s="516"/>
      <c r="S533" s="516"/>
      <c r="T533" s="516"/>
      <c r="U533" s="516"/>
      <c r="V533" s="4"/>
      <c r="W533" s="4"/>
      <c r="X533" s="4"/>
      <c r="Y533" s="4"/>
    </row>
    <row r="534">
      <c r="A534" s="516"/>
      <c r="B534" s="516"/>
      <c r="C534" s="516"/>
      <c r="D534" s="516"/>
      <c r="E534" s="516"/>
      <c r="F534" s="516"/>
      <c r="G534" s="516"/>
      <c r="H534" s="516"/>
      <c r="I534" s="516"/>
      <c r="J534" s="516"/>
      <c r="K534" s="516"/>
      <c r="L534" s="516"/>
      <c r="M534" s="516"/>
      <c r="N534" s="516"/>
      <c r="O534" s="516"/>
      <c r="P534" s="516"/>
      <c r="Q534" s="516"/>
      <c r="R534" s="516"/>
      <c r="S534" s="516"/>
      <c r="T534" s="516"/>
      <c r="U534" s="516"/>
      <c r="V534" s="4"/>
      <c r="W534" s="4"/>
      <c r="X534" s="4"/>
      <c r="Y534" s="4"/>
    </row>
    <row r="535">
      <c r="A535" s="516"/>
      <c r="B535" s="516"/>
      <c r="C535" s="516"/>
      <c r="D535" s="516"/>
      <c r="E535" s="516"/>
      <c r="F535" s="516"/>
      <c r="G535" s="516"/>
      <c r="H535" s="516"/>
      <c r="I535" s="516"/>
      <c r="J535" s="516"/>
      <c r="K535" s="516"/>
      <c r="L535" s="516"/>
      <c r="M535" s="516"/>
      <c r="N535" s="516"/>
      <c r="O535" s="516"/>
      <c r="P535" s="516"/>
      <c r="Q535" s="516"/>
      <c r="R535" s="516"/>
      <c r="S535" s="516"/>
      <c r="T535" s="516"/>
      <c r="U535" s="516"/>
      <c r="V535" s="4"/>
      <c r="W535" s="4"/>
      <c r="X535" s="4"/>
      <c r="Y535" s="4"/>
    </row>
    <row r="536">
      <c r="A536" s="516"/>
      <c r="B536" s="516"/>
      <c r="C536" s="516"/>
      <c r="D536" s="516"/>
      <c r="E536" s="516"/>
      <c r="F536" s="516"/>
      <c r="G536" s="516"/>
      <c r="H536" s="516"/>
      <c r="I536" s="516"/>
      <c r="J536" s="516"/>
      <c r="K536" s="516"/>
      <c r="L536" s="516"/>
      <c r="M536" s="516"/>
      <c r="N536" s="516"/>
      <c r="O536" s="516"/>
      <c r="P536" s="516"/>
      <c r="Q536" s="516"/>
      <c r="R536" s="516"/>
      <c r="S536" s="516"/>
      <c r="T536" s="516"/>
      <c r="U536" s="516"/>
      <c r="V536" s="4"/>
      <c r="W536" s="4"/>
      <c r="X536" s="4"/>
      <c r="Y536" s="4"/>
    </row>
    <row r="537">
      <c r="A537" s="516"/>
      <c r="B537" s="516"/>
      <c r="C537" s="516"/>
      <c r="D537" s="516"/>
      <c r="E537" s="516"/>
      <c r="F537" s="516"/>
      <c r="G537" s="516"/>
      <c r="H537" s="516"/>
      <c r="I537" s="516"/>
      <c r="J537" s="516"/>
      <c r="K537" s="516"/>
      <c r="L537" s="516"/>
      <c r="M537" s="516"/>
      <c r="N537" s="516"/>
      <c r="O537" s="516"/>
      <c r="P537" s="516"/>
      <c r="Q537" s="516"/>
      <c r="R537" s="516"/>
      <c r="S537" s="516"/>
      <c r="T537" s="516"/>
      <c r="U537" s="516"/>
      <c r="V537" s="4"/>
      <c r="W537" s="4"/>
      <c r="X537" s="4"/>
      <c r="Y537" s="4"/>
    </row>
    <row r="538">
      <c r="A538" s="516"/>
      <c r="B538" s="516"/>
      <c r="C538" s="516"/>
      <c r="D538" s="516"/>
      <c r="E538" s="516"/>
      <c r="F538" s="516"/>
      <c r="G538" s="516"/>
      <c r="H538" s="516"/>
      <c r="I538" s="516"/>
      <c r="J538" s="516"/>
      <c r="K538" s="516"/>
      <c r="L538" s="516"/>
      <c r="M538" s="516"/>
      <c r="N538" s="516"/>
      <c r="O538" s="516"/>
      <c r="P538" s="516"/>
      <c r="Q538" s="516"/>
      <c r="R538" s="516"/>
      <c r="S538" s="516"/>
      <c r="T538" s="516"/>
      <c r="U538" s="516"/>
      <c r="V538" s="4"/>
      <c r="W538" s="4"/>
      <c r="X538" s="4"/>
      <c r="Y538" s="4"/>
    </row>
    <row r="539">
      <c r="A539" s="516"/>
      <c r="B539" s="516"/>
      <c r="C539" s="516"/>
      <c r="D539" s="516"/>
      <c r="E539" s="516"/>
      <c r="F539" s="516"/>
      <c r="G539" s="516"/>
      <c r="H539" s="516"/>
      <c r="I539" s="516"/>
      <c r="J539" s="516"/>
      <c r="K539" s="516"/>
      <c r="L539" s="516"/>
      <c r="M539" s="516"/>
      <c r="N539" s="516"/>
      <c r="O539" s="516"/>
      <c r="P539" s="516"/>
      <c r="Q539" s="516"/>
      <c r="R539" s="516"/>
      <c r="S539" s="516"/>
      <c r="T539" s="516"/>
      <c r="U539" s="516"/>
      <c r="V539" s="4"/>
      <c r="W539" s="4"/>
      <c r="X539" s="4"/>
      <c r="Y539" s="4"/>
    </row>
    <row r="540">
      <c r="A540" s="516"/>
      <c r="B540" s="516"/>
      <c r="C540" s="516"/>
      <c r="D540" s="516"/>
      <c r="E540" s="516"/>
      <c r="F540" s="516"/>
      <c r="G540" s="516"/>
      <c r="H540" s="516"/>
      <c r="I540" s="516"/>
      <c r="J540" s="516"/>
      <c r="K540" s="516"/>
      <c r="L540" s="516"/>
      <c r="M540" s="516"/>
      <c r="N540" s="516"/>
      <c r="O540" s="516"/>
      <c r="P540" s="516"/>
      <c r="Q540" s="516"/>
      <c r="R540" s="516"/>
      <c r="S540" s="516"/>
      <c r="T540" s="516"/>
      <c r="U540" s="516"/>
      <c r="V540" s="4"/>
      <c r="W540" s="4"/>
      <c r="X540" s="4"/>
      <c r="Y540" s="4"/>
    </row>
    <row r="541">
      <c r="A541" s="516"/>
      <c r="B541" s="516"/>
      <c r="C541" s="516"/>
      <c r="D541" s="516"/>
      <c r="E541" s="516"/>
      <c r="F541" s="516"/>
      <c r="G541" s="516"/>
      <c r="H541" s="516"/>
      <c r="I541" s="516"/>
      <c r="J541" s="516"/>
      <c r="K541" s="516"/>
      <c r="L541" s="516"/>
      <c r="M541" s="516"/>
      <c r="N541" s="516"/>
      <c r="O541" s="516"/>
      <c r="P541" s="516"/>
      <c r="Q541" s="516"/>
      <c r="R541" s="516"/>
      <c r="S541" s="516"/>
      <c r="T541" s="516"/>
      <c r="U541" s="516"/>
      <c r="V541" s="4"/>
      <c r="W541" s="4"/>
      <c r="X541" s="4"/>
      <c r="Y541" s="4"/>
    </row>
    <row r="542">
      <c r="A542" s="516"/>
      <c r="B542" s="516"/>
      <c r="C542" s="516"/>
      <c r="D542" s="516"/>
      <c r="E542" s="516"/>
      <c r="F542" s="516"/>
      <c r="G542" s="516"/>
      <c r="H542" s="516"/>
      <c r="I542" s="516"/>
      <c r="J542" s="516"/>
      <c r="K542" s="516"/>
      <c r="L542" s="516"/>
      <c r="M542" s="516"/>
      <c r="N542" s="516"/>
      <c r="O542" s="516"/>
      <c r="P542" s="516"/>
      <c r="Q542" s="516"/>
      <c r="R542" s="516"/>
      <c r="S542" s="516"/>
      <c r="T542" s="516"/>
      <c r="U542" s="516"/>
      <c r="V542" s="4"/>
      <c r="W542" s="4"/>
      <c r="X542" s="4"/>
      <c r="Y542" s="4"/>
    </row>
    <row r="543">
      <c r="A543" s="516"/>
      <c r="B543" s="516"/>
      <c r="C543" s="516"/>
      <c r="D543" s="516"/>
      <c r="E543" s="516"/>
      <c r="F543" s="516"/>
      <c r="G543" s="516"/>
      <c r="H543" s="516"/>
      <c r="I543" s="516"/>
      <c r="J543" s="516"/>
      <c r="K543" s="516"/>
      <c r="L543" s="516"/>
      <c r="M543" s="516"/>
      <c r="N543" s="516"/>
      <c r="O543" s="516"/>
      <c r="P543" s="516"/>
      <c r="Q543" s="516"/>
      <c r="R543" s="516"/>
      <c r="S543" s="516"/>
      <c r="T543" s="516"/>
      <c r="U543" s="516"/>
      <c r="V543" s="4"/>
      <c r="W543" s="4"/>
      <c r="X543" s="4"/>
      <c r="Y543" s="4"/>
    </row>
    <row r="544">
      <c r="A544" s="516"/>
      <c r="B544" s="516"/>
      <c r="C544" s="516"/>
      <c r="D544" s="516"/>
      <c r="E544" s="516"/>
      <c r="F544" s="516"/>
      <c r="G544" s="516"/>
      <c r="H544" s="516"/>
      <c r="I544" s="516"/>
      <c r="J544" s="516"/>
      <c r="K544" s="516"/>
      <c r="L544" s="516"/>
      <c r="M544" s="516"/>
      <c r="N544" s="516"/>
      <c r="O544" s="516"/>
      <c r="P544" s="516"/>
      <c r="Q544" s="516"/>
      <c r="R544" s="516"/>
      <c r="S544" s="516"/>
      <c r="T544" s="516"/>
      <c r="U544" s="516"/>
      <c r="V544" s="4"/>
      <c r="W544" s="4"/>
      <c r="X544" s="4"/>
      <c r="Y544" s="4"/>
    </row>
    <row r="545">
      <c r="A545" s="516"/>
      <c r="B545" s="516"/>
      <c r="C545" s="516"/>
      <c r="D545" s="516"/>
      <c r="E545" s="516"/>
      <c r="F545" s="516"/>
      <c r="G545" s="516"/>
      <c r="H545" s="516"/>
      <c r="I545" s="516"/>
      <c r="J545" s="516"/>
      <c r="K545" s="516"/>
      <c r="L545" s="516"/>
      <c r="M545" s="516"/>
      <c r="N545" s="516"/>
      <c r="O545" s="516"/>
      <c r="P545" s="516"/>
      <c r="Q545" s="516"/>
      <c r="R545" s="516"/>
      <c r="S545" s="516"/>
      <c r="T545" s="516"/>
      <c r="U545" s="516"/>
      <c r="V545" s="4"/>
      <c r="W545" s="4"/>
      <c r="X545" s="4"/>
      <c r="Y545" s="4"/>
    </row>
    <row r="546">
      <c r="A546" s="516"/>
      <c r="B546" s="516"/>
      <c r="C546" s="516"/>
      <c r="D546" s="516"/>
      <c r="E546" s="516"/>
      <c r="F546" s="516"/>
      <c r="G546" s="516"/>
      <c r="H546" s="516"/>
      <c r="I546" s="516"/>
      <c r="J546" s="516"/>
      <c r="K546" s="516"/>
      <c r="L546" s="516"/>
      <c r="M546" s="516"/>
      <c r="N546" s="516"/>
      <c r="O546" s="516"/>
      <c r="P546" s="516"/>
      <c r="Q546" s="516"/>
      <c r="R546" s="516"/>
      <c r="S546" s="516"/>
      <c r="T546" s="516"/>
      <c r="U546" s="516"/>
      <c r="V546" s="4"/>
      <c r="W546" s="4"/>
      <c r="X546" s="4"/>
      <c r="Y546" s="4"/>
    </row>
    <row r="547">
      <c r="A547" s="516"/>
      <c r="B547" s="516"/>
      <c r="C547" s="516"/>
      <c r="D547" s="516"/>
      <c r="E547" s="516"/>
      <c r="F547" s="516"/>
      <c r="G547" s="516"/>
      <c r="H547" s="516"/>
      <c r="I547" s="516"/>
      <c r="J547" s="516"/>
      <c r="K547" s="516"/>
      <c r="L547" s="516"/>
      <c r="M547" s="516"/>
      <c r="N547" s="516"/>
      <c r="O547" s="516"/>
      <c r="P547" s="516"/>
      <c r="Q547" s="516"/>
      <c r="R547" s="516"/>
      <c r="S547" s="516"/>
      <c r="T547" s="516"/>
      <c r="U547" s="516"/>
      <c r="V547" s="4"/>
      <c r="W547" s="4"/>
      <c r="X547" s="4"/>
      <c r="Y547" s="4"/>
    </row>
    <row r="548">
      <c r="A548" s="516"/>
      <c r="B548" s="516"/>
      <c r="C548" s="516"/>
      <c r="D548" s="516"/>
      <c r="E548" s="516"/>
      <c r="F548" s="516"/>
      <c r="G548" s="516"/>
      <c r="H548" s="516"/>
      <c r="I548" s="516"/>
      <c r="J548" s="516"/>
      <c r="K548" s="516"/>
      <c r="L548" s="516"/>
      <c r="M548" s="516"/>
      <c r="N548" s="516"/>
      <c r="O548" s="516"/>
      <c r="P548" s="516"/>
      <c r="Q548" s="516"/>
      <c r="R548" s="516"/>
      <c r="S548" s="516"/>
      <c r="T548" s="516"/>
      <c r="U548" s="516"/>
      <c r="V548" s="4"/>
      <c r="W548" s="4"/>
      <c r="X548" s="4"/>
      <c r="Y548" s="4"/>
    </row>
    <row r="549">
      <c r="A549" s="516"/>
      <c r="B549" s="516"/>
      <c r="C549" s="516"/>
      <c r="D549" s="516"/>
      <c r="E549" s="516"/>
      <c r="F549" s="516"/>
      <c r="G549" s="516"/>
      <c r="H549" s="516"/>
      <c r="I549" s="516"/>
      <c r="J549" s="516"/>
      <c r="K549" s="516"/>
      <c r="L549" s="516"/>
      <c r="M549" s="516"/>
      <c r="N549" s="516"/>
      <c r="O549" s="516"/>
      <c r="P549" s="516"/>
      <c r="Q549" s="516"/>
      <c r="R549" s="516"/>
      <c r="S549" s="516"/>
      <c r="T549" s="516"/>
      <c r="U549" s="516"/>
      <c r="V549" s="4"/>
      <c r="W549" s="4"/>
      <c r="X549" s="4"/>
      <c r="Y549" s="4"/>
    </row>
    <row r="550">
      <c r="A550" s="516"/>
      <c r="B550" s="516"/>
      <c r="C550" s="516"/>
      <c r="D550" s="516"/>
      <c r="E550" s="516"/>
      <c r="F550" s="516"/>
      <c r="G550" s="516"/>
      <c r="H550" s="516"/>
      <c r="I550" s="516"/>
      <c r="J550" s="516"/>
      <c r="K550" s="516"/>
      <c r="L550" s="516"/>
      <c r="M550" s="516"/>
      <c r="N550" s="516"/>
      <c r="O550" s="516"/>
      <c r="P550" s="516"/>
      <c r="Q550" s="516"/>
      <c r="R550" s="516"/>
      <c r="S550" s="516"/>
      <c r="T550" s="516"/>
      <c r="U550" s="516"/>
      <c r="V550" s="4"/>
      <c r="W550" s="4"/>
      <c r="X550" s="4"/>
      <c r="Y550" s="4"/>
    </row>
    <row r="551">
      <c r="A551" s="516"/>
      <c r="B551" s="516"/>
      <c r="C551" s="516"/>
      <c r="D551" s="516"/>
      <c r="E551" s="516"/>
      <c r="F551" s="516"/>
      <c r="G551" s="516"/>
      <c r="H551" s="516"/>
      <c r="I551" s="516"/>
      <c r="J551" s="516"/>
      <c r="K551" s="516"/>
      <c r="L551" s="516"/>
      <c r="M551" s="516"/>
      <c r="N551" s="516"/>
      <c r="O551" s="516"/>
      <c r="P551" s="516"/>
      <c r="Q551" s="516"/>
      <c r="R551" s="516"/>
      <c r="S551" s="516"/>
      <c r="T551" s="516"/>
      <c r="U551" s="516"/>
      <c r="V551" s="4"/>
      <c r="W551" s="4"/>
      <c r="X551" s="4"/>
      <c r="Y551" s="4"/>
    </row>
    <row r="552">
      <c r="A552" s="516"/>
      <c r="B552" s="516"/>
      <c r="C552" s="516"/>
      <c r="D552" s="516"/>
      <c r="E552" s="516"/>
      <c r="F552" s="516"/>
      <c r="G552" s="516"/>
      <c r="H552" s="516"/>
      <c r="I552" s="516"/>
      <c r="J552" s="516"/>
      <c r="K552" s="516"/>
      <c r="L552" s="516"/>
      <c r="M552" s="516"/>
      <c r="N552" s="516"/>
      <c r="O552" s="516"/>
      <c r="P552" s="516"/>
      <c r="Q552" s="516"/>
      <c r="R552" s="516"/>
      <c r="S552" s="516"/>
      <c r="T552" s="516"/>
      <c r="U552" s="516"/>
      <c r="V552" s="4"/>
      <c r="W552" s="4"/>
      <c r="X552" s="4"/>
      <c r="Y552" s="4"/>
    </row>
    <row r="553">
      <c r="A553" s="516"/>
      <c r="B553" s="516"/>
      <c r="C553" s="516"/>
      <c r="D553" s="516"/>
      <c r="E553" s="516"/>
      <c r="F553" s="516"/>
      <c r="G553" s="516"/>
      <c r="H553" s="516"/>
      <c r="I553" s="516"/>
      <c r="J553" s="516"/>
      <c r="K553" s="516"/>
      <c r="L553" s="516"/>
      <c r="M553" s="516"/>
      <c r="N553" s="516"/>
      <c r="O553" s="516"/>
      <c r="P553" s="516"/>
      <c r="Q553" s="516"/>
      <c r="R553" s="516"/>
      <c r="S553" s="516"/>
      <c r="T553" s="516"/>
      <c r="U553" s="516"/>
      <c r="V553" s="4"/>
      <c r="W553" s="4"/>
      <c r="X553" s="4"/>
      <c r="Y553" s="4"/>
    </row>
    <row r="554">
      <c r="A554" s="516"/>
      <c r="B554" s="516"/>
      <c r="C554" s="516"/>
      <c r="D554" s="516"/>
      <c r="E554" s="516"/>
      <c r="F554" s="516"/>
      <c r="G554" s="516"/>
      <c r="H554" s="516"/>
      <c r="I554" s="516"/>
      <c r="J554" s="516"/>
      <c r="K554" s="516"/>
      <c r="L554" s="516"/>
      <c r="M554" s="516"/>
      <c r="N554" s="516"/>
      <c r="O554" s="516"/>
      <c r="P554" s="516"/>
      <c r="Q554" s="516"/>
      <c r="R554" s="516"/>
      <c r="S554" s="516"/>
      <c r="T554" s="516"/>
      <c r="U554" s="516"/>
      <c r="V554" s="4"/>
      <c r="W554" s="4"/>
      <c r="X554" s="4"/>
      <c r="Y554" s="4"/>
    </row>
    <row r="555">
      <c r="A555" s="516"/>
      <c r="B555" s="516"/>
      <c r="C555" s="516"/>
      <c r="D555" s="516"/>
      <c r="E555" s="516"/>
      <c r="F555" s="516"/>
      <c r="G555" s="516"/>
      <c r="H555" s="516"/>
      <c r="I555" s="516"/>
      <c r="J555" s="516"/>
      <c r="K555" s="516"/>
      <c r="L555" s="516"/>
      <c r="M555" s="516"/>
      <c r="N555" s="516"/>
      <c r="O555" s="516"/>
      <c r="P555" s="516"/>
      <c r="Q555" s="516"/>
      <c r="R555" s="516"/>
      <c r="S555" s="516"/>
      <c r="T555" s="516"/>
      <c r="U555" s="516"/>
      <c r="V555" s="4"/>
      <c r="W555" s="4"/>
      <c r="X555" s="4"/>
      <c r="Y555" s="4"/>
    </row>
    <row r="556">
      <c r="A556" s="516"/>
      <c r="B556" s="516"/>
      <c r="C556" s="516"/>
      <c r="D556" s="516"/>
      <c r="E556" s="516"/>
      <c r="F556" s="516"/>
      <c r="G556" s="516"/>
      <c r="H556" s="516"/>
      <c r="I556" s="516"/>
      <c r="J556" s="516"/>
      <c r="K556" s="516"/>
      <c r="L556" s="516"/>
      <c r="M556" s="516"/>
      <c r="N556" s="516"/>
      <c r="O556" s="516"/>
      <c r="P556" s="516"/>
      <c r="Q556" s="516"/>
      <c r="R556" s="516"/>
      <c r="S556" s="516"/>
      <c r="T556" s="516"/>
      <c r="U556" s="516"/>
      <c r="V556" s="4"/>
      <c r="W556" s="4"/>
      <c r="X556" s="4"/>
      <c r="Y556" s="4"/>
    </row>
    <row r="557">
      <c r="A557" s="516"/>
      <c r="B557" s="516"/>
      <c r="C557" s="516"/>
      <c r="D557" s="516"/>
      <c r="E557" s="516"/>
      <c r="F557" s="516"/>
      <c r="G557" s="516"/>
      <c r="H557" s="516"/>
      <c r="I557" s="516"/>
      <c r="J557" s="516"/>
      <c r="K557" s="516"/>
      <c r="L557" s="516"/>
      <c r="M557" s="516"/>
      <c r="N557" s="516"/>
      <c r="O557" s="516"/>
      <c r="P557" s="516"/>
      <c r="Q557" s="516"/>
      <c r="R557" s="516"/>
      <c r="S557" s="516"/>
      <c r="T557" s="516"/>
      <c r="U557" s="516"/>
      <c r="V557" s="4"/>
      <c r="W557" s="4"/>
      <c r="X557" s="4"/>
      <c r="Y557" s="4"/>
    </row>
    <row r="558">
      <c r="A558" s="516"/>
      <c r="B558" s="516"/>
      <c r="C558" s="516"/>
      <c r="D558" s="516"/>
      <c r="E558" s="516"/>
      <c r="F558" s="516"/>
      <c r="G558" s="516"/>
      <c r="H558" s="516"/>
      <c r="I558" s="516"/>
      <c r="J558" s="516"/>
      <c r="K558" s="516"/>
      <c r="L558" s="516"/>
      <c r="M558" s="516"/>
      <c r="N558" s="516"/>
      <c r="O558" s="516"/>
      <c r="P558" s="516"/>
      <c r="Q558" s="516"/>
      <c r="R558" s="516"/>
      <c r="S558" s="516"/>
      <c r="T558" s="516"/>
      <c r="U558" s="516"/>
      <c r="V558" s="4"/>
      <c r="W558" s="4"/>
      <c r="X558" s="4"/>
      <c r="Y558" s="4"/>
    </row>
    <row r="559">
      <c r="A559" s="516"/>
      <c r="B559" s="516"/>
      <c r="C559" s="516"/>
      <c r="D559" s="516"/>
      <c r="E559" s="516"/>
      <c r="F559" s="516"/>
      <c r="G559" s="516"/>
      <c r="H559" s="516"/>
      <c r="I559" s="516"/>
      <c r="J559" s="516"/>
      <c r="K559" s="516"/>
      <c r="L559" s="516"/>
      <c r="M559" s="516"/>
      <c r="N559" s="516"/>
      <c r="O559" s="516"/>
      <c r="P559" s="516"/>
      <c r="Q559" s="516"/>
      <c r="R559" s="516"/>
      <c r="S559" s="516"/>
      <c r="T559" s="516"/>
      <c r="U559" s="516"/>
      <c r="V559" s="4"/>
      <c r="W559" s="4"/>
      <c r="X559" s="4"/>
      <c r="Y559" s="4"/>
    </row>
    <row r="560">
      <c r="A560" s="516"/>
      <c r="B560" s="516"/>
      <c r="C560" s="516"/>
      <c r="D560" s="516"/>
      <c r="E560" s="516"/>
      <c r="F560" s="516"/>
      <c r="G560" s="516"/>
      <c r="H560" s="516"/>
      <c r="I560" s="516"/>
      <c r="J560" s="516"/>
      <c r="K560" s="516"/>
      <c r="L560" s="516"/>
      <c r="M560" s="516"/>
      <c r="N560" s="516"/>
      <c r="O560" s="516"/>
      <c r="P560" s="516"/>
      <c r="Q560" s="516"/>
      <c r="R560" s="516"/>
      <c r="S560" s="516"/>
      <c r="T560" s="516"/>
      <c r="U560" s="516"/>
      <c r="V560" s="4"/>
      <c r="W560" s="4"/>
      <c r="X560" s="4"/>
      <c r="Y560" s="4"/>
    </row>
    <row r="561">
      <c r="A561" s="516"/>
      <c r="B561" s="516"/>
      <c r="C561" s="516"/>
      <c r="D561" s="516"/>
      <c r="E561" s="516"/>
      <c r="F561" s="516"/>
      <c r="G561" s="516"/>
      <c r="H561" s="516"/>
      <c r="I561" s="516"/>
      <c r="J561" s="516"/>
      <c r="K561" s="516"/>
      <c r="L561" s="516"/>
      <c r="M561" s="516"/>
      <c r="N561" s="516"/>
      <c r="O561" s="516"/>
      <c r="P561" s="516"/>
      <c r="Q561" s="516"/>
      <c r="R561" s="516"/>
      <c r="S561" s="516"/>
      <c r="T561" s="516"/>
      <c r="U561" s="516"/>
      <c r="V561" s="4"/>
      <c r="W561" s="4"/>
      <c r="X561" s="4"/>
      <c r="Y561" s="4"/>
    </row>
    <row r="562">
      <c r="A562" s="516"/>
      <c r="B562" s="516"/>
      <c r="C562" s="516"/>
      <c r="D562" s="516"/>
      <c r="E562" s="516"/>
      <c r="F562" s="516"/>
      <c r="G562" s="516"/>
      <c r="H562" s="516"/>
      <c r="I562" s="516"/>
      <c r="J562" s="516"/>
      <c r="K562" s="516"/>
      <c r="L562" s="516"/>
      <c r="M562" s="516"/>
      <c r="N562" s="516"/>
      <c r="O562" s="516"/>
      <c r="P562" s="516"/>
      <c r="Q562" s="516"/>
      <c r="R562" s="516"/>
      <c r="S562" s="516"/>
      <c r="T562" s="516"/>
      <c r="U562" s="516"/>
      <c r="V562" s="4"/>
      <c r="W562" s="4"/>
      <c r="X562" s="4"/>
      <c r="Y562" s="4"/>
    </row>
    <row r="563">
      <c r="A563" s="516"/>
      <c r="B563" s="516"/>
      <c r="C563" s="516"/>
      <c r="D563" s="516"/>
      <c r="E563" s="516"/>
      <c r="F563" s="516"/>
      <c r="G563" s="516"/>
      <c r="H563" s="516"/>
      <c r="I563" s="516"/>
      <c r="J563" s="516"/>
      <c r="K563" s="516"/>
      <c r="L563" s="516"/>
      <c r="M563" s="516"/>
      <c r="N563" s="516"/>
      <c r="O563" s="516"/>
      <c r="P563" s="516"/>
      <c r="Q563" s="516"/>
      <c r="R563" s="516"/>
      <c r="S563" s="516"/>
      <c r="T563" s="516"/>
      <c r="U563" s="516"/>
      <c r="V563" s="4"/>
      <c r="W563" s="4"/>
      <c r="X563" s="4"/>
      <c r="Y563" s="4"/>
    </row>
    <row r="564">
      <c r="A564" s="516"/>
      <c r="B564" s="516"/>
      <c r="C564" s="516"/>
      <c r="D564" s="516"/>
      <c r="E564" s="516"/>
      <c r="F564" s="516"/>
      <c r="G564" s="516"/>
      <c r="H564" s="516"/>
      <c r="I564" s="516"/>
      <c r="J564" s="516"/>
      <c r="K564" s="516"/>
      <c r="L564" s="516"/>
      <c r="M564" s="516"/>
      <c r="N564" s="516"/>
      <c r="O564" s="516"/>
      <c r="P564" s="516"/>
      <c r="Q564" s="516"/>
      <c r="R564" s="516"/>
      <c r="S564" s="516"/>
      <c r="T564" s="516"/>
      <c r="U564" s="516"/>
      <c r="V564" s="4"/>
      <c r="W564" s="4"/>
      <c r="X564" s="4"/>
      <c r="Y564" s="4"/>
    </row>
    <row r="565">
      <c r="A565" s="516"/>
      <c r="B565" s="516"/>
      <c r="C565" s="516"/>
      <c r="D565" s="516"/>
      <c r="E565" s="516"/>
      <c r="F565" s="516"/>
      <c r="G565" s="516"/>
      <c r="H565" s="516"/>
      <c r="I565" s="516"/>
      <c r="J565" s="516"/>
      <c r="K565" s="516"/>
      <c r="L565" s="516"/>
      <c r="M565" s="516"/>
      <c r="N565" s="516"/>
      <c r="O565" s="516"/>
      <c r="P565" s="516"/>
      <c r="Q565" s="516"/>
      <c r="R565" s="516"/>
      <c r="S565" s="516"/>
      <c r="T565" s="516"/>
      <c r="U565" s="516"/>
      <c r="V565" s="4"/>
      <c r="W565" s="4"/>
      <c r="X565" s="4"/>
      <c r="Y565" s="4"/>
    </row>
    <row r="566">
      <c r="A566" s="516"/>
      <c r="B566" s="516"/>
      <c r="C566" s="516"/>
      <c r="D566" s="516"/>
      <c r="E566" s="516"/>
      <c r="F566" s="516"/>
      <c r="G566" s="516"/>
      <c r="H566" s="516"/>
      <c r="I566" s="516"/>
      <c r="J566" s="516"/>
      <c r="K566" s="516"/>
      <c r="L566" s="516"/>
      <c r="M566" s="516"/>
      <c r="N566" s="516"/>
      <c r="O566" s="516"/>
      <c r="P566" s="516"/>
      <c r="Q566" s="516"/>
      <c r="R566" s="516"/>
      <c r="S566" s="516"/>
      <c r="T566" s="516"/>
      <c r="U566" s="516"/>
      <c r="V566" s="4"/>
      <c r="W566" s="4"/>
      <c r="X566" s="4"/>
      <c r="Y566" s="4"/>
    </row>
    <row r="567">
      <c r="A567" s="516"/>
      <c r="B567" s="516"/>
      <c r="C567" s="516"/>
      <c r="D567" s="516"/>
      <c r="E567" s="516"/>
      <c r="F567" s="516"/>
      <c r="G567" s="516"/>
      <c r="H567" s="516"/>
      <c r="I567" s="516"/>
      <c r="J567" s="516"/>
      <c r="K567" s="516"/>
      <c r="L567" s="516"/>
      <c r="M567" s="516"/>
      <c r="N567" s="516"/>
      <c r="O567" s="516"/>
      <c r="P567" s="516"/>
      <c r="Q567" s="516"/>
      <c r="R567" s="516"/>
      <c r="S567" s="516"/>
      <c r="T567" s="516"/>
      <c r="U567" s="516"/>
      <c r="V567" s="4"/>
      <c r="W567" s="4"/>
      <c r="X567" s="4"/>
      <c r="Y567" s="4"/>
    </row>
    <row r="568">
      <c r="A568" s="516"/>
      <c r="B568" s="516"/>
      <c r="C568" s="516"/>
      <c r="D568" s="516"/>
      <c r="E568" s="516"/>
      <c r="F568" s="516"/>
      <c r="G568" s="516"/>
      <c r="H568" s="516"/>
      <c r="I568" s="516"/>
      <c r="J568" s="516"/>
      <c r="K568" s="516"/>
      <c r="L568" s="516"/>
      <c r="M568" s="516"/>
      <c r="N568" s="516"/>
      <c r="O568" s="516"/>
      <c r="P568" s="516"/>
      <c r="Q568" s="516"/>
      <c r="R568" s="516"/>
      <c r="S568" s="516"/>
      <c r="T568" s="516"/>
      <c r="U568" s="516"/>
      <c r="V568" s="4"/>
      <c r="W568" s="4"/>
      <c r="X568" s="4"/>
      <c r="Y568" s="4"/>
    </row>
    <row r="569">
      <c r="A569" s="516"/>
      <c r="B569" s="516"/>
      <c r="C569" s="516"/>
      <c r="D569" s="516"/>
      <c r="E569" s="516"/>
      <c r="F569" s="516"/>
      <c r="G569" s="516"/>
      <c r="H569" s="516"/>
      <c r="I569" s="516"/>
      <c r="J569" s="516"/>
      <c r="K569" s="516"/>
      <c r="L569" s="516"/>
      <c r="M569" s="516"/>
      <c r="N569" s="516"/>
      <c r="O569" s="516"/>
      <c r="P569" s="516"/>
      <c r="Q569" s="516"/>
      <c r="R569" s="516"/>
      <c r="S569" s="516"/>
      <c r="T569" s="516"/>
      <c r="U569" s="516"/>
      <c r="V569" s="4"/>
      <c r="W569" s="4"/>
      <c r="X569" s="4"/>
      <c r="Y569" s="4"/>
    </row>
    <row r="570">
      <c r="A570" s="516"/>
      <c r="B570" s="516"/>
      <c r="C570" s="516"/>
      <c r="D570" s="516"/>
      <c r="E570" s="516"/>
      <c r="F570" s="516"/>
      <c r="G570" s="516"/>
      <c r="H570" s="516"/>
      <c r="I570" s="516"/>
      <c r="J570" s="516"/>
      <c r="K570" s="516"/>
      <c r="L570" s="516"/>
      <c r="M570" s="516"/>
      <c r="N570" s="516"/>
      <c r="O570" s="516"/>
      <c r="P570" s="516"/>
      <c r="Q570" s="516"/>
      <c r="R570" s="516"/>
      <c r="S570" s="516"/>
      <c r="T570" s="516"/>
      <c r="U570" s="516"/>
      <c r="V570" s="4"/>
      <c r="W570" s="4"/>
      <c r="X570" s="4"/>
      <c r="Y570" s="4"/>
    </row>
    <row r="571">
      <c r="A571" s="516"/>
      <c r="B571" s="516"/>
      <c r="C571" s="516"/>
      <c r="D571" s="516"/>
      <c r="E571" s="516"/>
      <c r="F571" s="516"/>
      <c r="G571" s="516"/>
      <c r="H571" s="516"/>
      <c r="I571" s="516"/>
      <c r="J571" s="516"/>
      <c r="K571" s="516"/>
      <c r="L571" s="516"/>
      <c r="M571" s="516"/>
      <c r="N571" s="516"/>
      <c r="O571" s="516"/>
      <c r="P571" s="516"/>
      <c r="Q571" s="516"/>
      <c r="R571" s="516"/>
      <c r="S571" s="516"/>
      <c r="T571" s="516"/>
      <c r="U571" s="516"/>
      <c r="V571" s="4"/>
      <c r="W571" s="4"/>
      <c r="X571" s="4"/>
      <c r="Y571" s="4"/>
    </row>
    <row r="572">
      <c r="A572" s="516"/>
      <c r="B572" s="516"/>
      <c r="C572" s="516"/>
      <c r="D572" s="516"/>
      <c r="E572" s="516"/>
      <c r="F572" s="516"/>
      <c r="G572" s="516"/>
      <c r="H572" s="516"/>
      <c r="I572" s="516"/>
      <c r="J572" s="516"/>
      <c r="K572" s="516"/>
      <c r="L572" s="516"/>
      <c r="M572" s="516"/>
      <c r="N572" s="516"/>
      <c r="O572" s="516"/>
      <c r="P572" s="516"/>
      <c r="Q572" s="516"/>
      <c r="R572" s="516"/>
      <c r="S572" s="516"/>
      <c r="T572" s="516"/>
      <c r="U572" s="516"/>
      <c r="V572" s="4"/>
      <c r="W572" s="4"/>
      <c r="X572" s="4"/>
      <c r="Y572" s="4"/>
    </row>
    <row r="573">
      <c r="A573" s="516"/>
      <c r="B573" s="516"/>
      <c r="C573" s="516"/>
      <c r="D573" s="516"/>
      <c r="E573" s="516"/>
      <c r="F573" s="516"/>
      <c r="G573" s="516"/>
      <c r="H573" s="516"/>
      <c r="I573" s="516"/>
      <c r="J573" s="516"/>
      <c r="K573" s="516"/>
      <c r="L573" s="516"/>
      <c r="M573" s="516"/>
      <c r="N573" s="516"/>
      <c r="O573" s="516"/>
      <c r="P573" s="516"/>
      <c r="Q573" s="516"/>
      <c r="R573" s="516"/>
      <c r="S573" s="516"/>
      <c r="T573" s="516"/>
      <c r="U573" s="516"/>
      <c r="V573" s="4"/>
      <c r="W573" s="4"/>
      <c r="X573" s="4"/>
      <c r="Y573" s="4"/>
    </row>
    <row r="574">
      <c r="A574" s="516"/>
      <c r="B574" s="516"/>
      <c r="C574" s="516"/>
      <c r="D574" s="516"/>
      <c r="E574" s="516"/>
      <c r="F574" s="516"/>
      <c r="G574" s="516"/>
      <c r="H574" s="516"/>
      <c r="I574" s="516"/>
      <c r="J574" s="516"/>
      <c r="K574" s="516"/>
      <c r="L574" s="516"/>
      <c r="M574" s="516"/>
      <c r="N574" s="516"/>
      <c r="O574" s="516"/>
      <c r="P574" s="516"/>
      <c r="Q574" s="516"/>
      <c r="R574" s="516"/>
      <c r="S574" s="516"/>
      <c r="T574" s="516"/>
      <c r="U574" s="516"/>
      <c r="V574" s="4"/>
      <c r="W574" s="4"/>
      <c r="X574" s="4"/>
      <c r="Y574" s="4"/>
    </row>
    <row r="575">
      <c r="A575" s="516"/>
      <c r="B575" s="516"/>
      <c r="C575" s="516"/>
      <c r="D575" s="516"/>
      <c r="E575" s="516"/>
      <c r="F575" s="516"/>
      <c r="G575" s="516"/>
      <c r="H575" s="516"/>
      <c r="I575" s="516"/>
      <c r="J575" s="516"/>
      <c r="K575" s="516"/>
      <c r="L575" s="516"/>
      <c r="M575" s="516"/>
      <c r="N575" s="516"/>
      <c r="O575" s="516"/>
      <c r="P575" s="516"/>
      <c r="Q575" s="516"/>
      <c r="R575" s="516"/>
      <c r="S575" s="516"/>
      <c r="T575" s="516"/>
      <c r="U575" s="516"/>
      <c r="V575" s="4"/>
      <c r="W575" s="4"/>
      <c r="X575" s="4"/>
      <c r="Y575" s="4"/>
    </row>
    <row r="576">
      <c r="A576" s="516"/>
      <c r="B576" s="516"/>
      <c r="C576" s="516"/>
      <c r="D576" s="516"/>
      <c r="E576" s="516"/>
      <c r="F576" s="516"/>
      <c r="G576" s="516"/>
      <c r="H576" s="516"/>
      <c r="I576" s="516"/>
      <c r="J576" s="516"/>
      <c r="K576" s="516"/>
      <c r="L576" s="516"/>
      <c r="M576" s="516"/>
      <c r="N576" s="516"/>
      <c r="O576" s="516"/>
      <c r="P576" s="516"/>
      <c r="Q576" s="516"/>
      <c r="R576" s="516"/>
      <c r="S576" s="516"/>
      <c r="T576" s="516"/>
      <c r="U576" s="516"/>
      <c r="V576" s="4"/>
      <c r="W576" s="4"/>
      <c r="X576" s="4"/>
      <c r="Y576" s="4"/>
    </row>
    <row r="577">
      <c r="A577" s="516"/>
      <c r="B577" s="516"/>
      <c r="C577" s="516"/>
      <c r="D577" s="516"/>
      <c r="E577" s="516"/>
      <c r="F577" s="516"/>
      <c r="G577" s="516"/>
      <c r="H577" s="516"/>
      <c r="I577" s="516"/>
      <c r="J577" s="516"/>
      <c r="K577" s="516"/>
      <c r="L577" s="516"/>
      <c r="M577" s="516"/>
      <c r="N577" s="516"/>
      <c r="O577" s="516"/>
      <c r="P577" s="516"/>
      <c r="Q577" s="516"/>
      <c r="R577" s="516"/>
      <c r="S577" s="516"/>
      <c r="T577" s="516"/>
      <c r="U577" s="516"/>
      <c r="V577" s="4"/>
      <c r="W577" s="4"/>
      <c r="X577" s="4"/>
      <c r="Y577" s="4"/>
    </row>
    <row r="578">
      <c r="A578" s="516"/>
      <c r="B578" s="516"/>
      <c r="C578" s="516"/>
      <c r="D578" s="516"/>
      <c r="E578" s="516"/>
      <c r="F578" s="516"/>
      <c r="G578" s="516"/>
      <c r="H578" s="516"/>
      <c r="I578" s="516"/>
      <c r="J578" s="516"/>
      <c r="K578" s="516"/>
      <c r="L578" s="516"/>
      <c r="M578" s="516"/>
      <c r="N578" s="516"/>
      <c r="O578" s="516"/>
      <c r="P578" s="516"/>
      <c r="Q578" s="516"/>
      <c r="R578" s="516"/>
      <c r="S578" s="516"/>
      <c r="T578" s="516"/>
      <c r="U578" s="516"/>
      <c r="V578" s="4"/>
      <c r="W578" s="4"/>
      <c r="X578" s="4"/>
      <c r="Y578" s="4"/>
    </row>
    <row r="579">
      <c r="A579" s="516"/>
      <c r="B579" s="516"/>
      <c r="C579" s="516"/>
      <c r="D579" s="516"/>
      <c r="E579" s="516"/>
      <c r="F579" s="516"/>
      <c r="G579" s="516"/>
      <c r="H579" s="516"/>
      <c r="I579" s="516"/>
      <c r="J579" s="516"/>
      <c r="K579" s="516"/>
      <c r="L579" s="516"/>
      <c r="M579" s="516"/>
      <c r="N579" s="516"/>
      <c r="O579" s="516"/>
      <c r="P579" s="516"/>
      <c r="Q579" s="516"/>
      <c r="R579" s="516"/>
      <c r="S579" s="516"/>
      <c r="T579" s="516"/>
      <c r="U579" s="516"/>
      <c r="V579" s="4"/>
      <c r="W579" s="4"/>
      <c r="X579" s="4"/>
      <c r="Y579" s="4"/>
    </row>
    <row r="580">
      <c r="A580" s="516"/>
      <c r="B580" s="516"/>
      <c r="C580" s="516"/>
      <c r="D580" s="516"/>
      <c r="E580" s="516"/>
      <c r="F580" s="516"/>
      <c r="G580" s="516"/>
      <c r="H580" s="516"/>
      <c r="I580" s="516"/>
      <c r="J580" s="516"/>
      <c r="K580" s="516"/>
      <c r="L580" s="516"/>
      <c r="M580" s="516"/>
      <c r="N580" s="516"/>
      <c r="O580" s="516"/>
      <c r="P580" s="516"/>
      <c r="Q580" s="516"/>
      <c r="R580" s="516"/>
      <c r="S580" s="516"/>
      <c r="T580" s="516"/>
      <c r="U580" s="516"/>
      <c r="V580" s="4"/>
      <c r="W580" s="4"/>
      <c r="X580" s="4"/>
      <c r="Y580" s="4"/>
    </row>
    <row r="581">
      <c r="A581" s="516"/>
      <c r="B581" s="516"/>
      <c r="C581" s="516"/>
      <c r="D581" s="516"/>
      <c r="E581" s="516"/>
      <c r="F581" s="516"/>
      <c r="G581" s="516"/>
      <c r="H581" s="516"/>
      <c r="I581" s="516"/>
      <c r="J581" s="516"/>
      <c r="K581" s="516"/>
      <c r="L581" s="516"/>
      <c r="M581" s="516"/>
      <c r="N581" s="516"/>
      <c r="O581" s="516"/>
      <c r="P581" s="516"/>
      <c r="Q581" s="516"/>
      <c r="R581" s="516"/>
      <c r="S581" s="516"/>
      <c r="T581" s="516"/>
      <c r="U581" s="516"/>
      <c r="V581" s="4"/>
      <c r="W581" s="4"/>
      <c r="X581" s="4"/>
      <c r="Y581" s="4"/>
    </row>
    <row r="582">
      <c r="A582" s="516"/>
      <c r="B582" s="516"/>
      <c r="C582" s="516"/>
      <c r="D582" s="516"/>
      <c r="E582" s="516"/>
      <c r="F582" s="516"/>
      <c r="G582" s="516"/>
      <c r="H582" s="516"/>
      <c r="I582" s="516"/>
      <c r="J582" s="516"/>
      <c r="K582" s="516"/>
      <c r="L582" s="516"/>
      <c r="M582" s="516"/>
      <c r="N582" s="516"/>
      <c r="O582" s="516"/>
      <c r="P582" s="516"/>
      <c r="Q582" s="516"/>
      <c r="R582" s="516"/>
      <c r="S582" s="516"/>
      <c r="T582" s="516"/>
      <c r="U582" s="516"/>
      <c r="V582" s="4"/>
      <c r="W582" s="4"/>
      <c r="X582" s="4"/>
      <c r="Y582" s="4"/>
    </row>
    <row r="583">
      <c r="A583" s="516"/>
      <c r="B583" s="516"/>
      <c r="C583" s="516"/>
      <c r="D583" s="516"/>
      <c r="E583" s="516"/>
      <c r="F583" s="516"/>
      <c r="G583" s="516"/>
      <c r="H583" s="516"/>
      <c r="I583" s="516"/>
      <c r="J583" s="516"/>
      <c r="K583" s="516"/>
      <c r="L583" s="516"/>
      <c r="M583" s="516"/>
      <c r="N583" s="516"/>
      <c r="O583" s="516"/>
      <c r="P583" s="516"/>
      <c r="Q583" s="516"/>
      <c r="R583" s="516"/>
      <c r="S583" s="516"/>
      <c r="T583" s="516"/>
      <c r="U583" s="516"/>
      <c r="V583" s="4"/>
      <c r="W583" s="4"/>
      <c r="X583" s="4"/>
      <c r="Y583" s="4"/>
    </row>
    <row r="584">
      <c r="A584" s="516"/>
      <c r="B584" s="516"/>
      <c r="C584" s="516"/>
      <c r="D584" s="516"/>
      <c r="E584" s="516"/>
      <c r="F584" s="516"/>
      <c r="G584" s="516"/>
      <c r="H584" s="516"/>
      <c r="I584" s="516"/>
      <c r="J584" s="516"/>
      <c r="K584" s="516"/>
      <c r="L584" s="516"/>
      <c r="M584" s="516"/>
      <c r="N584" s="516"/>
      <c r="O584" s="516"/>
      <c r="P584" s="516"/>
      <c r="Q584" s="516"/>
      <c r="R584" s="516"/>
      <c r="S584" s="516"/>
      <c r="T584" s="516"/>
      <c r="U584" s="516"/>
      <c r="V584" s="4"/>
      <c r="W584" s="4"/>
      <c r="X584" s="4"/>
      <c r="Y584" s="4"/>
    </row>
    <row r="585">
      <c r="A585" s="516"/>
      <c r="B585" s="516"/>
      <c r="C585" s="516"/>
      <c r="D585" s="516"/>
      <c r="E585" s="516"/>
      <c r="F585" s="516"/>
      <c r="G585" s="516"/>
      <c r="H585" s="516"/>
      <c r="I585" s="516"/>
      <c r="J585" s="516"/>
      <c r="K585" s="516"/>
      <c r="L585" s="516"/>
      <c r="M585" s="516"/>
      <c r="N585" s="516"/>
      <c r="O585" s="516"/>
      <c r="P585" s="516"/>
      <c r="Q585" s="516"/>
      <c r="R585" s="516"/>
      <c r="S585" s="516"/>
      <c r="T585" s="516"/>
      <c r="U585" s="516"/>
      <c r="V585" s="4"/>
      <c r="W585" s="4"/>
      <c r="X585" s="4"/>
      <c r="Y585" s="4"/>
    </row>
    <row r="586">
      <c r="A586" s="516"/>
      <c r="B586" s="516"/>
      <c r="C586" s="516"/>
      <c r="D586" s="516"/>
      <c r="E586" s="516"/>
      <c r="F586" s="516"/>
      <c r="G586" s="516"/>
      <c r="H586" s="516"/>
      <c r="I586" s="516"/>
      <c r="J586" s="516"/>
      <c r="K586" s="516"/>
      <c r="L586" s="516"/>
      <c r="M586" s="516"/>
      <c r="N586" s="516"/>
      <c r="O586" s="516"/>
      <c r="P586" s="516"/>
      <c r="Q586" s="516"/>
      <c r="R586" s="516"/>
      <c r="S586" s="516"/>
      <c r="T586" s="516"/>
      <c r="U586" s="516"/>
      <c r="V586" s="4"/>
      <c r="W586" s="4"/>
      <c r="X586" s="4"/>
      <c r="Y586" s="4"/>
    </row>
    <row r="587">
      <c r="A587" s="516"/>
      <c r="B587" s="516"/>
      <c r="C587" s="516"/>
      <c r="D587" s="516"/>
      <c r="E587" s="516"/>
      <c r="F587" s="516"/>
      <c r="G587" s="516"/>
      <c r="H587" s="516"/>
      <c r="I587" s="516"/>
      <c r="J587" s="516"/>
      <c r="K587" s="516"/>
      <c r="L587" s="516"/>
      <c r="M587" s="516"/>
      <c r="N587" s="516"/>
      <c r="O587" s="516"/>
      <c r="P587" s="516"/>
      <c r="Q587" s="516"/>
      <c r="R587" s="516"/>
      <c r="S587" s="516"/>
      <c r="T587" s="516"/>
      <c r="U587" s="516"/>
      <c r="V587" s="4"/>
      <c r="W587" s="4"/>
      <c r="X587" s="4"/>
      <c r="Y587" s="4"/>
    </row>
    <row r="588">
      <c r="A588" s="516"/>
      <c r="B588" s="516"/>
      <c r="C588" s="516"/>
      <c r="D588" s="516"/>
      <c r="E588" s="516"/>
      <c r="F588" s="516"/>
      <c r="G588" s="516"/>
      <c r="H588" s="516"/>
      <c r="I588" s="516"/>
      <c r="J588" s="516"/>
      <c r="K588" s="516"/>
      <c r="L588" s="516"/>
      <c r="M588" s="516"/>
      <c r="N588" s="516"/>
      <c r="O588" s="516"/>
      <c r="P588" s="516"/>
      <c r="Q588" s="516"/>
      <c r="R588" s="516"/>
      <c r="S588" s="516"/>
      <c r="T588" s="516"/>
      <c r="U588" s="516"/>
      <c r="V588" s="4"/>
      <c r="W588" s="4"/>
      <c r="X588" s="4"/>
      <c r="Y588" s="4"/>
    </row>
    <row r="589">
      <c r="A589" s="516"/>
      <c r="B589" s="516"/>
      <c r="C589" s="516"/>
      <c r="D589" s="516"/>
      <c r="E589" s="516"/>
      <c r="F589" s="516"/>
      <c r="G589" s="516"/>
      <c r="H589" s="516"/>
      <c r="I589" s="516"/>
      <c r="J589" s="516"/>
      <c r="K589" s="516"/>
      <c r="L589" s="516"/>
      <c r="M589" s="516"/>
      <c r="N589" s="516"/>
      <c r="O589" s="516"/>
      <c r="P589" s="516"/>
      <c r="Q589" s="516"/>
      <c r="R589" s="516"/>
      <c r="S589" s="516"/>
      <c r="T589" s="516"/>
      <c r="U589" s="516"/>
      <c r="V589" s="4"/>
      <c r="W589" s="4"/>
      <c r="X589" s="4"/>
      <c r="Y589" s="4"/>
    </row>
    <row r="590">
      <c r="A590" s="516"/>
      <c r="B590" s="516"/>
      <c r="C590" s="516"/>
      <c r="D590" s="516"/>
      <c r="E590" s="516"/>
      <c r="F590" s="516"/>
      <c r="G590" s="516"/>
      <c r="H590" s="516"/>
      <c r="I590" s="516"/>
      <c r="J590" s="516"/>
      <c r="K590" s="516"/>
      <c r="L590" s="516"/>
      <c r="M590" s="516"/>
      <c r="N590" s="516"/>
      <c r="O590" s="516"/>
      <c r="P590" s="516"/>
      <c r="Q590" s="516"/>
      <c r="R590" s="516"/>
      <c r="S590" s="516"/>
      <c r="T590" s="516"/>
      <c r="U590" s="516"/>
      <c r="V590" s="4"/>
      <c r="W590" s="4"/>
      <c r="X590" s="4"/>
      <c r="Y590" s="4"/>
    </row>
    <row r="591">
      <c r="A591" s="516"/>
      <c r="B591" s="516"/>
      <c r="C591" s="516"/>
      <c r="D591" s="516"/>
      <c r="E591" s="516"/>
      <c r="F591" s="516"/>
      <c r="G591" s="516"/>
      <c r="H591" s="516"/>
      <c r="I591" s="516"/>
      <c r="J591" s="516"/>
      <c r="K591" s="516"/>
      <c r="L591" s="516"/>
      <c r="M591" s="516"/>
      <c r="N591" s="516"/>
      <c r="O591" s="516"/>
      <c r="P591" s="516"/>
      <c r="Q591" s="516"/>
      <c r="R591" s="516"/>
      <c r="S591" s="516"/>
      <c r="T591" s="516"/>
      <c r="U591" s="516"/>
      <c r="V591" s="4"/>
      <c r="W591" s="4"/>
      <c r="X591" s="4"/>
      <c r="Y591" s="4"/>
    </row>
    <row r="592">
      <c r="A592" s="516"/>
      <c r="B592" s="516"/>
      <c r="C592" s="516"/>
      <c r="D592" s="516"/>
      <c r="E592" s="516"/>
      <c r="F592" s="516"/>
      <c r="G592" s="516"/>
      <c r="H592" s="516"/>
      <c r="I592" s="516"/>
      <c r="J592" s="516"/>
      <c r="K592" s="516"/>
      <c r="L592" s="516"/>
      <c r="M592" s="516"/>
      <c r="N592" s="516"/>
      <c r="O592" s="516"/>
      <c r="P592" s="516"/>
      <c r="Q592" s="516"/>
      <c r="R592" s="516"/>
      <c r="S592" s="516"/>
      <c r="T592" s="516"/>
      <c r="U592" s="516"/>
      <c r="V592" s="4"/>
      <c r="W592" s="4"/>
      <c r="X592" s="4"/>
      <c r="Y592" s="4"/>
    </row>
    <row r="593">
      <c r="A593" s="516"/>
      <c r="B593" s="516"/>
      <c r="C593" s="516"/>
      <c r="D593" s="516"/>
      <c r="E593" s="516"/>
      <c r="F593" s="516"/>
      <c r="G593" s="516"/>
      <c r="H593" s="516"/>
      <c r="I593" s="516"/>
      <c r="J593" s="516"/>
      <c r="K593" s="516"/>
      <c r="L593" s="516"/>
      <c r="M593" s="516"/>
      <c r="N593" s="516"/>
      <c r="O593" s="516"/>
      <c r="P593" s="516"/>
      <c r="Q593" s="516"/>
      <c r="R593" s="516"/>
      <c r="S593" s="516"/>
      <c r="T593" s="516"/>
      <c r="U593" s="516"/>
      <c r="V593" s="4"/>
      <c r="W593" s="4"/>
      <c r="X593" s="4"/>
      <c r="Y593" s="4"/>
    </row>
    <row r="594">
      <c r="A594" s="516"/>
      <c r="B594" s="516"/>
      <c r="C594" s="516"/>
      <c r="D594" s="516"/>
      <c r="E594" s="516"/>
      <c r="F594" s="516"/>
      <c r="G594" s="516"/>
      <c r="H594" s="516"/>
      <c r="I594" s="516"/>
      <c r="J594" s="516"/>
      <c r="K594" s="516"/>
      <c r="L594" s="516"/>
      <c r="M594" s="516"/>
      <c r="N594" s="516"/>
      <c r="O594" s="516"/>
      <c r="P594" s="516"/>
      <c r="Q594" s="516"/>
      <c r="R594" s="516"/>
      <c r="S594" s="516"/>
      <c r="T594" s="516"/>
      <c r="U594" s="516"/>
      <c r="V594" s="4"/>
      <c r="W594" s="4"/>
      <c r="X594" s="4"/>
      <c r="Y594" s="4"/>
    </row>
    <row r="595">
      <c r="A595" s="516"/>
      <c r="B595" s="516"/>
      <c r="C595" s="516"/>
      <c r="D595" s="516"/>
      <c r="E595" s="516"/>
      <c r="F595" s="516"/>
      <c r="G595" s="516"/>
      <c r="H595" s="516"/>
      <c r="I595" s="516"/>
      <c r="J595" s="516"/>
      <c r="K595" s="516"/>
      <c r="L595" s="516"/>
      <c r="M595" s="516"/>
      <c r="N595" s="516"/>
      <c r="O595" s="516"/>
      <c r="P595" s="516"/>
      <c r="Q595" s="516"/>
      <c r="R595" s="516"/>
      <c r="S595" s="516"/>
      <c r="T595" s="516"/>
      <c r="U595" s="516"/>
      <c r="V595" s="4"/>
      <c r="W595" s="4"/>
      <c r="X595" s="4"/>
      <c r="Y595" s="4"/>
    </row>
    <row r="596">
      <c r="A596" s="516"/>
      <c r="B596" s="516"/>
      <c r="C596" s="516"/>
      <c r="D596" s="516"/>
      <c r="E596" s="516"/>
      <c r="F596" s="516"/>
      <c r="G596" s="516"/>
      <c r="H596" s="516"/>
      <c r="I596" s="516"/>
      <c r="J596" s="516"/>
      <c r="K596" s="516"/>
      <c r="L596" s="516"/>
      <c r="M596" s="516"/>
      <c r="N596" s="516"/>
      <c r="O596" s="516"/>
      <c r="P596" s="516"/>
      <c r="Q596" s="516"/>
      <c r="R596" s="516"/>
      <c r="S596" s="516"/>
      <c r="T596" s="516"/>
      <c r="U596" s="516"/>
      <c r="V596" s="4"/>
      <c r="W596" s="4"/>
      <c r="X596" s="4"/>
      <c r="Y596" s="4"/>
    </row>
    <row r="597">
      <c r="A597" s="516"/>
      <c r="B597" s="516"/>
      <c r="C597" s="516"/>
      <c r="D597" s="516"/>
      <c r="E597" s="516"/>
      <c r="F597" s="516"/>
      <c r="G597" s="516"/>
      <c r="H597" s="516"/>
      <c r="I597" s="516"/>
      <c r="J597" s="516"/>
      <c r="K597" s="516"/>
      <c r="L597" s="516"/>
      <c r="M597" s="516"/>
      <c r="N597" s="516"/>
      <c r="O597" s="516"/>
      <c r="P597" s="516"/>
      <c r="Q597" s="516"/>
      <c r="R597" s="516"/>
      <c r="S597" s="516"/>
      <c r="T597" s="516"/>
      <c r="U597" s="516"/>
      <c r="V597" s="4"/>
      <c r="W597" s="4"/>
      <c r="X597" s="4"/>
      <c r="Y597" s="4"/>
    </row>
    <row r="598">
      <c r="A598" s="516"/>
      <c r="B598" s="516"/>
      <c r="C598" s="516"/>
      <c r="D598" s="516"/>
      <c r="E598" s="516"/>
      <c r="F598" s="516"/>
      <c r="G598" s="516"/>
      <c r="H598" s="516"/>
      <c r="I598" s="516"/>
      <c r="J598" s="516"/>
      <c r="K598" s="516"/>
      <c r="L598" s="516"/>
      <c r="M598" s="516"/>
      <c r="N598" s="516"/>
      <c r="O598" s="516"/>
      <c r="P598" s="516"/>
      <c r="Q598" s="516"/>
      <c r="R598" s="516"/>
      <c r="S598" s="516"/>
      <c r="T598" s="516"/>
      <c r="U598" s="516"/>
      <c r="V598" s="4"/>
      <c r="W598" s="4"/>
      <c r="X598" s="4"/>
      <c r="Y598" s="4"/>
    </row>
    <row r="599">
      <c r="A599" s="516"/>
      <c r="B599" s="516"/>
      <c r="C599" s="516"/>
      <c r="D599" s="516"/>
      <c r="E599" s="516"/>
      <c r="F599" s="516"/>
      <c r="G599" s="516"/>
      <c r="H599" s="516"/>
      <c r="I599" s="516"/>
      <c r="J599" s="516"/>
      <c r="K599" s="516"/>
      <c r="L599" s="516"/>
      <c r="M599" s="516"/>
      <c r="N599" s="516"/>
      <c r="O599" s="516"/>
      <c r="P599" s="516"/>
      <c r="Q599" s="516"/>
      <c r="R599" s="516"/>
      <c r="S599" s="516"/>
      <c r="T599" s="516"/>
      <c r="U599" s="516"/>
      <c r="V599" s="4"/>
      <c r="W599" s="4"/>
      <c r="X599" s="4"/>
      <c r="Y599" s="4"/>
    </row>
    <row r="600">
      <c r="A600" s="516"/>
      <c r="B600" s="516"/>
      <c r="C600" s="516"/>
      <c r="D600" s="516"/>
      <c r="E600" s="516"/>
      <c r="F600" s="516"/>
      <c r="G600" s="516"/>
      <c r="H600" s="516"/>
      <c r="I600" s="516"/>
      <c r="J600" s="516"/>
      <c r="K600" s="516"/>
      <c r="L600" s="516"/>
      <c r="M600" s="516"/>
      <c r="N600" s="516"/>
      <c r="O600" s="516"/>
      <c r="P600" s="516"/>
      <c r="Q600" s="516"/>
      <c r="R600" s="516"/>
      <c r="S600" s="516"/>
      <c r="T600" s="516"/>
      <c r="U600" s="516"/>
      <c r="V600" s="4"/>
      <c r="W600" s="4"/>
      <c r="X600" s="4"/>
      <c r="Y600" s="4"/>
    </row>
    <row r="601">
      <c r="A601" s="516"/>
      <c r="B601" s="516"/>
      <c r="C601" s="516"/>
      <c r="D601" s="516"/>
      <c r="E601" s="516"/>
      <c r="F601" s="516"/>
      <c r="G601" s="516"/>
      <c r="H601" s="516"/>
      <c r="I601" s="516"/>
      <c r="J601" s="516"/>
      <c r="K601" s="516"/>
      <c r="L601" s="516"/>
      <c r="M601" s="516"/>
      <c r="N601" s="516"/>
      <c r="O601" s="516"/>
      <c r="P601" s="516"/>
      <c r="Q601" s="516"/>
      <c r="R601" s="516"/>
      <c r="S601" s="516"/>
      <c r="T601" s="516"/>
      <c r="U601" s="516"/>
      <c r="V601" s="4"/>
      <c r="W601" s="4"/>
      <c r="X601" s="4"/>
      <c r="Y601" s="4"/>
    </row>
    <row r="602">
      <c r="A602" s="516"/>
      <c r="B602" s="516"/>
      <c r="C602" s="516"/>
      <c r="D602" s="516"/>
      <c r="E602" s="516"/>
      <c r="F602" s="516"/>
      <c r="G602" s="516"/>
      <c r="H602" s="516"/>
      <c r="I602" s="516"/>
      <c r="J602" s="516"/>
      <c r="K602" s="516"/>
      <c r="L602" s="516"/>
      <c r="M602" s="516"/>
      <c r="N602" s="516"/>
      <c r="O602" s="516"/>
      <c r="P602" s="516"/>
      <c r="Q602" s="516"/>
      <c r="R602" s="516"/>
      <c r="S602" s="516"/>
      <c r="T602" s="516"/>
      <c r="U602" s="516"/>
      <c r="V602" s="4"/>
      <c r="W602" s="4"/>
      <c r="X602" s="4"/>
      <c r="Y602" s="4"/>
    </row>
    <row r="603">
      <c r="A603" s="516"/>
      <c r="B603" s="516"/>
      <c r="C603" s="516"/>
      <c r="D603" s="516"/>
      <c r="E603" s="516"/>
      <c r="F603" s="516"/>
      <c r="G603" s="516"/>
      <c r="H603" s="516"/>
      <c r="I603" s="516"/>
      <c r="J603" s="516"/>
      <c r="K603" s="516"/>
      <c r="L603" s="516"/>
      <c r="M603" s="516"/>
      <c r="N603" s="516"/>
      <c r="O603" s="516"/>
      <c r="P603" s="516"/>
      <c r="Q603" s="516"/>
      <c r="R603" s="516"/>
      <c r="S603" s="516"/>
      <c r="T603" s="516"/>
      <c r="U603" s="516"/>
      <c r="V603" s="4"/>
      <c r="W603" s="4"/>
      <c r="X603" s="4"/>
      <c r="Y603" s="4"/>
    </row>
    <row r="604">
      <c r="A604" s="516"/>
      <c r="B604" s="516"/>
      <c r="C604" s="516"/>
      <c r="D604" s="516"/>
      <c r="E604" s="516"/>
      <c r="F604" s="516"/>
      <c r="G604" s="516"/>
      <c r="H604" s="516"/>
      <c r="I604" s="516"/>
      <c r="J604" s="516"/>
      <c r="K604" s="516"/>
      <c r="L604" s="516"/>
      <c r="M604" s="516"/>
      <c r="N604" s="516"/>
      <c r="O604" s="516"/>
      <c r="P604" s="516"/>
      <c r="Q604" s="516"/>
      <c r="R604" s="516"/>
      <c r="S604" s="516"/>
      <c r="T604" s="516"/>
      <c r="U604" s="516"/>
      <c r="V604" s="4"/>
      <c r="W604" s="4"/>
      <c r="X604" s="4"/>
      <c r="Y604" s="4"/>
    </row>
    <row r="605">
      <c r="A605" s="516"/>
      <c r="B605" s="516"/>
      <c r="C605" s="516"/>
      <c r="D605" s="516"/>
      <c r="E605" s="516"/>
      <c r="F605" s="516"/>
      <c r="G605" s="516"/>
      <c r="H605" s="516"/>
      <c r="I605" s="516"/>
      <c r="J605" s="516"/>
      <c r="K605" s="516"/>
      <c r="L605" s="516"/>
      <c r="M605" s="516"/>
      <c r="N605" s="516"/>
      <c r="O605" s="516"/>
      <c r="P605" s="516"/>
      <c r="Q605" s="516"/>
      <c r="R605" s="516"/>
      <c r="S605" s="516"/>
      <c r="T605" s="516"/>
      <c r="U605" s="516"/>
      <c r="V605" s="4"/>
      <c r="W605" s="4"/>
      <c r="X605" s="4"/>
      <c r="Y605" s="4"/>
    </row>
    <row r="606">
      <c r="A606" s="516"/>
      <c r="B606" s="516"/>
      <c r="C606" s="516"/>
      <c r="D606" s="516"/>
      <c r="E606" s="516"/>
      <c r="F606" s="516"/>
      <c r="G606" s="516"/>
      <c r="H606" s="516"/>
      <c r="I606" s="516"/>
      <c r="J606" s="516"/>
      <c r="K606" s="516"/>
      <c r="L606" s="516"/>
      <c r="M606" s="516"/>
      <c r="N606" s="516"/>
      <c r="O606" s="516"/>
      <c r="P606" s="516"/>
      <c r="Q606" s="516"/>
      <c r="R606" s="516"/>
      <c r="S606" s="516"/>
      <c r="T606" s="516"/>
      <c r="U606" s="516"/>
      <c r="V606" s="4"/>
      <c r="W606" s="4"/>
      <c r="X606" s="4"/>
      <c r="Y606" s="4"/>
    </row>
    <row r="607">
      <c r="A607" s="516"/>
      <c r="B607" s="516"/>
      <c r="C607" s="516"/>
      <c r="D607" s="516"/>
      <c r="E607" s="516"/>
      <c r="F607" s="516"/>
      <c r="G607" s="516"/>
      <c r="H607" s="516"/>
      <c r="I607" s="516"/>
      <c r="J607" s="516"/>
      <c r="K607" s="516"/>
      <c r="L607" s="516"/>
      <c r="M607" s="516"/>
      <c r="N607" s="516"/>
      <c r="O607" s="516"/>
      <c r="P607" s="516"/>
      <c r="Q607" s="516"/>
      <c r="R607" s="516"/>
      <c r="S607" s="516"/>
      <c r="T607" s="516"/>
      <c r="U607" s="516"/>
      <c r="V607" s="4"/>
      <c r="W607" s="4"/>
      <c r="X607" s="4"/>
      <c r="Y607" s="4"/>
    </row>
    <row r="608">
      <c r="A608" s="516"/>
      <c r="B608" s="516"/>
      <c r="C608" s="516"/>
      <c r="D608" s="516"/>
      <c r="E608" s="516"/>
      <c r="F608" s="516"/>
      <c r="G608" s="516"/>
      <c r="H608" s="516"/>
      <c r="I608" s="516"/>
      <c r="J608" s="516"/>
      <c r="K608" s="516"/>
      <c r="L608" s="516"/>
      <c r="M608" s="516"/>
      <c r="N608" s="516"/>
      <c r="O608" s="516"/>
      <c r="P608" s="516"/>
      <c r="Q608" s="516"/>
      <c r="R608" s="516"/>
      <c r="S608" s="516"/>
      <c r="T608" s="516"/>
      <c r="U608" s="516"/>
      <c r="V608" s="4"/>
      <c r="W608" s="4"/>
      <c r="X608" s="4"/>
      <c r="Y608" s="4"/>
    </row>
    <row r="609">
      <c r="A609" s="516"/>
      <c r="B609" s="516"/>
      <c r="C609" s="516"/>
      <c r="D609" s="516"/>
      <c r="E609" s="516"/>
      <c r="F609" s="516"/>
      <c r="G609" s="516"/>
      <c r="H609" s="516"/>
      <c r="I609" s="516"/>
      <c r="J609" s="516"/>
      <c r="K609" s="516"/>
      <c r="L609" s="516"/>
      <c r="M609" s="516"/>
      <c r="N609" s="516"/>
      <c r="O609" s="516"/>
      <c r="P609" s="516"/>
      <c r="Q609" s="516"/>
      <c r="R609" s="516"/>
      <c r="S609" s="516"/>
      <c r="T609" s="516"/>
      <c r="U609" s="516"/>
      <c r="V609" s="4"/>
      <c r="W609" s="4"/>
      <c r="X609" s="4"/>
      <c r="Y609" s="4"/>
    </row>
    <row r="610">
      <c r="A610" s="516"/>
      <c r="B610" s="516"/>
      <c r="C610" s="516"/>
      <c r="D610" s="516"/>
      <c r="E610" s="516"/>
      <c r="F610" s="516"/>
      <c r="G610" s="516"/>
      <c r="H610" s="516"/>
      <c r="I610" s="516"/>
      <c r="J610" s="516"/>
      <c r="K610" s="516"/>
      <c r="L610" s="516"/>
      <c r="M610" s="516"/>
      <c r="N610" s="516"/>
      <c r="O610" s="516"/>
      <c r="P610" s="516"/>
      <c r="Q610" s="516"/>
      <c r="R610" s="516"/>
      <c r="S610" s="516"/>
      <c r="T610" s="516"/>
      <c r="U610" s="516"/>
      <c r="V610" s="4"/>
      <c r="W610" s="4"/>
      <c r="X610" s="4"/>
      <c r="Y610" s="4"/>
    </row>
    <row r="611">
      <c r="A611" s="516"/>
      <c r="B611" s="516"/>
      <c r="C611" s="516"/>
      <c r="D611" s="516"/>
      <c r="E611" s="516"/>
      <c r="F611" s="516"/>
      <c r="G611" s="516"/>
      <c r="H611" s="516"/>
      <c r="I611" s="516"/>
      <c r="J611" s="516"/>
      <c r="K611" s="516"/>
      <c r="L611" s="516"/>
      <c r="M611" s="516"/>
      <c r="N611" s="516"/>
      <c r="O611" s="516"/>
      <c r="P611" s="516"/>
      <c r="Q611" s="516"/>
      <c r="R611" s="516"/>
      <c r="S611" s="516"/>
      <c r="T611" s="516"/>
      <c r="U611" s="516"/>
      <c r="V611" s="4"/>
      <c r="W611" s="4"/>
      <c r="X611" s="4"/>
      <c r="Y611" s="4"/>
    </row>
    <row r="612">
      <c r="A612" s="516"/>
      <c r="B612" s="516"/>
      <c r="C612" s="516"/>
      <c r="D612" s="516"/>
      <c r="E612" s="516"/>
      <c r="F612" s="516"/>
      <c r="G612" s="516"/>
      <c r="H612" s="516"/>
      <c r="I612" s="516"/>
      <c r="J612" s="516"/>
      <c r="K612" s="516"/>
      <c r="L612" s="516"/>
      <c r="M612" s="516"/>
      <c r="N612" s="516"/>
      <c r="O612" s="516"/>
      <c r="P612" s="516"/>
      <c r="Q612" s="516"/>
      <c r="R612" s="516"/>
      <c r="S612" s="516"/>
      <c r="T612" s="516"/>
      <c r="U612" s="516"/>
      <c r="V612" s="4"/>
      <c r="W612" s="4"/>
      <c r="X612" s="4"/>
      <c r="Y612" s="4"/>
    </row>
    <row r="613">
      <c r="A613" s="516"/>
      <c r="B613" s="516"/>
      <c r="C613" s="516"/>
      <c r="D613" s="516"/>
      <c r="E613" s="516"/>
      <c r="F613" s="516"/>
      <c r="G613" s="516"/>
      <c r="H613" s="516"/>
      <c r="I613" s="516"/>
      <c r="J613" s="516"/>
      <c r="K613" s="516"/>
      <c r="L613" s="516"/>
      <c r="M613" s="516"/>
      <c r="N613" s="516"/>
      <c r="O613" s="516"/>
      <c r="P613" s="516"/>
      <c r="Q613" s="516"/>
      <c r="R613" s="516"/>
      <c r="S613" s="516"/>
      <c r="T613" s="516"/>
      <c r="U613" s="516"/>
      <c r="V613" s="4"/>
      <c r="W613" s="4"/>
      <c r="X613" s="4"/>
      <c r="Y613" s="4"/>
    </row>
    <row r="614">
      <c r="A614" s="516"/>
      <c r="B614" s="516"/>
      <c r="C614" s="516"/>
      <c r="D614" s="516"/>
      <c r="E614" s="516"/>
      <c r="F614" s="516"/>
      <c r="G614" s="516"/>
      <c r="H614" s="516"/>
      <c r="I614" s="516"/>
      <c r="J614" s="516"/>
      <c r="K614" s="516"/>
      <c r="L614" s="516"/>
      <c r="M614" s="516"/>
      <c r="N614" s="516"/>
      <c r="O614" s="516"/>
      <c r="P614" s="516"/>
      <c r="Q614" s="516"/>
      <c r="R614" s="516"/>
      <c r="S614" s="516"/>
      <c r="T614" s="516"/>
      <c r="U614" s="516"/>
      <c r="V614" s="4"/>
      <c r="W614" s="4"/>
      <c r="X614" s="4"/>
      <c r="Y614" s="4"/>
    </row>
    <row r="615">
      <c r="A615" s="516"/>
      <c r="B615" s="516"/>
      <c r="C615" s="516"/>
      <c r="D615" s="516"/>
      <c r="E615" s="516"/>
      <c r="F615" s="516"/>
      <c r="G615" s="516"/>
      <c r="H615" s="516"/>
      <c r="I615" s="516"/>
      <c r="J615" s="516"/>
      <c r="K615" s="516"/>
      <c r="L615" s="516"/>
      <c r="M615" s="516"/>
      <c r="N615" s="516"/>
      <c r="O615" s="516"/>
      <c r="P615" s="516"/>
      <c r="Q615" s="516"/>
      <c r="R615" s="516"/>
      <c r="S615" s="516"/>
      <c r="T615" s="516"/>
      <c r="U615" s="516"/>
      <c r="V615" s="4"/>
      <c r="W615" s="4"/>
      <c r="X615" s="4"/>
      <c r="Y615" s="4"/>
    </row>
    <row r="616">
      <c r="A616" s="516"/>
      <c r="B616" s="516"/>
      <c r="C616" s="516"/>
      <c r="D616" s="516"/>
      <c r="E616" s="516"/>
      <c r="F616" s="516"/>
      <c r="G616" s="516"/>
      <c r="H616" s="516"/>
      <c r="I616" s="516"/>
      <c r="J616" s="516"/>
      <c r="K616" s="516"/>
      <c r="L616" s="516"/>
      <c r="M616" s="516"/>
      <c r="N616" s="516"/>
      <c r="O616" s="516"/>
      <c r="P616" s="516"/>
      <c r="Q616" s="516"/>
      <c r="R616" s="516"/>
      <c r="S616" s="516"/>
      <c r="T616" s="516"/>
      <c r="U616" s="516"/>
      <c r="V616" s="4"/>
      <c r="W616" s="4"/>
      <c r="X616" s="4"/>
      <c r="Y616" s="4"/>
    </row>
    <row r="617">
      <c r="A617" s="516"/>
      <c r="B617" s="516"/>
      <c r="C617" s="516"/>
      <c r="D617" s="516"/>
      <c r="E617" s="516"/>
      <c r="F617" s="516"/>
      <c r="G617" s="516"/>
      <c r="H617" s="516"/>
      <c r="I617" s="516"/>
      <c r="J617" s="516"/>
      <c r="K617" s="516"/>
      <c r="L617" s="516"/>
      <c r="M617" s="516"/>
      <c r="N617" s="516"/>
      <c r="O617" s="516"/>
      <c r="P617" s="516"/>
      <c r="Q617" s="516"/>
      <c r="R617" s="516"/>
      <c r="S617" s="516"/>
      <c r="T617" s="516"/>
      <c r="U617" s="516"/>
      <c r="V617" s="4"/>
      <c r="W617" s="4"/>
      <c r="X617" s="4"/>
      <c r="Y617" s="4"/>
    </row>
    <row r="618">
      <c r="A618" s="516"/>
      <c r="B618" s="516"/>
      <c r="C618" s="516"/>
      <c r="D618" s="516"/>
      <c r="E618" s="516"/>
      <c r="F618" s="516"/>
      <c r="G618" s="516"/>
      <c r="H618" s="516"/>
      <c r="I618" s="516"/>
      <c r="J618" s="516"/>
      <c r="K618" s="516"/>
      <c r="L618" s="516"/>
      <c r="M618" s="516"/>
      <c r="N618" s="516"/>
      <c r="O618" s="516"/>
      <c r="P618" s="516"/>
      <c r="Q618" s="516"/>
      <c r="R618" s="516"/>
      <c r="S618" s="516"/>
      <c r="T618" s="516"/>
      <c r="U618" s="516"/>
      <c r="V618" s="4"/>
      <c r="W618" s="4"/>
      <c r="X618" s="4"/>
      <c r="Y618" s="4"/>
    </row>
    <row r="619">
      <c r="A619" s="516"/>
      <c r="B619" s="516"/>
      <c r="C619" s="516"/>
      <c r="D619" s="516"/>
      <c r="E619" s="516"/>
      <c r="F619" s="516"/>
      <c r="G619" s="516"/>
      <c r="H619" s="516"/>
      <c r="I619" s="516"/>
      <c r="J619" s="516"/>
      <c r="K619" s="516"/>
      <c r="L619" s="516"/>
      <c r="M619" s="516"/>
      <c r="N619" s="516"/>
      <c r="O619" s="516"/>
      <c r="P619" s="516"/>
      <c r="Q619" s="516"/>
      <c r="R619" s="516"/>
      <c r="S619" s="516"/>
      <c r="T619" s="516"/>
      <c r="U619" s="516"/>
      <c r="V619" s="4"/>
      <c r="W619" s="4"/>
      <c r="X619" s="4"/>
      <c r="Y619" s="4"/>
    </row>
    <row r="620">
      <c r="A620" s="516"/>
      <c r="B620" s="516"/>
      <c r="C620" s="516"/>
      <c r="D620" s="516"/>
      <c r="E620" s="516"/>
      <c r="F620" s="516"/>
      <c r="G620" s="516"/>
      <c r="H620" s="516"/>
      <c r="I620" s="516"/>
      <c r="J620" s="516"/>
      <c r="K620" s="516"/>
      <c r="L620" s="516"/>
      <c r="M620" s="516"/>
      <c r="N620" s="516"/>
      <c r="O620" s="516"/>
      <c r="P620" s="516"/>
      <c r="Q620" s="516"/>
      <c r="R620" s="516"/>
      <c r="S620" s="516"/>
      <c r="T620" s="516"/>
      <c r="U620" s="516"/>
      <c r="V620" s="4"/>
      <c r="W620" s="4"/>
      <c r="X620" s="4"/>
      <c r="Y620" s="4"/>
    </row>
    <row r="621">
      <c r="A621" s="516"/>
      <c r="B621" s="516"/>
      <c r="C621" s="516"/>
      <c r="D621" s="516"/>
      <c r="E621" s="516"/>
      <c r="F621" s="516"/>
      <c r="G621" s="516"/>
      <c r="H621" s="516"/>
      <c r="I621" s="516"/>
      <c r="J621" s="516"/>
      <c r="K621" s="516"/>
      <c r="L621" s="516"/>
      <c r="M621" s="516"/>
      <c r="N621" s="516"/>
      <c r="O621" s="516"/>
      <c r="P621" s="516"/>
      <c r="Q621" s="516"/>
      <c r="R621" s="516"/>
      <c r="S621" s="516"/>
      <c r="T621" s="516"/>
      <c r="U621" s="516"/>
      <c r="V621" s="4"/>
      <c r="W621" s="4"/>
      <c r="X621" s="4"/>
      <c r="Y621" s="4"/>
    </row>
    <row r="622">
      <c r="A622" s="516"/>
      <c r="B622" s="516"/>
      <c r="C622" s="516"/>
      <c r="D622" s="516"/>
      <c r="E622" s="516"/>
      <c r="F622" s="516"/>
      <c r="G622" s="516"/>
      <c r="H622" s="516"/>
      <c r="I622" s="516"/>
      <c r="J622" s="516"/>
      <c r="K622" s="516"/>
      <c r="L622" s="516"/>
      <c r="M622" s="516"/>
      <c r="N622" s="516"/>
      <c r="O622" s="516"/>
      <c r="P622" s="516"/>
      <c r="Q622" s="516"/>
      <c r="R622" s="516"/>
      <c r="S622" s="516"/>
      <c r="T622" s="516"/>
      <c r="U622" s="516"/>
      <c r="V622" s="4"/>
      <c r="W622" s="4"/>
      <c r="X622" s="4"/>
      <c r="Y622" s="4"/>
    </row>
    <row r="623">
      <c r="A623" s="516"/>
      <c r="B623" s="516"/>
      <c r="C623" s="516"/>
      <c r="D623" s="516"/>
      <c r="E623" s="516"/>
      <c r="F623" s="516"/>
      <c r="G623" s="516"/>
      <c r="H623" s="516"/>
      <c r="I623" s="516"/>
      <c r="J623" s="516"/>
      <c r="K623" s="516"/>
      <c r="L623" s="516"/>
      <c r="M623" s="516"/>
      <c r="N623" s="516"/>
      <c r="O623" s="516"/>
      <c r="P623" s="516"/>
      <c r="Q623" s="516"/>
      <c r="R623" s="516"/>
      <c r="S623" s="516"/>
      <c r="T623" s="516"/>
      <c r="U623" s="516"/>
      <c r="V623" s="4"/>
      <c r="W623" s="4"/>
      <c r="X623" s="4"/>
      <c r="Y623" s="4"/>
    </row>
    <row r="624">
      <c r="A624" s="516"/>
      <c r="B624" s="516"/>
      <c r="C624" s="516"/>
      <c r="D624" s="516"/>
      <c r="E624" s="516"/>
      <c r="F624" s="516"/>
      <c r="G624" s="516"/>
      <c r="H624" s="516"/>
      <c r="I624" s="516"/>
      <c r="J624" s="516"/>
      <c r="K624" s="516"/>
      <c r="L624" s="516"/>
      <c r="M624" s="516"/>
      <c r="N624" s="516"/>
      <c r="O624" s="516"/>
      <c r="P624" s="516"/>
      <c r="Q624" s="516"/>
      <c r="R624" s="516"/>
      <c r="S624" s="516"/>
      <c r="T624" s="516"/>
      <c r="U624" s="516"/>
      <c r="V624" s="4"/>
      <c r="W624" s="4"/>
      <c r="X624" s="4"/>
      <c r="Y624" s="4"/>
    </row>
    <row r="625">
      <c r="A625" s="516"/>
      <c r="B625" s="516"/>
      <c r="C625" s="516"/>
      <c r="D625" s="516"/>
      <c r="E625" s="516"/>
      <c r="F625" s="516"/>
      <c r="G625" s="516"/>
      <c r="H625" s="516"/>
      <c r="I625" s="516"/>
      <c r="J625" s="516"/>
      <c r="K625" s="516"/>
      <c r="L625" s="516"/>
      <c r="M625" s="516"/>
      <c r="N625" s="516"/>
      <c r="O625" s="516"/>
      <c r="P625" s="516"/>
      <c r="Q625" s="516"/>
      <c r="R625" s="516"/>
      <c r="S625" s="516"/>
      <c r="T625" s="516"/>
      <c r="U625" s="516"/>
      <c r="V625" s="4"/>
      <c r="W625" s="4"/>
      <c r="X625" s="4"/>
      <c r="Y625" s="4"/>
    </row>
    <row r="626">
      <c r="A626" s="516"/>
      <c r="B626" s="516"/>
      <c r="C626" s="516"/>
      <c r="D626" s="516"/>
      <c r="E626" s="516"/>
      <c r="F626" s="516"/>
      <c r="G626" s="516"/>
      <c r="H626" s="516"/>
      <c r="I626" s="516"/>
      <c r="J626" s="516"/>
      <c r="K626" s="516"/>
      <c r="L626" s="516"/>
      <c r="M626" s="516"/>
      <c r="N626" s="516"/>
      <c r="O626" s="516"/>
      <c r="P626" s="516"/>
      <c r="Q626" s="516"/>
      <c r="R626" s="516"/>
      <c r="S626" s="516"/>
      <c r="T626" s="516"/>
      <c r="U626" s="516"/>
      <c r="V626" s="4"/>
      <c r="W626" s="4"/>
      <c r="X626" s="4"/>
      <c r="Y626" s="4"/>
    </row>
    <row r="627">
      <c r="A627" s="516"/>
      <c r="B627" s="516"/>
      <c r="C627" s="516"/>
      <c r="D627" s="516"/>
      <c r="E627" s="516"/>
      <c r="F627" s="516"/>
      <c r="G627" s="516"/>
      <c r="H627" s="516"/>
      <c r="I627" s="516"/>
      <c r="J627" s="516"/>
      <c r="K627" s="516"/>
      <c r="L627" s="516"/>
      <c r="M627" s="516"/>
      <c r="N627" s="516"/>
      <c r="O627" s="516"/>
      <c r="P627" s="516"/>
      <c r="Q627" s="516"/>
      <c r="R627" s="516"/>
      <c r="S627" s="516"/>
      <c r="T627" s="516"/>
      <c r="U627" s="516"/>
      <c r="V627" s="4"/>
      <c r="W627" s="4"/>
      <c r="X627" s="4"/>
      <c r="Y627" s="4"/>
    </row>
    <row r="628">
      <c r="A628" s="516"/>
      <c r="B628" s="516"/>
      <c r="C628" s="516"/>
      <c r="D628" s="516"/>
      <c r="E628" s="516"/>
      <c r="F628" s="516"/>
      <c r="G628" s="516"/>
      <c r="H628" s="516"/>
      <c r="I628" s="516"/>
      <c r="J628" s="516"/>
      <c r="K628" s="516"/>
      <c r="L628" s="516"/>
      <c r="M628" s="516"/>
      <c r="N628" s="516"/>
      <c r="O628" s="516"/>
      <c r="P628" s="516"/>
      <c r="Q628" s="516"/>
      <c r="R628" s="516"/>
      <c r="S628" s="516"/>
      <c r="T628" s="516"/>
      <c r="U628" s="516"/>
      <c r="V628" s="4"/>
      <c r="W628" s="4"/>
      <c r="X628" s="4"/>
      <c r="Y628" s="4"/>
    </row>
    <row r="629">
      <c r="A629" s="516"/>
      <c r="B629" s="516"/>
      <c r="C629" s="516"/>
      <c r="D629" s="516"/>
      <c r="E629" s="516"/>
      <c r="F629" s="516"/>
      <c r="G629" s="516"/>
      <c r="H629" s="516"/>
      <c r="I629" s="516"/>
      <c r="J629" s="516"/>
      <c r="K629" s="516"/>
      <c r="L629" s="516"/>
      <c r="M629" s="516"/>
      <c r="N629" s="516"/>
      <c r="O629" s="516"/>
      <c r="P629" s="516"/>
      <c r="Q629" s="516"/>
      <c r="R629" s="516"/>
      <c r="S629" s="516"/>
      <c r="T629" s="516"/>
      <c r="U629" s="516"/>
      <c r="V629" s="4"/>
      <c r="W629" s="4"/>
      <c r="X629" s="4"/>
      <c r="Y629" s="4"/>
    </row>
    <row r="630">
      <c r="A630" s="516"/>
      <c r="B630" s="516"/>
      <c r="C630" s="516"/>
      <c r="D630" s="516"/>
      <c r="E630" s="516"/>
      <c r="F630" s="516"/>
      <c r="G630" s="516"/>
      <c r="H630" s="516"/>
      <c r="I630" s="516"/>
      <c r="J630" s="516"/>
      <c r="K630" s="516"/>
      <c r="L630" s="516"/>
      <c r="M630" s="516"/>
      <c r="N630" s="516"/>
      <c r="O630" s="516"/>
      <c r="P630" s="516"/>
      <c r="Q630" s="516"/>
      <c r="R630" s="516"/>
      <c r="S630" s="516"/>
      <c r="T630" s="516"/>
      <c r="U630" s="516"/>
      <c r="V630" s="4"/>
      <c r="W630" s="4"/>
      <c r="X630" s="4"/>
      <c r="Y630" s="4"/>
    </row>
    <row r="631">
      <c r="A631" s="516"/>
      <c r="B631" s="516"/>
      <c r="C631" s="516"/>
      <c r="D631" s="516"/>
      <c r="E631" s="516"/>
      <c r="F631" s="516"/>
      <c r="G631" s="516"/>
      <c r="H631" s="516"/>
      <c r="I631" s="516"/>
      <c r="J631" s="516"/>
      <c r="K631" s="516"/>
      <c r="L631" s="516"/>
      <c r="M631" s="516"/>
      <c r="N631" s="516"/>
      <c r="O631" s="516"/>
      <c r="P631" s="516"/>
      <c r="Q631" s="516"/>
      <c r="R631" s="516"/>
      <c r="S631" s="516"/>
      <c r="T631" s="516"/>
      <c r="U631" s="516"/>
      <c r="V631" s="4"/>
      <c r="W631" s="4"/>
      <c r="X631" s="4"/>
      <c r="Y631" s="4"/>
    </row>
    <row r="632">
      <c r="A632" s="516"/>
      <c r="B632" s="516"/>
      <c r="C632" s="516"/>
      <c r="D632" s="516"/>
      <c r="E632" s="516"/>
      <c r="F632" s="516"/>
      <c r="G632" s="516"/>
      <c r="H632" s="516"/>
      <c r="I632" s="516"/>
      <c r="J632" s="516"/>
      <c r="K632" s="516"/>
      <c r="L632" s="516"/>
      <c r="M632" s="516"/>
      <c r="N632" s="516"/>
      <c r="O632" s="516"/>
      <c r="P632" s="516"/>
      <c r="Q632" s="516"/>
      <c r="R632" s="516"/>
      <c r="S632" s="516"/>
      <c r="T632" s="516"/>
      <c r="U632" s="516"/>
      <c r="V632" s="4"/>
      <c r="W632" s="4"/>
      <c r="X632" s="4"/>
      <c r="Y632" s="4"/>
    </row>
    <row r="633">
      <c r="A633" s="516"/>
      <c r="B633" s="516"/>
      <c r="C633" s="516"/>
      <c r="D633" s="516"/>
      <c r="E633" s="516"/>
      <c r="F633" s="516"/>
      <c r="G633" s="516"/>
      <c r="H633" s="516"/>
      <c r="I633" s="516"/>
      <c r="J633" s="516"/>
      <c r="K633" s="516"/>
      <c r="L633" s="516"/>
      <c r="M633" s="516"/>
      <c r="N633" s="516"/>
      <c r="O633" s="516"/>
      <c r="P633" s="516"/>
      <c r="Q633" s="516"/>
      <c r="R633" s="516"/>
      <c r="S633" s="516"/>
      <c r="T633" s="516"/>
      <c r="U633" s="516"/>
      <c r="V633" s="4"/>
      <c r="W633" s="4"/>
      <c r="X633" s="4"/>
      <c r="Y633" s="4"/>
    </row>
    <row r="634">
      <c r="A634" s="516"/>
      <c r="B634" s="516"/>
      <c r="C634" s="516"/>
      <c r="D634" s="516"/>
      <c r="E634" s="516"/>
      <c r="F634" s="516"/>
      <c r="G634" s="516"/>
      <c r="H634" s="516"/>
      <c r="I634" s="516"/>
      <c r="J634" s="516"/>
      <c r="K634" s="516"/>
      <c r="L634" s="516"/>
      <c r="M634" s="516"/>
      <c r="N634" s="516"/>
      <c r="O634" s="516"/>
      <c r="P634" s="516"/>
      <c r="Q634" s="516"/>
      <c r="R634" s="516"/>
      <c r="S634" s="516"/>
      <c r="T634" s="516"/>
      <c r="U634" s="516"/>
      <c r="V634" s="4"/>
      <c r="W634" s="4"/>
      <c r="X634" s="4"/>
      <c r="Y634" s="4"/>
    </row>
    <row r="635">
      <c r="A635" s="516"/>
      <c r="B635" s="516"/>
      <c r="C635" s="516"/>
      <c r="D635" s="516"/>
      <c r="E635" s="516"/>
      <c r="F635" s="516"/>
      <c r="G635" s="516"/>
      <c r="H635" s="516"/>
      <c r="I635" s="516"/>
      <c r="J635" s="516"/>
      <c r="K635" s="516"/>
      <c r="L635" s="516"/>
      <c r="M635" s="516"/>
      <c r="N635" s="516"/>
      <c r="O635" s="516"/>
      <c r="P635" s="516"/>
      <c r="Q635" s="516"/>
      <c r="R635" s="516"/>
      <c r="S635" s="516"/>
      <c r="T635" s="516"/>
      <c r="U635" s="516"/>
      <c r="V635" s="4"/>
      <c r="W635" s="4"/>
      <c r="X635" s="4"/>
      <c r="Y635" s="4"/>
    </row>
    <row r="636">
      <c r="A636" s="516"/>
      <c r="B636" s="516"/>
      <c r="C636" s="516"/>
      <c r="D636" s="516"/>
      <c r="E636" s="516"/>
      <c r="F636" s="516"/>
      <c r="G636" s="516"/>
      <c r="H636" s="516"/>
      <c r="I636" s="516"/>
      <c r="J636" s="516"/>
      <c r="K636" s="516"/>
      <c r="L636" s="516"/>
      <c r="M636" s="516"/>
      <c r="N636" s="516"/>
      <c r="O636" s="516"/>
      <c r="P636" s="516"/>
      <c r="Q636" s="516"/>
      <c r="R636" s="516"/>
      <c r="S636" s="516"/>
      <c r="T636" s="516"/>
      <c r="U636" s="516"/>
      <c r="V636" s="4"/>
      <c r="W636" s="4"/>
      <c r="X636" s="4"/>
      <c r="Y636" s="4"/>
    </row>
    <row r="637">
      <c r="A637" s="516"/>
      <c r="B637" s="516"/>
      <c r="C637" s="516"/>
      <c r="D637" s="516"/>
      <c r="E637" s="516"/>
      <c r="F637" s="516"/>
      <c r="G637" s="516"/>
      <c r="H637" s="516"/>
      <c r="I637" s="516"/>
      <c r="J637" s="516"/>
      <c r="K637" s="516"/>
      <c r="L637" s="516"/>
      <c r="M637" s="516"/>
      <c r="N637" s="516"/>
      <c r="O637" s="516"/>
      <c r="P637" s="516"/>
      <c r="Q637" s="516"/>
      <c r="R637" s="516"/>
      <c r="S637" s="516"/>
      <c r="T637" s="516"/>
      <c r="U637" s="516"/>
      <c r="V637" s="4"/>
      <c r="W637" s="4"/>
      <c r="X637" s="4"/>
      <c r="Y637" s="4"/>
    </row>
    <row r="638">
      <c r="A638" s="516"/>
      <c r="B638" s="516"/>
      <c r="C638" s="516"/>
      <c r="D638" s="516"/>
      <c r="E638" s="516"/>
      <c r="F638" s="516"/>
      <c r="G638" s="516"/>
      <c r="H638" s="516"/>
      <c r="I638" s="516"/>
      <c r="J638" s="516"/>
      <c r="K638" s="516"/>
      <c r="L638" s="516"/>
      <c r="M638" s="516"/>
      <c r="N638" s="516"/>
      <c r="O638" s="516"/>
      <c r="P638" s="516"/>
      <c r="Q638" s="516"/>
      <c r="R638" s="516"/>
      <c r="S638" s="516"/>
      <c r="T638" s="516"/>
      <c r="U638" s="516"/>
      <c r="V638" s="4"/>
      <c r="W638" s="4"/>
      <c r="X638" s="4"/>
      <c r="Y638" s="4"/>
    </row>
    <row r="639">
      <c r="A639" s="516"/>
      <c r="B639" s="516"/>
      <c r="C639" s="516"/>
      <c r="D639" s="516"/>
      <c r="E639" s="516"/>
      <c r="F639" s="516"/>
      <c r="G639" s="516"/>
      <c r="H639" s="516"/>
      <c r="I639" s="516"/>
      <c r="J639" s="516"/>
      <c r="K639" s="516"/>
      <c r="L639" s="516"/>
      <c r="M639" s="516"/>
      <c r="N639" s="516"/>
      <c r="O639" s="516"/>
      <c r="P639" s="516"/>
      <c r="Q639" s="516"/>
      <c r="R639" s="516"/>
      <c r="S639" s="516"/>
      <c r="T639" s="516"/>
      <c r="U639" s="516"/>
      <c r="V639" s="4"/>
      <c r="W639" s="4"/>
      <c r="X639" s="4"/>
      <c r="Y639" s="4"/>
    </row>
    <row r="640">
      <c r="A640" s="516"/>
      <c r="B640" s="516"/>
      <c r="C640" s="516"/>
      <c r="D640" s="516"/>
      <c r="E640" s="516"/>
      <c r="F640" s="516"/>
      <c r="G640" s="516"/>
      <c r="H640" s="516"/>
      <c r="I640" s="516"/>
      <c r="J640" s="516"/>
      <c r="K640" s="516"/>
      <c r="L640" s="516"/>
      <c r="M640" s="516"/>
      <c r="N640" s="516"/>
      <c r="O640" s="516"/>
      <c r="P640" s="516"/>
      <c r="Q640" s="516"/>
      <c r="R640" s="516"/>
      <c r="S640" s="516"/>
      <c r="T640" s="516"/>
      <c r="U640" s="516"/>
      <c r="V640" s="4"/>
      <c r="W640" s="4"/>
      <c r="X640" s="4"/>
      <c r="Y640" s="4"/>
    </row>
    <row r="641">
      <c r="A641" s="516"/>
      <c r="B641" s="516"/>
      <c r="C641" s="516"/>
      <c r="D641" s="516"/>
      <c r="E641" s="516"/>
      <c r="F641" s="516"/>
      <c r="G641" s="516"/>
      <c r="H641" s="516"/>
      <c r="I641" s="516"/>
      <c r="J641" s="516"/>
      <c r="K641" s="516"/>
      <c r="L641" s="516"/>
      <c r="M641" s="516"/>
      <c r="N641" s="516"/>
      <c r="O641" s="516"/>
      <c r="P641" s="516"/>
      <c r="Q641" s="516"/>
      <c r="R641" s="516"/>
      <c r="S641" s="516"/>
      <c r="T641" s="516"/>
      <c r="U641" s="516"/>
      <c r="V641" s="4"/>
      <c r="W641" s="4"/>
      <c r="X641" s="4"/>
      <c r="Y641" s="4"/>
    </row>
    <row r="642">
      <c r="A642" s="516"/>
      <c r="B642" s="516"/>
      <c r="C642" s="516"/>
      <c r="D642" s="516"/>
      <c r="E642" s="516"/>
      <c r="F642" s="516"/>
      <c r="G642" s="516"/>
      <c r="H642" s="516"/>
      <c r="I642" s="516"/>
      <c r="J642" s="516"/>
      <c r="K642" s="516"/>
      <c r="L642" s="516"/>
      <c r="M642" s="516"/>
      <c r="N642" s="516"/>
      <c r="O642" s="516"/>
      <c r="P642" s="516"/>
      <c r="Q642" s="516"/>
      <c r="R642" s="516"/>
      <c r="S642" s="516"/>
      <c r="T642" s="516"/>
      <c r="U642" s="516"/>
      <c r="V642" s="4"/>
      <c r="W642" s="4"/>
      <c r="X642" s="4"/>
      <c r="Y642" s="4"/>
    </row>
    <row r="643">
      <c r="A643" s="516"/>
      <c r="B643" s="516"/>
      <c r="C643" s="516"/>
      <c r="D643" s="516"/>
      <c r="E643" s="516"/>
      <c r="F643" s="516"/>
      <c r="G643" s="516"/>
      <c r="H643" s="516"/>
      <c r="I643" s="516"/>
      <c r="J643" s="516"/>
      <c r="K643" s="516"/>
      <c r="L643" s="516"/>
      <c r="M643" s="516"/>
      <c r="N643" s="516"/>
      <c r="O643" s="516"/>
      <c r="P643" s="516"/>
      <c r="Q643" s="516"/>
      <c r="R643" s="516"/>
      <c r="S643" s="516"/>
      <c r="T643" s="516"/>
      <c r="U643" s="516"/>
      <c r="V643" s="4"/>
      <c r="W643" s="4"/>
      <c r="X643" s="4"/>
      <c r="Y643" s="4"/>
    </row>
    <row r="644">
      <c r="A644" s="516"/>
      <c r="B644" s="516"/>
      <c r="C644" s="516"/>
      <c r="D644" s="516"/>
      <c r="E644" s="516"/>
      <c r="F644" s="516"/>
      <c r="G644" s="516"/>
      <c r="H644" s="516"/>
      <c r="I644" s="516"/>
      <c r="J644" s="516"/>
      <c r="K644" s="516"/>
      <c r="L644" s="516"/>
      <c r="M644" s="516"/>
      <c r="N644" s="516"/>
      <c r="O644" s="516"/>
      <c r="P644" s="516"/>
      <c r="Q644" s="516"/>
      <c r="R644" s="516"/>
      <c r="S644" s="516"/>
      <c r="T644" s="516"/>
      <c r="U644" s="516"/>
      <c r="V644" s="4"/>
      <c r="W644" s="4"/>
      <c r="X644" s="4"/>
      <c r="Y644" s="4"/>
    </row>
    <row r="645">
      <c r="A645" s="516"/>
      <c r="B645" s="516"/>
      <c r="C645" s="516"/>
      <c r="D645" s="516"/>
      <c r="E645" s="516"/>
      <c r="F645" s="516"/>
      <c r="G645" s="516"/>
      <c r="H645" s="516"/>
      <c r="I645" s="516"/>
      <c r="J645" s="516"/>
      <c r="K645" s="516"/>
      <c r="L645" s="516"/>
      <c r="M645" s="516"/>
      <c r="N645" s="516"/>
      <c r="O645" s="516"/>
      <c r="P645" s="516"/>
      <c r="Q645" s="516"/>
      <c r="R645" s="516"/>
      <c r="S645" s="516"/>
      <c r="T645" s="516"/>
      <c r="U645" s="516"/>
      <c r="V645" s="4"/>
      <c r="W645" s="4"/>
      <c r="X645" s="4"/>
      <c r="Y645" s="4"/>
    </row>
    <row r="646">
      <c r="A646" s="516"/>
      <c r="B646" s="516"/>
      <c r="C646" s="516"/>
      <c r="D646" s="516"/>
      <c r="E646" s="516"/>
      <c r="F646" s="516"/>
      <c r="G646" s="516"/>
      <c r="H646" s="516"/>
      <c r="I646" s="516"/>
      <c r="J646" s="516"/>
      <c r="K646" s="516"/>
      <c r="L646" s="516"/>
      <c r="M646" s="516"/>
      <c r="N646" s="516"/>
      <c r="O646" s="516"/>
      <c r="P646" s="516"/>
      <c r="Q646" s="516"/>
      <c r="R646" s="516"/>
      <c r="S646" s="516"/>
      <c r="T646" s="516"/>
      <c r="U646" s="516"/>
      <c r="V646" s="4"/>
      <c r="W646" s="4"/>
      <c r="X646" s="4"/>
      <c r="Y646" s="4"/>
    </row>
    <row r="647">
      <c r="A647" s="516"/>
      <c r="B647" s="516"/>
      <c r="C647" s="516"/>
      <c r="D647" s="516"/>
      <c r="E647" s="516"/>
      <c r="F647" s="516"/>
      <c r="G647" s="516"/>
      <c r="H647" s="516"/>
      <c r="I647" s="516"/>
      <c r="J647" s="516"/>
      <c r="K647" s="516"/>
      <c r="L647" s="516"/>
      <c r="M647" s="516"/>
      <c r="N647" s="516"/>
      <c r="O647" s="516"/>
      <c r="P647" s="516"/>
      <c r="Q647" s="516"/>
      <c r="R647" s="516"/>
      <c r="S647" s="516"/>
      <c r="T647" s="516"/>
      <c r="U647" s="516"/>
      <c r="V647" s="4"/>
      <c r="W647" s="4"/>
      <c r="X647" s="4"/>
      <c r="Y647" s="4"/>
    </row>
    <row r="648">
      <c r="A648" s="516"/>
      <c r="B648" s="516"/>
      <c r="C648" s="516"/>
      <c r="D648" s="516"/>
      <c r="E648" s="516"/>
      <c r="F648" s="516"/>
      <c r="G648" s="516"/>
      <c r="H648" s="516"/>
      <c r="I648" s="516"/>
      <c r="J648" s="516"/>
      <c r="K648" s="516"/>
      <c r="L648" s="516"/>
      <c r="M648" s="516"/>
      <c r="N648" s="516"/>
      <c r="O648" s="516"/>
      <c r="P648" s="516"/>
      <c r="Q648" s="516"/>
      <c r="R648" s="516"/>
      <c r="S648" s="516"/>
      <c r="T648" s="516"/>
      <c r="U648" s="516"/>
      <c r="V648" s="4"/>
      <c r="W648" s="4"/>
      <c r="X648" s="4"/>
      <c r="Y648" s="4"/>
    </row>
    <row r="649">
      <c r="A649" s="516"/>
      <c r="B649" s="516"/>
      <c r="C649" s="516"/>
      <c r="D649" s="516"/>
      <c r="E649" s="516"/>
      <c r="F649" s="516"/>
      <c r="G649" s="516"/>
      <c r="H649" s="516"/>
      <c r="I649" s="516"/>
      <c r="J649" s="516"/>
      <c r="K649" s="516"/>
      <c r="L649" s="516"/>
      <c r="M649" s="516"/>
      <c r="N649" s="516"/>
      <c r="O649" s="516"/>
      <c r="P649" s="516"/>
      <c r="Q649" s="516"/>
      <c r="R649" s="516"/>
      <c r="S649" s="516"/>
      <c r="T649" s="516"/>
      <c r="U649" s="516"/>
      <c r="V649" s="4"/>
      <c r="W649" s="4"/>
      <c r="X649" s="4"/>
      <c r="Y649" s="4"/>
    </row>
    <row r="650">
      <c r="A650" s="516"/>
      <c r="B650" s="516"/>
      <c r="C650" s="516"/>
      <c r="D650" s="516"/>
      <c r="E650" s="516"/>
      <c r="F650" s="516"/>
      <c r="G650" s="516"/>
      <c r="H650" s="516"/>
      <c r="I650" s="516"/>
      <c r="J650" s="516"/>
      <c r="K650" s="516"/>
      <c r="L650" s="516"/>
      <c r="M650" s="516"/>
      <c r="N650" s="516"/>
      <c r="O650" s="516"/>
      <c r="P650" s="516"/>
      <c r="Q650" s="516"/>
      <c r="R650" s="516"/>
      <c r="S650" s="516"/>
      <c r="T650" s="516"/>
      <c r="U650" s="516"/>
      <c r="V650" s="4"/>
      <c r="W650" s="4"/>
      <c r="X650" s="4"/>
      <c r="Y650" s="4"/>
    </row>
    <row r="651">
      <c r="A651" s="516"/>
      <c r="B651" s="516"/>
      <c r="C651" s="516"/>
      <c r="D651" s="516"/>
      <c r="E651" s="516"/>
      <c r="F651" s="516"/>
      <c r="G651" s="516"/>
      <c r="H651" s="516"/>
      <c r="I651" s="516"/>
      <c r="J651" s="516"/>
      <c r="K651" s="516"/>
      <c r="L651" s="516"/>
      <c r="M651" s="516"/>
      <c r="N651" s="516"/>
      <c r="O651" s="516"/>
      <c r="P651" s="516"/>
      <c r="Q651" s="516"/>
      <c r="R651" s="516"/>
      <c r="S651" s="516"/>
      <c r="T651" s="516"/>
      <c r="U651" s="516"/>
      <c r="V651" s="4"/>
      <c r="W651" s="4"/>
      <c r="X651" s="4"/>
      <c r="Y651" s="4"/>
    </row>
    <row r="652">
      <c r="A652" s="516"/>
      <c r="B652" s="516"/>
      <c r="C652" s="516"/>
      <c r="D652" s="516"/>
      <c r="E652" s="516"/>
      <c r="F652" s="516"/>
      <c r="G652" s="516"/>
      <c r="H652" s="516"/>
      <c r="I652" s="516"/>
      <c r="J652" s="516"/>
      <c r="K652" s="516"/>
      <c r="L652" s="516"/>
      <c r="M652" s="516"/>
      <c r="N652" s="516"/>
      <c r="O652" s="516"/>
      <c r="P652" s="516"/>
      <c r="Q652" s="516"/>
      <c r="R652" s="516"/>
      <c r="S652" s="516"/>
      <c r="T652" s="516"/>
      <c r="U652" s="516"/>
      <c r="V652" s="4"/>
      <c r="W652" s="4"/>
      <c r="X652" s="4"/>
      <c r="Y652" s="4"/>
    </row>
    <row r="653">
      <c r="A653" s="516"/>
      <c r="B653" s="516"/>
      <c r="C653" s="516"/>
      <c r="D653" s="516"/>
      <c r="E653" s="516"/>
      <c r="F653" s="516"/>
      <c r="G653" s="516"/>
      <c r="H653" s="516"/>
      <c r="I653" s="516"/>
      <c r="J653" s="516"/>
      <c r="K653" s="516"/>
      <c r="L653" s="516"/>
      <c r="M653" s="516"/>
      <c r="N653" s="516"/>
      <c r="O653" s="516"/>
      <c r="P653" s="516"/>
      <c r="Q653" s="516"/>
      <c r="R653" s="516"/>
      <c r="S653" s="516"/>
      <c r="T653" s="516"/>
      <c r="U653" s="516"/>
      <c r="V653" s="4"/>
      <c r="W653" s="4"/>
      <c r="X653" s="4"/>
      <c r="Y653" s="4"/>
    </row>
    <row r="654">
      <c r="A654" s="516"/>
      <c r="B654" s="516"/>
      <c r="C654" s="516"/>
      <c r="D654" s="516"/>
      <c r="E654" s="516"/>
      <c r="F654" s="516"/>
      <c r="G654" s="516"/>
      <c r="H654" s="516"/>
      <c r="I654" s="516"/>
      <c r="J654" s="516"/>
      <c r="K654" s="516"/>
      <c r="L654" s="516"/>
      <c r="M654" s="516"/>
      <c r="N654" s="516"/>
      <c r="O654" s="516"/>
      <c r="P654" s="516"/>
      <c r="Q654" s="516"/>
      <c r="R654" s="516"/>
      <c r="S654" s="516"/>
      <c r="T654" s="516"/>
      <c r="U654" s="516"/>
      <c r="V654" s="4"/>
      <c r="W654" s="4"/>
      <c r="X654" s="4"/>
      <c r="Y654" s="4"/>
    </row>
    <row r="655">
      <c r="A655" s="516"/>
      <c r="B655" s="516"/>
      <c r="C655" s="516"/>
      <c r="D655" s="516"/>
      <c r="E655" s="516"/>
      <c r="F655" s="516"/>
      <c r="G655" s="516"/>
      <c r="H655" s="516"/>
      <c r="I655" s="516"/>
      <c r="J655" s="516"/>
      <c r="K655" s="516"/>
      <c r="L655" s="516"/>
      <c r="M655" s="516"/>
      <c r="N655" s="516"/>
      <c r="O655" s="516"/>
      <c r="P655" s="516"/>
      <c r="Q655" s="516"/>
      <c r="R655" s="516"/>
      <c r="S655" s="516"/>
      <c r="T655" s="516"/>
      <c r="U655" s="516"/>
      <c r="V655" s="4"/>
      <c r="W655" s="4"/>
      <c r="X655" s="4"/>
      <c r="Y655" s="4"/>
    </row>
    <row r="656">
      <c r="A656" s="516"/>
      <c r="B656" s="516"/>
      <c r="C656" s="516"/>
      <c r="D656" s="516"/>
      <c r="E656" s="516"/>
      <c r="F656" s="516"/>
      <c r="G656" s="516"/>
      <c r="H656" s="516"/>
      <c r="I656" s="516"/>
      <c r="J656" s="516"/>
      <c r="K656" s="516"/>
      <c r="L656" s="516"/>
      <c r="M656" s="516"/>
      <c r="N656" s="516"/>
      <c r="O656" s="516"/>
      <c r="P656" s="516"/>
      <c r="Q656" s="516"/>
      <c r="R656" s="516"/>
      <c r="S656" s="516"/>
      <c r="T656" s="516"/>
      <c r="U656" s="516"/>
      <c r="V656" s="4"/>
      <c r="W656" s="4"/>
      <c r="X656" s="4"/>
      <c r="Y656" s="4"/>
    </row>
    <row r="657">
      <c r="A657" s="516"/>
      <c r="B657" s="516"/>
      <c r="C657" s="516"/>
      <c r="D657" s="516"/>
      <c r="E657" s="516"/>
      <c r="F657" s="516"/>
      <c r="G657" s="516"/>
      <c r="H657" s="516"/>
      <c r="I657" s="516"/>
      <c r="J657" s="516"/>
      <c r="K657" s="516"/>
      <c r="L657" s="516"/>
      <c r="M657" s="516"/>
      <c r="N657" s="516"/>
      <c r="O657" s="516"/>
      <c r="P657" s="516"/>
      <c r="Q657" s="516"/>
      <c r="R657" s="516"/>
      <c r="S657" s="516"/>
      <c r="T657" s="516"/>
      <c r="U657" s="516"/>
      <c r="V657" s="4"/>
      <c r="W657" s="4"/>
      <c r="X657" s="4"/>
      <c r="Y657" s="4"/>
    </row>
    <row r="658">
      <c r="A658" s="516"/>
      <c r="B658" s="516"/>
      <c r="C658" s="516"/>
      <c r="D658" s="516"/>
      <c r="E658" s="516"/>
      <c r="F658" s="516"/>
      <c r="G658" s="516"/>
      <c r="H658" s="516"/>
      <c r="I658" s="516"/>
      <c r="J658" s="516"/>
      <c r="K658" s="516"/>
      <c r="L658" s="516"/>
      <c r="M658" s="516"/>
      <c r="N658" s="516"/>
      <c r="O658" s="516"/>
      <c r="P658" s="516"/>
      <c r="Q658" s="516"/>
      <c r="R658" s="516"/>
      <c r="S658" s="516"/>
      <c r="T658" s="516"/>
      <c r="U658" s="516"/>
      <c r="V658" s="4"/>
      <c r="W658" s="4"/>
      <c r="X658" s="4"/>
      <c r="Y658" s="4"/>
    </row>
    <row r="659">
      <c r="A659" s="516"/>
      <c r="B659" s="516"/>
      <c r="C659" s="516"/>
      <c r="D659" s="516"/>
      <c r="E659" s="516"/>
      <c r="F659" s="516"/>
      <c r="G659" s="516"/>
      <c r="H659" s="516"/>
      <c r="I659" s="516"/>
      <c r="J659" s="516"/>
      <c r="K659" s="516"/>
      <c r="L659" s="516"/>
      <c r="M659" s="516"/>
      <c r="N659" s="516"/>
      <c r="O659" s="516"/>
      <c r="P659" s="516"/>
      <c r="Q659" s="516"/>
      <c r="R659" s="516"/>
      <c r="S659" s="516"/>
      <c r="T659" s="516"/>
      <c r="U659" s="516"/>
      <c r="V659" s="4"/>
      <c r="W659" s="4"/>
      <c r="X659" s="4"/>
      <c r="Y659" s="4"/>
    </row>
    <row r="660">
      <c r="A660" s="516"/>
      <c r="B660" s="516"/>
      <c r="C660" s="516"/>
      <c r="D660" s="516"/>
      <c r="E660" s="516"/>
      <c r="F660" s="516"/>
      <c r="G660" s="516"/>
      <c r="H660" s="516"/>
      <c r="I660" s="516"/>
      <c r="J660" s="516"/>
      <c r="K660" s="516"/>
      <c r="L660" s="516"/>
      <c r="M660" s="516"/>
      <c r="N660" s="516"/>
      <c r="O660" s="516"/>
      <c r="P660" s="516"/>
      <c r="Q660" s="516"/>
      <c r="R660" s="516"/>
      <c r="S660" s="516"/>
      <c r="T660" s="516"/>
      <c r="U660" s="516"/>
      <c r="V660" s="4"/>
      <c r="W660" s="4"/>
      <c r="X660" s="4"/>
      <c r="Y660" s="4"/>
    </row>
    <row r="661">
      <c r="A661" s="516"/>
      <c r="B661" s="516"/>
      <c r="C661" s="516"/>
      <c r="D661" s="516"/>
      <c r="E661" s="516"/>
      <c r="F661" s="516"/>
      <c r="G661" s="516"/>
      <c r="H661" s="516"/>
      <c r="I661" s="516"/>
      <c r="J661" s="516"/>
      <c r="K661" s="516"/>
      <c r="L661" s="516"/>
      <c r="M661" s="516"/>
      <c r="N661" s="516"/>
      <c r="O661" s="516"/>
      <c r="P661" s="516"/>
      <c r="Q661" s="516"/>
      <c r="R661" s="516"/>
      <c r="S661" s="516"/>
      <c r="T661" s="516"/>
      <c r="U661" s="516"/>
      <c r="V661" s="4"/>
      <c r="W661" s="4"/>
      <c r="X661" s="4"/>
      <c r="Y661" s="4"/>
    </row>
    <row r="662">
      <c r="A662" s="516"/>
      <c r="B662" s="516"/>
      <c r="C662" s="516"/>
      <c r="D662" s="516"/>
      <c r="E662" s="516"/>
      <c r="F662" s="516"/>
      <c r="G662" s="516"/>
      <c r="H662" s="516"/>
      <c r="I662" s="516"/>
      <c r="J662" s="516"/>
      <c r="K662" s="516"/>
      <c r="L662" s="516"/>
      <c r="M662" s="516"/>
      <c r="N662" s="516"/>
      <c r="O662" s="516"/>
      <c r="P662" s="516"/>
      <c r="Q662" s="516"/>
      <c r="R662" s="516"/>
      <c r="S662" s="516"/>
      <c r="T662" s="516"/>
      <c r="U662" s="516"/>
      <c r="V662" s="4"/>
      <c r="W662" s="4"/>
      <c r="X662" s="4"/>
      <c r="Y662" s="4"/>
    </row>
    <row r="663">
      <c r="A663" s="516"/>
      <c r="B663" s="516"/>
      <c r="C663" s="516"/>
      <c r="D663" s="516"/>
      <c r="E663" s="516"/>
      <c r="F663" s="516"/>
      <c r="G663" s="516"/>
      <c r="H663" s="516"/>
      <c r="I663" s="516"/>
      <c r="J663" s="516"/>
      <c r="K663" s="516"/>
      <c r="L663" s="516"/>
      <c r="M663" s="516"/>
      <c r="N663" s="516"/>
      <c r="O663" s="516"/>
      <c r="P663" s="516"/>
      <c r="Q663" s="516"/>
      <c r="R663" s="516"/>
      <c r="S663" s="516"/>
      <c r="T663" s="516"/>
      <c r="U663" s="516"/>
      <c r="V663" s="4"/>
      <c r="W663" s="4"/>
      <c r="X663" s="4"/>
      <c r="Y663" s="4"/>
    </row>
    <row r="664">
      <c r="A664" s="516"/>
      <c r="B664" s="516"/>
      <c r="C664" s="516"/>
      <c r="D664" s="516"/>
      <c r="E664" s="516"/>
      <c r="F664" s="516"/>
      <c r="G664" s="516"/>
      <c r="H664" s="516"/>
      <c r="I664" s="516"/>
      <c r="J664" s="516"/>
      <c r="K664" s="516"/>
      <c r="L664" s="516"/>
      <c r="M664" s="516"/>
      <c r="N664" s="516"/>
      <c r="O664" s="516"/>
      <c r="P664" s="516"/>
      <c r="Q664" s="516"/>
      <c r="R664" s="516"/>
      <c r="S664" s="516"/>
      <c r="T664" s="516"/>
      <c r="U664" s="516"/>
      <c r="V664" s="4"/>
      <c r="W664" s="4"/>
      <c r="X664" s="4"/>
      <c r="Y664" s="4"/>
    </row>
    <row r="665">
      <c r="A665" s="516"/>
      <c r="B665" s="516"/>
      <c r="C665" s="516"/>
      <c r="D665" s="516"/>
      <c r="E665" s="516"/>
      <c r="F665" s="516"/>
      <c r="G665" s="516"/>
      <c r="H665" s="516"/>
      <c r="I665" s="516"/>
      <c r="J665" s="516"/>
      <c r="K665" s="516"/>
      <c r="L665" s="516"/>
      <c r="M665" s="516"/>
      <c r="N665" s="516"/>
      <c r="O665" s="516"/>
      <c r="P665" s="516"/>
      <c r="Q665" s="516"/>
      <c r="R665" s="516"/>
      <c r="S665" s="516"/>
      <c r="T665" s="516"/>
      <c r="U665" s="516"/>
      <c r="V665" s="4"/>
      <c r="W665" s="4"/>
      <c r="X665" s="4"/>
      <c r="Y665" s="4"/>
    </row>
    <row r="666">
      <c r="A666" s="516"/>
      <c r="B666" s="516"/>
      <c r="C666" s="516"/>
      <c r="D666" s="516"/>
      <c r="E666" s="516"/>
      <c r="F666" s="516"/>
      <c r="G666" s="516"/>
      <c r="H666" s="516"/>
      <c r="I666" s="516"/>
      <c r="J666" s="516"/>
      <c r="K666" s="516"/>
      <c r="L666" s="516"/>
      <c r="M666" s="516"/>
      <c r="N666" s="516"/>
      <c r="O666" s="516"/>
      <c r="P666" s="516"/>
      <c r="Q666" s="516"/>
      <c r="R666" s="516"/>
      <c r="S666" s="516"/>
      <c r="T666" s="516"/>
      <c r="U666" s="516"/>
      <c r="V666" s="4"/>
      <c r="W666" s="4"/>
      <c r="X666" s="4"/>
      <c r="Y666" s="4"/>
    </row>
    <row r="667">
      <c r="A667" s="516"/>
      <c r="B667" s="516"/>
      <c r="C667" s="516"/>
      <c r="D667" s="516"/>
      <c r="E667" s="516"/>
      <c r="F667" s="516"/>
      <c r="G667" s="516"/>
      <c r="H667" s="516"/>
      <c r="I667" s="516"/>
      <c r="J667" s="516"/>
      <c r="K667" s="516"/>
      <c r="L667" s="516"/>
      <c r="M667" s="516"/>
      <c r="N667" s="516"/>
      <c r="O667" s="516"/>
      <c r="P667" s="516"/>
      <c r="Q667" s="516"/>
      <c r="R667" s="516"/>
      <c r="S667" s="516"/>
      <c r="T667" s="516"/>
      <c r="U667" s="516"/>
      <c r="V667" s="4"/>
      <c r="W667" s="4"/>
      <c r="X667" s="4"/>
      <c r="Y667" s="4"/>
    </row>
    <row r="668">
      <c r="A668" s="516"/>
      <c r="B668" s="516"/>
      <c r="C668" s="516"/>
      <c r="D668" s="516"/>
      <c r="E668" s="516"/>
      <c r="F668" s="516"/>
      <c r="G668" s="516"/>
      <c r="H668" s="516"/>
      <c r="I668" s="516"/>
      <c r="J668" s="516"/>
      <c r="K668" s="516"/>
      <c r="L668" s="516"/>
      <c r="M668" s="516"/>
      <c r="N668" s="516"/>
      <c r="O668" s="516"/>
      <c r="P668" s="516"/>
      <c r="Q668" s="516"/>
      <c r="R668" s="516"/>
      <c r="S668" s="516"/>
      <c r="T668" s="516"/>
      <c r="U668" s="516"/>
      <c r="V668" s="4"/>
      <c r="W668" s="4"/>
      <c r="X668" s="4"/>
      <c r="Y668" s="4"/>
    </row>
    <row r="669">
      <c r="A669" s="516"/>
      <c r="B669" s="516"/>
      <c r="C669" s="516"/>
      <c r="D669" s="516"/>
      <c r="E669" s="516"/>
      <c r="F669" s="516"/>
      <c r="G669" s="516"/>
      <c r="H669" s="516"/>
      <c r="I669" s="516"/>
      <c r="J669" s="516"/>
      <c r="K669" s="516"/>
      <c r="L669" s="516"/>
      <c r="M669" s="516"/>
      <c r="N669" s="516"/>
      <c r="O669" s="516"/>
      <c r="P669" s="516"/>
      <c r="Q669" s="516"/>
      <c r="R669" s="516"/>
      <c r="S669" s="516"/>
      <c r="T669" s="516"/>
      <c r="U669" s="516"/>
      <c r="V669" s="4"/>
      <c r="W669" s="4"/>
      <c r="X669" s="4"/>
      <c r="Y669" s="4"/>
    </row>
    <row r="670">
      <c r="A670" s="516"/>
      <c r="B670" s="516"/>
      <c r="C670" s="516"/>
      <c r="D670" s="516"/>
      <c r="E670" s="516"/>
      <c r="F670" s="516"/>
      <c r="G670" s="516"/>
      <c r="H670" s="516"/>
      <c r="I670" s="516"/>
      <c r="J670" s="516"/>
      <c r="K670" s="516"/>
      <c r="L670" s="516"/>
      <c r="M670" s="516"/>
      <c r="N670" s="516"/>
      <c r="O670" s="516"/>
      <c r="P670" s="516"/>
      <c r="Q670" s="516"/>
      <c r="R670" s="516"/>
      <c r="S670" s="516"/>
      <c r="T670" s="516"/>
      <c r="U670" s="516"/>
      <c r="V670" s="4"/>
      <c r="W670" s="4"/>
      <c r="X670" s="4"/>
      <c r="Y670" s="4"/>
    </row>
    <row r="671">
      <c r="A671" s="516"/>
      <c r="B671" s="516"/>
      <c r="C671" s="516"/>
      <c r="D671" s="516"/>
      <c r="E671" s="516"/>
      <c r="F671" s="516"/>
      <c r="G671" s="516"/>
      <c r="H671" s="516"/>
      <c r="I671" s="516"/>
      <c r="J671" s="516"/>
      <c r="K671" s="516"/>
      <c r="L671" s="516"/>
      <c r="M671" s="516"/>
      <c r="N671" s="516"/>
      <c r="O671" s="516"/>
      <c r="P671" s="516"/>
      <c r="Q671" s="516"/>
      <c r="R671" s="516"/>
      <c r="S671" s="516"/>
      <c r="T671" s="516"/>
      <c r="U671" s="516"/>
      <c r="V671" s="4"/>
      <c r="W671" s="4"/>
      <c r="X671" s="4"/>
      <c r="Y671" s="4"/>
    </row>
    <row r="672">
      <c r="A672" s="516"/>
      <c r="B672" s="516"/>
      <c r="C672" s="516"/>
      <c r="D672" s="516"/>
      <c r="E672" s="516"/>
      <c r="F672" s="516"/>
      <c r="G672" s="516"/>
      <c r="H672" s="516"/>
      <c r="I672" s="516"/>
      <c r="J672" s="516"/>
      <c r="K672" s="516"/>
      <c r="L672" s="516"/>
      <c r="M672" s="516"/>
      <c r="N672" s="516"/>
      <c r="O672" s="516"/>
      <c r="P672" s="516"/>
      <c r="Q672" s="516"/>
      <c r="R672" s="516"/>
      <c r="S672" s="516"/>
      <c r="T672" s="516"/>
      <c r="U672" s="516"/>
      <c r="V672" s="4"/>
      <c r="W672" s="4"/>
      <c r="X672" s="4"/>
      <c r="Y672" s="4"/>
    </row>
    <row r="673">
      <c r="A673" s="516"/>
      <c r="B673" s="516"/>
      <c r="C673" s="516"/>
      <c r="D673" s="516"/>
      <c r="E673" s="516"/>
      <c r="F673" s="516"/>
      <c r="G673" s="516"/>
      <c r="H673" s="516"/>
      <c r="I673" s="516"/>
      <c r="J673" s="516"/>
      <c r="K673" s="516"/>
      <c r="L673" s="516"/>
      <c r="M673" s="516"/>
      <c r="N673" s="516"/>
      <c r="O673" s="516"/>
      <c r="P673" s="516"/>
      <c r="Q673" s="516"/>
      <c r="R673" s="516"/>
      <c r="S673" s="516"/>
      <c r="T673" s="516"/>
      <c r="U673" s="516"/>
      <c r="V673" s="4"/>
      <c r="W673" s="4"/>
      <c r="X673" s="4"/>
      <c r="Y673" s="4"/>
    </row>
    <row r="674">
      <c r="A674" s="516"/>
      <c r="B674" s="516"/>
      <c r="C674" s="516"/>
      <c r="D674" s="516"/>
      <c r="E674" s="516"/>
      <c r="F674" s="516"/>
      <c r="G674" s="516"/>
      <c r="H674" s="516"/>
      <c r="I674" s="516"/>
      <c r="J674" s="516"/>
      <c r="K674" s="516"/>
      <c r="L674" s="516"/>
      <c r="M674" s="516"/>
      <c r="N674" s="516"/>
      <c r="O674" s="516"/>
      <c r="P674" s="516"/>
      <c r="Q674" s="516"/>
      <c r="R674" s="516"/>
      <c r="S674" s="516"/>
      <c r="T674" s="516"/>
      <c r="U674" s="516"/>
      <c r="V674" s="4"/>
      <c r="W674" s="4"/>
      <c r="X674" s="4"/>
      <c r="Y674" s="4"/>
    </row>
    <row r="675">
      <c r="A675" s="516"/>
      <c r="B675" s="516"/>
      <c r="C675" s="516"/>
      <c r="D675" s="516"/>
      <c r="E675" s="516"/>
      <c r="F675" s="516"/>
      <c r="G675" s="516"/>
      <c r="H675" s="516"/>
      <c r="I675" s="516"/>
      <c r="J675" s="516"/>
      <c r="K675" s="516"/>
      <c r="L675" s="516"/>
      <c r="M675" s="516"/>
      <c r="N675" s="516"/>
      <c r="O675" s="516"/>
      <c r="P675" s="516"/>
      <c r="Q675" s="516"/>
      <c r="R675" s="516"/>
      <c r="S675" s="516"/>
      <c r="T675" s="516"/>
      <c r="U675" s="516"/>
      <c r="V675" s="4"/>
      <c r="W675" s="4"/>
      <c r="X675" s="4"/>
      <c r="Y675" s="4"/>
    </row>
    <row r="676">
      <c r="A676" s="516"/>
      <c r="B676" s="516"/>
      <c r="C676" s="516"/>
      <c r="D676" s="516"/>
      <c r="E676" s="516"/>
      <c r="F676" s="516"/>
      <c r="G676" s="516"/>
      <c r="H676" s="516"/>
      <c r="I676" s="516"/>
      <c r="J676" s="516"/>
      <c r="K676" s="516"/>
      <c r="L676" s="516"/>
      <c r="M676" s="516"/>
      <c r="N676" s="516"/>
      <c r="O676" s="516"/>
      <c r="P676" s="516"/>
      <c r="Q676" s="516"/>
      <c r="R676" s="516"/>
      <c r="S676" s="516"/>
      <c r="T676" s="516"/>
      <c r="U676" s="516"/>
      <c r="V676" s="4"/>
      <c r="W676" s="4"/>
      <c r="X676" s="4"/>
      <c r="Y676" s="4"/>
    </row>
    <row r="677">
      <c r="A677" s="516"/>
      <c r="B677" s="516"/>
      <c r="C677" s="516"/>
      <c r="D677" s="516"/>
      <c r="E677" s="516"/>
      <c r="F677" s="516"/>
      <c r="G677" s="516"/>
      <c r="H677" s="516"/>
      <c r="I677" s="516"/>
      <c r="J677" s="516"/>
      <c r="K677" s="516"/>
      <c r="L677" s="516"/>
      <c r="M677" s="516"/>
      <c r="N677" s="516"/>
      <c r="O677" s="516"/>
      <c r="P677" s="516"/>
      <c r="Q677" s="516"/>
      <c r="R677" s="516"/>
      <c r="S677" s="516"/>
      <c r="T677" s="516"/>
      <c r="U677" s="516"/>
      <c r="V677" s="4"/>
      <c r="W677" s="4"/>
      <c r="X677" s="4"/>
      <c r="Y677" s="4"/>
    </row>
    <row r="678">
      <c r="A678" s="516"/>
      <c r="B678" s="516"/>
      <c r="C678" s="516"/>
      <c r="D678" s="516"/>
      <c r="E678" s="516"/>
      <c r="F678" s="516"/>
      <c r="G678" s="516"/>
      <c r="H678" s="516"/>
      <c r="I678" s="516"/>
      <c r="J678" s="516"/>
      <c r="K678" s="516"/>
      <c r="L678" s="516"/>
      <c r="M678" s="516"/>
      <c r="N678" s="516"/>
      <c r="O678" s="516"/>
      <c r="P678" s="516"/>
      <c r="Q678" s="516"/>
      <c r="R678" s="516"/>
      <c r="S678" s="516"/>
      <c r="T678" s="516"/>
      <c r="U678" s="516"/>
      <c r="V678" s="4"/>
      <c r="W678" s="4"/>
      <c r="X678" s="4"/>
      <c r="Y678" s="4"/>
    </row>
    <row r="679">
      <c r="A679" s="516"/>
      <c r="B679" s="516"/>
      <c r="C679" s="516"/>
      <c r="D679" s="516"/>
      <c r="E679" s="516"/>
      <c r="F679" s="516"/>
      <c r="G679" s="516"/>
      <c r="H679" s="516"/>
      <c r="I679" s="516"/>
      <c r="J679" s="516"/>
      <c r="K679" s="516"/>
      <c r="L679" s="516"/>
      <c r="M679" s="516"/>
      <c r="N679" s="516"/>
      <c r="O679" s="516"/>
      <c r="P679" s="516"/>
      <c r="Q679" s="516"/>
      <c r="R679" s="516"/>
      <c r="S679" s="516"/>
      <c r="T679" s="516"/>
      <c r="U679" s="516"/>
      <c r="V679" s="4"/>
      <c r="W679" s="4"/>
      <c r="X679" s="4"/>
      <c r="Y679" s="4"/>
    </row>
    <row r="680">
      <c r="A680" s="516"/>
      <c r="B680" s="516"/>
      <c r="C680" s="516"/>
      <c r="D680" s="516"/>
      <c r="E680" s="516"/>
      <c r="F680" s="516"/>
      <c r="G680" s="516"/>
      <c r="H680" s="516"/>
      <c r="I680" s="516"/>
      <c r="J680" s="516"/>
      <c r="K680" s="516"/>
      <c r="L680" s="516"/>
      <c r="M680" s="516"/>
      <c r="N680" s="516"/>
      <c r="O680" s="516"/>
      <c r="P680" s="516"/>
      <c r="Q680" s="516"/>
      <c r="R680" s="516"/>
      <c r="S680" s="516"/>
      <c r="T680" s="516"/>
      <c r="U680" s="516"/>
      <c r="V680" s="4"/>
      <c r="W680" s="4"/>
      <c r="X680" s="4"/>
      <c r="Y680" s="4"/>
    </row>
    <row r="681">
      <c r="A681" s="516"/>
      <c r="B681" s="516"/>
      <c r="C681" s="516"/>
      <c r="D681" s="516"/>
      <c r="E681" s="516"/>
      <c r="F681" s="516"/>
      <c r="G681" s="516"/>
      <c r="H681" s="516"/>
      <c r="I681" s="516"/>
      <c r="J681" s="516"/>
      <c r="K681" s="516"/>
      <c r="L681" s="516"/>
      <c r="M681" s="516"/>
      <c r="N681" s="516"/>
      <c r="O681" s="516"/>
      <c r="P681" s="516"/>
      <c r="Q681" s="516"/>
      <c r="R681" s="516"/>
      <c r="S681" s="516"/>
      <c r="T681" s="516"/>
      <c r="U681" s="516"/>
      <c r="V681" s="4"/>
      <c r="W681" s="4"/>
      <c r="X681" s="4"/>
      <c r="Y681" s="4"/>
    </row>
    <row r="682">
      <c r="A682" s="516"/>
      <c r="B682" s="516"/>
      <c r="C682" s="516"/>
      <c r="D682" s="516"/>
      <c r="E682" s="516"/>
      <c r="F682" s="516"/>
      <c r="G682" s="516"/>
      <c r="H682" s="516"/>
      <c r="I682" s="516"/>
      <c r="J682" s="516"/>
      <c r="K682" s="516"/>
      <c r="L682" s="516"/>
      <c r="M682" s="516"/>
      <c r="N682" s="516"/>
      <c r="O682" s="516"/>
      <c r="P682" s="516"/>
      <c r="Q682" s="516"/>
      <c r="R682" s="516"/>
      <c r="S682" s="516"/>
      <c r="T682" s="516"/>
      <c r="U682" s="516"/>
      <c r="V682" s="4"/>
      <c r="W682" s="4"/>
      <c r="X682" s="4"/>
      <c r="Y682" s="4"/>
    </row>
    <row r="683">
      <c r="A683" s="516"/>
      <c r="B683" s="516"/>
      <c r="C683" s="516"/>
      <c r="D683" s="516"/>
      <c r="E683" s="516"/>
      <c r="F683" s="516"/>
      <c r="G683" s="516"/>
      <c r="H683" s="516"/>
      <c r="I683" s="516"/>
      <c r="J683" s="516"/>
      <c r="K683" s="516"/>
      <c r="L683" s="516"/>
      <c r="M683" s="516"/>
      <c r="N683" s="516"/>
      <c r="O683" s="516"/>
      <c r="P683" s="516"/>
      <c r="Q683" s="516"/>
      <c r="R683" s="516"/>
      <c r="S683" s="516"/>
      <c r="T683" s="516"/>
      <c r="U683" s="516"/>
      <c r="V683" s="4"/>
      <c r="W683" s="4"/>
      <c r="X683" s="4"/>
      <c r="Y683" s="4"/>
    </row>
    <row r="684">
      <c r="A684" s="516"/>
      <c r="B684" s="516"/>
      <c r="C684" s="516"/>
      <c r="D684" s="516"/>
      <c r="E684" s="516"/>
      <c r="F684" s="516"/>
      <c r="G684" s="516"/>
      <c r="H684" s="516"/>
      <c r="I684" s="516"/>
      <c r="J684" s="516"/>
      <c r="K684" s="516"/>
      <c r="L684" s="516"/>
      <c r="M684" s="516"/>
      <c r="N684" s="516"/>
      <c r="O684" s="516"/>
      <c r="P684" s="516"/>
      <c r="Q684" s="516"/>
      <c r="R684" s="516"/>
      <c r="S684" s="516"/>
      <c r="T684" s="516"/>
      <c r="U684" s="516"/>
      <c r="V684" s="4"/>
      <c r="W684" s="4"/>
      <c r="X684" s="4"/>
      <c r="Y684" s="4"/>
    </row>
    <row r="685">
      <c r="A685" s="516"/>
      <c r="B685" s="516"/>
      <c r="C685" s="516"/>
      <c r="D685" s="516"/>
      <c r="E685" s="516"/>
      <c r="F685" s="516"/>
      <c r="G685" s="516"/>
      <c r="H685" s="516"/>
      <c r="I685" s="516"/>
      <c r="J685" s="516"/>
      <c r="K685" s="516"/>
      <c r="L685" s="516"/>
      <c r="M685" s="516"/>
      <c r="N685" s="516"/>
      <c r="O685" s="516"/>
      <c r="P685" s="516"/>
      <c r="Q685" s="516"/>
      <c r="R685" s="516"/>
      <c r="S685" s="516"/>
      <c r="T685" s="516"/>
      <c r="U685" s="516"/>
      <c r="V685" s="4"/>
      <c r="W685" s="4"/>
      <c r="X685" s="4"/>
      <c r="Y685" s="4"/>
    </row>
    <row r="686">
      <c r="A686" s="516"/>
      <c r="B686" s="516"/>
      <c r="C686" s="516"/>
      <c r="D686" s="516"/>
      <c r="E686" s="516"/>
      <c r="F686" s="516"/>
      <c r="G686" s="516"/>
      <c r="H686" s="516"/>
      <c r="I686" s="516"/>
      <c r="J686" s="516"/>
      <c r="K686" s="516"/>
      <c r="L686" s="516"/>
      <c r="M686" s="516"/>
      <c r="N686" s="516"/>
      <c r="O686" s="516"/>
      <c r="P686" s="516"/>
      <c r="Q686" s="516"/>
      <c r="R686" s="516"/>
      <c r="S686" s="516"/>
      <c r="T686" s="516"/>
      <c r="U686" s="516"/>
      <c r="V686" s="4"/>
      <c r="W686" s="4"/>
      <c r="X686" s="4"/>
      <c r="Y686" s="4"/>
    </row>
    <row r="687">
      <c r="A687" s="516"/>
      <c r="B687" s="516"/>
      <c r="C687" s="516"/>
      <c r="D687" s="516"/>
      <c r="E687" s="516"/>
      <c r="F687" s="516"/>
      <c r="G687" s="516"/>
      <c r="H687" s="516"/>
      <c r="I687" s="516"/>
      <c r="J687" s="516"/>
      <c r="K687" s="516"/>
      <c r="L687" s="516"/>
      <c r="M687" s="516"/>
      <c r="N687" s="516"/>
      <c r="O687" s="516"/>
      <c r="P687" s="516"/>
      <c r="Q687" s="516"/>
      <c r="R687" s="516"/>
      <c r="S687" s="516"/>
      <c r="T687" s="516"/>
      <c r="U687" s="516"/>
      <c r="V687" s="4"/>
      <c r="W687" s="4"/>
      <c r="X687" s="4"/>
      <c r="Y687" s="4"/>
    </row>
    <row r="688">
      <c r="A688" s="516"/>
      <c r="B688" s="516"/>
      <c r="C688" s="516"/>
      <c r="D688" s="516"/>
      <c r="E688" s="516"/>
      <c r="F688" s="516"/>
      <c r="G688" s="516"/>
      <c r="H688" s="516"/>
      <c r="I688" s="516"/>
      <c r="J688" s="516"/>
      <c r="K688" s="516"/>
      <c r="L688" s="516"/>
      <c r="M688" s="516"/>
      <c r="N688" s="516"/>
      <c r="O688" s="516"/>
      <c r="P688" s="516"/>
      <c r="Q688" s="516"/>
      <c r="R688" s="516"/>
      <c r="S688" s="516"/>
      <c r="T688" s="516"/>
      <c r="U688" s="516"/>
      <c r="V688" s="4"/>
      <c r="W688" s="4"/>
      <c r="X688" s="4"/>
      <c r="Y688" s="4"/>
    </row>
    <row r="689">
      <c r="A689" s="516"/>
      <c r="B689" s="516"/>
      <c r="C689" s="516"/>
      <c r="D689" s="516"/>
      <c r="E689" s="516"/>
      <c r="F689" s="516"/>
      <c r="G689" s="516"/>
      <c r="H689" s="516"/>
      <c r="I689" s="516"/>
      <c r="J689" s="516"/>
      <c r="K689" s="516"/>
      <c r="L689" s="516"/>
      <c r="M689" s="516"/>
      <c r="N689" s="516"/>
      <c r="O689" s="516"/>
      <c r="P689" s="516"/>
      <c r="Q689" s="516"/>
      <c r="R689" s="516"/>
      <c r="S689" s="516"/>
      <c r="T689" s="516"/>
      <c r="U689" s="516"/>
      <c r="V689" s="4"/>
      <c r="W689" s="4"/>
      <c r="X689" s="4"/>
      <c r="Y689" s="4"/>
    </row>
    <row r="690">
      <c r="A690" s="516"/>
      <c r="B690" s="516"/>
      <c r="C690" s="516"/>
      <c r="D690" s="516"/>
      <c r="E690" s="516"/>
      <c r="F690" s="516"/>
      <c r="G690" s="516"/>
      <c r="H690" s="516"/>
      <c r="I690" s="516"/>
      <c r="J690" s="516"/>
      <c r="K690" s="516"/>
      <c r="L690" s="516"/>
      <c r="M690" s="516"/>
      <c r="N690" s="516"/>
      <c r="O690" s="516"/>
      <c r="P690" s="516"/>
      <c r="Q690" s="516"/>
      <c r="R690" s="516"/>
      <c r="S690" s="516"/>
      <c r="T690" s="516"/>
      <c r="U690" s="516"/>
      <c r="V690" s="4"/>
      <c r="W690" s="4"/>
      <c r="X690" s="4"/>
      <c r="Y690" s="4"/>
    </row>
    <row r="691">
      <c r="A691" s="516"/>
      <c r="B691" s="516"/>
      <c r="C691" s="516"/>
      <c r="D691" s="516"/>
      <c r="E691" s="516"/>
      <c r="F691" s="516"/>
      <c r="G691" s="516"/>
      <c r="H691" s="516"/>
      <c r="I691" s="516"/>
      <c r="J691" s="516"/>
      <c r="K691" s="516"/>
      <c r="L691" s="516"/>
      <c r="M691" s="516"/>
      <c r="N691" s="516"/>
      <c r="O691" s="516"/>
      <c r="P691" s="516"/>
      <c r="Q691" s="516"/>
      <c r="R691" s="516"/>
      <c r="S691" s="516"/>
      <c r="T691" s="516"/>
      <c r="U691" s="516"/>
      <c r="V691" s="4"/>
      <c r="W691" s="4"/>
      <c r="X691" s="4"/>
      <c r="Y691" s="4"/>
    </row>
    <row r="692">
      <c r="A692" s="516"/>
      <c r="B692" s="516"/>
      <c r="C692" s="516"/>
      <c r="D692" s="516"/>
      <c r="E692" s="516"/>
      <c r="F692" s="516"/>
      <c r="G692" s="516"/>
      <c r="H692" s="516"/>
      <c r="I692" s="516"/>
      <c r="J692" s="516"/>
      <c r="K692" s="516"/>
      <c r="L692" s="516"/>
      <c r="M692" s="516"/>
      <c r="N692" s="516"/>
      <c r="O692" s="516"/>
      <c r="P692" s="516"/>
      <c r="Q692" s="516"/>
      <c r="R692" s="516"/>
      <c r="S692" s="516"/>
      <c r="T692" s="516"/>
      <c r="U692" s="516"/>
      <c r="V692" s="4"/>
      <c r="W692" s="4"/>
      <c r="X692" s="4"/>
      <c r="Y692" s="4"/>
    </row>
    <row r="693">
      <c r="A693" s="516"/>
      <c r="B693" s="516"/>
      <c r="C693" s="516"/>
      <c r="D693" s="516"/>
      <c r="E693" s="516"/>
      <c r="F693" s="516"/>
      <c r="G693" s="516"/>
      <c r="H693" s="516"/>
      <c r="I693" s="516"/>
      <c r="J693" s="516"/>
      <c r="K693" s="516"/>
      <c r="L693" s="516"/>
      <c r="M693" s="516"/>
      <c r="N693" s="516"/>
      <c r="O693" s="516"/>
      <c r="P693" s="516"/>
      <c r="Q693" s="516"/>
      <c r="R693" s="516"/>
      <c r="S693" s="516"/>
      <c r="T693" s="516"/>
      <c r="U693" s="516"/>
      <c r="V693" s="4"/>
      <c r="W693" s="4"/>
      <c r="X693" s="4"/>
      <c r="Y693" s="4"/>
    </row>
    <row r="694">
      <c r="A694" s="516"/>
      <c r="B694" s="516"/>
      <c r="C694" s="516"/>
      <c r="D694" s="516"/>
      <c r="E694" s="516"/>
      <c r="F694" s="516"/>
      <c r="G694" s="516"/>
      <c r="H694" s="516"/>
      <c r="I694" s="516"/>
      <c r="J694" s="516"/>
      <c r="K694" s="516"/>
      <c r="L694" s="516"/>
      <c r="M694" s="516"/>
      <c r="N694" s="516"/>
      <c r="O694" s="516"/>
      <c r="P694" s="516"/>
      <c r="Q694" s="516"/>
      <c r="R694" s="516"/>
      <c r="S694" s="516"/>
      <c r="T694" s="516"/>
      <c r="U694" s="516"/>
      <c r="V694" s="4"/>
      <c r="W694" s="4"/>
      <c r="X694" s="4"/>
      <c r="Y694" s="4"/>
    </row>
    <row r="695">
      <c r="A695" s="516"/>
      <c r="B695" s="516"/>
      <c r="C695" s="516"/>
      <c r="D695" s="516"/>
      <c r="E695" s="516"/>
      <c r="F695" s="516"/>
      <c r="G695" s="516"/>
      <c r="H695" s="516"/>
      <c r="I695" s="516"/>
      <c r="J695" s="516"/>
      <c r="K695" s="516"/>
      <c r="L695" s="516"/>
      <c r="M695" s="516"/>
      <c r="N695" s="516"/>
      <c r="O695" s="516"/>
      <c r="P695" s="516"/>
      <c r="Q695" s="516"/>
      <c r="R695" s="516"/>
      <c r="S695" s="516"/>
      <c r="T695" s="516"/>
      <c r="U695" s="516"/>
      <c r="V695" s="4"/>
      <c r="W695" s="4"/>
      <c r="X695" s="4"/>
      <c r="Y695" s="4"/>
    </row>
    <row r="696">
      <c r="A696" s="516"/>
      <c r="B696" s="516"/>
      <c r="C696" s="516"/>
      <c r="D696" s="516"/>
      <c r="E696" s="516"/>
      <c r="F696" s="516"/>
      <c r="G696" s="516"/>
      <c r="H696" s="516"/>
      <c r="I696" s="516"/>
      <c r="J696" s="516"/>
      <c r="K696" s="516"/>
      <c r="L696" s="516"/>
      <c r="M696" s="516"/>
      <c r="N696" s="516"/>
      <c r="O696" s="516"/>
      <c r="P696" s="516"/>
      <c r="Q696" s="516"/>
      <c r="R696" s="516"/>
      <c r="S696" s="516"/>
      <c r="T696" s="516"/>
      <c r="U696" s="516"/>
      <c r="V696" s="4"/>
      <c r="W696" s="4"/>
      <c r="X696" s="4"/>
      <c r="Y696" s="4"/>
    </row>
    <row r="697">
      <c r="A697" s="516"/>
      <c r="B697" s="516"/>
      <c r="C697" s="516"/>
      <c r="D697" s="516"/>
      <c r="E697" s="516"/>
      <c r="F697" s="516"/>
      <c r="G697" s="516"/>
      <c r="H697" s="516"/>
      <c r="I697" s="516"/>
      <c r="J697" s="516"/>
      <c r="K697" s="516"/>
      <c r="L697" s="516"/>
      <c r="M697" s="516"/>
      <c r="N697" s="516"/>
      <c r="O697" s="516"/>
      <c r="P697" s="516"/>
      <c r="Q697" s="516"/>
      <c r="R697" s="516"/>
      <c r="S697" s="516"/>
      <c r="T697" s="516"/>
      <c r="U697" s="516"/>
      <c r="V697" s="4"/>
      <c r="W697" s="4"/>
      <c r="X697" s="4"/>
      <c r="Y697" s="4"/>
    </row>
    <row r="698">
      <c r="A698" s="516"/>
      <c r="B698" s="516"/>
      <c r="C698" s="516"/>
      <c r="D698" s="516"/>
      <c r="E698" s="516"/>
      <c r="F698" s="516"/>
      <c r="G698" s="516"/>
      <c r="H698" s="516"/>
      <c r="I698" s="516"/>
      <c r="J698" s="516"/>
      <c r="K698" s="516"/>
      <c r="L698" s="516"/>
      <c r="M698" s="516"/>
      <c r="N698" s="516"/>
      <c r="O698" s="516"/>
      <c r="P698" s="516"/>
      <c r="Q698" s="516"/>
      <c r="R698" s="516"/>
      <c r="S698" s="516"/>
      <c r="T698" s="516"/>
      <c r="U698" s="516"/>
      <c r="V698" s="4"/>
      <c r="W698" s="4"/>
      <c r="X698" s="4"/>
      <c r="Y698" s="4"/>
    </row>
    <row r="699">
      <c r="A699" s="516"/>
      <c r="B699" s="516"/>
      <c r="C699" s="516"/>
      <c r="D699" s="516"/>
      <c r="E699" s="516"/>
      <c r="F699" s="516"/>
      <c r="G699" s="516"/>
      <c r="H699" s="516"/>
      <c r="I699" s="516"/>
      <c r="J699" s="516"/>
      <c r="K699" s="516"/>
      <c r="L699" s="516"/>
      <c r="M699" s="516"/>
      <c r="N699" s="516"/>
      <c r="O699" s="516"/>
      <c r="P699" s="516"/>
      <c r="Q699" s="516"/>
      <c r="R699" s="516"/>
      <c r="S699" s="516"/>
      <c r="T699" s="516"/>
      <c r="U699" s="516"/>
      <c r="V699" s="4"/>
      <c r="W699" s="4"/>
      <c r="X699" s="4"/>
      <c r="Y699" s="4"/>
    </row>
    <row r="700">
      <c r="A700" s="516"/>
      <c r="B700" s="516"/>
      <c r="C700" s="516"/>
      <c r="D700" s="516"/>
      <c r="E700" s="516"/>
      <c r="F700" s="516"/>
      <c r="G700" s="516"/>
      <c r="H700" s="516"/>
      <c r="I700" s="516"/>
      <c r="J700" s="516"/>
      <c r="K700" s="516"/>
      <c r="L700" s="516"/>
      <c r="M700" s="516"/>
      <c r="N700" s="516"/>
      <c r="O700" s="516"/>
      <c r="P700" s="516"/>
      <c r="Q700" s="516"/>
      <c r="R700" s="516"/>
      <c r="S700" s="516"/>
      <c r="T700" s="516"/>
      <c r="U700" s="516"/>
      <c r="V700" s="4"/>
      <c r="W700" s="4"/>
      <c r="X700" s="4"/>
      <c r="Y700" s="4"/>
    </row>
    <row r="701">
      <c r="A701" s="516"/>
      <c r="B701" s="516"/>
      <c r="C701" s="516"/>
      <c r="D701" s="516"/>
      <c r="E701" s="516"/>
      <c r="F701" s="516"/>
      <c r="G701" s="516"/>
      <c r="H701" s="516"/>
      <c r="I701" s="516"/>
      <c r="J701" s="516"/>
      <c r="K701" s="516"/>
      <c r="L701" s="516"/>
      <c r="M701" s="516"/>
      <c r="N701" s="516"/>
      <c r="O701" s="516"/>
      <c r="P701" s="516"/>
      <c r="Q701" s="516"/>
      <c r="R701" s="516"/>
      <c r="S701" s="516"/>
      <c r="T701" s="516"/>
      <c r="U701" s="516"/>
      <c r="V701" s="4"/>
      <c r="W701" s="4"/>
      <c r="X701" s="4"/>
      <c r="Y701" s="4"/>
    </row>
    <row r="702">
      <c r="A702" s="516"/>
      <c r="B702" s="516"/>
      <c r="C702" s="516"/>
      <c r="D702" s="516"/>
      <c r="E702" s="516"/>
      <c r="F702" s="516"/>
      <c r="G702" s="516"/>
      <c r="H702" s="516"/>
      <c r="I702" s="516"/>
      <c r="J702" s="516"/>
      <c r="K702" s="516"/>
      <c r="L702" s="516"/>
      <c r="M702" s="516"/>
      <c r="N702" s="516"/>
      <c r="O702" s="516"/>
      <c r="P702" s="516"/>
      <c r="Q702" s="516"/>
      <c r="R702" s="516"/>
      <c r="S702" s="516"/>
      <c r="T702" s="516"/>
      <c r="U702" s="516"/>
      <c r="V702" s="4"/>
      <c r="W702" s="4"/>
      <c r="X702" s="4"/>
      <c r="Y702" s="4"/>
    </row>
    <row r="703">
      <c r="A703" s="516"/>
      <c r="B703" s="516"/>
      <c r="C703" s="516"/>
      <c r="D703" s="516"/>
      <c r="E703" s="516"/>
      <c r="F703" s="516"/>
      <c r="G703" s="516"/>
      <c r="H703" s="516"/>
      <c r="I703" s="516"/>
      <c r="J703" s="516"/>
      <c r="K703" s="516"/>
      <c r="L703" s="516"/>
      <c r="M703" s="516"/>
      <c r="N703" s="516"/>
      <c r="O703" s="516"/>
      <c r="P703" s="516"/>
      <c r="Q703" s="516"/>
      <c r="R703" s="516"/>
      <c r="S703" s="516"/>
      <c r="T703" s="516"/>
      <c r="U703" s="516"/>
      <c r="V703" s="4"/>
      <c r="W703" s="4"/>
      <c r="X703" s="4"/>
      <c r="Y703" s="4"/>
    </row>
    <row r="704">
      <c r="A704" s="516"/>
      <c r="B704" s="516"/>
      <c r="C704" s="516"/>
      <c r="D704" s="516"/>
      <c r="E704" s="516"/>
      <c r="F704" s="516"/>
      <c r="G704" s="516"/>
      <c r="H704" s="516"/>
      <c r="I704" s="516"/>
      <c r="J704" s="516"/>
      <c r="K704" s="516"/>
      <c r="L704" s="516"/>
      <c r="M704" s="516"/>
      <c r="N704" s="516"/>
      <c r="O704" s="516"/>
      <c r="P704" s="516"/>
      <c r="Q704" s="516"/>
      <c r="R704" s="516"/>
      <c r="S704" s="516"/>
      <c r="T704" s="516"/>
      <c r="U704" s="516"/>
      <c r="V704" s="4"/>
      <c r="W704" s="4"/>
      <c r="X704" s="4"/>
      <c r="Y704" s="4"/>
    </row>
    <row r="705">
      <c r="A705" s="516"/>
      <c r="B705" s="516"/>
      <c r="C705" s="516"/>
      <c r="D705" s="516"/>
      <c r="E705" s="516"/>
      <c r="F705" s="516"/>
      <c r="G705" s="516"/>
      <c r="H705" s="516"/>
      <c r="I705" s="516"/>
      <c r="J705" s="516"/>
      <c r="K705" s="516"/>
      <c r="L705" s="516"/>
      <c r="M705" s="516"/>
      <c r="N705" s="516"/>
      <c r="O705" s="516"/>
      <c r="P705" s="516"/>
      <c r="Q705" s="516"/>
      <c r="R705" s="516"/>
      <c r="S705" s="516"/>
      <c r="T705" s="516"/>
      <c r="U705" s="516"/>
      <c r="V705" s="4"/>
      <c r="W705" s="4"/>
      <c r="X705" s="4"/>
      <c r="Y705" s="4"/>
    </row>
    <row r="706">
      <c r="A706" s="516"/>
      <c r="B706" s="516"/>
      <c r="C706" s="516"/>
      <c r="D706" s="516"/>
      <c r="E706" s="516"/>
      <c r="F706" s="516"/>
      <c r="G706" s="516"/>
      <c r="H706" s="516"/>
      <c r="I706" s="516"/>
      <c r="J706" s="516"/>
      <c r="K706" s="516"/>
      <c r="L706" s="516"/>
      <c r="M706" s="516"/>
      <c r="N706" s="516"/>
      <c r="O706" s="516"/>
      <c r="P706" s="516"/>
      <c r="Q706" s="516"/>
      <c r="R706" s="516"/>
      <c r="S706" s="516"/>
      <c r="T706" s="516"/>
      <c r="U706" s="516"/>
      <c r="V706" s="4"/>
      <c r="W706" s="4"/>
      <c r="X706" s="4"/>
      <c r="Y706" s="4"/>
    </row>
    <row r="707">
      <c r="A707" s="516"/>
      <c r="B707" s="516"/>
      <c r="C707" s="516"/>
      <c r="D707" s="516"/>
      <c r="E707" s="516"/>
      <c r="F707" s="516"/>
      <c r="G707" s="516"/>
      <c r="H707" s="516"/>
      <c r="I707" s="516"/>
      <c r="J707" s="516"/>
      <c r="K707" s="516"/>
      <c r="L707" s="516"/>
      <c r="M707" s="516"/>
      <c r="N707" s="516"/>
      <c r="O707" s="516"/>
      <c r="P707" s="516"/>
      <c r="Q707" s="516"/>
      <c r="R707" s="516"/>
      <c r="S707" s="516"/>
      <c r="T707" s="516"/>
      <c r="U707" s="516"/>
      <c r="V707" s="4"/>
      <c r="W707" s="4"/>
      <c r="X707" s="4"/>
      <c r="Y707" s="4"/>
    </row>
    <row r="708">
      <c r="A708" s="516"/>
      <c r="B708" s="516"/>
      <c r="C708" s="516"/>
      <c r="D708" s="516"/>
      <c r="E708" s="516"/>
      <c r="F708" s="516"/>
      <c r="G708" s="516"/>
      <c r="H708" s="516"/>
      <c r="I708" s="516"/>
      <c r="J708" s="516"/>
      <c r="K708" s="516"/>
      <c r="L708" s="516"/>
      <c r="M708" s="516"/>
      <c r="N708" s="516"/>
      <c r="O708" s="516"/>
      <c r="P708" s="516"/>
      <c r="Q708" s="516"/>
      <c r="R708" s="516"/>
      <c r="S708" s="516"/>
      <c r="T708" s="516"/>
      <c r="U708" s="516"/>
      <c r="V708" s="4"/>
      <c r="W708" s="4"/>
      <c r="X708" s="4"/>
      <c r="Y708" s="4"/>
    </row>
    <row r="709">
      <c r="A709" s="516"/>
      <c r="B709" s="516"/>
      <c r="C709" s="516"/>
      <c r="D709" s="516"/>
      <c r="E709" s="516"/>
      <c r="F709" s="516"/>
      <c r="G709" s="516"/>
      <c r="H709" s="516"/>
      <c r="I709" s="516"/>
      <c r="J709" s="516"/>
      <c r="K709" s="516"/>
      <c r="L709" s="516"/>
      <c r="M709" s="516"/>
      <c r="N709" s="516"/>
      <c r="O709" s="516"/>
      <c r="P709" s="516"/>
      <c r="Q709" s="516"/>
      <c r="R709" s="516"/>
      <c r="S709" s="516"/>
      <c r="T709" s="516"/>
      <c r="U709" s="516"/>
      <c r="V709" s="4"/>
      <c r="W709" s="4"/>
      <c r="X709" s="4"/>
      <c r="Y709" s="4"/>
    </row>
    <row r="710">
      <c r="A710" s="516"/>
      <c r="B710" s="516"/>
      <c r="C710" s="516"/>
      <c r="D710" s="516"/>
      <c r="E710" s="516"/>
      <c r="F710" s="516"/>
      <c r="G710" s="516"/>
      <c r="H710" s="516"/>
      <c r="I710" s="516"/>
      <c r="J710" s="516"/>
      <c r="K710" s="516"/>
      <c r="L710" s="516"/>
      <c r="M710" s="516"/>
      <c r="N710" s="516"/>
      <c r="O710" s="516"/>
      <c r="P710" s="516"/>
      <c r="Q710" s="516"/>
      <c r="R710" s="516"/>
      <c r="S710" s="516"/>
      <c r="T710" s="516"/>
      <c r="U710" s="516"/>
      <c r="V710" s="4"/>
      <c r="W710" s="4"/>
      <c r="X710" s="4"/>
      <c r="Y710" s="4"/>
    </row>
    <row r="711">
      <c r="A711" s="516"/>
      <c r="B711" s="516"/>
      <c r="C711" s="516"/>
      <c r="D711" s="516"/>
      <c r="E711" s="516"/>
      <c r="F711" s="516"/>
      <c r="G711" s="516"/>
      <c r="H711" s="516"/>
      <c r="I711" s="516"/>
      <c r="J711" s="516"/>
      <c r="K711" s="516"/>
      <c r="L711" s="516"/>
      <c r="M711" s="516"/>
      <c r="N711" s="516"/>
      <c r="O711" s="516"/>
      <c r="P711" s="516"/>
      <c r="Q711" s="516"/>
      <c r="R711" s="516"/>
      <c r="S711" s="516"/>
      <c r="T711" s="516"/>
      <c r="U711" s="516"/>
      <c r="V711" s="4"/>
      <c r="W711" s="4"/>
      <c r="X711" s="4"/>
      <c r="Y711" s="4"/>
    </row>
    <row r="712">
      <c r="A712" s="516"/>
      <c r="B712" s="516"/>
      <c r="C712" s="516"/>
      <c r="D712" s="516"/>
      <c r="E712" s="516"/>
      <c r="F712" s="516"/>
      <c r="G712" s="516"/>
      <c r="H712" s="516"/>
      <c r="I712" s="516"/>
      <c r="J712" s="516"/>
      <c r="K712" s="516"/>
      <c r="L712" s="516"/>
      <c r="M712" s="516"/>
      <c r="N712" s="516"/>
      <c r="O712" s="516"/>
      <c r="P712" s="516"/>
      <c r="Q712" s="516"/>
      <c r="R712" s="516"/>
      <c r="S712" s="516"/>
      <c r="T712" s="516"/>
      <c r="U712" s="516"/>
      <c r="V712" s="4"/>
      <c r="W712" s="4"/>
      <c r="X712" s="4"/>
      <c r="Y712" s="4"/>
    </row>
    <row r="713">
      <c r="A713" s="516"/>
      <c r="B713" s="516"/>
      <c r="C713" s="516"/>
      <c r="D713" s="516"/>
      <c r="E713" s="516"/>
      <c r="F713" s="516"/>
      <c r="G713" s="516"/>
      <c r="H713" s="516"/>
      <c r="I713" s="516"/>
      <c r="J713" s="516"/>
      <c r="K713" s="516"/>
      <c r="L713" s="516"/>
      <c r="M713" s="516"/>
      <c r="N713" s="516"/>
      <c r="O713" s="516"/>
      <c r="P713" s="516"/>
      <c r="Q713" s="516"/>
      <c r="R713" s="516"/>
      <c r="S713" s="516"/>
      <c r="T713" s="516"/>
      <c r="U713" s="516"/>
      <c r="V713" s="4"/>
      <c r="W713" s="4"/>
      <c r="X713" s="4"/>
      <c r="Y713" s="4"/>
    </row>
    <row r="714">
      <c r="A714" s="516"/>
      <c r="B714" s="516"/>
      <c r="C714" s="516"/>
      <c r="D714" s="516"/>
      <c r="E714" s="516"/>
      <c r="F714" s="516"/>
      <c r="G714" s="516"/>
      <c r="H714" s="516"/>
      <c r="I714" s="516"/>
      <c r="J714" s="516"/>
      <c r="K714" s="516"/>
      <c r="L714" s="516"/>
      <c r="M714" s="516"/>
      <c r="N714" s="516"/>
      <c r="O714" s="516"/>
      <c r="P714" s="516"/>
      <c r="Q714" s="516"/>
      <c r="R714" s="516"/>
      <c r="S714" s="516"/>
      <c r="T714" s="516"/>
      <c r="U714" s="516"/>
      <c r="V714" s="4"/>
      <c r="W714" s="4"/>
      <c r="X714" s="4"/>
      <c r="Y714" s="4"/>
    </row>
    <row r="715">
      <c r="A715" s="516"/>
      <c r="B715" s="516"/>
      <c r="C715" s="516"/>
      <c r="D715" s="516"/>
      <c r="E715" s="516"/>
      <c r="F715" s="516"/>
      <c r="G715" s="516"/>
      <c r="H715" s="516"/>
      <c r="I715" s="516"/>
      <c r="J715" s="516"/>
      <c r="K715" s="516"/>
      <c r="L715" s="516"/>
      <c r="M715" s="516"/>
      <c r="N715" s="516"/>
      <c r="O715" s="516"/>
      <c r="P715" s="516"/>
      <c r="Q715" s="516"/>
      <c r="R715" s="516"/>
      <c r="S715" s="516"/>
      <c r="T715" s="516"/>
      <c r="U715" s="516"/>
      <c r="V715" s="4"/>
      <c r="W715" s="4"/>
      <c r="X715" s="4"/>
      <c r="Y715" s="4"/>
    </row>
    <row r="716">
      <c r="A716" s="516"/>
      <c r="B716" s="516"/>
      <c r="C716" s="516"/>
      <c r="D716" s="516"/>
      <c r="E716" s="516"/>
      <c r="F716" s="516"/>
      <c r="G716" s="516"/>
      <c r="H716" s="516"/>
      <c r="I716" s="516"/>
      <c r="J716" s="516"/>
      <c r="K716" s="516"/>
      <c r="L716" s="516"/>
      <c r="M716" s="516"/>
      <c r="N716" s="516"/>
      <c r="O716" s="516"/>
      <c r="P716" s="516"/>
      <c r="Q716" s="516"/>
      <c r="R716" s="516"/>
      <c r="S716" s="516"/>
      <c r="T716" s="516"/>
      <c r="U716" s="516"/>
      <c r="V716" s="4"/>
      <c r="W716" s="4"/>
      <c r="X716" s="4"/>
      <c r="Y716" s="4"/>
    </row>
    <row r="717">
      <c r="A717" s="516"/>
      <c r="B717" s="516"/>
      <c r="C717" s="516"/>
      <c r="D717" s="516"/>
      <c r="E717" s="516"/>
      <c r="F717" s="516"/>
      <c r="G717" s="516"/>
      <c r="H717" s="516"/>
      <c r="I717" s="516"/>
      <c r="J717" s="516"/>
      <c r="K717" s="516"/>
      <c r="L717" s="516"/>
      <c r="M717" s="516"/>
      <c r="N717" s="516"/>
      <c r="O717" s="516"/>
      <c r="P717" s="516"/>
      <c r="Q717" s="516"/>
      <c r="R717" s="516"/>
      <c r="S717" s="516"/>
      <c r="T717" s="516"/>
      <c r="U717" s="516"/>
      <c r="V717" s="4"/>
      <c r="W717" s="4"/>
      <c r="X717" s="4"/>
      <c r="Y717" s="4"/>
    </row>
    <row r="718">
      <c r="A718" s="516"/>
      <c r="B718" s="516"/>
      <c r="C718" s="516"/>
      <c r="D718" s="516"/>
      <c r="E718" s="516"/>
      <c r="F718" s="516"/>
      <c r="G718" s="516"/>
      <c r="H718" s="516"/>
      <c r="I718" s="516"/>
      <c r="J718" s="516"/>
      <c r="K718" s="516"/>
      <c r="L718" s="516"/>
      <c r="M718" s="516"/>
      <c r="N718" s="516"/>
      <c r="O718" s="516"/>
      <c r="P718" s="516"/>
      <c r="Q718" s="516"/>
      <c r="R718" s="516"/>
      <c r="S718" s="516"/>
      <c r="T718" s="516"/>
      <c r="U718" s="516"/>
      <c r="V718" s="4"/>
      <c r="W718" s="4"/>
      <c r="X718" s="4"/>
      <c r="Y718" s="4"/>
    </row>
    <row r="719">
      <c r="A719" s="516"/>
      <c r="B719" s="516"/>
      <c r="C719" s="516"/>
      <c r="D719" s="516"/>
      <c r="E719" s="516"/>
      <c r="F719" s="516"/>
      <c r="G719" s="516"/>
      <c r="H719" s="516"/>
      <c r="I719" s="516"/>
      <c r="J719" s="516"/>
      <c r="K719" s="516"/>
      <c r="L719" s="516"/>
      <c r="M719" s="516"/>
      <c r="N719" s="516"/>
      <c r="O719" s="516"/>
      <c r="P719" s="516"/>
      <c r="Q719" s="516"/>
      <c r="R719" s="516"/>
      <c r="S719" s="516"/>
      <c r="T719" s="516"/>
      <c r="U719" s="516"/>
      <c r="V719" s="4"/>
      <c r="W719" s="4"/>
      <c r="X719" s="4"/>
      <c r="Y719" s="4"/>
    </row>
    <row r="720">
      <c r="A720" s="516"/>
      <c r="B720" s="516"/>
      <c r="C720" s="516"/>
      <c r="D720" s="516"/>
      <c r="E720" s="516"/>
      <c r="F720" s="516"/>
      <c r="G720" s="516"/>
      <c r="H720" s="516"/>
      <c r="I720" s="516"/>
      <c r="J720" s="516"/>
      <c r="K720" s="516"/>
      <c r="L720" s="516"/>
      <c r="M720" s="516"/>
      <c r="N720" s="516"/>
      <c r="O720" s="516"/>
      <c r="P720" s="516"/>
      <c r="Q720" s="516"/>
      <c r="R720" s="516"/>
      <c r="S720" s="516"/>
      <c r="T720" s="516"/>
      <c r="U720" s="516"/>
      <c r="V720" s="4"/>
      <c r="W720" s="4"/>
      <c r="X720" s="4"/>
      <c r="Y720" s="4"/>
    </row>
    <row r="721">
      <c r="A721" s="516"/>
      <c r="B721" s="516"/>
      <c r="C721" s="516"/>
      <c r="D721" s="516"/>
      <c r="E721" s="516"/>
      <c r="F721" s="516"/>
      <c r="G721" s="516"/>
      <c r="H721" s="516"/>
      <c r="I721" s="516"/>
      <c r="J721" s="516"/>
      <c r="K721" s="516"/>
      <c r="L721" s="516"/>
      <c r="M721" s="516"/>
      <c r="N721" s="516"/>
      <c r="O721" s="516"/>
      <c r="P721" s="516"/>
      <c r="Q721" s="516"/>
      <c r="R721" s="516"/>
      <c r="S721" s="516"/>
      <c r="T721" s="516"/>
      <c r="U721" s="516"/>
      <c r="V721" s="4"/>
      <c r="W721" s="4"/>
      <c r="X721" s="4"/>
      <c r="Y721" s="4"/>
    </row>
    <row r="722">
      <c r="A722" s="516"/>
      <c r="B722" s="516"/>
      <c r="C722" s="516"/>
      <c r="D722" s="516"/>
      <c r="E722" s="516"/>
      <c r="F722" s="516"/>
      <c r="G722" s="516"/>
      <c r="H722" s="516"/>
      <c r="I722" s="516"/>
      <c r="J722" s="516"/>
      <c r="K722" s="516"/>
      <c r="L722" s="516"/>
      <c r="M722" s="516"/>
      <c r="N722" s="516"/>
      <c r="O722" s="516"/>
      <c r="P722" s="516"/>
      <c r="Q722" s="516"/>
      <c r="R722" s="516"/>
      <c r="S722" s="516"/>
      <c r="T722" s="516"/>
      <c r="U722" s="516"/>
      <c r="V722" s="4"/>
      <c r="W722" s="4"/>
      <c r="X722" s="4"/>
      <c r="Y722" s="4"/>
    </row>
    <row r="723">
      <c r="A723" s="516"/>
      <c r="B723" s="516"/>
      <c r="C723" s="516"/>
      <c r="D723" s="516"/>
      <c r="E723" s="516"/>
      <c r="F723" s="516"/>
      <c r="G723" s="516"/>
      <c r="H723" s="516"/>
      <c r="I723" s="516"/>
      <c r="J723" s="516"/>
      <c r="K723" s="516"/>
      <c r="L723" s="516"/>
      <c r="M723" s="516"/>
      <c r="N723" s="516"/>
      <c r="O723" s="516"/>
      <c r="P723" s="516"/>
      <c r="Q723" s="516"/>
      <c r="R723" s="516"/>
      <c r="S723" s="516"/>
      <c r="T723" s="516"/>
      <c r="U723" s="516"/>
      <c r="V723" s="4"/>
      <c r="W723" s="4"/>
      <c r="X723" s="4"/>
      <c r="Y723" s="4"/>
    </row>
    <row r="724">
      <c r="A724" s="516"/>
      <c r="B724" s="516"/>
      <c r="C724" s="516"/>
      <c r="D724" s="516"/>
      <c r="E724" s="516"/>
      <c r="F724" s="516"/>
      <c r="G724" s="516"/>
      <c r="H724" s="516"/>
      <c r="I724" s="516"/>
      <c r="J724" s="516"/>
      <c r="K724" s="516"/>
      <c r="L724" s="516"/>
      <c r="M724" s="516"/>
      <c r="N724" s="516"/>
      <c r="O724" s="516"/>
      <c r="P724" s="516"/>
      <c r="Q724" s="516"/>
      <c r="R724" s="516"/>
      <c r="S724" s="516"/>
      <c r="T724" s="516"/>
      <c r="U724" s="516"/>
      <c r="V724" s="4"/>
      <c r="W724" s="4"/>
      <c r="X724" s="4"/>
      <c r="Y724" s="4"/>
    </row>
    <row r="725">
      <c r="A725" s="516"/>
      <c r="B725" s="516"/>
      <c r="C725" s="516"/>
      <c r="D725" s="516"/>
      <c r="E725" s="516"/>
      <c r="F725" s="516"/>
      <c r="G725" s="516"/>
      <c r="H725" s="516"/>
      <c r="I725" s="516"/>
      <c r="J725" s="516"/>
      <c r="K725" s="516"/>
      <c r="L725" s="516"/>
      <c r="M725" s="516"/>
      <c r="N725" s="516"/>
      <c r="O725" s="516"/>
      <c r="P725" s="516"/>
      <c r="Q725" s="516"/>
      <c r="R725" s="516"/>
      <c r="S725" s="516"/>
      <c r="T725" s="516"/>
      <c r="U725" s="516"/>
      <c r="V725" s="4"/>
      <c r="W725" s="4"/>
      <c r="X725" s="4"/>
      <c r="Y725" s="4"/>
    </row>
    <row r="726">
      <c r="A726" s="516"/>
      <c r="B726" s="516"/>
      <c r="C726" s="516"/>
      <c r="D726" s="516"/>
      <c r="E726" s="516"/>
      <c r="F726" s="516"/>
      <c r="G726" s="516"/>
      <c r="H726" s="516"/>
      <c r="I726" s="516"/>
      <c r="J726" s="516"/>
      <c r="K726" s="516"/>
      <c r="L726" s="516"/>
      <c r="M726" s="516"/>
      <c r="N726" s="516"/>
      <c r="O726" s="516"/>
      <c r="P726" s="516"/>
      <c r="Q726" s="516"/>
      <c r="R726" s="516"/>
      <c r="S726" s="516"/>
      <c r="T726" s="516"/>
      <c r="U726" s="516"/>
      <c r="V726" s="4"/>
      <c r="W726" s="4"/>
      <c r="X726" s="4"/>
      <c r="Y726" s="4"/>
    </row>
    <row r="727">
      <c r="A727" s="516"/>
      <c r="B727" s="516"/>
      <c r="C727" s="516"/>
      <c r="D727" s="516"/>
      <c r="E727" s="516"/>
      <c r="F727" s="516"/>
      <c r="G727" s="516"/>
      <c r="H727" s="516"/>
      <c r="I727" s="516"/>
      <c r="J727" s="516"/>
      <c r="K727" s="516"/>
      <c r="L727" s="516"/>
      <c r="M727" s="516"/>
      <c r="N727" s="516"/>
      <c r="O727" s="516"/>
      <c r="P727" s="516"/>
      <c r="Q727" s="516"/>
      <c r="R727" s="516"/>
      <c r="S727" s="516"/>
      <c r="T727" s="516"/>
      <c r="U727" s="516"/>
      <c r="V727" s="4"/>
      <c r="W727" s="4"/>
      <c r="X727" s="4"/>
      <c r="Y727" s="4"/>
    </row>
    <row r="728">
      <c r="A728" s="516"/>
      <c r="B728" s="516"/>
      <c r="C728" s="516"/>
      <c r="D728" s="516"/>
      <c r="E728" s="516"/>
      <c r="F728" s="516"/>
      <c r="G728" s="516"/>
      <c r="H728" s="516"/>
      <c r="I728" s="516"/>
      <c r="J728" s="516"/>
      <c r="K728" s="516"/>
      <c r="L728" s="516"/>
      <c r="M728" s="516"/>
      <c r="N728" s="516"/>
      <c r="O728" s="516"/>
      <c r="P728" s="516"/>
      <c r="Q728" s="516"/>
      <c r="R728" s="516"/>
      <c r="S728" s="516"/>
      <c r="T728" s="516"/>
      <c r="U728" s="516"/>
      <c r="V728" s="4"/>
      <c r="W728" s="4"/>
      <c r="X728" s="4"/>
      <c r="Y728" s="4"/>
    </row>
    <row r="729">
      <c r="A729" s="516"/>
      <c r="B729" s="516"/>
      <c r="C729" s="516"/>
      <c r="D729" s="516"/>
      <c r="E729" s="516"/>
      <c r="F729" s="516"/>
      <c r="G729" s="516"/>
      <c r="H729" s="516"/>
      <c r="I729" s="516"/>
      <c r="J729" s="516"/>
      <c r="K729" s="516"/>
      <c r="L729" s="516"/>
      <c r="M729" s="516"/>
      <c r="N729" s="516"/>
      <c r="O729" s="516"/>
      <c r="P729" s="516"/>
      <c r="Q729" s="516"/>
      <c r="R729" s="516"/>
      <c r="S729" s="516"/>
      <c r="T729" s="516"/>
      <c r="U729" s="516"/>
      <c r="V729" s="4"/>
      <c r="W729" s="4"/>
      <c r="X729" s="4"/>
      <c r="Y729" s="4"/>
    </row>
    <row r="730">
      <c r="A730" s="516"/>
      <c r="B730" s="516"/>
      <c r="C730" s="516"/>
      <c r="D730" s="516"/>
      <c r="E730" s="516"/>
      <c r="F730" s="516"/>
      <c r="G730" s="516"/>
      <c r="H730" s="516"/>
      <c r="I730" s="516"/>
      <c r="J730" s="516"/>
      <c r="K730" s="516"/>
      <c r="L730" s="516"/>
      <c r="M730" s="516"/>
      <c r="N730" s="516"/>
      <c r="O730" s="516"/>
      <c r="P730" s="516"/>
      <c r="Q730" s="516"/>
      <c r="R730" s="516"/>
      <c r="S730" s="516"/>
      <c r="T730" s="516"/>
      <c r="U730" s="516"/>
      <c r="V730" s="4"/>
      <c r="W730" s="4"/>
      <c r="X730" s="4"/>
      <c r="Y730" s="4"/>
    </row>
    <row r="731">
      <c r="A731" s="516"/>
      <c r="B731" s="516"/>
      <c r="C731" s="516"/>
      <c r="D731" s="516"/>
      <c r="E731" s="516"/>
      <c r="F731" s="516"/>
      <c r="G731" s="516"/>
      <c r="H731" s="516"/>
      <c r="I731" s="516"/>
      <c r="J731" s="516"/>
      <c r="K731" s="516"/>
      <c r="L731" s="516"/>
      <c r="M731" s="516"/>
      <c r="N731" s="516"/>
      <c r="O731" s="516"/>
      <c r="P731" s="516"/>
      <c r="Q731" s="516"/>
      <c r="R731" s="516"/>
      <c r="S731" s="516"/>
      <c r="T731" s="516"/>
      <c r="U731" s="516"/>
      <c r="V731" s="4"/>
      <c r="W731" s="4"/>
      <c r="X731" s="4"/>
      <c r="Y731" s="4"/>
    </row>
    <row r="732">
      <c r="A732" s="516"/>
      <c r="B732" s="516"/>
      <c r="C732" s="516"/>
      <c r="D732" s="516"/>
      <c r="E732" s="516"/>
      <c r="F732" s="516"/>
      <c r="G732" s="516"/>
      <c r="H732" s="516"/>
      <c r="I732" s="516"/>
      <c r="J732" s="516"/>
      <c r="K732" s="516"/>
      <c r="L732" s="516"/>
      <c r="M732" s="516"/>
      <c r="N732" s="516"/>
      <c r="O732" s="516"/>
      <c r="P732" s="516"/>
      <c r="Q732" s="516"/>
      <c r="R732" s="516"/>
      <c r="S732" s="516"/>
      <c r="T732" s="516"/>
      <c r="U732" s="516"/>
      <c r="V732" s="4"/>
      <c r="W732" s="4"/>
      <c r="X732" s="4"/>
      <c r="Y732" s="4"/>
    </row>
    <row r="733">
      <c r="A733" s="516"/>
      <c r="B733" s="516"/>
      <c r="C733" s="516"/>
      <c r="D733" s="516"/>
      <c r="E733" s="516"/>
      <c r="F733" s="516"/>
      <c r="G733" s="516"/>
      <c r="H733" s="516"/>
      <c r="I733" s="516"/>
      <c r="J733" s="516"/>
      <c r="K733" s="516"/>
      <c r="L733" s="516"/>
      <c r="M733" s="516"/>
      <c r="N733" s="516"/>
      <c r="O733" s="516"/>
      <c r="P733" s="516"/>
      <c r="Q733" s="516"/>
      <c r="R733" s="516"/>
      <c r="S733" s="516"/>
      <c r="T733" s="516"/>
      <c r="U733" s="516"/>
      <c r="V733" s="4"/>
      <c r="W733" s="4"/>
      <c r="X733" s="4"/>
      <c r="Y733" s="4"/>
    </row>
    <row r="734">
      <c r="A734" s="516"/>
      <c r="B734" s="516"/>
      <c r="C734" s="516"/>
      <c r="D734" s="516"/>
      <c r="E734" s="516"/>
      <c r="F734" s="516"/>
      <c r="G734" s="516"/>
      <c r="H734" s="516"/>
      <c r="I734" s="516"/>
      <c r="J734" s="516"/>
      <c r="K734" s="516"/>
      <c r="L734" s="516"/>
      <c r="M734" s="516"/>
      <c r="N734" s="516"/>
      <c r="O734" s="516"/>
      <c r="P734" s="516"/>
      <c r="Q734" s="516"/>
      <c r="R734" s="516"/>
      <c r="S734" s="516"/>
      <c r="T734" s="516"/>
      <c r="U734" s="516"/>
      <c r="V734" s="4"/>
      <c r="W734" s="4"/>
      <c r="X734" s="4"/>
      <c r="Y734" s="4"/>
    </row>
    <row r="735">
      <c r="A735" s="516"/>
      <c r="B735" s="516"/>
      <c r="C735" s="516"/>
      <c r="D735" s="516"/>
      <c r="E735" s="516"/>
      <c r="F735" s="516"/>
      <c r="G735" s="516"/>
      <c r="H735" s="516"/>
      <c r="I735" s="516"/>
      <c r="J735" s="516"/>
      <c r="K735" s="516"/>
      <c r="L735" s="516"/>
      <c r="M735" s="516"/>
      <c r="N735" s="516"/>
      <c r="O735" s="516"/>
      <c r="P735" s="516"/>
      <c r="Q735" s="516"/>
      <c r="R735" s="516"/>
      <c r="S735" s="516"/>
      <c r="T735" s="516"/>
      <c r="U735" s="516"/>
      <c r="V735" s="4"/>
      <c r="W735" s="4"/>
      <c r="X735" s="4"/>
      <c r="Y735" s="4"/>
    </row>
    <row r="736">
      <c r="A736" s="516"/>
      <c r="B736" s="516"/>
      <c r="C736" s="516"/>
      <c r="D736" s="516"/>
      <c r="E736" s="516"/>
      <c r="F736" s="516"/>
      <c r="G736" s="516"/>
      <c r="H736" s="516"/>
      <c r="I736" s="516"/>
      <c r="J736" s="516"/>
      <c r="K736" s="516"/>
      <c r="L736" s="516"/>
      <c r="M736" s="516"/>
      <c r="N736" s="516"/>
      <c r="O736" s="516"/>
      <c r="P736" s="516"/>
      <c r="Q736" s="516"/>
      <c r="R736" s="516"/>
      <c r="S736" s="516"/>
      <c r="T736" s="516"/>
      <c r="U736" s="516"/>
      <c r="V736" s="4"/>
      <c r="W736" s="4"/>
      <c r="X736" s="4"/>
      <c r="Y736" s="4"/>
    </row>
    <row r="737">
      <c r="A737" s="516"/>
      <c r="B737" s="516"/>
      <c r="C737" s="516"/>
      <c r="D737" s="516"/>
      <c r="E737" s="516"/>
      <c r="F737" s="516"/>
      <c r="G737" s="516"/>
      <c r="H737" s="516"/>
      <c r="I737" s="516"/>
      <c r="J737" s="516"/>
      <c r="K737" s="516"/>
      <c r="L737" s="516"/>
      <c r="M737" s="516"/>
      <c r="N737" s="516"/>
      <c r="O737" s="516"/>
      <c r="P737" s="516"/>
      <c r="Q737" s="516"/>
      <c r="R737" s="516"/>
      <c r="S737" s="516"/>
      <c r="T737" s="516"/>
      <c r="U737" s="516"/>
      <c r="V737" s="4"/>
      <c r="W737" s="4"/>
      <c r="X737" s="4"/>
      <c r="Y737" s="4"/>
    </row>
    <row r="738">
      <c r="A738" s="516"/>
      <c r="B738" s="516"/>
      <c r="C738" s="516"/>
      <c r="D738" s="516"/>
      <c r="E738" s="516"/>
      <c r="F738" s="516"/>
      <c r="G738" s="516"/>
      <c r="H738" s="516"/>
      <c r="I738" s="516"/>
      <c r="J738" s="516"/>
      <c r="K738" s="516"/>
      <c r="L738" s="516"/>
      <c r="M738" s="516"/>
      <c r="N738" s="516"/>
      <c r="O738" s="516"/>
      <c r="P738" s="516"/>
      <c r="Q738" s="516"/>
      <c r="R738" s="516"/>
      <c r="S738" s="516"/>
      <c r="T738" s="516"/>
      <c r="U738" s="516"/>
      <c r="V738" s="4"/>
      <c r="W738" s="4"/>
      <c r="X738" s="4"/>
      <c r="Y738" s="4"/>
    </row>
    <row r="739">
      <c r="A739" s="516"/>
      <c r="B739" s="516"/>
      <c r="C739" s="516"/>
      <c r="D739" s="516"/>
      <c r="E739" s="516"/>
      <c r="F739" s="516"/>
      <c r="G739" s="516"/>
      <c r="H739" s="516"/>
      <c r="I739" s="516"/>
      <c r="J739" s="516"/>
      <c r="K739" s="516"/>
      <c r="L739" s="516"/>
      <c r="M739" s="516"/>
      <c r="N739" s="516"/>
      <c r="O739" s="516"/>
      <c r="P739" s="516"/>
      <c r="Q739" s="516"/>
      <c r="R739" s="516"/>
      <c r="S739" s="516"/>
      <c r="T739" s="516"/>
      <c r="U739" s="516"/>
      <c r="V739" s="4"/>
      <c r="W739" s="4"/>
      <c r="X739" s="4"/>
      <c r="Y739" s="4"/>
    </row>
    <row r="740">
      <c r="A740" s="516"/>
      <c r="B740" s="516"/>
      <c r="C740" s="516"/>
      <c r="D740" s="516"/>
      <c r="E740" s="516"/>
      <c r="F740" s="516"/>
      <c r="G740" s="516"/>
      <c r="H740" s="516"/>
      <c r="I740" s="516"/>
      <c r="J740" s="516"/>
      <c r="K740" s="516"/>
      <c r="L740" s="516"/>
      <c r="M740" s="516"/>
      <c r="N740" s="516"/>
      <c r="O740" s="516"/>
      <c r="P740" s="516"/>
      <c r="Q740" s="516"/>
      <c r="R740" s="516"/>
      <c r="S740" s="516"/>
      <c r="T740" s="516"/>
      <c r="U740" s="516"/>
      <c r="V740" s="4"/>
      <c r="W740" s="4"/>
      <c r="X740" s="4"/>
      <c r="Y740" s="4"/>
    </row>
    <row r="741">
      <c r="A741" s="516"/>
      <c r="B741" s="516"/>
      <c r="C741" s="516"/>
      <c r="D741" s="516"/>
      <c r="E741" s="516"/>
      <c r="F741" s="516"/>
      <c r="G741" s="516"/>
      <c r="H741" s="516"/>
      <c r="I741" s="516"/>
      <c r="J741" s="516"/>
      <c r="K741" s="516"/>
      <c r="L741" s="516"/>
      <c r="M741" s="516"/>
      <c r="N741" s="516"/>
      <c r="O741" s="516"/>
      <c r="P741" s="516"/>
      <c r="Q741" s="516"/>
      <c r="R741" s="516"/>
      <c r="S741" s="516"/>
      <c r="T741" s="516"/>
      <c r="U741" s="516"/>
      <c r="V741" s="4"/>
      <c r="W741" s="4"/>
      <c r="X741" s="4"/>
      <c r="Y741" s="4"/>
    </row>
    <row r="742">
      <c r="A742" s="516"/>
      <c r="B742" s="516"/>
      <c r="C742" s="516"/>
      <c r="D742" s="516"/>
      <c r="E742" s="516"/>
      <c r="F742" s="516"/>
      <c r="G742" s="516"/>
      <c r="H742" s="516"/>
      <c r="I742" s="516"/>
      <c r="J742" s="516"/>
      <c r="K742" s="516"/>
      <c r="L742" s="516"/>
      <c r="M742" s="516"/>
      <c r="N742" s="516"/>
      <c r="O742" s="516"/>
      <c r="P742" s="516"/>
      <c r="Q742" s="516"/>
      <c r="R742" s="516"/>
      <c r="S742" s="516"/>
      <c r="T742" s="516"/>
      <c r="U742" s="516"/>
      <c r="V742" s="4"/>
      <c r="W742" s="4"/>
      <c r="X742" s="4"/>
      <c r="Y742" s="4"/>
    </row>
    <row r="743">
      <c r="A743" s="516"/>
      <c r="B743" s="516"/>
      <c r="C743" s="516"/>
      <c r="D743" s="516"/>
      <c r="E743" s="516"/>
      <c r="F743" s="516"/>
      <c r="G743" s="516"/>
      <c r="H743" s="516"/>
      <c r="I743" s="516"/>
      <c r="J743" s="516"/>
      <c r="K743" s="516"/>
      <c r="L743" s="516"/>
      <c r="M743" s="516"/>
      <c r="N743" s="516"/>
      <c r="O743" s="516"/>
      <c r="P743" s="516"/>
      <c r="Q743" s="516"/>
      <c r="R743" s="516"/>
      <c r="S743" s="516"/>
      <c r="T743" s="516"/>
      <c r="U743" s="516"/>
      <c r="V743" s="4"/>
      <c r="W743" s="4"/>
      <c r="X743" s="4"/>
      <c r="Y743" s="4"/>
    </row>
    <row r="744">
      <c r="A744" s="516"/>
      <c r="B744" s="516"/>
      <c r="C744" s="516"/>
      <c r="D744" s="516"/>
      <c r="E744" s="516"/>
      <c r="F744" s="516"/>
      <c r="G744" s="516"/>
      <c r="H744" s="516"/>
      <c r="I744" s="516"/>
      <c r="J744" s="516"/>
      <c r="K744" s="516"/>
      <c r="L744" s="516"/>
      <c r="M744" s="516"/>
      <c r="N744" s="516"/>
      <c r="O744" s="516"/>
      <c r="P744" s="516"/>
      <c r="Q744" s="516"/>
      <c r="R744" s="516"/>
      <c r="S744" s="516"/>
      <c r="T744" s="516"/>
      <c r="U744" s="516"/>
      <c r="V744" s="4"/>
      <c r="W744" s="4"/>
      <c r="X744" s="4"/>
      <c r="Y744" s="4"/>
    </row>
    <row r="745">
      <c r="A745" s="516"/>
      <c r="B745" s="516"/>
      <c r="C745" s="516"/>
      <c r="D745" s="516"/>
      <c r="E745" s="516"/>
      <c r="F745" s="516"/>
      <c r="G745" s="516"/>
      <c r="H745" s="516"/>
      <c r="I745" s="516"/>
      <c r="J745" s="516"/>
      <c r="K745" s="516"/>
      <c r="L745" s="516"/>
      <c r="M745" s="516"/>
      <c r="N745" s="516"/>
      <c r="O745" s="516"/>
      <c r="P745" s="516"/>
      <c r="Q745" s="516"/>
      <c r="R745" s="516"/>
      <c r="S745" s="516"/>
      <c r="T745" s="516"/>
      <c r="U745" s="516"/>
      <c r="V745" s="4"/>
      <c r="W745" s="4"/>
      <c r="X745" s="4"/>
      <c r="Y745" s="4"/>
    </row>
    <row r="746">
      <c r="A746" s="516"/>
      <c r="B746" s="516"/>
      <c r="C746" s="516"/>
      <c r="D746" s="516"/>
      <c r="E746" s="516"/>
      <c r="F746" s="516"/>
      <c r="G746" s="516"/>
      <c r="H746" s="516"/>
      <c r="I746" s="516"/>
      <c r="J746" s="516"/>
      <c r="K746" s="516"/>
      <c r="L746" s="516"/>
      <c r="M746" s="516"/>
      <c r="N746" s="516"/>
      <c r="O746" s="516"/>
      <c r="P746" s="516"/>
      <c r="Q746" s="516"/>
      <c r="R746" s="516"/>
      <c r="S746" s="516"/>
      <c r="T746" s="516"/>
      <c r="U746" s="516"/>
      <c r="V746" s="4"/>
      <c r="W746" s="4"/>
      <c r="X746" s="4"/>
      <c r="Y746" s="4"/>
    </row>
    <row r="747">
      <c r="A747" s="516"/>
      <c r="B747" s="516"/>
      <c r="C747" s="516"/>
      <c r="D747" s="516"/>
      <c r="E747" s="516"/>
      <c r="F747" s="516"/>
      <c r="G747" s="516"/>
      <c r="H747" s="516"/>
      <c r="I747" s="516"/>
      <c r="J747" s="516"/>
      <c r="K747" s="516"/>
      <c r="L747" s="516"/>
      <c r="M747" s="516"/>
      <c r="N747" s="516"/>
      <c r="O747" s="516"/>
      <c r="P747" s="516"/>
      <c r="Q747" s="516"/>
      <c r="R747" s="516"/>
      <c r="S747" s="516"/>
      <c r="T747" s="516"/>
      <c r="U747" s="516"/>
      <c r="V747" s="4"/>
      <c r="W747" s="4"/>
      <c r="X747" s="4"/>
      <c r="Y747" s="4"/>
    </row>
    <row r="748">
      <c r="A748" s="516"/>
      <c r="B748" s="516"/>
      <c r="C748" s="516"/>
      <c r="D748" s="516"/>
      <c r="E748" s="516"/>
      <c r="F748" s="516"/>
      <c r="G748" s="516"/>
      <c r="H748" s="516"/>
      <c r="I748" s="516"/>
      <c r="J748" s="516"/>
      <c r="K748" s="516"/>
      <c r="L748" s="516"/>
      <c r="M748" s="516"/>
      <c r="N748" s="516"/>
      <c r="O748" s="516"/>
      <c r="P748" s="516"/>
      <c r="Q748" s="516"/>
      <c r="R748" s="516"/>
      <c r="S748" s="516"/>
      <c r="T748" s="516"/>
      <c r="U748" s="516"/>
      <c r="V748" s="4"/>
      <c r="W748" s="4"/>
      <c r="X748" s="4"/>
      <c r="Y748" s="4"/>
    </row>
    <row r="749">
      <c r="A749" s="516"/>
      <c r="B749" s="516"/>
      <c r="C749" s="516"/>
      <c r="D749" s="516"/>
      <c r="E749" s="516"/>
      <c r="F749" s="516"/>
      <c r="G749" s="516"/>
      <c r="H749" s="516"/>
      <c r="I749" s="516"/>
      <c r="J749" s="516"/>
      <c r="K749" s="516"/>
      <c r="L749" s="516"/>
      <c r="M749" s="516"/>
      <c r="N749" s="516"/>
      <c r="O749" s="516"/>
      <c r="P749" s="516"/>
      <c r="Q749" s="516"/>
      <c r="R749" s="516"/>
      <c r="S749" s="516"/>
      <c r="T749" s="516"/>
      <c r="U749" s="516"/>
      <c r="V749" s="4"/>
      <c r="W749" s="4"/>
      <c r="X749" s="4"/>
      <c r="Y749" s="4"/>
    </row>
    <row r="750">
      <c r="A750" s="516"/>
      <c r="B750" s="516"/>
      <c r="C750" s="516"/>
      <c r="D750" s="516"/>
      <c r="E750" s="516"/>
      <c r="F750" s="516"/>
      <c r="G750" s="516"/>
      <c r="H750" s="516"/>
      <c r="I750" s="516"/>
      <c r="J750" s="516"/>
      <c r="K750" s="516"/>
      <c r="L750" s="516"/>
      <c r="M750" s="516"/>
      <c r="N750" s="516"/>
      <c r="O750" s="516"/>
      <c r="P750" s="516"/>
      <c r="Q750" s="516"/>
      <c r="R750" s="516"/>
      <c r="S750" s="516"/>
      <c r="T750" s="516"/>
      <c r="U750" s="516"/>
      <c r="V750" s="4"/>
      <c r="W750" s="4"/>
      <c r="X750" s="4"/>
      <c r="Y750" s="4"/>
    </row>
    <row r="751">
      <c r="A751" s="516"/>
      <c r="B751" s="516"/>
      <c r="C751" s="516"/>
      <c r="D751" s="516"/>
      <c r="E751" s="516"/>
      <c r="F751" s="516"/>
      <c r="G751" s="516"/>
      <c r="H751" s="516"/>
      <c r="I751" s="516"/>
      <c r="J751" s="516"/>
      <c r="K751" s="516"/>
      <c r="L751" s="516"/>
      <c r="M751" s="516"/>
      <c r="N751" s="516"/>
      <c r="O751" s="516"/>
      <c r="P751" s="516"/>
      <c r="Q751" s="516"/>
      <c r="R751" s="516"/>
      <c r="S751" s="516"/>
      <c r="T751" s="516"/>
      <c r="U751" s="516"/>
      <c r="V751" s="4"/>
      <c r="W751" s="4"/>
      <c r="X751" s="4"/>
      <c r="Y751" s="4"/>
    </row>
    <row r="752">
      <c r="A752" s="516"/>
      <c r="B752" s="516"/>
      <c r="C752" s="516"/>
      <c r="D752" s="516"/>
      <c r="E752" s="516"/>
      <c r="F752" s="516"/>
      <c r="G752" s="516"/>
      <c r="H752" s="516"/>
      <c r="I752" s="516"/>
      <c r="J752" s="516"/>
      <c r="K752" s="516"/>
      <c r="L752" s="516"/>
      <c r="M752" s="516"/>
      <c r="N752" s="516"/>
      <c r="O752" s="516"/>
      <c r="P752" s="516"/>
      <c r="Q752" s="516"/>
      <c r="R752" s="516"/>
      <c r="S752" s="516"/>
      <c r="T752" s="516"/>
      <c r="U752" s="516"/>
      <c r="V752" s="4"/>
      <c r="W752" s="4"/>
      <c r="X752" s="4"/>
      <c r="Y752" s="4"/>
    </row>
    <row r="753">
      <c r="A753" s="516"/>
      <c r="B753" s="516"/>
      <c r="C753" s="516"/>
      <c r="D753" s="516"/>
      <c r="E753" s="516"/>
      <c r="F753" s="516"/>
      <c r="G753" s="516"/>
      <c r="H753" s="516"/>
      <c r="I753" s="516"/>
      <c r="J753" s="516"/>
      <c r="K753" s="516"/>
      <c r="L753" s="516"/>
      <c r="M753" s="516"/>
      <c r="N753" s="516"/>
      <c r="O753" s="516"/>
      <c r="P753" s="516"/>
      <c r="Q753" s="516"/>
      <c r="R753" s="516"/>
      <c r="S753" s="516"/>
      <c r="T753" s="516"/>
      <c r="U753" s="516"/>
      <c r="V753" s="4"/>
      <c r="W753" s="4"/>
      <c r="X753" s="4"/>
      <c r="Y753" s="4"/>
    </row>
    <row r="754">
      <c r="A754" s="516"/>
      <c r="B754" s="516"/>
      <c r="C754" s="516"/>
      <c r="D754" s="516"/>
      <c r="E754" s="516"/>
      <c r="F754" s="516"/>
      <c r="G754" s="516"/>
      <c r="H754" s="516"/>
      <c r="I754" s="516"/>
      <c r="J754" s="516"/>
      <c r="K754" s="516"/>
      <c r="L754" s="516"/>
      <c r="M754" s="516"/>
      <c r="N754" s="516"/>
      <c r="O754" s="516"/>
      <c r="P754" s="516"/>
      <c r="Q754" s="516"/>
      <c r="R754" s="516"/>
      <c r="S754" s="516"/>
      <c r="T754" s="516"/>
      <c r="U754" s="516"/>
      <c r="V754" s="4"/>
      <c r="W754" s="4"/>
      <c r="X754" s="4"/>
      <c r="Y754" s="4"/>
    </row>
    <row r="755">
      <c r="A755" s="516"/>
      <c r="B755" s="516"/>
      <c r="C755" s="516"/>
      <c r="D755" s="516"/>
      <c r="E755" s="516"/>
      <c r="F755" s="516"/>
      <c r="G755" s="516"/>
      <c r="H755" s="516"/>
      <c r="I755" s="516"/>
      <c r="J755" s="516"/>
      <c r="K755" s="516"/>
      <c r="L755" s="516"/>
      <c r="M755" s="516"/>
      <c r="N755" s="516"/>
      <c r="O755" s="516"/>
      <c r="P755" s="516"/>
      <c r="Q755" s="516"/>
      <c r="R755" s="516"/>
      <c r="S755" s="516"/>
      <c r="T755" s="516"/>
      <c r="U755" s="516"/>
      <c r="V755" s="4"/>
      <c r="W755" s="4"/>
      <c r="X755" s="4"/>
      <c r="Y755" s="4"/>
    </row>
    <row r="756">
      <c r="A756" s="516"/>
      <c r="B756" s="516"/>
      <c r="C756" s="516"/>
      <c r="D756" s="516"/>
      <c r="E756" s="516"/>
      <c r="F756" s="516"/>
      <c r="G756" s="516"/>
      <c r="H756" s="516"/>
      <c r="I756" s="516"/>
      <c r="J756" s="516"/>
      <c r="K756" s="516"/>
      <c r="L756" s="516"/>
      <c r="M756" s="516"/>
      <c r="N756" s="516"/>
      <c r="O756" s="516"/>
      <c r="P756" s="516"/>
      <c r="Q756" s="516"/>
      <c r="R756" s="516"/>
      <c r="S756" s="516"/>
      <c r="T756" s="516"/>
      <c r="U756" s="516"/>
      <c r="V756" s="4"/>
      <c r="W756" s="4"/>
      <c r="X756" s="4"/>
      <c r="Y756" s="4"/>
    </row>
    <row r="757">
      <c r="A757" s="516"/>
      <c r="B757" s="516"/>
      <c r="C757" s="516"/>
      <c r="D757" s="516"/>
      <c r="E757" s="516"/>
      <c r="F757" s="516"/>
      <c r="G757" s="516"/>
      <c r="H757" s="516"/>
      <c r="I757" s="516"/>
      <c r="J757" s="516"/>
      <c r="K757" s="516"/>
      <c r="L757" s="516"/>
      <c r="M757" s="516"/>
      <c r="N757" s="516"/>
      <c r="O757" s="516"/>
      <c r="P757" s="516"/>
      <c r="Q757" s="516"/>
      <c r="R757" s="516"/>
      <c r="S757" s="516"/>
      <c r="T757" s="516"/>
      <c r="U757" s="516"/>
      <c r="V757" s="4"/>
      <c r="W757" s="4"/>
      <c r="X757" s="4"/>
      <c r="Y757" s="4"/>
    </row>
    <row r="758">
      <c r="A758" s="516"/>
      <c r="B758" s="516"/>
      <c r="C758" s="516"/>
      <c r="D758" s="516"/>
      <c r="E758" s="516"/>
      <c r="F758" s="516"/>
      <c r="G758" s="516"/>
      <c r="H758" s="516"/>
      <c r="I758" s="516"/>
      <c r="J758" s="516"/>
      <c r="K758" s="516"/>
      <c r="L758" s="516"/>
      <c r="M758" s="516"/>
      <c r="N758" s="516"/>
      <c r="O758" s="516"/>
      <c r="P758" s="516"/>
      <c r="Q758" s="516"/>
      <c r="R758" s="516"/>
      <c r="S758" s="516"/>
      <c r="T758" s="516"/>
      <c r="U758" s="516"/>
      <c r="V758" s="4"/>
      <c r="W758" s="4"/>
      <c r="X758" s="4"/>
      <c r="Y758" s="4"/>
    </row>
    <row r="759">
      <c r="A759" s="516"/>
      <c r="B759" s="516"/>
      <c r="C759" s="516"/>
      <c r="D759" s="516"/>
      <c r="E759" s="516"/>
      <c r="F759" s="516"/>
      <c r="G759" s="516"/>
      <c r="H759" s="516"/>
      <c r="I759" s="516"/>
      <c r="J759" s="516"/>
      <c r="K759" s="516"/>
      <c r="L759" s="516"/>
      <c r="M759" s="516"/>
      <c r="N759" s="516"/>
      <c r="O759" s="516"/>
      <c r="P759" s="516"/>
      <c r="Q759" s="516"/>
      <c r="R759" s="516"/>
      <c r="S759" s="516"/>
      <c r="T759" s="516"/>
      <c r="U759" s="516"/>
      <c r="V759" s="4"/>
      <c r="W759" s="4"/>
      <c r="X759" s="4"/>
      <c r="Y759" s="4"/>
    </row>
    <row r="760">
      <c r="A760" s="516"/>
      <c r="B760" s="516"/>
      <c r="C760" s="516"/>
      <c r="D760" s="516"/>
      <c r="E760" s="516"/>
      <c r="F760" s="516"/>
      <c r="G760" s="516"/>
      <c r="H760" s="516"/>
      <c r="I760" s="516"/>
      <c r="J760" s="516"/>
      <c r="K760" s="516"/>
      <c r="L760" s="516"/>
      <c r="M760" s="516"/>
      <c r="N760" s="516"/>
      <c r="O760" s="516"/>
      <c r="P760" s="516"/>
      <c r="Q760" s="516"/>
      <c r="R760" s="516"/>
      <c r="S760" s="516"/>
      <c r="T760" s="516"/>
      <c r="U760" s="516"/>
      <c r="V760" s="4"/>
      <c r="W760" s="4"/>
      <c r="X760" s="4"/>
      <c r="Y760" s="4"/>
    </row>
    <row r="761">
      <c r="A761" s="516"/>
      <c r="B761" s="516"/>
      <c r="C761" s="516"/>
      <c r="D761" s="516"/>
      <c r="E761" s="516"/>
      <c r="F761" s="516"/>
      <c r="G761" s="516"/>
      <c r="H761" s="516"/>
      <c r="I761" s="516"/>
      <c r="J761" s="516"/>
      <c r="K761" s="516"/>
      <c r="L761" s="516"/>
      <c r="M761" s="516"/>
      <c r="N761" s="516"/>
      <c r="O761" s="516"/>
      <c r="P761" s="516"/>
      <c r="Q761" s="516"/>
      <c r="R761" s="516"/>
      <c r="S761" s="516"/>
      <c r="T761" s="516"/>
      <c r="U761" s="516"/>
      <c r="V761" s="4"/>
      <c r="W761" s="4"/>
      <c r="X761" s="4"/>
      <c r="Y761" s="4"/>
    </row>
    <row r="762">
      <c r="A762" s="516"/>
      <c r="B762" s="516"/>
      <c r="C762" s="516"/>
      <c r="D762" s="516"/>
      <c r="E762" s="516"/>
      <c r="F762" s="516"/>
      <c r="G762" s="516"/>
      <c r="H762" s="516"/>
      <c r="I762" s="516"/>
      <c r="J762" s="516"/>
      <c r="K762" s="516"/>
      <c r="L762" s="516"/>
      <c r="M762" s="516"/>
      <c r="N762" s="516"/>
      <c r="O762" s="516"/>
      <c r="P762" s="516"/>
      <c r="Q762" s="516"/>
      <c r="R762" s="516"/>
      <c r="S762" s="516"/>
      <c r="T762" s="516"/>
      <c r="U762" s="516"/>
      <c r="V762" s="4"/>
      <c r="W762" s="4"/>
      <c r="X762" s="4"/>
      <c r="Y762" s="4"/>
    </row>
    <row r="763">
      <c r="A763" s="516"/>
      <c r="B763" s="516"/>
      <c r="C763" s="516"/>
      <c r="D763" s="516"/>
      <c r="E763" s="516"/>
      <c r="F763" s="516"/>
      <c r="G763" s="516"/>
      <c r="H763" s="516"/>
      <c r="I763" s="516"/>
      <c r="J763" s="516"/>
      <c r="K763" s="516"/>
      <c r="L763" s="516"/>
      <c r="M763" s="516"/>
      <c r="N763" s="516"/>
      <c r="O763" s="516"/>
      <c r="P763" s="516"/>
      <c r="Q763" s="516"/>
      <c r="R763" s="516"/>
      <c r="S763" s="516"/>
      <c r="T763" s="516"/>
      <c r="U763" s="516"/>
      <c r="V763" s="4"/>
      <c r="W763" s="4"/>
      <c r="X763" s="4"/>
      <c r="Y763" s="4"/>
    </row>
    <row r="764">
      <c r="A764" s="516"/>
      <c r="B764" s="516"/>
      <c r="C764" s="516"/>
      <c r="D764" s="516"/>
      <c r="E764" s="516"/>
      <c r="F764" s="516"/>
      <c r="G764" s="516"/>
      <c r="H764" s="516"/>
      <c r="I764" s="516"/>
      <c r="J764" s="516"/>
      <c r="K764" s="516"/>
      <c r="L764" s="516"/>
      <c r="M764" s="516"/>
      <c r="N764" s="516"/>
      <c r="O764" s="516"/>
      <c r="P764" s="516"/>
      <c r="Q764" s="516"/>
      <c r="R764" s="516"/>
      <c r="S764" s="516"/>
      <c r="T764" s="516"/>
      <c r="U764" s="516"/>
      <c r="V764" s="4"/>
      <c r="W764" s="4"/>
      <c r="X764" s="4"/>
      <c r="Y764" s="4"/>
    </row>
    <row r="765">
      <c r="A765" s="516"/>
      <c r="B765" s="516"/>
      <c r="C765" s="516"/>
      <c r="D765" s="516"/>
      <c r="E765" s="516"/>
      <c r="F765" s="516"/>
      <c r="G765" s="516"/>
      <c r="H765" s="516"/>
      <c r="I765" s="516"/>
      <c r="J765" s="516"/>
      <c r="K765" s="516"/>
      <c r="L765" s="516"/>
      <c r="M765" s="516"/>
      <c r="N765" s="516"/>
      <c r="O765" s="516"/>
      <c r="P765" s="516"/>
      <c r="Q765" s="516"/>
      <c r="R765" s="516"/>
      <c r="S765" s="516"/>
      <c r="T765" s="516"/>
      <c r="U765" s="516"/>
      <c r="V765" s="4"/>
      <c r="W765" s="4"/>
      <c r="X765" s="4"/>
      <c r="Y765" s="4"/>
    </row>
    <row r="766">
      <c r="A766" s="516"/>
      <c r="B766" s="516"/>
      <c r="C766" s="516"/>
      <c r="D766" s="516"/>
      <c r="E766" s="516"/>
      <c r="F766" s="516"/>
      <c r="G766" s="516"/>
      <c r="H766" s="516"/>
      <c r="I766" s="516"/>
      <c r="J766" s="516"/>
      <c r="K766" s="516"/>
      <c r="L766" s="516"/>
      <c r="M766" s="516"/>
      <c r="N766" s="516"/>
      <c r="O766" s="516"/>
      <c r="P766" s="516"/>
      <c r="Q766" s="516"/>
      <c r="R766" s="516"/>
      <c r="S766" s="516"/>
      <c r="T766" s="516"/>
      <c r="U766" s="516"/>
      <c r="V766" s="4"/>
      <c r="W766" s="4"/>
      <c r="X766" s="4"/>
      <c r="Y766" s="4"/>
    </row>
    <row r="767">
      <c r="A767" s="516"/>
      <c r="B767" s="516"/>
      <c r="C767" s="516"/>
      <c r="D767" s="516"/>
      <c r="E767" s="516"/>
      <c r="F767" s="516"/>
      <c r="G767" s="516"/>
      <c r="H767" s="516"/>
      <c r="I767" s="516"/>
      <c r="J767" s="516"/>
      <c r="K767" s="516"/>
      <c r="L767" s="516"/>
      <c r="M767" s="516"/>
      <c r="N767" s="516"/>
      <c r="O767" s="516"/>
      <c r="P767" s="516"/>
      <c r="Q767" s="516"/>
      <c r="R767" s="516"/>
      <c r="S767" s="516"/>
      <c r="T767" s="516"/>
      <c r="U767" s="516"/>
      <c r="V767" s="4"/>
      <c r="W767" s="4"/>
      <c r="X767" s="4"/>
      <c r="Y767" s="4"/>
    </row>
    <row r="768">
      <c r="A768" s="516"/>
      <c r="B768" s="516"/>
      <c r="C768" s="516"/>
      <c r="D768" s="516"/>
      <c r="E768" s="516"/>
      <c r="F768" s="516"/>
      <c r="G768" s="516"/>
      <c r="H768" s="516"/>
      <c r="I768" s="516"/>
      <c r="J768" s="516"/>
      <c r="K768" s="516"/>
      <c r="L768" s="516"/>
      <c r="M768" s="516"/>
      <c r="N768" s="516"/>
      <c r="O768" s="516"/>
      <c r="P768" s="516"/>
      <c r="Q768" s="516"/>
      <c r="R768" s="516"/>
      <c r="S768" s="516"/>
      <c r="T768" s="516"/>
      <c r="U768" s="516"/>
      <c r="V768" s="4"/>
      <c r="W768" s="4"/>
      <c r="X768" s="4"/>
      <c r="Y768" s="4"/>
    </row>
    <row r="769">
      <c r="A769" s="516"/>
      <c r="B769" s="516"/>
      <c r="C769" s="516"/>
      <c r="D769" s="516"/>
      <c r="E769" s="516"/>
      <c r="F769" s="516"/>
      <c r="G769" s="516"/>
      <c r="H769" s="516"/>
      <c r="I769" s="516"/>
      <c r="J769" s="516"/>
      <c r="K769" s="516"/>
      <c r="L769" s="516"/>
      <c r="M769" s="516"/>
      <c r="N769" s="516"/>
      <c r="O769" s="516"/>
      <c r="P769" s="516"/>
      <c r="Q769" s="516"/>
      <c r="R769" s="516"/>
      <c r="S769" s="516"/>
      <c r="T769" s="516"/>
      <c r="U769" s="516"/>
      <c r="V769" s="4"/>
      <c r="W769" s="4"/>
      <c r="X769" s="4"/>
      <c r="Y769" s="4"/>
    </row>
    <row r="770">
      <c r="A770" s="516"/>
      <c r="B770" s="516"/>
      <c r="C770" s="516"/>
      <c r="D770" s="516"/>
      <c r="E770" s="516"/>
      <c r="F770" s="516"/>
      <c r="G770" s="516"/>
      <c r="H770" s="516"/>
      <c r="I770" s="516"/>
      <c r="J770" s="516"/>
      <c r="K770" s="516"/>
      <c r="L770" s="516"/>
      <c r="M770" s="516"/>
      <c r="N770" s="516"/>
      <c r="O770" s="516"/>
      <c r="P770" s="516"/>
      <c r="Q770" s="516"/>
      <c r="R770" s="516"/>
      <c r="S770" s="516"/>
      <c r="T770" s="516"/>
      <c r="U770" s="516"/>
      <c r="V770" s="4"/>
      <c r="W770" s="4"/>
      <c r="X770" s="4"/>
      <c r="Y770" s="4"/>
    </row>
    <row r="771">
      <c r="A771" s="516"/>
      <c r="B771" s="516"/>
      <c r="C771" s="516"/>
      <c r="D771" s="516"/>
      <c r="E771" s="516"/>
      <c r="F771" s="516"/>
      <c r="G771" s="516"/>
      <c r="H771" s="516"/>
      <c r="I771" s="516"/>
      <c r="J771" s="516"/>
      <c r="K771" s="516"/>
      <c r="L771" s="516"/>
      <c r="M771" s="516"/>
      <c r="N771" s="516"/>
      <c r="O771" s="516"/>
      <c r="P771" s="516"/>
      <c r="Q771" s="516"/>
      <c r="R771" s="516"/>
      <c r="S771" s="516"/>
      <c r="T771" s="516"/>
      <c r="U771" s="516"/>
      <c r="V771" s="4"/>
      <c r="W771" s="4"/>
      <c r="X771" s="4"/>
      <c r="Y771" s="4"/>
    </row>
    <row r="772">
      <c r="A772" s="516"/>
      <c r="B772" s="516"/>
      <c r="C772" s="516"/>
      <c r="D772" s="516"/>
      <c r="E772" s="516"/>
      <c r="F772" s="516"/>
      <c r="G772" s="516"/>
      <c r="H772" s="516"/>
      <c r="I772" s="516"/>
      <c r="J772" s="516"/>
      <c r="K772" s="516"/>
      <c r="L772" s="516"/>
      <c r="M772" s="516"/>
      <c r="N772" s="516"/>
      <c r="O772" s="516"/>
      <c r="P772" s="516"/>
      <c r="Q772" s="516"/>
      <c r="R772" s="516"/>
      <c r="S772" s="516"/>
      <c r="T772" s="516"/>
      <c r="U772" s="516"/>
      <c r="V772" s="4"/>
      <c r="W772" s="4"/>
      <c r="X772" s="4"/>
      <c r="Y772" s="4"/>
    </row>
    <row r="773">
      <c r="A773" s="516"/>
      <c r="B773" s="516"/>
      <c r="C773" s="516"/>
      <c r="D773" s="516"/>
      <c r="E773" s="516"/>
      <c r="F773" s="516"/>
      <c r="G773" s="516"/>
      <c r="H773" s="516"/>
      <c r="I773" s="516"/>
      <c r="J773" s="516"/>
      <c r="K773" s="516"/>
      <c r="L773" s="516"/>
      <c r="M773" s="516"/>
      <c r="N773" s="516"/>
      <c r="O773" s="516"/>
      <c r="P773" s="516"/>
      <c r="Q773" s="516"/>
      <c r="R773" s="516"/>
      <c r="S773" s="516"/>
      <c r="T773" s="516"/>
      <c r="U773" s="516"/>
      <c r="V773" s="4"/>
      <c r="W773" s="4"/>
      <c r="X773" s="4"/>
      <c r="Y773" s="4"/>
    </row>
    <row r="774">
      <c r="A774" s="516"/>
      <c r="B774" s="516"/>
      <c r="C774" s="516"/>
      <c r="D774" s="516"/>
      <c r="E774" s="516"/>
      <c r="F774" s="516"/>
      <c r="G774" s="516"/>
      <c r="H774" s="516"/>
      <c r="I774" s="516"/>
      <c r="J774" s="516"/>
      <c r="K774" s="516"/>
      <c r="L774" s="516"/>
      <c r="M774" s="516"/>
      <c r="N774" s="516"/>
      <c r="O774" s="516"/>
      <c r="P774" s="516"/>
      <c r="Q774" s="516"/>
      <c r="R774" s="516"/>
      <c r="S774" s="516"/>
      <c r="T774" s="516"/>
      <c r="U774" s="516"/>
      <c r="V774" s="4"/>
      <c r="W774" s="4"/>
      <c r="X774" s="4"/>
      <c r="Y774" s="4"/>
    </row>
    <row r="775">
      <c r="A775" s="516"/>
      <c r="B775" s="516"/>
      <c r="C775" s="516"/>
      <c r="D775" s="516"/>
      <c r="E775" s="516"/>
      <c r="F775" s="516"/>
      <c r="G775" s="516"/>
      <c r="H775" s="516"/>
      <c r="I775" s="516"/>
      <c r="J775" s="516"/>
      <c r="K775" s="516"/>
      <c r="L775" s="516"/>
      <c r="M775" s="516"/>
      <c r="N775" s="516"/>
      <c r="O775" s="516"/>
      <c r="P775" s="516"/>
      <c r="Q775" s="516"/>
      <c r="R775" s="516"/>
      <c r="S775" s="516"/>
      <c r="T775" s="516"/>
      <c r="U775" s="516"/>
      <c r="V775" s="4"/>
      <c r="W775" s="4"/>
      <c r="X775" s="4"/>
      <c r="Y775" s="4"/>
    </row>
    <row r="776">
      <c r="A776" s="516"/>
      <c r="B776" s="516"/>
      <c r="C776" s="516"/>
      <c r="D776" s="516"/>
      <c r="E776" s="516"/>
      <c r="F776" s="516"/>
      <c r="G776" s="516"/>
      <c r="H776" s="516"/>
      <c r="I776" s="516"/>
      <c r="J776" s="516"/>
      <c r="K776" s="516"/>
      <c r="L776" s="516"/>
      <c r="M776" s="516"/>
      <c r="N776" s="516"/>
      <c r="O776" s="516"/>
      <c r="P776" s="516"/>
      <c r="Q776" s="516"/>
      <c r="R776" s="516"/>
      <c r="S776" s="516"/>
      <c r="T776" s="516"/>
      <c r="U776" s="516"/>
      <c r="V776" s="4"/>
      <c r="W776" s="4"/>
      <c r="X776" s="4"/>
      <c r="Y776" s="4"/>
    </row>
    <row r="777">
      <c r="A777" s="516"/>
      <c r="B777" s="516"/>
      <c r="C777" s="516"/>
      <c r="D777" s="516"/>
      <c r="E777" s="516"/>
      <c r="F777" s="516"/>
      <c r="G777" s="516"/>
      <c r="H777" s="516"/>
      <c r="I777" s="516"/>
      <c r="J777" s="516"/>
      <c r="K777" s="516"/>
      <c r="L777" s="516"/>
      <c r="M777" s="516"/>
      <c r="N777" s="516"/>
      <c r="O777" s="516"/>
      <c r="P777" s="516"/>
      <c r="Q777" s="516"/>
      <c r="R777" s="516"/>
      <c r="S777" s="516"/>
      <c r="T777" s="516"/>
      <c r="U777" s="516"/>
      <c r="V777" s="4"/>
      <c r="W777" s="4"/>
      <c r="X777" s="4"/>
      <c r="Y777" s="4"/>
    </row>
    <row r="778">
      <c r="A778" s="516"/>
      <c r="B778" s="516"/>
      <c r="C778" s="516"/>
      <c r="D778" s="516"/>
      <c r="E778" s="516"/>
      <c r="F778" s="516"/>
      <c r="G778" s="516"/>
      <c r="H778" s="516"/>
      <c r="I778" s="516"/>
      <c r="J778" s="516"/>
      <c r="K778" s="516"/>
      <c r="L778" s="516"/>
      <c r="M778" s="516"/>
      <c r="N778" s="516"/>
      <c r="O778" s="516"/>
      <c r="P778" s="516"/>
      <c r="Q778" s="516"/>
      <c r="R778" s="516"/>
      <c r="S778" s="516"/>
      <c r="T778" s="516"/>
      <c r="U778" s="516"/>
      <c r="V778" s="4"/>
      <c r="W778" s="4"/>
      <c r="X778" s="4"/>
      <c r="Y778" s="4"/>
    </row>
    <row r="779">
      <c r="A779" s="516"/>
      <c r="B779" s="516"/>
      <c r="C779" s="516"/>
      <c r="D779" s="516"/>
      <c r="E779" s="516"/>
      <c r="F779" s="516"/>
      <c r="G779" s="516"/>
      <c r="H779" s="516"/>
      <c r="I779" s="516"/>
      <c r="J779" s="516"/>
      <c r="K779" s="516"/>
      <c r="L779" s="516"/>
      <c r="M779" s="516"/>
      <c r="N779" s="516"/>
      <c r="O779" s="516"/>
      <c r="P779" s="516"/>
      <c r="Q779" s="516"/>
      <c r="R779" s="516"/>
      <c r="S779" s="516"/>
      <c r="T779" s="516"/>
      <c r="U779" s="516"/>
      <c r="V779" s="4"/>
      <c r="W779" s="4"/>
      <c r="X779" s="4"/>
      <c r="Y779" s="4"/>
    </row>
    <row r="780">
      <c r="A780" s="516"/>
      <c r="B780" s="516"/>
      <c r="C780" s="516"/>
      <c r="D780" s="516"/>
      <c r="E780" s="516"/>
      <c r="F780" s="516"/>
      <c r="G780" s="516"/>
      <c r="H780" s="516"/>
      <c r="I780" s="516"/>
      <c r="J780" s="516"/>
      <c r="K780" s="516"/>
      <c r="L780" s="516"/>
      <c r="M780" s="516"/>
      <c r="N780" s="516"/>
      <c r="O780" s="516"/>
      <c r="P780" s="516"/>
      <c r="Q780" s="516"/>
      <c r="R780" s="516"/>
      <c r="S780" s="516"/>
      <c r="T780" s="516"/>
      <c r="U780" s="516"/>
      <c r="V780" s="4"/>
      <c r="W780" s="4"/>
      <c r="X780" s="4"/>
      <c r="Y780" s="4"/>
    </row>
    <row r="781">
      <c r="A781" s="516"/>
      <c r="B781" s="516"/>
      <c r="C781" s="516"/>
      <c r="D781" s="516"/>
      <c r="E781" s="516"/>
      <c r="F781" s="516"/>
      <c r="G781" s="516"/>
      <c r="H781" s="516"/>
      <c r="I781" s="516"/>
      <c r="J781" s="516"/>
      <c r="K781" s="516"/>
      <c r="L781" s="516"/>
      <c r="M781" s="516"/>
      <c r="N781" s="516"/>
      <c r="O781" s="516"/>
      <c r="P781" s="516"/>
      <c r="Q781" s="516"/>
      <c r="R781" s="516"/>
      <c r="S781" s="516"/>
      <c r="T781" s="516"/>
      <c r="U781" s="516"/>
      <c r="V781" s="4"/>
      <c r="W781" s="4"/>
      <c r="X781" s="4"/>
      <c r="Y781" s="4"/>
    </row>
    <row r="782">
      <c r="A782" s="516"/>
      <c r="B782" s="516"/>
      <c r="C782" s="516"/>
      <c r="D782" s="516"/>
      <c r="E782" s="516"/>
      <c r="F782" s="516"/>
      <c r="G782" s="516"/>
      <c r="H782" s="516"/>
      <c r="I782" s="516"/>
      <c r="J782" s="516"/>
      <c r="K782" s="516"/>
      <c r="L782" s="516"/>
      <c r="M782" s="516"/>
      <c r="N782" s="516"/>
      <c r="O782" s="516"/>
      <c r="P782" s="516"/>
      <c r="Q782" s="516"/>
      <c r="R782" s="516"/>
      <c r="S782" s="516"/>
      <c r="T782" s="516"/>
      <c r="U782" s="516"/>
      <c r="V782" s="4"/>
      <c r="W782" s="4"/>
      <c r="X782" s="4"/>
      <c r="Y782" s="4"/>
    </row>
    <row r="783">
      <c r="A783" s="516"/>
      <c r="B783" s="516"/>
      <c r="C783" s="516"/>
      <c r="D783" s="516"/>
      <c r="E783" s="516"/>
      <c r="F783" s="516"/>
      <c r="G783" s="516"/>
      <c r="H783" s="516"/>
      <c r="I783" s="516"/>
      <c r="J783" s="516"/>
      <c r="K783" s="516"/>
      <c r="L783" s="516"/>
      <c r="M783" s="516"/>
      <c r="N783" s="516"/>
      <c r="O783" s="516"/>
      <c r="P783" s="516"/>
      <c r="Q783" s="516"/>
      <c r="R783" s="516"/>
      <c r="S783" s="516"/>
      <c r="T783" s="516"/>
      <c r="U783" s="516"/>
      <c r="V783" s="4"/>
      <c r="W783" s="4"/>
      <c r="X783" s="4"/>
      <c r="Y783" s="4"/>
    </row>
    <row r="784">
      <c r="A784" s="516"/>
      <c r="B784" s="516"/>
      <c r="C784" s="516"/>
      <c r="D784" s="516"/>
      <c r="E784" s="516"/>
      <c r="F784" s="516"/>
      <c r="G784" s="516"/>
      <c r="H784" s="516"/>
      <c r="I784" s="516"/>
      <c r="J784" s="516"/>
      <c r="K784" s="516"/>
      <c r="L784" s="516"/>
      <c r="M784" s="516"/>
      <c r="N784" s="516"/>
      <c r="O784" s="516"/>
      <c r="P784" s="516"/>
      <c r="Q784" s="516"/>
      <c r="R784" s="516"/>
      <c r="S784" s="516"/>
      <c r="T784" s="516"/>
      <c r="U784" s="516"/>
      <c r="V784" s="4"/>
      <c r="W784" s="4"/>
      <c r="X784" s="4"/>
      <c r="Y784" s="4"/>
    </row>
    <row r="785">
      <c r="A785" s="516"/>
      <c r="B785" s="516"/>
      <c r="C785" s="516"/>
      <c r="D785" s="516"/>
      <c r="E785" s="516"/>
      <c r="F785" s="516"/>
      <c r="G785" s="516"/>
      <c r="H785" s="516"/>
      <c r="I785" s="516"/>
      <c r="J785" s="516"/>
      <c r="K785" s="516"/>
      <c r="L785" s="516"/>
      <c r="M785" s="516"/>
      <c r="N785" s="516"/>
      <c r="O785" s="516"/>
      <c r="P785" s="516"/>
      <c r="Q785" s="516"/>
      <c r="R785" s="516"/>
      <c r="S785" s="516"/>
      <c r="T785" s="516"/>
      <c r="U785" s="516"/>
      <c r="V785" s="4"/>
      <c r="W785" s="4"/>
      <c r="X785" s="4"/>
      <c r="Y785" s="4"/>
    </row>
    <row r="786">
      <c r="A786" s="516"/>
      <c r="B786" s="516"/>
      <c r="C786" s="516"/>
      <c r="D786" s="516"/>
      <c r="E786" s="516"/>
      <c r="F786" s="516"/>
      <c r="G786" s="516"/>
      <c r="H786" s="516"/>
      <c r="I786" s="516"/>
      <c r="J786" s="516"/>
      <c r="K786" s="516"/>
      <c r="L786" s="516"/>
      <c r="M786" s="516"/>
      <c r="N786" s="516"/>
      <c r="O786" s="516"/>
      <c r="P786" s="516"/>
      <c r="Q786" s="516"/>
      <c r="R786" s="516"/>
      <c r="S786" s="516"/>
      <c r="T786" s="516"/>
      <c r="U786" s="516"/>
      <c r="V786" s="4"/>
      <c r="W786" s="4"/>
      <c r="X786" s="4"/>
      <c r="Y786" s="4"/>
    </row>
    <row r="787">
      <c r="A787" s="516"/>
      <c r="B787" s="516"/>
      <c r="C787" s="516"/>
      <c r="D787" s="516"/>
      <c r="E787" s="516"/>
      <c r="F787" s="516"/>
      <c r="G787" s="516"/>
      <c r="H787" s="516"/>
      <c r="I787" s="516"/>
      <c r="J787" s="516"/>
      <c r="K787" s="516"/>
      <c r="L787" s="516"/>
      <c r="M787" s="516"/>
      <c r="N787" s="516"/>
      <c r="O787" s="516"/>
      <c r="P787" s="516"/>
      <c r="Q787" s="516"/>
      <c r="R787" s="516"/>
      <c r="S787" s="516"/>
      <c r="T787" s="516"/>
      <c r="U787" s="516"/>
      <c r="V787" s="4"/>
      <c r="W787" s="4"/>
      <c r="X787" s="4"/>
      <c r="Y787" s="4"/>
    </row>
    <row r="788">
      <c r="A788" s="516"/>
      <c r="B788" s="516"/>
      <c r="C788" s="516"/>
      <c r="D788" s="516"/>
      <c r="E788" s="516"/>
      <c r="F788" s="516"/>
      <c r="G788" s="516"/>
      <c r="H788" s="516"/>
      <c r="I788" s="516"/>
      <c r="J788" s="516"/>
      <c r="K788" s="516"/>
      <c r="L788" s="516"/>
      <c r="M788" s="516"/>
      <c r="N788" s="516"/>
      <c r="O788" s="516"/>
      <c r="P788" s="516"/>
      <c r="Q788" s="516"/>
      <c r="R788" s="516"/>
      <c r="S788" s="516"/>
      <c r="T788" s="516"/>
      <c r="U788" s="516"/>
      <c r="V788" s="4"/>
      <c r="W788" s="4"/>
      <c r="X788" s="4"/>
      <c r="Y788" s="4"/>
    </row>
    <row r="789">
      <c r="A789" s="516"/>
      <c r="B789" s="516"/>
      <c r="C789" s="516"/>
      <c r="D789" s="516"/>
      <c r="E789" s="516"/>
      <c r="F789" s="516"/>
      <c r="G789" s="516"/>
      <c r="H789" s="516"/>
      <c r="I789" s="516"/>
      <c r="J789" s="516"/>
      <c r="K789" s="516"/>
      <c r="L789" s="516"/>
      <c r="M789" s="516"/>
      <c r="N789" s="516"/>
      <c r="O789" s="516"/>
      <c r="P789" s="516"/>
      <c r="Q789" s="516"/>
      <c r="R789" s="516"/>
      <c r="S789" s="516"/>
      <c r="T789" s="516"/>
      <c r="U789" s="516"/>
      <c r="V789" s="4"/>
      <c r="W789" s="4"/>
      <c r="X789" s="4"/>
      <c r="Y789" s="4"/>
    </row>
    <row r="790">
      <c r="A790" s="516"/>
      <c r="B790" s="516"/>
      <c r="C790" s="516"/>
      <c r="D790" s="516"/>
      <c r="E790" s="516"/>
      <c r="F790" s="516"/>
      <c r="G790" s="516"/>
      <c r="H790" s="516"/>
      <c r="I790" s="516"/>
      <c r="J790" s="516"/>
      <c r="K790" s="516"/>
      <c r="L790" s="516"/>
      <c r="M790" s="516"/>
      <c r="N790" s="516"/>
      <c r="O790" s="516"/>
      <c r="P790" s="516"/>
      <c r="Q790" s="516"/>
      <c r="R790" s="516"/>
      <c r="S790" s="516"/>
      <c r="T790" s="516"/>
      <c r="U790" s="516"/>
      <c r="V790" s="4"/>
      <c r="W790" s="4"/>
      <c r="X790" s="4"/>
      <c r="Y790" s="4"/>
    </row>
    <row r="791">
      <c r="A791" s="516"/>
      <c r="B791" s="516"/>
      <c r="C791" s="516"/>
      <c r="D791" s="516"/>
      <c r="E791" s="516"/>
      <c r="F791" s="516"/>
      <c r="G791" s="516"/>
      <c r="H791" s="516"/>
      <c r="I791" s="516"/>
      <c r="J791" s="516"/>
      <c r="K791" s="516"/>
      <c r="L791" s="516"/>
      <c r="M791" s="516"/>
      <c r="N791" s="516"/>
      <c r="O791" s="516"/>
      <c r="P791" s="516"/>
      <c r="Q791" s="516"/>
      <c r="R791" s="516"/>
      <c r="S791" s="516"/>
      <c r="T791" s="516"/>
      <c r="U791" s="516"/>
      <c r="V791" s="4"/>
      <c r="W791" s="4"/>
      <c r="X791" s="4"/>
      <c r="Y791" s="4"/>
    </row>
    <row r="792">
      <c r="A792" s="516"/>
      <c r="B792" s="516"/>
      <c r="C792" s="516"/>
      <c r="D792" s="516"/>
      <c r="E792" s="516"/>
      <c r="F792" s="516"/>
      <c r="G792" s="516"/>
      <c r="H792" s="516"/>
      <c r="I792" s="516"/>
      <c r="J792" s="516"/>
      <c r="K792" s="516"/>
      <c r="L792" s="516"/>
      <c r="M792" s="516"/>
      <c r="N792" s="516"/>
      <c r="O792" s="516"/>
      <c r="P792" s="516"/>
      <c r="Q792" s="516"/>
      <c r="R792" s="516"/>
      <c r="S792" s="516"/>
      <c r="T792" s="516"/>
      <c r="U792" s="516"/>
      <c r="V792" s="4"/>
      <c r="W792" s="4"/>
      <c r="X792" s="4"/>
      <c r="Y792" s="4"/>
    </row>
    <row r="793">
      <c r="A793" s="516"/>
      <c r="B793" s="516"/>
      <c r="C793" s="516"/>
      <c r="D793" s="516"/>
      <c r="E793" s="516"/>
      <c r="F793" s="516"/>
      <c r="G793" s="516"/>
      <c r="H793" s="516"/>
      <c r="I793" s="516"/>
      <c r="J793" s="516"/>
      <c r="K793" s="516"/>
      <c r="L793" s="516"/>
      <c r="M793" s="516"/>
      <c r="N793" s="516"/>
      <c r="O793" s="516"/>
      <c r="P793" s="516"/>
      <c r="Q793" s="516"/>
      <c r="R793" s="516"/>
      <c r="S793" s="516"/>
      <c r="T793" s="516"/>
      <c r="U793" s="516"/>
      <c r="V793" s="4"/>
      <c r="W793" s="4"/>
      <c r="X793" s="4"/>
      <c r="Y793" s="4"/>
    </row>
    <row r="794">
      <c r="A794" s="516"/>
      <c r="B794" s="516"/>
      <c r="C794" s="516"/>
      <c r="D794" s="516"/>
      <c r="E794" s="516"/>
      <c r="F794" s="516"/>
      <c r="G794" s="516"/>
      <c r="H794" s="516"/>
      <c r="I794" s="516"/>
      <c r="J794" s="516"/>
      <c r="K794" s="516"/>
      <c r="L794" s="516"/>
      <c r="M794" s="516"/>
      <c r="N794" s="516"/>
      <c r="O794" s="516"/>
      <c r="P794" s="516"/>
      <c r="Q794" s="516"/>
      <c r="R794" s="516"/>
      <c r="S794" s="516"/>
      <c r="T794" s="516"/>
      <c r="U794" s="516"/>
      <c r="V794" s="4"/>
      <c r="W794" s="4"/>
      <c r="X794" s="4"/>
      <c r="Y794" s="4"/>
    </row>
    <row r="795">
      <c r="A795" s="516"/>
      <c r="B795" s="516"/>
      <c r="C795" s="516"/>
      <c r="D795" s="516"/>
      <c r="E795" s="516"/>
      <c r="F795" s="516"/>
      <c r="G795" s="516"/>
      <c r="H795" s="516"/>
      <c r="I795" s="516"/>
      <c r="J795" s="516"/>
      <c r="K795" s="516"/>
      <c r="L795" s="516"/>
      <c r="M795" s="516"/>
      <c r="N795" s="516"/>
      <c r="O795" s="516"/>
      <c r="P795" s="516"/>
      <c r="Q795" s="516"/>
      <c r="R795" s="516"/>
      <c r="S795" s="516"/>
      <c r="T795" s="516"/>
      <c r="U795" s="516"/>
      <c r="V795" s="4"/>
      <c r="W795" s="4"/>
      <c r="X795" s="4"/>
      <c r="Y795" s="4"/>
    </row>
    <row r="796">
      <c r="A796" s="516"/>
      <c r="B796" s="516"/>
      <c r="C796" s="516"/>
      <c r="D796" s="516"/>
      <c r="E796" s="516"/>
      <c r="F796" s="516"/>
      <c r="G796" s="516"/>
      <c r="H796" s="516"/>
      <c r="I796" s="516"/>
      <c r="J796" s="516"/>
      <c r="K796" s="516"/>
      <c r="L796" s="516"/>
      <c r="M796" s="516"/>
      <c r="N796" s="516"/>
      <c r="O796" s="516"/>
      <c r="P796" s="516"/>
      <c r="Q796" s="516"/>
      <c r="R796" s="516"/>
      <c r="S796" s="516"/>
      <c r="T796" s="516"/>
      <c r="U796" s="516"/>
      <c r="V796" s="4"/>
      <c r="W796" s="4"/>
      <c r="X796" s="4"/>
      <c r="Y796" s="4"/>
    </row>
    <row r="797">
      <c r="A797" s="516"/>
      <c r="B797" s="516"/>
      <c r="C797" s="516"/>
      <c r="D797" s="516"/>
      <c r="E797" s="516"/>
      <c r="F797" s="516"/>
      <c r="G797" s="516"/>
      <c r="H797" s="516"/>
      <c r="I797" s="516"/>
      <c r="J797" s="516"/>
      <c r="K797" s="516"/>
      <c r="L797" s="516"/>
      <c r="M797" s="516"/>
      <c r="N797" s="516"/>
      <c r="O797" s="516"/>
      <c r="P797" s="516"/>
      <c r="Q797" s="516"/>
      <c r="R797" s="516"/>
      <c r="S797" s="516"/>
      <c r="T797" s="516"/>
      <c r="U797" s="516"/>
      <c r="V797" s="4"/>
      <c r="W797" s="4"/>
      <c r="X797" s="4"/>
      <c r="Y797" s="4"/>
    </row>
    <row r="798">
      <c r="A798" s="516"/>
      <c r="B798" s="516"/>
      <c r="C798" s="516"/>
      <c r="D798" s="516"/>
      <c r="E798" s="516"/>
      <c r="F798" s="516"/>
      <c r="G798" s="516"/>
      <c r="H798" s="516"/>
      <c r="I798" s="516"/>
      <c r="J798" s="516"/>
      <c r="K798" s="516"/>
      <c r="L798" s="516"/>
      <c r="M798" s="516"/>
      <c r="N798" s="516"/>
      <c r="O798" s="516"/>
      <c r="P798" s="516"/>
      <c r="Q798" s="516"/>
      <c r="R798" s="516"/>
      <c r="S798" s="516"/>
      <c r="T798" s="516"/>
      <c r="U798" s="516"/>
      <c r="V798" s="4"/>
      <c r="W798" s="4"/>
      <c r="X798" s="4"/>
      <c r="Y798" s="4"/>
    </row>
    <row r="799">
      <c r="A799" s="516"/>
      <c r="B799" s="516"/>
      <c r="C799" s="516"/>
      <c r="D799" s="516"/>
      <c r="E799" s="516"/>
      <c r="F799" s="516"/>
      <c r="G799" s="516"/>
      <c r="H799" s="516"/>
      <c r="I799" s="516"/>
      <c r="J799" s="516"/>
      <c r="K799" s="516"/>
      <c r="L799" s="516"/>
      <c r="M799" s="516"/>
      <c r="N799" s="516"/>
      <c r="O799" s="516"/>
      <c r="P799" s="516"/>
      <c r="Q799" s="516"/>
      <c r="R799" s="516"/>
      <c r="S799" s="516"/>
      <c r="T799" s="516"/>
      <c r="U799" s="516"/>
      <c r="V799" s="4"/>
      <c r="W799" s="4"/>
      <c r="X799" s="4"/>
      <c r="Y799" s="4"/>
    </row>
    <row r="800">
      <c r="A800" s="516"/>
      <c r="B800" s="516"/>
      <c r="C800" s="516"/>
      <c r="D800" s="516"/>
      <c r="E800" s="516"/>
      <c r="F800" s="516"/>
      <c r="G800" s="516"/>
      <c r="H800" s="516"/>
      <c r="I800" s="516"/>
      <c r="J800" s="516"/>
      <c r="K800" s="516"/>
      <c r="L800" s="516"/>
      <c r="M800" s="516"/>
      <c r="N800" s="516"/>
      <c r="O800" s="516"/>
      <c r="P800" s="516"/>
      <c r="Q800" s="516"/>
      <c r="R800" s="516"/>
      <c r="S800" s="516"/>
      <c r="T800" s="516"/>
      <c r="U800" s="516"/>
      <c r="V800" s="4"/>
      <c r="W800" s="4"/>
      <c r="X800" s="4"/>
      <c r="Y800" s="4"/>
    </row>
    <row r="801">
      <c r="A801" s="516"/>
      <c r="B801" s="516"/>
      <c r="C801" s="516"/>
      <c r="D801" s="516"/>
      <c r="E801" s="516"/>
      <c r="F801" s="516"/>
      <c r="G801" s="516"/>
      <c r="H801" s="516"/>
      <c r="I801" s="516"/>
      <c r="J801" s="516"/>
      <c r="K801" s="516"/>
      <c r="L801" s="516"/>
      <c r="M801" s="516"/>
      <c r="N801" s="516"/>
      <c r="O801" s="516"/>
      <c r="P801" s="516"/>
      <c r="Q801" s="516"/>
      <c r="R801" s="516"/>
      <c r="S801" s="516"/>
      <c r="T801" s="516"/>
      <c r="U801" s="516"/>
      <c r="V801" s="4"/>
      <c r="W801" s="4"/>
      <c r="X801" s="4"/>
      <c r="Y801" s="4"/>
    </row>
    <row r="802">
      <c r="A802" s="516"/>
      <c r="B802" s="516"/>
      <c r="C802" s="516"/>
      <c r="D802" s="516"/>
      <c r="E802" s="516"/>
      <c r="F802" s="516"/>
      <c r="G802" s="516"/>
      <c r="H802" s="516"/>
      <c r="I802" s="516"/>
      <c r="J802" s="516"/>
      <c r="K802" s="516"/>
      <c r="L802" s="516"/>
      <c r="M802" s="516"/>
      <c r="N802" s="516"/>
      <c r="O802" s="516"/>
      <c r="P802" s="516"/>
      <c r="Q802" s="516"/>
      <c r="R802" s="516"/>
      <c r="S802" s="516"/>
      <c r="T802" s="516"/>
      <c r="U802" s="516"/>
      <c r="V802" s="4"/>
      <c r="W802" s="4"/>
      <c r="X802" s="4"/>
      <c r="Y802" s="4"/>
    </row>
    <row r="803">
      <c r="A803" s="516"/>
      <c r="B803" s="516"/>
      <c r="C803" s="516"/>
      <c r="D803" s="516"/>
      <c r="E803" s="516"/>
      <c r="F803" s="516"/>
      <c r="G803" s="516"/>
      <c r="H803" s="516"/>
      <c r="I803" s="516"/>
      <c r="J803" s="516"/>
      <c r="K803" s="516"/>
      <c r="L803" s="516"/>
      <c r="M803" s="516"/>
      <c r="N803" s="516"/>
      <c r="O803" s="516"/>
      <c r="P803" s="516"/>
      <c r="Q803" s="516"/>
      <c r="R803" s="516"/>
      <c r="S803" s="516"/>
      <c r="T803" s="516"/>
      <c r="U803" s="516"/>
      <c r="V803" s="4"/>
      <c r="W803" s="4"/>
      <c r="X803" s="4"/>
      <c r="Y803" s="4"/>
    </row>
    <row r="804">
      <c r="A804" s="516"/>
      <c r="B804" s="516"/>
      <c r="C804" s="516"/>
      <c r="D804" s="516"/>
      <c r="E804" s="516"/>
      <c r="F804" s="516"/>
      <c r="G804" s="516"/>
      <c r="H804" s="516"/>
      <c r="I804" s="516"/>
      <c r="J804" s="516"/>
      <c r="K804" s="516"/>
      <c r="L804" s="516"/>
      <c r="M804" s="516"/>
      <c r="N804" s="516"/>
      <c r="O804" s="516"/>
      <c r="P804" s="516"/>
      <c r="Q804" s="516"/>
      <c r="R804" s="516"/>
      <c r="S804" s="516"/>
      <c r="T804" s="516"/>
      <c r="U804" s="516"/>
      <c r="V804" s="4"/>
      <c r="W804" s="4"/>
      <c r="X804" s="4"/>
      <c r="Y804" s="4"/>
    </row>
    <row r="805">
      <c r="A805" s="516"/>
      <c r="B805" s="516"/>
      <c r="C805" s="516"/>
      <c r="D805" s="516"/>
      <c r="E805" s="516"/>
      <c r="F805" s="516"/>
      <c r="G805" s="516"/>
      <c r="H805" s="516"/>
      <c r="I805" s="516"/>
      <c r="J805" s="516"/>
      <c r="K805" s="516"/>
      <c r="L805" s="516"/>
      <c r="M805" s="516"/>
      <c r="N805" s="516"/>
      <c r="O805" s="516"/>
      <c r="P805" s="516"/>
      <c r="Q805" s="516"/>
      <c r="R805" s="516"/>
      <c r="S805" s="516"/>
      <c r="T805" s="516"/>
      <c r="U805" s="516"/>
      <c r="V805" s="4"/>
      <c r="W805" s="4"/>
      <c r="X805" s="4"/>
      <c r="Y805" s="4"/>
    </row>
    <row r="806">
      <c r="A806" s="516"/>
      <c r="B806" s="516"/>
      <c r="C806" s="516"/>
      <c r="D806" s="516"/>
      <c r="E806" s="516"/>
      <c r="F806" s="516"/>
      <c r="G806" s="516"/>
      <c r="H806" s="516"/>
      <c r="I806" s="516"/>
      <c r="J806" s="516"/>
      <c r="K806" s="516"/>
      <c r="L806" s="516"/>
      <c r="M806" s="516"/>
      <c r="N806" s="516"/>
      <c r="O806" s="516"/>
      <c r="P806" s="516"/>
      <c r="Q806" s="516"/>
      <c r="R806" s="516"/>
      <c r="S806" s="516"/>
      <c r="T806" s="516"/>
      <c r="U806" s="516"/>
      <c r="V806" s="4"/>
      <c r="W806" s="4"/>
      <c r="X806" s="4"/>
      <c r="Y806" s="4"/>
    </row>
    <row r="807">
      <c r="A807" s="516"/>
      <c r="B807" s="516"/>
      <c r="C807" s="516"/>
      <c r="D807" s="516"/>
      <c r="E807" s="516"/>
      <c r="F807" s="516"/>
      <c r="G807" s="516"/>
      <c r="H807" s="516"/>
      <c r="I807" s="516"/>
      <c r="J807" s="516"/>
      <c r="K807" s="516"/>
      <c r="L807" s="516"/>
      <c r="M807" s="516"/>
      <c r="N807" s="516"/>
      <c r="O807" s="516"/>
      <c r="P807" s="516"/>
      <c r="Q807" s="516"/>
      <c r="R807" s="516"/>
      <c r="S807" s="516"/>
      <c r="T807" s="516"/>
      <c r="U807" s="516"/>
      <c r="V807" s="4"/>
      <c r="W807" s="4"/>
      <c r="X807" s="4"/>
      <c r="Y807" s="4"/>
    </row>
    <row r="808">
      <c r="A808" s="516"/>
      <c r="B808" s="516"/>
      <c r="C808" s="516"/>
      <c r="D808" s="516"/>
      <c r="E808" s="516"/>
      <c r="F808" s="516"/>
      <c r="G808" s="516"/>
      <c r="H808" s="516"/>
      <c r="I808" s="516"/>
      <c r="J808" s="516"/>
      <c r="K808" s="516"/>
      <c r="L808" s="516"/>
      <c r="M808" s="516"/>
      <c r="N808" s="516"/>
      <c r="O808" s="516"/>
      <c r="P808" s="516"/>
      <c r="Q808" s="516"/>
      <c r="R808" s="516"/>
      <c r="S808" s="516"/>
      <c r="T808" s="516"/>
      <c r="U808" s="516"/>
      <c r="V808" s="4"/>
      <c r="W808" s="4"/>
      <c r="X808" s="4"/>
      <c r="Y808" s="4"/>
    </row>
    <row r="809">
      <c r="A809" s="516"/>
      <c r="B809" s="516"/>
      <c r="C809" s="516"/>
      <c r="D809" s="516"/>
      <c r="E809" s="516"/>
      <c r="F809" s="516"/>
      <c r="G809" s="516"/>
      <c r="H809" s="516"/>
      <c r="I809" s="516"/>
      <c r="J809" s="516"/>
      <c r="K809" s="516"/>
      <c r="L809" s="516"/>
      <c r="M809" s="516"/>
      <c r="N809" s="516"/>
      <c r="O809" s="516"/>
      <c r="P809" s="516"/>
      <c r="Q809" s="516"/>
      <c r="R809" s="516"/>
      <c r="S809" s="516"/>
      <c r="T809" s="516"/>
      <c r="U809" s="516"/>
      <c r="V809" s="4"/>
      <c r="W809" s="4"/>
      <c r="X809" s="4"/>
      <c r="Y809" s="4"/>
    </row>
    <row r="810">
      <c r="A810" s="516"/>
      <c r="B810" s="516"/>
      <c r="C810" s="516"/>
      <c r="D810" s="516"/>
      <c r="E810" s="516"/>
      <c r="F810" s="516"/>
      <c r="G810" s="516"/>
      <c r="H810" s="516"/>
      <c r="I810" s="516"/>
      <c r="J810" s="516"/>
      <c r="K810" s="516"/>
      <c r="L810" s="516"/>
      <c r="M810" s="516"/>
      <c r="N810" s="516"/>
      <c r="O810" s="516"/>
      <c r="P810" s="516"/>
      <c r="Q810" s="516"/>
      <c r="R810" s="516"/>
      <c r="S810" s="516"/>
      <c r="T810" s="516"/>
      <c r="U810" s="516"/>
      <c r="V810" s="4"/>
      <c r="W810" s="4"/>
      <c r="X810" s="4"/>
      <c r="Y810" s="4"/>
    </row>
    <row r="811">
      <c r="A811" s="516"/>
      <c r="B811" s="516"/>
      <c r="C811" s="516"/>
      <c r="D811" s="516"/>
      <c r="E811" s="516"/>
      <c r="F811" s="516"/>
      <c r="G811" s="516"/>
      <c r="H811" s="516"/>
      <c r="I811" s="516"/>
      <c r="J811" s="516"/>
      <c r="K811" s="516"/>
      <c r="L811" s="516"/>
      <c r="M811" s="516"/>
      <c r="N811" s="516"/>
      <c r="O811" s="516"/>
      <c r="P811" s="516"/>
      <c r="Q811" s="516"/>
      <c r="R811" s="516"/>
      <c r="S811" s="516"/>
      <c r="T811" s="516"/>
      <c r="U811" s="516"/>
      <c r="V811" s="4"/>
      <c r="W811" s="4"/>
      <c r="X811" s="4"/>
      <c r="Y811" s="4"/>
    </row>
    <row r="812">
      <c r="A812" s="516"/>
      <c r="B812" s="516"/>
      <c r="C812" s="516"/>
      <c r="D812" s="516"/>
      <c r="E812" s="516"/>
      <c r="F812" s="516"/>
      <c r="G812" s="516"/>
      <c r="H812" s="516"/>
      <c r="I812" s="516"/>
      <c r="J812" s="516"/>
      <c r="K812" s="516"/>
      <c r="L812" s="516"/>
      <c r="M812" s="516"/>
      <c r="N812" s="516"/>
      <c r="O812" s="516"/>
      <c r="P812" s="516"/>
      <c r="Q812" s="516"/>
      <c r="R812" s="516"/>
      <c r="S812" s="516"/>
      <c r="T812" s="516"/>
      <c r="U812" s="516"/>
      <c r="V812" s="4"/>
      <c r="W812" s="4"/>
      <c r="X812" s="4"/>
      <c r="Y812" s="4"/>
    </row>
    <row r="813">
      <c r="A813" s="516"/>
      <c r="B813" s="516"/>
      <c r="C813" s="516"/>
      <c r="D813" s="516"/>
      <c r="E813" s="516"/>
      <c r="F813" s="516"/>
      <c r="G813" s="516"/>
      <c r="H813" s="516"/>
      <c r="I813" s="516"/>
      <c r="J813" s="516"/>
      <c r="K813" s="516"/>
      <c r="L813" s="516"/>
      <c r="M813" s="516"/>
      <c r="N813" s="516"/>
      <c r="O813" s="516"/>
      <c r="P813" s="516"/>
      <c r="Q813" s="516"/>
      <c r="R813" s="516"/>
      <c r="S813" s="516"/>
      <c r="T813" s="516"/>
      <c r="U813" s="516"/>
      <c r="V813" s="4"/>
      <c r="W813" s="4"/>
      <c r="X813" s="4"/>
      <c r="Y813" s="4"/>
    </row>
    <row r="814">
      <c r="A814" s="516"/>
      <c r="B814" s="516"/>
      <c r="C814" s="516"/>
      <c r="D814" s="516"/>
      <c r="E814" s="516"/>
      <c r="F814" s="516"/>
      <c r="G814" s="516"/>
      <c r="H814" s="516"/>
      <c r="I814" s="516"/>
      <c r="J814" s="516"/>
      <c r="K814" s="516"/>
      <c r="L814" s="516"/>
      <c r="M814" s="516"/>
      <c r="N814" s="516"/>
      <c r="O814" s="516"/>
      <c r="P814" s="516"/>
      <c r="Q814" s="516"/>
      <c r="R814" s="516"/>
      <c r="S814" s="516"/>
      <c r="T814" s="516"/>
      <c r="U814" s="516"/>
      <c r="V814" s="4"/>
      <c r="W814" s="4"/>
      <c r="X814" s="4"/>
      <c r="Y814" s="4"/>
    </row>
    <row r="815">
      <c r="A815" s="516"/>
      <c r="B815" s="516"/>
      <c r="C815" s="516"/>
      <c r="D815" s="516"/>
      <c r="E815" s="516"/>
      <c r="F815" s="516"/>
      <c r="G815" s="516"/>
      <c r="H815" s="516"/>
      <c r="I815" s="516"/>
      <c r="J815" s="516"/>
      <c r="K815" s="516"/>
      <c r="L815" s="516"/>
      <c r="M815" s="516"/>
      <c r="N815" s="516"/>
      <c r="O815" s="516"/>
      <c r="P815" s="516"/>
      <c r="Q815" s="516"/>
      <c r="R815" s="516"/>
      <c r="S815" s="516"/>
      <c r="T815" s="516"/>
      <c r="U815" s="516"/>
      <c r="V815" s="4"/>
      <c r="W815" s="4"/>
      <c r="X815" s="4"/>
      <c r="Y815" s="4"/>
    </row>
    <row r="816">
      <c r="A816" s="516"/>
      <c r="B816" s="516"/>
      <c r="C816" s="516"/>
      <c r="D816" s="516"/>
      <c r="E816" s="516"/>
      <c r="F816" s="516"/>
      <c r="G816" s="516"/>
      <c r="H816" s="516"/>
      <c r="I816" s="516"/>
      <c r="J816" s="516"/>
      <c r="K816" s="516"/>
      <c r="L816" s="516"/>
      <c r="M816" s="516"/>
      <c r="N816" s="516"/>
      <c r="O816" s="516"/>
      <c r="P816" s="516"/>
      <c r="Q816" s="516"/>
      <c r="R816" s="516"/>
      <c r="S816" s="516"/>
      <c r="T816" s="516"/>
      <c r="U816" s="516"/>
      <c r="V816" s="4"/>
      <c r="W816" s="4"/>
      <c r="X816" s="4"/>
      <c r="Y816" s="4"/>
    </row>
    <row r="817">
      <c r="A817" s="516"/>
      <c r="B817" s="516"/>
      <c r="C817" s="516"/>
      <c r="D817" s="516"/>
      <c r="E817" s="516"/>
      <c r="F817" s="516"/>
      <c r="G817" s="516"/>
      <c r="H817" s="516"/>
      <c r="I817" s="516"/>
      <c r="J817" s="516"/>
      <c r="K817" s="516"/>
      <c r="L817" s="516"/>
      <c r="M817" s="516"/>
      <c r="N817" s="516"/>
      <c r="O817" s="516"/>
      <c r="P817" s="516"/>
      <c r="Q817" s="516"/>
      <c r="R817" s="516"/>
      <c r="S817" s="516"/>
      <c r="T817" s="516"/>
      <c r="U817" s="516"/>
      <c r="V817" s="4"/>
      <c r="W817" s="4"/>
      <c r="X817" s="4"/>
      <c r="Y817" s="4"/>
    </row>
    <row r="818">
      <c r="A818" s="516"/>
      <c r="B818" s="516"/>
      <c r="C818" s="516"/>
      <c r="D818" s="516"/>
      <c r="E818" s="516"/>
      <c r="F818" s="516"/>
      <c r="G818" s="516"/>
      <c r="H818" s="516"/>
      <c r="I818" s="516"/>
      <c r="J818" s="516"/>
      <c r="K818" s="516"/>
      <c r="L818" s="516"/>
      <c r="M818" s="516"/>
      <c r="N818" s="516"/>
      <c r="O818" s="516"/>
      <c r="P818" s="516"/>
      <c r="Q818" s="516"/>
      <c r="R818" s="516"/>
      <c r="S818" s="516"/>
      <c r="T818" s="516"/>
      <c r="U818" s="516"/>
      <c r="V818" s="4"/>
      <c r="W818" s="4"/>
      <c r="X818" s="4"/>
      <c r="Y818" s="4"/>
    </row>
    <row r="819">
      <c r="A819" s="516"/>
      <c r="B819" s="516"/>
      <c r="C819" s="516"/>
      <c r="D819" s="516"/>
      <c r="E819" s="516"/>
      <c r="F819" s="516"/>
      <c r="G819" s="516"/>
      <c r="H819" s="516"/>
      <c r="I819" s="516"/>
      <c r="J819" s="516"/>
      <c r="K819" s="516"/>
      <c r="L819" s="516"/>
      <c r="M819" s="516"/>
      <c r="N819" s="516"/>
      <c r="O819" s="516"/>
      <c r="P819" s="516"/>
      <c r="Q819" s="516"/>
      <c r="R819" s="516"/>
      <c r="S819" s="516"/>
      <c r="T819" s="516"/>
      <c r="U819" s="516"/>
      <c r="V819" s="4"/>
      <c r="W819" s="4"/>
      <c r="X819" s="4"/>
      <c r="Y819" s="4"/>
    </row>
    <row r="820">
      <c r="A820" s="516"/>
      <c r="B820" s="516"/>
      <c r="C820" s="516"/>
      <c r="D820" s="516"/>
      <c r="E820" s="516"/>
      <c r="F820" s="516"/>
      <c r="G820" s="516"/>
      <c r="H820" s="516"/>
      <c r="I820" s="516"/>
      <c r="J820" s="516"/>
      <c r="K820" s="516"/>
      <c r="L820" s="516"/>
      <c r="M820" s="516"/>
      <c r="N820" s="516"/>
      <c r="O820" s="516"/>
      <c r="P820" s="516"/>
      <c r="Q820" s="516"/>
      <c r="R820" s="516"/>
      <c r="S820" s="516"/>
      <c r="T820" s="516"/>
      <c r="U820" s="516"/>
      <c r="V820" s="4"/>
      <c r="W820" s="4"/>
      <c r="X820" s="4"/>
      <c r="Y820" s="4"/>
    </row>
    <row r="821">
      <c r="A821" s="516"/>
      <c r="B821" s="516"/>
      <c r="C821" s="516"/>
      <c r="D821" s="516"/>
      <c r="E821" s="516"/>
      <c r="F821" s="516"/>
      <c r="G821" s="516"/>
      <c r="H821" s="516"/>
      <c r="I821" s="516"/>
      <c r="J821" s="516"/>
      <c r="K821" s="516"/>
      <c r="L821" s="516"/>
      <c r="M821" s="516"/>
      <c r="N821" s="516"/>
      <c r="O821" s="516"/>
      <c r="P821" s="516"/>
      <c r="Q821" s="516"/>
      <c r="R821" s="516"/>
      <c r="S821" s="516"/>
      <c r="T821" s="516"/>
      <c r="U821" s="516"/>
      <c r="V821" s="4"/>
      <c r="W821" s="4"/>
      <c r="X821" s="4"/>
      <c r="Y821" s="4"/>
    </row>
    <row r="822">
      <c r="A822" s="516"/>
      <c r="B822" s="516"/>
      <c r="C822" s="516"/>
      <c r="D822" s="516"/>
      <c r="E822" s="516"/>
      <c r="F822" s="516"/>
      <c r="G822" s="516"/>
      <c r="H822" s="516"/>
      <c r="I822" s="516"/>
      <c r="J822" s="516"/>
      <c r="K822" s="516"/>
      <c r="L822" s="516"/>
      <c r="M822" s="516"/>
      <c r="N822" s="516"/>
      <c r="O822" s="516"/>
      <c r="P822" s="516"/>
      <c r="Q822" s="516"/>
      <c r="R822" s="516"/>
      <c r="S822" s="516"/>
      <c r="T822" s="516"/>
      <c r="U822" s="516"/>
      <c r="V822" s="4"/>
      <c r="W822" s="4"/>
      <c r="X822" s="4"/>
      <c r="Y822" s="4"/>
    </row>
    <row r="823">
      <c r="A823" s="516"/>
      <c r="B823" s="516"/>
      <c r="C823" s="516"/>
      <c r="D823" s="516"/>
      <c r="E823" s="516"/>
      <c r="F823" s="516"/>
      <c r="G823" s="516"/>
      <c r="H823" s="516"/>
      <c r="I823" s="516"/>
      <c r="J823" s="516"/>
      <c r="K823" s="516"/>
      <c r="L823" s="516"/>
      <c r="M823" s="516"/>
      <c r="N823" s="516"/>
      <c r="O823" s="516"/>
      <c r="P823" s="516"/>
      <c r="Q823" s="516"/>
      <c r="R823" s="516"/>
      <c r="S823" s="516"/>
      <c r="T823" s="516"/>
      <c r="U823" s="516"/>
      <c r="V823" s="4"/>
      <c r="W823" s="4"/>
      <c r="X823" s="4"/>
      <c r="Y823" s="4"/>
    </row>
    <row r="824">
      <c r="A824" s="516"/>
      <c r="B824" s="516"/>
      <c r="C824" s="516"/>
      <c r="D824" s="516"/>
      <c r="E824" s="516"/>
      <c r="F824" s="516"/>
      <c r="G824" s="516"/>
      <c r="H824" s="516"/>
      <c r="I824" s="516"/>
      <c r="J824" s="516"/>
      <c r="K824" s="516"/>
      <c r="L824" s="516"/>
      <c r="M824" s="516"/>
      <c r="N824" s="516"/>
      <c r="O824" s="516"/>
      <c r="P824" s="516"/>
      <c r="Q824" s="516"/>
      <c r="R824" s="516"/>
      <c r="S824" s="516"/>
      <c r="T824" s="516"/>
      <c r="U824" s="516"/>
      <c r="V824" s="4"/>
      <c r="W824" s="4"/>
      <c r="X824" s="4"/>
      <c r="Y824" s="4"/>
    </row>
    <row r="825">
      <c r="A825" s="516"/>
      <c r="B825" s="516"/>
      <c r="C825" s="516"/>
      <c r="D825" s="516"/>
      <c r="E825" s="516"/>
      <c r="F825" s="516"/>
      <c r="G825" s="516"/>
      <c r="H825" s="516"/>
      <c r="I825" s="516"/>
      <c r="J825" s="516"/>
      <c r="K825" s="516"/>
      <c r="L825" s="516"/>
      <c r="M825" s="516"/>
      <c r="N825" s="516"/>
      <c r="O825" s="516"/>
      <c r="P825" s="516"/>
      <c r="Q825" s="516"/>
      <c r="R825" s="516"/>
      <c r="S825" s="516"/>
      <c r="T825" s="516"/>
      <c r="U825" s="516"/>
      <c r="V825" s="4"/>
      <c r="W825" s="4"/>
      <c r="X825" s="4"/>
      <c r="Y825" s="4"/>
    </row>
    <row r="826">
      <c r="A826" s="516"/>
      <c r="B826" s="516"/>
      <c r="C826" s="516"/>
      <c r="D826" s="516"/>
      <c r="E826" s="516"/>
      <c r="F826" s="516"/>
      <c r="G826" s="516"/>
      <c r="H826" s="516"/>
      <c r="I826" s="516"/>
      <c r="J826" s="516"/>
      <c r="K826" s="516"/>
      <c r="L826" s="516"/>
      <c r="M826" s="516"/>
      <c r="N826" s="516"/>
      <c r="O826" s="516"/>
      <c r="P826" s="516"/>
      <c r="Q826" s="516"/>
      <c r="R826" s="516"/>
      <c r="S826" s="516"/>
      <c r="T826" s="516"/>
      <c r="U826" s="516"/>
      <c r="V826" s="4"/>
      <c r="W826" s="4"/>
      <c r="X826" s="4"/>
      <c r="Y826" s="4"/>
    </row>
    <row r="827">
      <c r="A827" s="516"/>
      <c r="B827" s="516"/>
      <c r="C827" s="516"/>
      <c r="D827" s="516"/>
      <c r="E827" s="516"/>
      <c r="F827" s="516"/>
      <c r="G827" s="516"/>
      <c r="H827" s="516"/>
      <c r="I827" s="516"/>
      <c r="J827" s="516"/>
      <c r="K827" s="516"/>
      <c r="L827" s="516"/>
      <c r="M827" s="516"/>
      <c r="N827" s="516"/>
      <c r="O827" s="516"/>
      <c r="P827" s="516"/>
      <c r="Q827" s="516"/>
      <c r="R827" s="516"/>
      <c r="S827" s="516"/>
      <c r="T827" s="516"/>
      <c r="U827" s="516"/>
      <c r="V827" s="4"/>
      <c r="W827" s="4"/>
      <c r="X827" s="4"/>
      <c r="Y827" s="4"/>
    </row>
    <row r="828">
      <c r="A828" s="516"/>
      <c r="B828" s="516"/>
      <c r="C828" s="516"/>
      <c r="D828" s="516"/>
      <c r="E828" s="516"/>
      <c r="F828" s="516"/>
      <c r="G828" s="516"/>
      <c r="H828" s="516"/>
      <c r="I828" s="516"/>
      <c r="J828" s="516"/>
      <c r="K828" s="516"/>
      <c r="L828" s="516"/>
      <c r="M828" s="516"/>
      <c r="N828" s="516"/>
      <c r="O828" s="516"/>
      <c r="P828" s="516"/>
      <c r="Q828" s="516"/>
      <c r="R828" s="516"/>
      <c r="S828" s="516"/>
      <c r="T828" s="516"/>
      <c r="U828" s="516"/>
      <c r="V828" s="4"/>
      <c r="W828" s="4"/>
      <c r="X828" s="4"/>
      <c r="Y828" s="4"/>
    </row>
    <row r="829">
      <c r="A829" s="516"/>
      <c r="B829" s="516"/>
      <c r="C829" s="516"/>
      <c r="D829" s="516"/>
      <c r="E829" s="516"/>
      <c r="F829" s="516"/>
      <c r="G829" s="516"/>
      <c r="H829" s="516"/>
      <c r="I829" s="516"/>
      <c r="J829" s="516"/>
      <c r="K829" s="516"/>
      <c r="L829" s="516"/>
      <c r="M829" s="516"/>
      <c r="N829" s="516"/>
      <c r="O829" s="516"/>
      <c r="P829" s="516"/>
      <c r="Q829" s="516"/>
      <c r="R829" s="516"/>
      <c r="S829" s="516"/>
      <c r="T829" s="516"/>
      <c r="U829" s="516"/>
      <c r="V829" s="4"/>
      <c r="W829" s="4"/>
      <c r="X829" s="4"/>
      <c r="Y829" s="4"/>
    </row>
    <row r="830">
      <c r="A830" s="516"/>
      <c r="B830" s="516"/>
      <c r="C830" s="516"/>
      <c r="D830" s="516"/>
      <c r="E830" s="516"/>
      <c r="F830" s="516"/>
      <c r="G830" s="516"/>
      <c r="H830" s="516"/>
      <c r="I830" s="516"/>
      <c r="J830" s="516"/>
      <c r="K830" s="516"/>
      <c r="L830" s="516"/>
      <c r="M830" s="516"/>
      <c r="N830" s="516"/>
      <c r="O830" s="516"/>
      <c r="P830" s="516"/>
      <c r="Q830" s="516"/>
      <c r="R830" s="516"/>
      <c r="S830" s="516"/>
      <c r="T830" s="516"/>
      <c r="U830" s="516"/>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hyperlinks>
    <hyperlink r:id="rId2" ref="Y3"/>
    <hyperlink r:id="rId3" ref="Y4"/>
    <hyperlink r:id="rId4" ref="Y5"/>
    <hyperlink r:id="rId5" ref="Y6"/>
    <hyperlink r:id="rId6" ref="Y7"/>
    <hyperlink r:id="rId7" ref="Y8"/>
    <hyperlink r:id="rId8" ref="Y9"/>
    <hyperlink r:id="rId9" ref="Y10"/>
    <hyperlink r:id="rId10" ref="Y11"/>
    <hyperlink r:id="rId11" ref="Y12"/>
    <hyperlink r:id="rId12" ref="Y13"/>
    <hyperlink r:id="rId13" ref="Y14"/>
  </hyperlinks>
  <drawing r:id="rId14"/>
  <legacyDrawing r:id="rId15"/>
</worksheet>
</file>